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Data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<sst xmlns="http://schemas.openxmlformats.org/spreadsheetml/2006/main" count="8365" uniqueCount="1134">
  <si>
    <r>
      <rPr>
        <rFont val="Arial"/>
        <b/>
        <color theme="1"/>
      </rPr>
      <t xml:space="preserve">Assumptions:
</t>
    </r>
    <r>
      <rPr>
        <rFont val="Arial"/>
        <color theme="1"/>
      </rPr>
      <t xml:space="preserve">1- Buying at the market open price on very next day of the trigger.
2- Placing a GTT order with target profits of 5%, 10%, etc., based on the buying price.
3- Number of days indicated are working days, considering buying day as first day.
4- Failed means target not acheived within 2 months.
</t>
    </r>
  </si>
  <si>
    <t>direct from scanner, create three seperate sheets for  seeds, sunflower, ...</t>
  </si>
  <si>
    <r>
      <rPr>
        <rFont val="Arial"/>
        <b/>
        <color theme="1"/>
      </rPr>
      <t xml:space="preserve">How to use: </t>
    </r>
    <r>
      <rPr>
        <rFont val="Arial"/>
        <color theme="1"/>
      </rPr>
      <t xml:space="preserve">
1- Run the chartink scanner and download the excel file. (Download CSV button)
2- Copy the columns from downloaded excel and past here in uncolored columns. (A,B,C,D)
3- Observe the days it takes to acheive the profit of 5%, 10% etc. 
4- For indepth analysis, use a filter and apply it for marketcapname and observe the holding period for acheiving certain profit.
</t>
    </r>
    <r>
      <rPr>
        <rFont val="Arial"/>
        <b/>
        <color theme="1"/>
      </rPr>
      <t xml:space="preserve">Limitations:
</t>
    </r>
    <r>
      <rPr>
        <rFont val="Arial"/>
        <color theme="1"/>
      </rPr>
      <t>1- GoogleFinance formula is not recognizing few tickers.
2- Two months is considered for 5% as well as 25%, better way is to consider 1 month for 5% , 2 months for 10%,...
3- This model is currently useful for 100 tickers.</t>
    </r>
  </si>
  <si>
    <t>Min days</t>
  </si>
  <si>
    <t>Max days</t>
  </si>
  <si>
    <t>Efficiency</t>
  </si>
  <si>
    <t>Holding period for</t>
  </si>
  <si>
    <t>date</t>
  </si>
  <si>
    <t>symbol</t>
  </si>
  <si>
    <t>marketcapname</t>
  </si>
  <si>
    <t>sector</t>
  </si>
  <si>
    <t>ticker</t>
  </si>
  <si>
    <t>LAURUSLABS</t>
  </si>
  <si>
    <t>Largecap</t>
  </si>
  <si>
    <t>Pharmaceuticals</t>
  </si>
  <si>
    <t>BANCOINDIA</t>
  </si>
  <si>
    <t>Smallcap</t>
  </si>
  <si>
    <t>Auto</t>
  </si>
  <si>
    <t>BEL</t>
  </si>
  <si>
    <t>Aerospace &amp; Defence</t>
  </si>
  <si>
    <t>HFCL</t>
  </si>
  <si>
    <t>Midcap</t>
  </si>
  <si>
    <t>Realty</t>
  </si>
  <si>
    <t>MOREPENLAB</t>
  </si>
  <si>
    <t>SURYAROSNI</t>
  </si>
  <si>
    <t>Metals</t>
  </si>
  <si>
    <t>CASTROLIND</t>
  </si>
  <si>
    <t>Industrials</t>
  </si>
  <si>
    <t>BBL</t>
  </si>
  <si>
    <t>FMCG</t>
  </si>
  <si>
    <t>NIPPOBATRY</t>
  </si>
  <si>
    <t>Miscellaneous</t>
  </si>
  <si>
    <t>DYNAMATECH</t>
  </si>
  <si>
    <t>NESCO</t>
  </si>
  <si>
    <t>DEEPAKNTR</t>
  </si>
  <si>
    <t>ASTRAZEN</t>
  </si>
  <si>
    <t>WIPRO</t>
  </si>
  <si>
    <t>I.T</t>
  </si>
  <si>
    <t>STARTECK</t>
  </si>
  <si>
    <t>Finance</t>
  </si>
  <si>
    <t>SHAHALLOYS</t>
  </si>
  <si>
    <t>NLCINDIA</t>
  </si>
  <si>
    <t>MADHAV</t>
  </si>
  <si>
    <t>HERITGFOOD</t>
  </si>
  <si>
    <t>WEL</t>
  </si>
  <si>
    <t>BALMLAWRIE</t>
  </si>
  <si>
    <t>AARTIIND</t>
  </si>
  <si>
    <t>STEL</t>
  </si>
  <si>
    <t>SYNCOMF</t>
  </si>
  <si>
    <t>GTPL</t>
  </si>
  <si>
    <t>Media</t>
  </si>
  <si>
    <t>COCHINSHIP</t>
  </si>
  <si>
    <t>LAXMICOT</t>
  </si>
  <si>
    <t>Textiles</t>
  </si>
  <si>
    <t>GTECJAINX</t>
  </si>
  <si>
    <t>Services</t>
  </si>
  <si>
    <t>JASH</t>
  </si>
  <si>
    <t>JUBLPHARMA</t>
  </si>
  <si>
    <t>THEMISMED</t>
  </si>
  <si>
    <t>BDL</t>
  </si>
  <si>
    <t>KRITIKA</t>
  </si>
  <si>
    <t>BALAMINES</t>
  </si>
  <si>
    <t>MSTCLTD</t>
  </si>
  <si>
    <t>DEEPENR</t>
  </si>
  <si>
    <t>Oils</t>
  </si>
  <si>
    <t>GAIL</t>
  </si>
  <si>
    <t>CYBERTECH</t>
  </si>
  <si>
    <t>STAR</t>
  </si>
  <si>
    <t>GALLANTT</t>
  </si>
  <si>
    <t>V2RETAIL</t>
  </si>
  <si>
    <t>JKIL</t>
  </si>
  <si>
    <t>HMVL</t>
  </si>
  <si>
    <t>SHAH</t>
  </si>
  <si>
    <t>KIRLOSENG</t>
  </si>
  <si>
    <t>BROOKS</t>
  </si>
  <si>
    <t>NURECA</t>
  </si>
  <si>
    <t>IWEL</t>
  </si>
  <si>
    <t>SIKKO</t>
  </si>
  <si>
    <t>TEGA</t>
  </si>
  <si>
    <t>NAGAFERT</t>
  </si>
  <si>
    <t>HEADSUP</t>
  </si>
  <si>
    <t>HINDALCO</t>
  </si>
  <si>
    <t>JAICORPLTD</t>
  </si>
  <si>
    <t>SURYALAXMI</t>
  </si>
  <si>
    <t>AARTIPHARM</t>
  </si>
  <si>
    <t>SHANTIGEAR</t>
  </si>
  <si>
    <t>DOLPHIN</t>
  </si>
  <si>
    <t>CONTROLPR</t>
  </si>
  <si>
    <t>BLAL</t>
  </si>
  <si>
    <t>3MINDIA</t>
  </si>
  <si>
    <t>GREENPLY</t>
  </si>
  <si>
    <t>Plywood Boards/Laminates</t>
  </si>
  <si>
    <t>5PAISA</t>
  </si>
  <si>
    <t>AVG</t>
  </si>
  <si>
    <t>NILAINFRA</t>
  </si>
  <si>
    <t>SVLL</t>
  </si>
  <si>
    <t>ALANKIT</t>
  </si>
  <si>
    <t>XELPMOC</t>
  </si>
  <si>
    <t>AARTISURF</t>
  </si>
  <si>
    <t>NDRAUTO</t>
  </si>
  <si>
    <t>KAMDHENU</t>
  </si>
  <si>
    <t>GLOBALVECT</t>
  </si>
  <si>
    <t>SPYL</t>
  </si>
  <si>
    <t>GLAND</t>
  </si>
  <si>
    <t>SREEL</t>
  </si>
  <si>
    <t>GULFOILLUB</t>
  </si>
  <si>
    <t>COFFEEDAY</t>
  </si>
  <si>
    <t>Quick Service Restaurant</t>
  </si>
  <si>
    <t>TEAMLEASE</t>
  </si>
  <si>
    <t>CHAMBLFERT</t>
  </si>
  <si>
    <t>HINDPETRO</t>
  </si>
  <si>
    <t>SAIL</t>
  </si>
  <si>
    <t>HEROMOTOCO</t>
  </si>
  <si>
    <t>PILITA</t>
  </si>
  <si>
    <t>GSFC</t>
  </si>
  <si>
    <t>TATACONSUM</t>
  </si>
  <si>
    <t>HEG</t>
  </si>
  <si>
    <t>BHAGYANGR</t>
  </si>
  <si>
    <t>HINDCOPPER</t>
  </si>
  <si>
    <t>ROHLTD</t>
  </si>
  <si>
    <t>DISHTV</t>
  </si>
  <si>
    <t>JYOTHYLAB</t>
  </si>
  <si>
    <t>SEPC</t>
  </si>
  <si>
    <t>ZFCVINDIA</t>
  </si>
  <si>
    <t>CANTABIL</t>
  </si>
  <si>
    <t>CIGNITITEC</t>
  </si>
  <si>
    <t>MONTECARLO</t>
  </si>
  <si>
    <t>AURUM</t>
  </si>
  <si>
    <t>FORCEMOT</t>
  </si>
  <si>
    <t>BANARISUG</t>
  </si>
  <si>
    <t>ANDHRSUGAR</t>
  </si>
  <si>
    <t>GODFRYPHLP</t>
  </si>
  <si>
    <t>GFLLIMITED</t>
  </si>
  <si>
    <t>BOROLTD</t>
  </si>
  <si>
    <t>WENDT</t>
  </si>
  <si>
    <t>TVSSRICHAK</t>
  </si>
  <si>
    <t>IGARASHI</t>
  </si>
  <si>
    <t>ADANIENT</t>
  </si>
  <si>
    <t>EIHAHOTELS</t>
  </si>
  <si>
    <t>IDEAFORGE</t>
  </si>
  <si>
    <t>PANAMAPET</t>
  </si>
  <si>
    <t>MOLDTECH</t>
  </si>
  <si>
    <t>TATATECH</t>
  </si>
  <si>
    <t>FLAIR</t>
  </si>
  <si>
    <t>ASTRAL</t>
  </si>
  <si>
    <t>ADSL</t>
  </si>
  <si>
    <t>PURVA</t>
  </si>
  <si>
    <t>POWERGRID</t>
  </si>
  <si>
    <t>RBL</t>
  </si>
  <si>
    <t>GODREJPROP</t>
  </si>
  <si>
    <t>JUBLFOOD</t>
  </si>
  <si>
    <t>ROSSELLIND</t>
  </si>
  <si>
    <t>TEXRAIL</t>
  </si>
  <si>
    <t>GPTINFRA</t>
  </si>
  <si>
    <t>INDIGOPNTS</t>
  </si>
  <si>
    <t>INDUSTOWER</t>
  </si>
  <si>
    <t>Telecom</t>
  </si>
  <si>
    <t>SHARDAMOTR</t>
  </si>
  <si>
    <t>JPOLYINVST</t>
  </si>
  <si>
    <t>RACE</t>
  </si>
  <si>
    <t>AIIL</t>
  </si>
  <si>
    <t>LLOYDSENGG</t>
  </si>
  <si>
    <t>ARE&amp;M</t>
  </si>
  <si>
    <t>LAXMIMACH</t>
  </si>
  <si>
    <t>LICHSGFIN</t>
  </si>
  <si>
    <t>PIDILITIND</t>
  </si>
  <si>
    <t>BBOX</t>
  </si>
  <si>
    <t>BOSCHLTD</t>
  </si>
  <si>
    <t>GRWRHITECH</t>
  </si>
  <si>
    <t>RANEHOLDIN</t>
  </si>
  <si>
    <t>CANFINHOME</t>
  </si>
  <si>
    <t>MUTHOOTCAP</t>
  </si>
  <si>
    <t>SBCL</t>
  </si>
  <si>
    <t>DIGISPICE</t>
  </si>
  <si>
    <t>KAYNES</t>
  </si>
  <si>
    <t>KABRAEXTRU</t>
  </si>
  <si>
    <t>NIFTY</t>
  </si>
  <si>
    <t>Indices</t>
  </si>
  <si>
    <t>BIL</t>
  </si>
  <si>
    <t>GODREJAGRO</t>
  </si>
  <si>
    <t>HAPPYFORGE</t>
  </si>
  <si>
    <t>RPTECH</t>
  </si>
  <si>
    <t>GRSE</t>
  </si>
  <si>
    <t>ATULAUTO</t>
  </si>
  <si>
    <t>CUB</t>
  </si>
  <si>
    <t>Bank</t>
  </si>
  <si>
    <t>INDSWFTLAB</t>
  </si>
  <si>
    <t>JSL</t>
  </si>
  <si>
    <t>LUMAXTECH</t>
  </si>
  <si>
    <t>DHANI</t>
  </si>
  <si>
    <t>JUBLINDS</t>
  </si>
  <si>
    <t>VMART</t>
  </si>
  <si>
    <t>REPCOHOME</t>
  </si>
  <si>
    <t>CRAFTSMAN</t>
  </si>
  <si>
    <t>CMSINFO</t>
  </si>
  <si>
    <t>TCIEXP</t>
  </si>
  <si>
    <t>SBIN</t>
  </si>
  <si>
    <t>RELIANCE</t>
  </si>
  <si>
    <t>VTL</t>
  </si>
  <si>
    <t>PRECOT</t>
  </si>
  <si>
    <t>AMNPLST</t>
  </si>
  <si>
    <t>SUDARSCHEM</t>
  </si>
  <si>
    <t>AYMSYNTEX</t>
  </si>
  <si>
    <t>ITDCEM</t>
  </si>
  <si>
    <t>AETHER</t>
  </si>
  <si>
    <t>ASHIMASYN</t>
  </si>
  <si>
    <t>NAHARINDUS</t>
  </si>
  <si>
    <t>GHCLTEXTIL</t>
  </si>
  <si>
    <t>SENCO</t>
  </si>
  <si>
    <t>SARLAPOLY</t>
  </si>
  <si>
    <t>STYLAMIND</t>
  </si>
  <si>
    <t>INDIACEM</t>
  </si>
  <si>
    <t>EPACK</t>
  </si>
  <si>
    <t>GALAXYSURF</t>
  </si>
  <si>
    <t>YASHO</t>
  </si>
  <si>
    <t>VSTL</t>
  </si>
  <si>
    <t>FINEORG</t>
  </si>
  <si>
    <t>CHEMBOND</t>
  </si>
  <si>
    <t>VSTTILLERS</t>
  </si>
  <si>
    <t>GLOSTERLTD</t>
  </si>
  <si>
    <t>360ONE</t>
  </si>
  <si>
    <t>DIVISLAB</t>
  </si>
  <si>
    <t>BIOCON</t>
  </si>
  <si>
    <t>ULTRACEMCO</t>
  </si>
  <si>
    <t>IIFL</t>
  </si>
  <si>
    <t>PVRINOX</t>
  </si>
  <si>
    <t>FIEMIND</t>
  </si>
  <si>
    <t>ZEEMEDIA</t>
  </si>
  <si>
    <t>VGUARD</t>
  </si>
  <si>
    <t>MOLDTKPAC</t>
  </si>
  <si>
    <t>RUPA</t>
  </si>
  <si>
    <t>PGEL</t>
  </si>
  <si>
    <t>TRITURBINE</t>
  </si>
  <si>
    <t>GRINFRA</t>
  </si>
  <si>
    <t>SPORTKING</t>
  </si>
  <si>
    <t>GUJGASLTD</t>
  </si>
  <si>
    <t>LTIM</t>
  </si>
  <si>
    <t>AEGISLOG</t>
  </si>
  <si>
    <t>BAJFINANCE</t>
  </si>
  <si>
    <t>DIAMINESQ</t>
  </si>
  <si>
    <t>EPL</t>
  </si>
  <si>
    <t>JSWSTEEL</t>
  </si>
  <si>
    <t>WHIRLPOOL</t>
  </si>
  <si>
    <t>PEL</t>
  </si>
  <si>
    <t>SHREECEM</t>
  </si>
  <si>
    <t>SIYSIL</t>
  </si>
  <si>
    <t>GRPLTD</t>
  </si>
  <si>
    <t>HINDCOMPOS</t>
  </si>
  <si>
    <t>SINCLAIR</t>
  </si>
  <si>
    <t>PIIND</t>
  </si>
  <si>
    <t>RISHABH</t>
  </si>
  <si>
    <t>SIGNPOST</t>
  </si>
  <si>
    <t>ZIMLAB</t>
  </si>
  <si>
    <t>SUVENPHAR</t>
  </si>
  <si>
    <t>KDDL</t>
  </si>
  <si>
    <t>ROUTE</t>
  </si>
  <si>
    <t>SAREGAMA</t>
  </si>
  <si>
    <t>MAZDOCK</t>
  </si>
  <si>
    <t>IGL</t>
  </si>
  <si>
    <t>CENTURYPLY</t>
  </si>
  <si>
    <t>ASAHISONG</t>
  </si>
  <si>
    <t>ADANIPORTS</t>
  </si>
  <si>
    <t>POLICYBZR</t>
  </si>
  <si>
    <t>STARHEALTH</t>
  </si>
  <si>
    <t>MALLCOM</t>
  </si>
  <si>
    <t>BATAINDIA</t>
  </si>
  <si>
    <t>PGHL</t>
  </si>
  <si>
    <t>AMBUJACEM</t>
  </si>
  <si>
    <t>GESHIP</t>
  </si>
  <si>
    <t>ASIANPAINT</t>
  </si>
  <si>
    <t>SAGCEM</t>
  </si>
  <si>
    <t>CHOLAHLDNG</t>
  </si>
  <si>
    <t>TEXINFRA</t>
  </si>
  <si>
    <t>STYRENIX</t>
  </si>
  <si>
    <t>NAVNETEDUL</t>
  </si>
  <si>
    <t>MINDTECK</t>
  </si>
  <si>
    <t>APCL</t>
  </si>
  <si>
    <t>PRAJIND</t>
  </si>
  <si>
    <t>VLEGOV</t>
  </si>
  <si>
    <t>CDSL</t>
  </si>
  <si>
    <t>JLHL</t>
  </si>
  <si>
    <t>MAHLOG</t>
  </si>
  <si>
    <t>CAPITALSFB</t>
  </si>
  <si>
    <t>RVNL</t>
  </si>
  <si>
    <t>PETRONET</t>
  </si>
  <si>
    <t>KEC</t>
  </si>
  <si>
    <t>RSYSTEMS</t>
  </si>
  <si>
    <t>SUTLEJTEX</t>
  </si>
  <si>
    <t>SRHHYPOLTD</t>
  </si>
  <si>
    <t>OIL</t>
  </si>
  <si>
    <t>SRGHFL</t>
  </si>
  <si>
    <t>NAZARA</t>
  </si>
  <si>
    <t>BARBEQUE</t>
  </si>
  <si>
    <t>NUVOCO</t>
  </si>
  <si>
    <t>NINSYS</t>
  </si>
  <si>
    <t>SFL</t>
  </si>
  <si>
    <t>ATUL</t>
  </si>
  <si>
    <t>AMRUTANJAN</t>
  </si>
  <si>
    <t>SAKSOFT</t>
  </si>
  <si>
    <t>BIRLACABLE</t>
  </si>
  <si>
    <t>KCP</t>
  </si>
  <si>
    <t>OAL</t>
  </si>
  <si>
    <t>ESTER</t>
  </si>
  <si>
    <t>INDIAGLYCO</t>
  </si>
  <si>
    <t>INDORAMA</t>
  </si>
  <si>
    <t>KAJARIACER</t>
  </si>
  <si>
    <t>TRENT</t>
  </si>
  <si>
    <t>MFSL</t>
  </si>
  <si>
    <t>HEIDELBERG</t>
  </si>
  <si>
    <t>NAHARSPING</t>
  </si>
  <si>
    <t>NIITLTD</t>
  </si>
  <si>
    <t>RSWM</t>
  </si>
  <si>
    <t>SUNFLAG</t>
  </si>
  <si>
    <t>UNIENTER</t>
  </si>
  <si>
    <t>BAJAJHLDNG</t>
  </si>
  <si>
    <t>GNFC</t>
  </si>
  <si>
    <t>TATACHEM</t>
  </si>
  <si>
    <t>BBTC</t>
  </si>
  <si>
    <t>GREAVESCOT</t>
  </si>
  <si>
    <t>DECCANCE</t>
  </si>
  <si>
    <t>NCLIND</t>
  </si>
  <si>
    <t>SAURASHCEM</t>
  </si>
  <si>
    <t>ANDHRAPAP</t>
  </si>
  <si>
    <t>BANSWRAS</t>
  </si>
  <si>
    <t>SRF</t>
  </si>
  <si>
    <t>WSI</t>
  </si>
  <si>
    <t>INDIANHUME</t>
  </si>
  <si>
    <t>GMMPFAUDLR</t>
  </si>
  <si>
    <t>GRINDWELL</t>
  </si>
  <si>
    <t>COROMANDEL</t>
  </si>
  <si>
    <t>ALKYLAMINE</t>
  </si>
  <si>
    <t>WALCHANNAG</t>
  </si>
  <si>
    <t>IFBAGRO</t>
  </si>
  <si>
    <t>GMBREW</t>
  </si>
  <si>
    <t>FOODSIN</t>
  </si>
  <si>
    <t>BERGEPAINT</t>
  </si>
  <si>
    <t>VLSFINANCE</t>
  </si>
  <si>
    <t>MONARCH</t>
  </si>
  <si>
    <t>ARIHANTCAP</t>
  </si>
  <si>
    <t>VIPULLTD</t>
  </si>
  <si>
    <t>VERANDA</t>
  </si>
  <si>
    <t>LLOYDSME</t>
  </si>
  <si>
    <t>SEQUENT</t>
  </si>
  <si>
    <t>AVANTIFEED</t>
  </si>
  <si>
    <t>ORBTEXP</t>
  </si>
  <si>
    <t>EMUDHRA</t>
  </si>
  <si>
    <t>PITTIENG</t>
  </si>
  <si>
    <t>HIMATSEIDE</t>
  </si>
  <si>
    <t>PRICOLLTD</t>
  </si>
  <si>
    <t>VINDHYATEL</t>
  </si>
  <si>
    <t>SUBROS</t>
  </si>
  <si>
    <t>ROTO</t>
  </si>
  <si>
    <t>TTKPRESTIG</t>
  </si>
  <si>
    <t>AHL</t>
  </si>
  <si>
    <t>MUNJALSHOW</t>
  </si>
  <si>
    <t>JTEKTINDIA</t>
  </si>
  <si>
    <t>HLEGLAS</t>
  </si>
  <si>
    <t>KOKUYOCMLN</t>
  </si>
  <si>
    <t>NAHARPOLY</t>
  </si>
  <si>
    <t>AARTIDRUGS</t>
  </si>
  <si>
    <t>MARKSANS</t>
  </si>
  <si>
    <t>VARDHACRLC</t>
  </si>
  <si>
    <t>DIXON</t>
  </si>
  <si>
    <t>AUROPHARMA</t>
  </si>
  <si>
    <t>NATCOPHARM</t>
  </si>
  <si>
    <t>MATRIMONY</t>
  </si>
  <si>
    <t>JSWINFRA</t>
  </si>
  <si>
    <t>ASKAUTOLTD</t>
  </si>
  <si>
    <t>IREDA</t>
  </si>
  <si>
    <t>FEDFINA</t>
  </si>
  <si>
    <t>GANDHAR</t>
  </si>
  <si>
    <t>ICICIGI</t>
  </si>
  <si>
    <t>IEX</t>
  </si>
  <si>
    <t>Financial Services</t>
  </si>
  <si>
    <t>MUFTI</t>
  </si>
  <si>
    <t>NIACL</t>
  </si>
  <si>
    <t>SUNCLAY</t>
  </si>
  <si>
    <t>LAOPALA</t>
  </si>
  <si>
    <t>ONEPOINT</t>
  </si>
  <si>
    <t>FAZE3Q</t>
  </si>
  <si>
    <t>PRIVISCL</t>
  </si>
  <si>
    <t>SANDHAR</t>
  </si>
  <si>
    <t>GENUSPOWER</t>
  </si>
  <si>
    <t>RELAXO</t>
  </si>
  <si>
    <t>VARROC</t>
  </si>
  <si>
    <t>RAJRILTD</t>
  </si>
  <si>
    <t>KRBL</t>
  </si>
  <si>
    <t>MEDICAMEQ</t>
  </si>
  <si>
    <t>ALICON</t>
  </si>
  <si>
    <t>ZYDUSWELL</t>
  </si>
  <si>
    <t>AXITA</t>
  </si>
  <si>
    <t>SHAKTIPUMP</t>
  </si>
  <si>
    <t>KPITTECH</t>
  </si>
  <si>
    <t>HATSUN</t>
  </si>
  <si>
    <t>FDC</t>
  </si>
  <si>
    <t>DCI</t>
  </si>
  <si>
    <t>AMBIKCO</t>
  </si>
  <si>
    <t>UTIAMC</t>
  </si>
  <si>
    <t>ENGINERSIN</t>
  </si>
  <si>
    <t>GLENMARK</t>
  </si>
  <si>
    <t>TCI</t>
  </si>
  <si>
    <t>RAMCOSYS</t>
  </si>
  <si>
    <t>STLTECH</t>
  </si>
  <si>
    <t>MPSLTD</t>
  </si>
  <si>
    <t>TVTODAY</t>
  </si>
  <si>
    <t>UNOMINDA</t>
  </si>
  <si>
    <t>INDOCO</t>
  </si>
  <si>
    <t>SHOPERSTOP</t>
  </si>
  <si>
    <t>RML</t>
  </si>
  <si>
    <t>EKC</t>
  </si>
  <si>
    <t>NITINSPIN</t>
  </si>
  <si>
    <t>SOLARINDS</t>
  </si>
  <si>
    <t>SUNTV</t>
  </si>
  <si>
    <t>PFOCUS</t>
  </si>
  <si>
    <t>CIEINDIA</t>
  </si>
  <si>
    <t>VOLTAMP</t>
  </si>
  <si>
    <t>TANLA</t>
  </si>
  <si>
    <t>SMSPHARMA</t>
  </si>
  <si>
    <t>REFEX</t>
  </si>
  <si>
    <t>RELIGARE</t>
  </si>
  <si>
    <t>NAHARCAP</t>
  </si>
  <si>
    <t>EXPLEOSOL</t>
  </si>
  <si>
    <t>ASTEC</t>
  </si>
  <si>
    <t>DLINKINDIA</t>
  </si>
  <si>
    <t>BAJAJCON</t>
  </si>
  <si>
    <t>WABAG</t>
  </si>
  <si>
    <t>BFINVEST</t>
  </si>
  <si>
    <t>SUMMITSEC</t>
  </si>
  <si>
    <t>ZENTEC</t>
  </si>
  <si>
    <t>PFS</t>
  </si>
  <si>
    <t>APLLTD</t>
  </si>
  <si>
    <t>FAIRCHEMOR</t>
  </si>
  <si>
    <t>HOMEFIRST</t>
  </si>
  <si>
    <t>STOVEKRAFT</t>
  </si>
  <si>
    <t>LXCHEM</t>
  </si>
  <si>
    <t>SHYAMMETL</t>
  </si>
  <si>
    <t>DODLA</t>
  </si>
  <si>
    <t>WINDLAS</t>
  </si>
  <si>
    <t>EPIGRAL</t>
  </si>
  <si>
    <t>SHARDACROP</t>
  </si>
  <si>
    <t>TARSONS</t>
  </si>
  <si>
    <t>GOCOLORS</t>
  </si>
  <si>
    <t>DATAPATTNS</t>
  </si>
  <si>
    <t>MINDACORP</t>
  </si>
  <si>
    <t>SYNGENE</t>
  </si>
  <si>
    <t>GOKULAGRO</t>
  </si>
  <si>
    <t>BAJAJHCARE</t>
  </si>
  <si>
    <t>QUESS</t>
  </si>
  <si>
    <t>MAXIND</t>
  </si>
  <si>
    <t>GNA</t>
  </si>
  <si>
    <t>ICICIPRULI</t>
  </si>
  <si>
    <t>BAJAJHIND</t>
  </si>
  <si>
    <t>IMPAL</t>
  </si>
  <si>
    <t>WHEELS</t>
  </si>
  <si>
    <t>UFLEX</t>
  </si>
  <si>
    <t>IGPL</t>
  </si>
  <si>
    <t>ATFL</t>
  </si>
  <si>
    <t>KIRLOSBROS</t>
  </si>
  <si>
    <t>RAIN</t>
  </si>
  <si>
    <t>SPMLINFRA</t>
  </si>
  <si>
    <t>SUNDRMFAST</t>
  </si>
  <si>
    <t>TIRUMALCHM</t>
  </si>
  <si>
    <t>THOMASCOOK</t>
  </si>
  <si>
    <t>TORNTPHARM</t>
  </si>
  <si>
    <t>VHL</t>
  </si>
  <si>
    <t>MUKANDLTD</t>
  </si>
  <si>
    <t>DEEPAKFERT</t>
  </si>
  <si>
    <t>NOCIL</t>
  </si>
  <si>
    <t>SHAILY</t>
  </si>
  <si>
    <t>ORIENTPPR</t>
  </si>
  <si>
    <t>SESHAPAPER</t>
  </si>
  <si>
    <t>AUTOAXLES</t>
  </si>
  <si>
    <t>TALBROAUTO</t>
  </si>
  <si>
    <t>ALEMBICLTD</t>
  </si>
  <si>
    <t>COSMOFIRST</t>
  </si>
  <si>
    <t>GUFICBIO</t>
  </si>
  <si>
    <t>PRUDENT</t>
  </si>
  <si>
    <t>ETHOSLTD</t>
  </si>
  <si>
    <t>ANANTRAJ</t>
  </si>
  <si>
    <t>LUMAXIND</t>
  </si>
  <si>
    <t>PPLPHARMA</t>
  </si>
  <si>
    <t>DCXINDIA</t>
  </si>
  <si>
    <t>ACI</t>
  </si>
  <si>
    <t>DHARMAJ</t>
  </si>
  <si>
    <t>RADIANTCMS</t>
  </si>
  <si>
    <t>KAMOPAINTS</t>
  </si>
  <si>
    <t>KITEX</t>
  </si>
  <si>
    <t>VENKEYS</t>
  </si>
  <si>
    <t>DREDGECORP</t>
  </si>
  <si>
    <t>PLASTIBLEN</t>
  </si>
  <si>
    <t>IOLCP</t>
  </si>
  <si>
    <t>INDOBORAX</t>
  </si>
  <si>
    <t>VIMTALABS</t>
  </si>
  <si>
    <t>SUKHJITS</t>
  </si>
  <si>
    <t>PYRAMID</t>
  </si>
  <si>
    <t>VPRPL</t>
  </si>
  <si>
    <t>MBAPL</t>
  </si>
  <si>
    <t>MANOMAY</t>
  </si>
  <si>
    <t>CELLO</t>
  </si>
  <si>
    <t>LIBERTSHOE</t>
  </si>
  <si>
    <t>MIRZAINT</t>
  </si>
  <si>
    <t>GOLDIAM</t>
  </si>
  <si>
    <t>KHADIM</t>
  </si>
  <si>
    <t>VENUSREM</t>
  </si>
  <si>
    <t>KOTHARIPRO</t>
  </si>
  <si>
    <t>MMP</t>
  </si>
  <si>
    <t>GPTHEALTH</t>
  </si>
  <si>
    <t>UGARSUGAR</t>
  </si>
  <si>
    <t>CHEMFAB</t>
  </si>
  <si>
    <t>SIRCA</t>
  </si>
  <si>
    <t>STERTOOLS</t>
  </si>
  <si>
    <t>MARINE</t>
  </si>
  <si>
    <t>BALUFORGE</t>
  </si>
  <si>
    <t>LINC</t>
  </si>
  <si>
    <t>PRINCEPIPE</t>
  </si>
  <si>
    <t>ARTEMISMED</t>
  </si>
  <si>
    <t>CAMS</t>
  </si>
  <si>
    <t>JKPAPER</t>
  </si>
  <si>
    <t>ACCELYA</t>
  </si>
  <si>
    <t>ZYDUSLIFE</t>
  </si>
  <si>
    <t>SUBEXLTD</t>
  </si>
  <si>
    <t>TIPSINDLTD</t>
  </si>
  <si>
    <t>ISMTLTD</t>
  </si>
  <si>
    <t>POKARNA</t>
  </si>
  <si>
    <t>SUPRAJIT</t>
  </si>
  <si>
    <t>TVSELECT</t>
  </si>
  <si>
    <t>DWARKESH</t>
  </si>
  <si>
    <t>POCL</t>
  </si>
  <si>
    <t>FSL</t>
  </si>
  <si>
    <t>HGS</t>
  </si>
  <si>
    <t>OMAXE</t>
  </si>
  <si>
    <t>ASIANTILES</t>
  </si>
  <si>
    <t>GLOBUSSPR</t>
  </si>
  <si>
    <t>DEN</t>
  </si>
  <si>
    <t>HATHWAY</t>
  </si>
  <si>
    <t>EMAMIPAP</t>
  </si>
  <si>
    <t>TDPOWERSYS</t>
  </si>
  <si>
    <t>CHEMCON</t>
  </si>
  <si>
    <t>NBCC</t>
  </si>
  <si>
    <t>TBZ</t>
  </si>
  <si>
    <t>RBA</t>
  </si>
  <si>
    <t>TARC</t>
  </si>
  <si>
    <t>HERANBA</t>
  </si>
  <si>
    <t>MTARTECH</t>
  </si>
  <si>
    <t>CLEAN</t>
  </si>
  <si>
    <t>KRSNAA</t>
  </si>
  <si>
    <t>SANSERA</t>
  </si>
  <si>
    <t>FINOPB</t>
  </si>
  <si>
    <t>PAYTM</t>
  </si>
  <si>
    <t>GENUSPAPER</t>
  </si>
  <si>
    <t>SHIVALIK</t>
  </si>
  <si>
    <t>SATIA</t>
  </si>
  <si>
    <t>SHREEPUSHK</t>
  </si>
  <si>
    <t>PDMJEPAPER</t>
  </si>
  <si>
    <t>BIGBLOC</t>
  </si>
  <si>
    <t>BAJAJELEC</t>
  </si>
  <si>
    <t>BASF</t>
  </si>
  <si>
    <t>BEML</t>
  </si>
  <si>
    <t>BEPL</t>
  </si>
  <si>
    <t>HDFCBANK</t>
  </si>
  <si>
    <t>HINDOILEXP</t>
  </si>
  <si>
    <t>JINDALPOLY</t>
  </si>
  <si>
    <t>PRIMESECU</t>
  </si>
  <si>
    <t>RALLIS</t>
  </si>
  <si>
    <t>SPLPETRO</t>
  </si>
  <si>
    <t>FEDERALBNK</t>
  </si>
  <si>
    <t>PHOENIXLTD</t>
  </si>
  <si>
    <t>RUBYMILLS</t>
  </si>
  <si>
    <t>NELCO</t>
  </si>
  <si>
    <t>SARDAEN</t>
  </si>
  <si>
    <t>HERCULES</t>
  </si>
  <si>
    <t>KOTHARIPET</t>
  </si>
  <si>
    <t>KHAICHEM</t>
  </si>
  <si>
    <t>HIL</t>
  </si>
  <si>
    <t>GICHSGFIN</t>
  </si>
  <si>
    <t>GMRP&amp;UI</t>
  </si>
  <si>
    <t>HARIOMPIPE</t>
  </si>
  <si>
    <t>STCINDIA</t>
  </si>
  <si>
    <t>MMTC</t>
  </si>
  <si>
    <t>KELLTONTEC</t>
  </si>
  <si>
    <t>JAMNAAUTO</t>
  </si>
  <si>
    <t>ASAL</t>
  </si>
  <si>
    <t>PRECWIRE</t>
  </si>
  <si>
    <t>APCOTEXIND</t>
  </si>
  <si>
    <t>EIMCOELECO</t>
  </si>
  <si>
    <t>POLYPLEX</t>
  </si>
  <si>
    <t>WANBURY</t>
  </si>
  <si>
    <t>RCF</t>
  </si>
  <si>
    <t>JAYAGROGN</t>
  </si>
  <si>
    <t>TVSSCS</t>
  </si>
  <si>
    <t>DMART</t>
  </si>
  <si>
    <t>HUDCO</t>
  </si>
  <si>
    <t>AVADHSUGAR</t>
  </si>
  <si>
    <t>APEX</t>
  </si>
  <si>
    <t>RRKABEL</t>
  </si>
  <si>
    <t>NGLFINE</t>
  </si>
  <si>
    <t>ZOTA</t>
  </si>
  <si>
    <t>MAXESTATES</t>
  </si>
  <si>
    <t>GICRE</t>
  </si>
  <si>
    <t>ICEMAKE</t>
  </si>
  <si>
    <t>GUJALKALI</t>
  </si>
  <si>
    <t>BANDHANBNK</t>
  </si>
  <si>
    <t>ENTERO</t>
  </si>
  <si>
    <t>MIDHANI</t>
  </si>
  <si>
    <t>ORIENTBELL</t>
  </si>
  <si>
    <t>PVSL</t>
  </si>
  <si>
    <t>SHILPAMED</t>
  </si>
  <si>
    <t>OMINFRAL</t>
  </si>
  <si>
    <t>GRMOVER</t>
  </si>
  <si>
    <t>EVEREADY</t>
  </si>
  <si>
    <t>AGARIND</t>
  </si>
  <si>
    <t>BORORENEW</t>
  </si>
  <si>
    <t>APARINDS</t>
  </si>
  <si>
    <t>RAMCOIND</t>
  </si>
  <si>
    <t>NAVINFLUOR</t>
  </si>
  <si>
    <t>RKFORGE</t>
  </si>
  <si>
    <t>AURIONPRO</t>
  </si>
  <si>
    <t>ISGEC</t>
  </si>
  <si>
    <t>RAMKY</t>
  </si>
  <si>
    <t>AMIORG</t>
  </si>
  <si>
    <t>PARAS</t>
  </si>
  <si>
    <t>SAPPHIRE</t>
  </si>
  <si>
    <t>NAVKARCORP</t>
  </si>
  <si>
    <t>VALIANTORG</t>
  </si>
  <si>
    <t>SPIC</t>
  </si>
  <si>
    <t>MADRASFERT</t>
  </si>
  <si>
    <t>KOTAKBANK</t>
  </si>
  <si>
    <t>MAHSCOOTER</t>
  </si>
  <si>
    <t>AKZOINDIA</t>
  </si>
  <si>
    <t>DHANUKA</t>
  </si>
  <si>
    <t>APOLLOHOSP</t>
  </si>
  <si>
    <t>HUHTAMAKI</t>
  </si>
  <si>
    <t>HNDFDS</t>
  </si>
  <si>
    <t>WINDMACHIN</t>
  </si>
  <si>
    <t>HONDAPOWER</t>
  </si>
  <si>
    <t>NFL</t>
  </si>
  <si>
    <t>VINYLINDIA</t>
  </si>
  <si>
    <t>VINATIORGA</t>
  </si>
  <si>
    <t>BLUEJET</t>
  </si>
  <si>
    <t>TPLPLASTEH</t>
  </si>
  <si>
    <t>INDIASHLTR</t>
  </si>
  <si>
    <t>TIINDIA</t>
  </si>
  <si>
    <t>HDFCLIFE</t>
  </si>
  <si>
    <t>INNOVACAP</t>
  </si>
  <si>
    <t>OPTIEMUS</t>
  </si>
  <si>
    <t>PARKHOTELS</t>
  </si>
  <si>
    <t>SUVEN</t>
  </si>
  <si>
    <t>GOPAL</t>
  </si>
  <si>
    <t>JNKINDIA</t>
  </si>
  <si>
    <t>PANACEABIO</t>
  </si>
  <si>
    <t>RPSGVENT</t>
  </si>
  <si>
    <t>NEOGEN</t>
  </si>
  <si>
    <t>PPL</t>
  </si>
  <si>
    <t>HINDWAREAP</t>
  </si>
  <si>
    <t>GEPIL</t>
  </si>
  <si>
    <t>GRANULES</t>
  </si>
  <si>
    <t>SUZLON</t>
  </si>
  <si>
    <t>AIAENG</t>
  </si>
  <si>
    <t>BLKASHYAP</t>
  </si>
  <si>
    <t>SHIVAMAUTO</t>
  </si>
  <si>
    <t>CAMLINFINE</t>
  </si>
  <si>
    <t>DELTACORP</t>
  </si>
  <si>
    <t>INSECTICID</t>
  </si>
  <si>
    <t>ONMOBILE</t>
  </si>
  <si>
    <t>BIRLAMONEY</t>
  </si>
  <si>
    <t>MBLINFRA</t>
  </si>
  <si>
    <t>ESSARSHPNG</t>
  </si>
  <si>
    <t>JUBLINGREA</t>
  </si>
  <si>
    <t>TATVA</t>
  </si>
  <si>
    <t>MAPMYINDIA</t>
  </si>
  <si>
    <t>METROBRAND</t>
  </si>
  <si>
    <t>NRL</t>
  </si>
  <si>
    <t>KAYA</t>
  </si>
  <si>
    <t>ADVENZYMES</t>
  </si>
  <si>
    <t>SPAL</t>
  </si>
  <si>
    <t>CESC</t>
  </si>
  <si>
    <t>FOSECOIND</t>
  </si>
  <si>
    <t>HCC</t>
  </si>
  <si>
    <t>RAYMOND</t>
  </si>
  <si>
    <t>PIXTRANS</t>
  </si>
  <si>
    <t>BRITANNIA</t>
  </si>
  <si>
    <t>MARATHON</t>
  </si>
  <si>
    <t>WESTLIFE</t>
  </si>
  <si>
    <t>GENESYS</t>
  </si>
  <si>
    <t>PCBL</t>
  </si>
  <si>
    <t>CHOLAFIN</t>
  </si>
  <si>
    <t>AGSTRA</t>
  </si>
  <si>
    <t>GIPCL</t>
  </si>
  <si>
    <t>RAJRATAN</t>
  </si>
  <si>
    <t>MUNJALAU</t>
  </si>
  <si>
    <t>HESTERBIO</t>
  </si>
  <si>
    <t>HIKAL</t>
  </si>
  <si>
    <t>KRISHANA</t>
  </si>
  <si>
    <t>KRITI</t>
  </si>
  <si>
    <t>SANDESH</t>
  </si>
  <si>
    <t>SEAMECLTD</t>
  </si>
  <si>
    <t>NOVAAGRI</t>
  </si>
  <si>
    <t>BHAGERIA</t>
  </si>
  <si>
    <t>SKYGOLD</t>
  </si>
  <si>
    <t>INDGN</t>
  </si>
  <si>
    <t>SBICARD</t>
  </si>
  <si>
    <t>ICICIBANK</t>
  </si>
  <si>
    <t>CERA</t>
  </si>
  <si>
    <t>NTPC</t>
  </si>
  <si>
    <t>PAGEIND</t>
  </si>
  <si>
    <t>RPOWER</t>
  </si>
  <si>
    <t>RPPINFRA</t>
  </si>
  <si>
    <t>MUTHOOTFIN</t>
  </si>
  <si>
    <t>AWHCL</t>
  </si>
  <si>
    <t>NYKAA</t>
  </si>
  <si>
    <t>FACT</t>
  </si>
  <si>
    <t>DABUR</t>
  </si>
  <si>
    <t>MTNL</t>
  </si>
  <si>
    <t>EIDPARRY</t>
  </si>
  <si>
    <t>KANSAINER</t>
  </si>
  <si>
    <t>HMT</t>
  </si>
  <si>
    <t>KANORICHEM</t>
  </si>
  <si>
    <t>SADHNANIQ</t>
  </si>
  <si>
    <t>PARADEEP</t>
  </si>
  <si>
    <t>IKIO</t>
  </si>
  <si>
    <t>BODALCHEM</t>
  </si>
  <si>
    <t>ORCHPHARMA</t>
  </si>
  <si>
    <t>PSPPROJECT</t>
  </si>
  <si>
    <t>SERVOTECH</t>
  </si>
  <si>
    <t>MUTHOOTMF</t>
  </si>
  <si>
    <t>MANGCHEFER</t>
  </si>
  <si>
    <t>MUKKA</t>
  </si>
  <si>
    <t>SRM</t>
  </si>
  <si>
    <t>TRIVENI</t>
  </si>
  <si>
    <t>GODREJCP</t>
  </si>
  <si>
    <t>GMRINFRA</t>
  </si>
  <si>
    <t>LTFOODS</t>
  </si>
  <si>
    <t>RPGLIFE</t>
  </si>
  <si>
    <t>CAREERP</t>
  </si>
  <si>
    <t>RUSHIL</t>
  </si>
  <si>
    <t>ZUARI</t>
  </si>
  <si>
    <t>BALRAMCHIN</t>
  </si>
  <si>
    <t>MANALIPETC</t>
  </si>
  <si>
    <t>GABRIEL</t>
  </si>
  <si>
    <t>JAGSNPHARM</t>
  </si>
  <si>
    <t>NAVA</t>
  </si>
  <si>
    <t>WELSPUNLIV</t>
  </si>
  <si>
    <t>KFINTECH</t>
  </si>
  <si>
    <t>CCL</t>
  </si>
  <si>
    <t>TCPLPACK</t>
  </si>
  <si>
    <t>MAGADSUGAR</t>
  </si>
  <si>
    <t>AFFLE</t>
  </si>
  <si>
    <t>RENUKA</t>
  </si>
  <si>
    <t>M&amp;MFIN</t>
  </si>
  <si>
    <t>NAUKRI</t>
  </si>
  <si>
    <t>INDIANB</t>
  </si>
  <si>
    <t>THANGAMAYL</t>
  </si>
  <si>
    <t>KCPSUGIND</t>
  </si>
  <si>
    <t>POWERMECH</t>
  </si>
  <si>
    <t>ESABINDIA</t>
  </si>
  <si>
    <t>GRASIM</t>
  </si>
  <si>
    <t>UNIVCABLES</t>
  </si>
  <si>
    <t>GANECOS</t>
  </si>
  <si>
    <t>RATNAMANI</t>
  </si>
  <si>
    <t>MENONBE</t>
  </si>
  <si>
    <t>SBILIFE</t>
  </si>
  <si>
    <t>AWFIS</t>
  </si>
  <si>
    <t>RAJESHEXPO</t>
  </si>
  <si>
    <t>INDIAMART</t>
  </si>
  <si>
    <t>MAANALU</t>
  </si>
  <si>
    <t>BAJAJFINSV</t>
  </si>
  <si>
    <t>VRLLOG</t>
  </si>
  <si>
    <t>PNBHOUSING</t>
  </si>
  <si>
    <t>BPL</t>
  </si>
  <si>
    <t>IONEXCHANG</t>
  </si>
  <si>
    <t>TNPETRO</t>
  </si>
  <si>
    <t>ELIN</t>
  </si>
  <si>
    <t>SHREYAS</t>
  </si>
  <si>
    <t>MMFL</t>
  </si>
  <si>
    <t>VALIANTLAB</t>
  </si>
  <si>
    <t>RKSWAMY</t>
  </si>
  <si>
    <t>MANAPPURAM</t>
  </si>
  <si>
    <t>FILATFASH</t>
  </si>
  <si>
    <t>NDL</t>
  </si>
  <si>
    <t>KECL</t>
  </si>
  <si>
    <t>THYROCARE</t>
  </si>
  <si>
    <t>IFCI</t>
  </si>
  <si>
    <t>DRREDDY</t>
  </si>
  <si>
    <t>GHCL</t>
  </si>
  <si>
    <t>INFY</t>
  </si>
  <si>
    <t>ZENSARTECH</t>
  </si>
  <si>
    <t>DVL</t>
  </si>
  <si>
    <t>MPHASIS</t>
  </si>
  <si>
    <t>NUCLEUS</t>
  </si>
  <si>
    <t>TCS</t>
  </si>
  <si>
    <t>TECHM</t>
  </si>
  <si>
    <t>TIMETECHNO</t>
  </si>
  <si>
    <t>KALYANKJIL</t>
  </si>
  <si>
    <t>COLPAL</t>
  </si>
  <si>
    <t>APOLLOTYRE</t>
  </si>
  <si>
    <t>RATNAVEER</t>
  </si>
  <si>
    <t>IRIS</t>
  </si>
  <si>
    <t>JINDWORLD</t>
  </si>
  <si>
    <t>HCLTECH</t>
  </si>
  <si>
    <t>COFORGE</t>
  </si>
  <si>
    <t>PGIL</t>
  </si>
  <si>
    <t>DEVYANI</t>
  </si>
  <si>
    <t>ADANIENSOL</t>
  </si>
  <si>
    <t>ALKEM</t>
  </si>
  <si>
    <t>LALPATHLAB</t>
  </si>
  <si>
    <t>PILANIINVS</t>
  </si>
  <si>
    <t>MGL</t>
  </si>
  <si>
    <t>LGBBROSLTD</t>
  </si>
  <si>
    <t>PFIZER</t>
  </si>
  <si>
    <t>HEUBACHIND</t>
  </si>
  <si>
    <t>BUTTERFLY</t>
  </si>
  <si>
    <t>JMFINANCIL</t>
  </si>
  <si>
    <t>INDOAMIN</t>
  </si>
  <si>
    <t>DATAMATICS</t>
  </si>
  <si>
    <t>HUBTOWN</t>
  </si>
  <si>
    <t>MICEL</t>
  </si>
  <si>
    <t>PGHH</t>
  </si>
  <si>
    <t>MODISONLTD</t>
  </si>
  <si>
    <t>KINGFA</t>
  </si>
  <si>
    <t>EMAMILTD</t>
  </si>
  <si>
    <t>AUTOIND</t>
  </si>
  <si>
    <t>PERSISTENT</t>
  </si>
  <si>
    <t>ORIENTCEM</t>
  </si>
  <si>
    <t>PATANJALI</t>
  </si>
  <si>
    <t>VSTIND</t>
  </si>
  <si>
    <t>RUSTOMJEE</t>
  </si>
  <si>
    <t>WEALTH</t>
  </si>
  <si>
    <t>ASALCBR</t>
  </si>
  <si>
    <t>ARROWGREEN</t>
  </si>
  <si>
    <t>DCMSHRIRAM</t>
  </si>
  <si>
    <t>EMSLIMITED</t>
  </si>
  <si>
    <t>CAPACITE</t>
  </si>
  <si>
    <t>UNITDSPR</t>
  </si>
  <si>
    <t>FORTIS</t>
  </si>
  <si>
    <t>GRAVITA</t>
  </si>
  <si>
    <t>OSWALGREEN</t>
  </si>
  <si>
    <t>BOMDYEING</t>
  </si>
  <si>
    <t>DCW</t>
  </si>
  <si>
    <t>RAMCOCEM</t>
  </si>
  <si>
    <t>CENTRUM</t>
  </si>
  <si>
    <t>JCHAC</t>
  </si>
  <si>
    <t>AEROFLEX</t>
  </si>
  <si>
    <t>YATRA</t>
  </si>
  <si>
    <t>SOLARA</t>
  </si>
  <si>
    <t>APTECHT</t>
  </si>
  <si>
    <t>GOKEX</t>
  </si>
  <si>
    <t>KSCL</t>
  </si>
  <si>
    <t>20MICRONS</t>
  </si>
  <si>
    <t>MHRIL</t>
  </si>
  <si>
    <t>SNOWMAN</t>
  </si>
  <si>
    <t>RADHIKAJWE</t>
  </si>
  <si>
    <t>TIDEWATER</t>
  </si>
  <si>
    <t>IDBI</t>
  </si>
  <si>
    <t>TATACOMM</t>
  </si>
  <si>
    <t>ITC</t>
  </si>
  <si>
    <t>MANGLMCEM</t>
  </si>
  <si>
    <t>SATINDLTD</t>
  </si>
  <si>
    <t>CAMPUS</t>
  </si>
  <si>
    <t>KALAMANDIR</t>
  </si>
  <si>
    <t>SURAJEST</t>
  </si>
  <si>
    <t>MANORAMA</t>
  </si>
  <si>
    <t>METROPOLIS</t>
  </si>
  <si>
    <t>WELCORP</t>
  </si>
  <si>
    <t>DHUNINV</t>
  </si>
  <si>
    <t>STEELXIND</t>
  </si>
  <si>
    <t>PCJEWELLER</t>
  </si>
  <si>
    <t>MOL</t>
  </si>
  <si>
    <t>DICIND</t>
  </si>
  <si>
    <t>JINDALSAW</t>
  </si>
  <si>
    <t>DPSCLTD</t>
  </si>
  <si>
    <t>TORNTPOWER</t>
  </si>
  <si>
    <t>HEXATRADEX</t>
  </si>
  <si>
    <t>INDIGO</t>
  </si>
  <si>
    <t>LUPIN</t>
  </si>
  <si>
    <t>ABBOTINDIA</t>
  </si>
  <si>
    <t>EICHERMOT</t>
  </si>
  <si>
    <t>LICI</t>
  </si>
  <si>
    <t>IZMO</t>
  </si>
  <si>
    <t>BHARTIARTL</t>
  </si>
  <si>
    <t>DEEPINDS</t>
  </si>
  <si>
    <t>INSPIRISYS</t>
  </si>
  <si>
    <t>RECLTD</t>
  </si>
  <si>
    <t>ABSLAMC</t>
  </si>
  <si>
    <t>BAYERCROP</t>
  </si>
  <si>
    <t>GEOJITFSL</t>
  </si>
  <si>
    <t>LUXIND</t>
  </si>
  <si>
    <t>TECHNOE</t>
  </si>
  <si>
    <t>OSWALAGRO</t>
  </si>
  <si>
    <t>GLAXO</t>
  </si>
  <si>
    <t>IFBIND</t>
  </si>
  <si>
    <t>GILLETTE</t>
  </si>
  <si>
    <t>DONEAR</t>
  </si>
  <si>
    <t>SELAN</t>
  </si>
  <si>
    <t>BOROSCI</t>
  </si>
  <si>
    <t>CARTRADE</t>
  </si>
  <si>
    <t>ELGIEQUIP</t>
  </si>
  <si>
    <t>VERTOZ</t>
  </si>
  <si>
    <t>SWELECTES</t>
  </si>
  <si>
    <t>NSIL</t>
  </si>
  <si>
    <t>BHEL</t>
  </si>
  <si>
    <t>VEDL</t>
  </si>
  <si>
    <t>TTKHLTCARE</t>
  </si>
  <si>
    <t>NIITMTS</t>
  </si>
  <si>
    <t>POWERINDIA</t>
  </si>
  <si>
    <t>TATAPOWER</t>
  </si>
  <si>
    <t>VIDHIING</t>
  </si>
  <si>
    <t>UNIONBANK</t>
  </si>
  <si>
    <t>JSWHL</t>
  </si>
  <si>
    <t>CENTURYTEX</t>
  </si>
  <si>
    <t>BAJAJ-AUTO</t>
  </si>
  <si>
    <t>INFIBEAM</t>
  </si>
  <si>
    <t>RELINFRA</t>
  </si>
  <si>
    <t>SHRIPISTON</t>
  </si>
  <si>
    <t>HITECHGEAR</t>
  </si>
  <si>
    <t>DPABHUSHAN</t>
  </si>
  <si>
    <t>MACPOWER</t>
  </si>
  <si>
    <t>ZUARIIND</t>
  </si>
  <si>
    <t>SALZERELEC</t>
  </si>
  <si>
    <t>VADILALIND</t>
  </si>
  <si>
    <t>MARUTI</t>
  </si>
  <si>
    <t>THERMAX</t>
  </si>
  <si>
    <t>SIEMENS</t>
  </si>
  <si>
    <t>STARCEMENT</t>
  </si>
  <si>
    <t>DOLLAR</t>
  </si>
  <si>
    <t>JYOTICNC</t>
  </si>
  <si>
    <t>ZOMATO</t>
  </si>
  <si>
    <t>VENUSPIPES</t>
  </si>
  <si>
    <t>ICIL</t>
  </si>
  <si>
    <t>JINDALSTEL</t>
  </si>
  <si>
    <t>IMFA</t>
  </si>
  <si>
    <t>JSWENERGY</t>
  </si>
  <si>
    <t>SONACOMS</t>
  </si>
  <si>
    <t>ABB</t>
  </si>
  <si>
    <t>SUNDARMFIN</t>
  </si>
  <si>
    <t>TATASTEEL</t>
  </si>
  <si>
    <t>HONAUT</t>
  </si>
  <si>
    <t>YUKEN</t>
  </si>
  <si>
    <t>SOTL</t>
  </si>
  <si>
    <t>NUVAMA</t>
  </si>
  <si>
    <t>MEDIASSIST</t>
  </si>
  <si>
    <t>HAL</t>
  </si>
  <si>
    <t>DSSL</t>
  </si>
  <si>
    <t>TAJGVK</t>
  </si>
  <si>
    <t>TRIL</t>
  </si>
  <si>
    <t>SCHNEIDER</t>
  </si>
  <si>
    <t>SKIPPER</t>
  </si>
  <si>
    <t>AEGISCHEM</t>
  </si>
  <si>
    <t>TIL</t>
  </si>
  <si>
    <t>KRYSTAL</t>
  </si>
  <si>
    <t>HINDZINC</t>
  </si>
  <si>
    <t>KIRLOSIND</t>
  </si>
  <si>
    <t>INDHOTEL</t>
  </si>
  <si>
    <t>ABCAPITAL</t>
  </si>
  <si>
    <t>JSFB</t>
  </si>
  <si>
    <t>SUNDARMHLD</t>
  </si>
  <si>
    <t>AAVAS</t>
  </si>
  <si>
    <t>CANBK</t>
  </si>
  <si>
    <t>SPARC</t>
  </si>
  <si>
    <t>PSB</t>
  </si>
  <si>
    <t>SUPRIYA</t>
  </si>
  <si>
    <t>IMAGICAA</t>
  </si>
  <si>
    <t>NCC</t>
  </si>
  <si>
    <t>M&amp;M</t>
  </si>
  <si>
    <t>GRAPHITE</t>
  </si>
  <si>
    <t>INDOSTAR</t>
  </si>
  <si>
    <t>CUPID</t>
  </si>
  <si>
    <t>IOB</t>
  </si>
  <si>
    <t>BFUTILITIE</t>
  </si>
  <si>
    <t>PNB</t>
  </si>
  <si>
    <t>UCOBANK</t>
  </si>
  <si>
    <t>REDINGTON</t>
  </si>
  <si>
    <t>BLUESTARCO</t>
  </si>
  <si>
    <t>HAVELLS</t>
  </si>
  <si>
    <t>KPIL</t>
  </si>
  <si>
    <t>SCILAL</t>
  </si>
  <si>
    <t>BHAGCHEM</t>
  </si>
  <si>
    <t>SMLISUZU</t>
  </si>
  <si>
    <t>GET&amp;D</t>
  </si>
  <si>
    <t>UNICHEMLAB</t>
  </si>
  <si>
    <t>MEDPLUS</t>
  </si>
  <si>
    <t>INGERRAND</t>
  </si>
  <si>
    <t>BHARTIHEXA</t>
  </si>
  <si>
    <t>CENTUM</t>
  </si>
  <si>
    <t>ADFFOODS</t>
  </si>
  <si>
    <t>LINDEINDIA</t>
  </si>
  <si>
    <t>PLATIND</t>
  </si>
  <si>
    <t>ANUP</t>
  </si>
  <si>
    <t>POLYCAB</t>
  </si>
  <si>
    <t>CGPOWER</t>
  </si>
  <si>
    <t>ASAHIINDIA</t>
  </si>
  <si>
    <t>KPRMILL</t>
  </si>
  <si>
    <t>MRPL</t>
  </si>
  <si>
    <t>ASHOKLEY</t>
  </si>
  <si>
    <t>CUMMINSIND</t>
  </si>
  <si>
    <t>FINPIPE</t>
  </si>
  <si>
    <t>CARBORUNIV</t>
  </si>
  <si>
    <t>MANKIND</t>
  </si>
  <si>
    <t>HGINFRA</t>
  </si>
  <si>
    <t>ARVSMART</t>
  </si>
  <si>
    <t>IRCTC</t>
  </si>
  <si>
    <t>MAHABANK</t>
  </si>
  <si>
    <t>PNCINFRA</t>
  </si>
  <si>
    <t>BALKRISIND</t>
  </si>
  <si>
    <t>FIVESTAR</t>
  </si>
  <si>
    <t>RAINBOW</t>
  </si>
  <si>
    <t>AUBANK</t>
  </si>
  <si>
    <t>ORIENTHOT</t>
  </si>
  <si>
    <t>APLAPOLLO</t>
  </si>
  <si>
    <t>INFOBEAN</t>
  </si>
  <si>
    <t>SKFINDIA</t>
  </si>
  <si>
    <t>VIJAYA</t>
  </si>
  <si>
    <t>ENDURANCE</t>
  </si>
  <si>
    <t>UPL</t>
  </si>
  <si>
    <t>DYCL</t>
  </si>
  <si>
    <t>POLYMED</t>
  </si>
  <si>
    <t>HAPPSTMNDS</t>
  </si>
  <si>
    <t>SYMPHONY</t>
  </si>
  <si>
    <t>VSSL</t>
  </si>
  <si>
    <t>KIRLPNU</t>
  </si>
  <si>
    <t>MAYURUNIQ</t>
  </si>
  <si>
    <t>AHLUCONT</t>
  </si>
  <si>
    <t>OBEROIRLTY</t>
  </si>
  <si>
    <t>BECTORFOOD</t>
  </si>
  <si>
    <t>HARSHA</t>
  </si>
  <si>
    <t>KEI</t>
  </si>
  <si>
    <t>AZAD</t>
  </si>
  <si>
    <t>SOMANYCERA</t>
  </si>
  <si>
    <t>ASTRAMICRO</t>
  </si>
  <si>
    <t>WELENT</t>
  </si>
  <si>
    <t>EDELWEISS</t>
  </si>
  <si>
    <t>BHARATRAS</t>
  </si>
  <si>
    <t>MAITHANALL</t>
  </si>
  <si>
    <t>ELECON</t>
  </si>
  <si>
    <t>FMGOETZE</t>
  </si>
  <si>
    <t>UGROCAP</t>
  </si>
  <si>
    <t>VISHNU</t>
  </si>
  <si>
    <t>NMDC</t>
  </si>
  <si>
    <t>IFGLEXPOR</t>
  </si>
  <si>
    <t>TCNSBRANDS</t>
  </si>
  <si>
    <t>CONCOR</t>
  </si>
  <si>
    <t>NATIONALUM</t>
  </si>
  <si>
    <t>TIIL</t>
  </si>
  <si>
    <t>BRIGADE</t>
  </si>
  <si>
    <t>MOIL</t>
  </si>
  <si>
    <t>RHIM</t>
  </si>
  <si>
    <t>CHEMPLASTS</t>
  </si>
  <si>
    <t>KSB</t>
  </si>
  <si>
    <t>SWARAJENG</t>
  </si>
  <si>
    <t>TI</t>
  </si>
  <si>
    <t>SAFARI</t>
  </si>
  <si>
    <t>ORIENTELEC</t>
  </si>
  <si>
    <t>AWL</t>
  </si>
  <si>
    <t>NACLIND</t>
  </si>
  <si>
    <t>SUMICHEM</t>
  </si>
  <si>
    <t>ABFRL</t>
  </si>
  <si>
    <t>FINCABLES</t>
  </si>
  <si>
    <t>HIRECT</t>
  </si>
  <si>
    <t>MOTHERSON</t>
  </si>
  <si>
    <t>GREENLAM</t>
  </si>
  <si>
    <t>NAM-INDIA</t>
  </si>
  <si>
    <t>DREAMFOLKS</t>
  </si>
  <si>
    <t>BLUEDART</t>
  </si>
  <si>
    <t>AXISBANK</t>
  </si>
  <si>
    <t>PTC</t>
  </si>
  <si>
    <t>SOBHA</t>
  </si>
  <si>
    <t>INDOTECH</t>
  </si>
  <si>
    <t>JITFINFRA</t>
  </si>
  <si>
    <t>CENTENKA</t>
  </si>
  <si>
    <t>USHAMART</t>
  </si>
  <si>
    <t>DOMS</t>
  </si>
  <si>
    <t>E2E</t>
  </si>
  <si>
    <t>PUNJABCHEM</t>
  </si>
  <si>
    <t>EXICOM</t>
  </si>
  <si>
    <t>NETWEB</t>
  </si>
  <si>
    <t>NHPC</t>
  </si>
  <si>
    <t>DBOL</t>
  </si>
  <si>
    <t>AADHARHFC</t>
  </si>
  <si>
    <t>TBOTEK</t>
  </si>
  <si>
    <t>CHOICEIN</t>
  </si>
  <si>
    <t>GPIL</t>
  </si>
  <si>
    <t>HINDUNILVR</t>
  </si>
  <si>
    <t>SANOFI</t>
  </si>
  <si>
    <t>REDTAPE</t>
  </si>
  <si>
    <t>MARICO</t>
  </si>
  <si>
    <t>MCDOWELL-N</t>
  </si>
  <si>
    <t>UBL</t>
  </si>
  <si>
    <t>RESPONIND</t>
  </si>
  <si>
    <t>TVSHLTD</t>
  </si>
  <si>
    <t>GODIGIT</t>
  </si>
  <si>
    <t>ARMANFIN</t>
  </si>
  <si>
    <t>PRESTIGE</t>
  </si>
  <si>
    <t>EXIDEIND</t>
  </si>
  <si>
    <t>DALMIASUG</t>
  </si>
  <si>
    <t>JISLJALEQS</t>
  </si>
  <si>
    <t>MANYAVAR</t>
  </si>
  <si>
    <t>PENIND</t>
  </si>
  <si>
    <t>NILKAMAL</t>
  </si>
  <si>
    <t>IIFLSEC</t>
  </si>
  <si>
    <t>ASHOKA</t>
  </si>
  <si>
    <t>SMCGLOBAL</t>
  </si>
  <si>
    <t>DHAMPURSUG</t>
  </si>
  <si>
    <t>MSUMI</t>
  </si>
  <si>
    <t>ASHIANA</t>
  </si>
  <si>
    <t>TEJASNET</t>
  </si>
  <si>
    <t>ROSSARI</t>
  </si>
  <si>
    <t>LIKHITHA</t>
  </si>
  <si>
    <t>NDTV</t>
  </si>
  <si>
    <t>DBCORP</t>
  </si>
  <si>
    <t>JUSTDIAL</t>
  </si>
  <si>
    <t>HCG</t>
  </si>
  <si>
    <t>ESCORTS</t>
  </si>
  <si>
    <t>SUPREMEIND</t>
  </si>
  <si>
    <t>SANGHIIND</t>
  </si>
  <si>
    <t>BAJEL</t>
  </si>
  <si>
    <t>ASHAPURMIN</t>
  </si>
  <si>
    <t>JWL</t>
  </si>
  <si>
    <t>EXCELINDUS</t>
  </si>
  <si>
    <t>PENINLAND</t>
  </si>
  <si>
    <t>RAMRAT</t>
  </si>
  <si>
    <t>ELDEHSG</t>
  </si>
  <si>
    <t>SCI</t>
  </si>
  <si>
    <t>DCMSRIND</t>
  </si>
  <si>
    <t>ALLSEC</t>
  </si>
  <si>
    <t>TITAGARH</t>
  </si>
  <si>
    <t>CROMPTON</t>
  </si>
  <si>
    <t>BHARATFORG</t>
  </si>
  <si>
    <t>TIMKEN</t>
  </si>
  <si>
    <t>ACLGATI</t>
  </si>
  <si>
    <t>DIACABS</t>
  </si>
  <si>
    <t>IRCON</t>
  </si>
  <si>
    <t>Ticker</t>
  </si>
  <si>
    <t>Start date</t>
  </si>
  <si>
    <t>End date</t>
  </si>
  <si>
    <t>%profit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</si>
</sst>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-mmm-yy"/>
    <numFmt numFmtId="165" formatCode="d-mmm-yy"/>
    <numFmt numFmtId="166" formatCode="mm-dd-yyyy"/>
    <numFmt numFmtId="167" formatCode="d&quot;-&quot;mmm&quot;-&quot;yyyy"/>
    <numFmt numFmtId="168" formatCode="M/d/yyyy"/>
    <numFmt numFmtId="169" formatCode="d-mmmm-yy"/>
    <numFmt numFmtId="170" formatCode="m/d/yyyy h:mm:ss"/>
  </numFmts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0.0"/>
      <color theme="1"/>
      <name val="Arial"/>
    </font>
    <font/>
    <font>
      <b/>
      <sz val="11.0"/>
      <color rgb="FF000000"/>
      <name val="Calibri"/>
    </font>
    <font>
      <b/>
      <sz val="10.0"/>
      <color theme="1"/>
      <name val="Arial"/>
    </font>
    <font>
      <sz val="11.0"/>
      <color rgb="FF000000"/>
      <name val="Calibri"/>
    </font>
    <font>
      <sz val="12.0"/>
      <color rgb="FF198639"/>
      <name val="Monospace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1" fillId="0" fontId="1" numFmtId="0" xfId="0" applyBorder="1" applyFont="1"/>
    <xf borderId="1" fillId="0" fontId="1" numFmtId="3" xfId="0" applyBorder="1" applyFont="1" applyNumberFormat="1"/>
    <xf borderId="1" fillId="2" fontId="2" numFmtId="0" xfId="0" applyBorder="1" applyFill="1" applyFont="1"/>
    <xf borderId="1" fillId="2" fontId="2" numFmtId="10" xfId="0" applyBorder="1" applyFont="1" applyNumberFormat="1"/>
    <xf borderId="2" fillId="0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horizontal="center"/>
    </xf>
    <xf borderId="0" fillId="0" fontId="5" numFmtId="0" xfId="0" applyFont="1"/>
    <xf borderId="0" fillId="3" fontId="5" numFmtId="0" xfId="0" applyFill="1" applyFont="1"/>
    <xf borderId="5" fillId="0" fontId="6" numFmtId="9" xfId="0" applyAlignment="1" applyBorder="1" applyFont="1" applyNumberFormat="1">
      <alignment horizontal="right"/>
    </xf>
    <xf borderId="6" fillId="0" fontId="6" numFmtId="9" xfId="0" applyAlignment="1" applyBorder="1" applyFont="1" applyNumberFormat="1">
      <alignment horizontal="right"/>
    </xf>
    <xf borderId="0" fillId="0" fontId="3" numFmtId="9" xfId="0" applyAlignment="1" applyFont="1" applyNumberFormat="1">
      <alignment horizontal="right"/>
    </xf>
    <xf borderId="0" fillId="0" fontId="7" numFmtId="164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3" fontId="7" numFmtId="0" xfId="0" applyFont="1"/>
    <xf borderId="0" fillId="0" fontId="3" numFmtId="3" xfId="0" applyAlignment="1" applyFont="1" applyNumberFormat="1">
      <alignment horizontal="center"/>
    </xf>
    <xf borderId="0" fillId="0" fontId="7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/>
    </xf>
    <xf borderId="0" fillId="0" fontId="7" numFmtId="0" xfId="0" applyAlignment="1" applyFont="1">
      <alignment shrinkToFit="0" vertical="bottom" wrapText="0"/>
    </xf>
    <xf borderId="0" fillId="0" fontId="7" numFmtId="166" xfId="0" applyAlignment="1" applyFont="1" applyNumberFormat="1">
      <alignment horizontal="right" readingOrder="0" shrinkToFit="0" vertical="bottom" wrapText="0"/>
    </xf>
    <xf borderId="0" fillId="0" fontId="7" numFmtId="167" xfId="0" applyAlignment="1" applyFont="1" applyNumberFormat="1">
      <alignment horizontal="right" readingOrder="0" shrinkToFit="0" vertical="bottom" wrapText="0"/>
    </xf>
    <xf borderId="0" fillId="3" fontId="1" numFmtId="0" xfId="0" applyAlignment="1" applyFont="1">
      <alignment horizontal="center"/>
    </xf>
    <xf borderId="0" fillId="0" fontId="7" numFmtId="167" xfId="0" applyAlignment="1" applyFont="1" applyNumberFormat="1">
      <alignment horizontal="right" readingOrder="0" shrinkToFit="0" vertical="bottom" wrapText="0"/>
    </xf>
    <xf borderId="0" fillId="0" fontId="7" numFmtId="168" xfId="0" applyAlignment="1" applyFont="1" applyNumberFormat="1">
      <alignment horizontal="right" readingOrder="0" shrinkToFit="0" vertical="bottom" wrapText="0"/>
    </xf>
    <xf borderId="0" fillId="0" fontId="7" numFmtId="169" xfId="0" applyAlignment="1" applyFont="1" applyNumberFormat="1">
      <alignment horizontal="right" readingOrder="0" shrinkToFit="0" vertical="bottom" wrapText="0"/>
    </xf>
    <xf borderId="0" fillId="0" fontId="7" numFmtId="168" xfId="0" applyAlignment="1" applyFont="1" applyNumberFormat="1">
      <alignment horizontal="right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Font="1"/>
    <xf borderId="0" fillId="4" fontId="5" numFmtId="0" xfId="0" applyFill="1" applyFont="1"/>
    <xf borderId="0" fillId="0" fontId="6" numFmtId="167" xfId="0" applyFont="1" applyNumberFormat="1"/>
    <xf borderId="0" fillId="0" fontId="3" numFmtId="167" xfId="0" applyFont="1" applyNumberFormat="1"/>
    <xf borderId="0" fillId="0" fontId="1" numFmtId="4" xfId="0" applyFont="1" applyNumberFormat="1"/>
    <xf borderId="0" fillId="0" fontId="1" numFmtId="167" xfId="0" applyFont="1" applyNumberFormat="1"/>
    <xf borderId="0" fillId="4" fontId="6" numFmtId="167" xfId="0" applyFont="1" applyNumberFormat="1"/>
    <xf borderId="7" fillId="5" fontId="8" numFmtId="0" xfId="0" applyAlignment="1" applyBorder="1" applyFill="1" applyFont="1">
      <alignment horizontal="left"/>
    </xf>
    <xf borderId="0" fillId="0" fontId="6" numFmtId="0" xfId="0" applyFont="1"/>
    <xf borderId="0" fillId="4" fontId="3" numFmtId="167" xfId="0" applyFont="1" applyNumberFormat="1"/>
    <xf borderId="7" fillId="4" fontId="8" numFmtId="0" xfId="0" applyAlignment="1" applyBorder="1" applyFont="1">
      <alignment horizontal="left"/>
    </xf>
    <xf borderId="0" fillId="0" fontId="3" numFmtId="0" xfId="0" applyFont="1"/>
    <xf borderId="0" fillId="0" fontId="3" numFmtId="10" xfId="0" applyFont="1" applyNumberFormat="1"/>
    <xf borderId="0" fillId="0" fontId="3" numFmtId="4" xfId="0" applyFont="1" applyNumberFormat="1"/>
    <xf borderId="0" fillId="0" fontId="9" numFmtId="0" xfId="0" applyFont="1"/>
    <xf borderId="0" fillId="0" fontId="3" numFmtId="170" xfId="0" applyFont="1" applyNumberFormat="1"/>
    <xf borderId="0" fillId="0" fontId="9" numFmtId="170" xfId="0" applyFont="1" applyNumberFormat="1"/>
    <xf borderId="0" fillId="0" fontId="3" numFmtId="167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3" numFmtId="170" xfId="0" applyAlignment="1" applyFont="1" applyNumberFormat="1">
      <alignment horizontal="right"/>
    </xf>
    <xf borderId="0" fillId="4" fontId="9" numFmtId="170" xfId="0" applyFont="1" applyNumberFormat="1"/>
    <xf borderId="0" fillId="0" fontId="1" numFmtId="170" xfId="0" applyFont="1" applyNumberFormat="1"/>
    <xf borderId="0" fillId="4" fontId="9" numFmtId="0" xfId="0" applyFont="1"/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1"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4" width="12.63"/>
    <col customWidth="1" min="5" max="5" width="15.5"/>
    <col customWidth="1" min="6" max="6" width="12.63"/>
  </cols>
  <sheetData>
    <row r="1" ht="60.75" hidden="1" customHeight="1">
      <c r="A1" s="1" t="s">
        <v>0</v>
      </c>
      <c r="I1" s="2" t="s">
        <v>1</v>
      </c>
      <c r="J1" s="3"/>
      <c r="K1" s="3"/>
      <c r="L1" s="3"/>
    </row>
    <row r="2" ht="110.25" hidden="1" customHeight="1">
      <c r="A2" s="4" t="s">
        <v>2</v>
      </c>
      <c r="I2" s="3"/>
      <c r="J2" s="3"/>
      <c r="K2" s="3"/>
      <c r="L2" s="3"/>
    </row>
    <row r="3" ht="15.75" customHeight="1">
      <c r="E3" s="5"/>
    </row>
    <row r="4" ht="15.75" customHeight="1">
      <c r="E4" s="6" t="s">
        <v>3</v>
      </c>
      <c r="F4" s="7">
        <f t="shared" ref="F4:J4" si="1">MIN(F9:F2658)</f>
        <v>1</v>
      </c>
      <c r="G4" s="7">
        <f t="shared" si="1"/>
        <v>1</v>
      </c>
      <c r="H4" s="7">
        <f t="shared" si="1"/>
        <v>1</v>
      </c>
      <c r="I4" s="7">
        <f t="shared" si="1"/>
        <v>2</v>
      </c>
      <c r="J4" s="7">
        <f t="shared" si="1"/>
        <v>4</v>
      </c>
    </row>
    <row r="5" ht="15.75" customHeight="1">
      <c r="E5" s="6" t="s">
        <v>4</v>
      </c>
      <c r="F5" s="7">
        <f t="shared" ref="F5:J5" si="2">MAX(F9:F2658)</f>
        <v>35</v>
      </c>
      <c r="G5" s="7">
        <f t="shared" si="2"/>
        <v>35</v>
      </c>
      <c r="H5" s="7">
        <f t="shared" si="2"/>
        <v>37</v>
      </c>
      <c r="I5" s="7">
        <f t="shared" si="2"/>
        <v>35</v>
      </c>
      <c r="J5" s="7">
        <f t="shared" si="2"/>
        <v>39</v>
      </c>
    </row>
    <row r="6" ht="15.75" customHeight="1">
      <c r="E6" s="8" t="s">
        <v>5</v>
      </c>
      <c r="F6" s="9">
        <f t="shared" ref="F6:J6" si="3">COUNT(F9:F108)/COUNTA(F9:F108)</f>
        <v>0.77</v>
      </c>
      <c r="G6" s="9">
        <f t="shared" si="3"/>
        <v>0.67</v>
      </c>
      <c r="H6" s="9">
        <f t="shared" si="3"/>
        <v>0.52</v>
      </c>
      <c r="I6" s="9">
        <f t="shared" si="3"/>
        <v>0.42</v>
      </c>
      <c r="J6" s="9">
        <f t="shared" si="3"/>
        <v>0.37</v>
      </c>
    </row>
    <row r="7" ht="15.75" customHeight="1">
      <c r="F7" s="10" t="s">
        <v>6</v>
      </c>
      <c r="G7" s="11"/>
      <c r="H7" s="11"/>
      <c r="I7" s="11"/>
      <c r="J7" s="12"/>
      <c r="K7" s="13"/>
      <c r="L7" s="13"/>
    </row>
    <row r="8" ht="15.75" customHeight="1">
      <c r="A8" s="14" t="s">
        <v>7</v>
      </c>
      <c r="B8" s="14" t="s">
        <v>8</v>
      </c>
      <c r="C8" s="14" t="s">
        <v>9</v>
      </c>
      <c r="D8" s="14" t="s">
        <v>10</v>
      </c>
      <c r="E8" s="15" t="s">
        <v>11</v>
      </c>
      <c r="F8" s="16">
        <v>0.05</v>
      </c>
      <c r="G8" s="17">
        <v>0.1</v>
      </c>
      <c r="H8" s="17">
        <v>0.15</v>
      </c>
      <c r="I8" s="17">
        <v>0.2</v>
      </c>
      <c r="J8" s="17">
        <v>0.25</v>
      </c>
      <c r="K8" s="18"/>
      <c r="L8" s="18"/>
    </row>
    <row r="9" ht="15.75" customHeight="1">
      <c r="A9" s="19">
        <v>45286.0</v>
      </c>
      <c r="B9" s="20" t="s">
        <v>12</v>
      </c>
      <c r="C9" s="20" t="s">
        <v>13</v>
      </c>
      <c r="D9" s="20" t="s">
        <v>14</v>
      </c>
      <c r="E9" s="21" t="str">
        <f t="shared" ref="E9:E2658" si="4">CONCAT("NSE:",B9)</f>
        <v>NSE:LAURUSLABS</v>
      </c>
      <c r="F9" s="22" t="str">
        <f t="array" ref="F9">IFERROR(MATCH(TRUE,Data!C8:C208&gt;=0.05,0),"Failed")</f>
        <v>Failed</v>
      </c>
      <c r="G9" s="22" t="str">
        <f t="array" ref="G9">IFERROR(MATCH(TRUE,Data!C8:C208&gt;=0.1,0),"Failed")</f>
        <v>Failed</v>
      </c>
      <c r="H9" s="22" t="str">
        <f t="array" ref="H9">IFERROR(MATCH(TRUE,Data!C8:C208&gt;=0.15,0),"Failed")</f>
        <v>Failed</v>
      </c>
      <c r="I9" s="22" t="str">
        <f t="array" ref="I9">IFERROR(MATCH(TRUE,Data!C8:C208&gt;=0.2,0),"Failed")</f>
        <v>Failed</v>
      </c>
      <c r="J9" s="22" t="str">
        <f t="array" ref="J9">IFERROR(MATCH(TRUE,Data!C8:C208&gt;=0.25,0),"Failed")</f>
        <v>Failed</v>
      </c>
      <c r="K9" s="22"/>
      <c r="L9" s="22"/>
    </row>
    <row r="10" ht="15.75" customHeight="1">
      <c r="A10" s="19">
        <v>45286.0</v>
      </c>
      <c r="B10" s="20" t="s">
        <v>15</v>
      </c>
      <c r="C10" s="20" t="s">
        <v>16</v>
      </c>
      <c r="D10" s="20" t="s">
        <v>17</v>
      </c>
      <c r="E10" s="21" t="str">
        <f t="shared" si="4"/>
        <v>NSE:BANCOINDIA</v>
      </c>
      <c r="F10" s="22">
        <f t="array" ref="F10">IFERROR(MATCH(TRUE,Data!G8:G208&gt;=0.05,0),"Failed")</f>
        <v>10</v>
      </c>
      <c r="G10" s="22">
        <f t="array" ref="G10">IFERROR(MATCH(TRUE,Data!G8:G208&gt;=0.1,0),"Failed")</f>
        <v>22</v>
      </c>
      <c r="H10" s="22" t="str">
        <f t="array" ref="H10">IFERROR(MATCH(TRUE,Data!G8:G208&gt;=0.15,0),"Failed")</f>
        <v>Failed</v>
      </c>
      <c r="I10" s="22" t="str">
        <f t="array" ref="I10">IFERROR(MATCH(TRUE,Data!G8:G208&gt;=0.2,0),"Failed")</f>
        <v>Failed</v>
      </c>
      <c r="J10" s="22" t="str">
        <f t="array" ref="J10">IFERROR(MATCH(TRUE,Data!G8:G208&gt;=0.25,0),"Failed")</f>
        <v>Failed</v>
      </c>
      <c r="K10" s="22"/>
      <c r="L10" s="22"/>
    </row>
    <row r="11" ht="15.75" customHeight="1">
      <c r="A11" s="19">
        <v>45286.0</v>
      </c>
      <c r="B11" s="20" t="s">
        <v>18</v>
      </c>
      <c r="C11" s="20" t="s">
        <v>13</v>
      </c>
      <c r="D11" s="20" t="s">
        <v>19</v>
      </c>
      <c r="E11" s="21" t="str">
        <f t="shared" si="4"/>
        <v>NSE:BEL</v>
      </c>
      <c r="F11" s="22">
        <f t="array" ref="F11">IFERROR(MATCH(TRUE,Data!K8:K208&gt;=0.05,0),"Failed")</f>
        <v>18</v>
      </c>
      <c r="G11" s="22" t="str">
        <f t="array" ref="G11">IFERROR(MATCH(TRUE,Data!K8:K208&gt;=0.1,0),"Failed")</f>
        <v>Failed</v>
      </c>
      <c r="H11" s="22" t="str">
        <f t="array" ref="H11">IFERROR(MATCH(TRUE,Data!K8:K208&gt;=0.15,0),"Failed")</f>
        <v>Failed</v>
      </c>
      <c r="I11" s="22" t="str">
        <f t="array" ref="I11">IFERROR(MATCH(TRUE,Data!K8:K208&gt;=0.2,0),"Failed")</f>
        <v>Failed</v>
      </c>
      <c r="J11" s="22" t="str">
        <f t="array" ref="J11">IFERROR(MATCH(TRUE,Data!K8:K208&gt;=0.25,0),"Failed")</f>
        <v>Failed</v>
      </c>
      <c r="K11" s="22"/>
      <c r="L11" s="22"/>
    </row>
    <row r="12" ht="15.75" customHeight="1">
      <c r="A12" s="19">
        <v>45286.0</v>
      </c>
      <c r="B12" s="20" t="s">
        <v>20</v>
      </c>
      <c r="C12" s="20" t="s">
        <v>21</v>
      </c>
      <c r="D12" s="20" t="s">
        <v>22</v>
      </c>
      <c r="E12" s="21" t="str">
        <f t="shared" si="4"/>
        <v>NSE:HFCL</v>
      </c>
      <c r="F12" s="22">
        <f t="array" ref="F12">IFERROR(MATCH(TRUE,Data!O8:O208&gt;=0.05,0),"Failed")</f>
        <v>7</v>
      </c>
      <c r="G12" s="22">
        <f t="array" ref="G12">IFERROR(MATCH(TRUE,Data!O8:O208&gt;=0.1,0),"Failed")</f>
        <v>19</v>
      </c>
      <c r="H12" s="22">
        <f t="array" ref="H12">IFERROR(MATCH(TRUE,Data!O8:O208&gt;=0.15,0),"Failed")</f>
        <v>19</v>
      </c>
      <c r="I12" s="22">
        <f t="array" ref="I12">IFERROR(MATCH(TRUE,Data!O8:O208&gt;=0.2,0),"Failed")</f>
        <v>19</v>
      </c>
      <c r="J12" s="22">
        <f t="array" ref="J12">IFERROR(MATCH(TRUE,Data!O8:O208&gt;=0.25,0),"Failed")</f>
        <v>21</v>
      </c>
      <c r="K12" s="22"/>
      <c r="L12" s="22"/>
    </row>
    <row r="13" ht="15.75" customHeight="1">
      <c r="A13" s="19">
        <v>45286.0</v>
      </c>
      <c r="B13" s="20" t="s">
        <v>23</v>
      </c>
      <c r="C13" s="20" t="s">
        <v>16</v>
      </c>
      <c r="D13" s="20" t="s">
        <v>14</v>
      </c>
      <c r="E13" s="21" t="str">
        <f t="shared" si="4"/>
        <v>NSE:MOREPENLAB</v>
      </c>
      <c r="F13" s="22">
        <f t="array" ref="F13">IFERROR(MATCH(TRUE,Data!S8:S208&gt;=0.05,0),"Failed")</f>
        <v>26</v>
      </c>
      <c r="G13" s="22" t="str">
        <f t="array" ref="G13">IFERROR(MATCH(TRUE,Data!S8:S208&gt;=0.1,0),"Failed")</f>
        <v>Failed</v>
      </c>
      <c r="H13" s="22" t="str">
        <f t="array" ref="H13">IFERROR(MATCH(TRUE,Data!S8:S208&gt;=0.15,0),"Failed")</f>
        <v>Failed</v>
      </c>
      <c r="I13" s="22" t="str">
        <f t="array" ref="I13">IFERROR(MATCH(TRUE,Data!S8:S208&gt;=0.2,0),"Failed")</f>
        <v>Failed</v>
      </c>
      <c r="J13" s="22" t="str">
        <f t="array" ref="J13">IFERROR(MATCH(TRUE,Data!S8:S208&gt;=0.25,0),"Failed")</f>
        <v>Failed</v>
      </c>
      <c r="K13" s="22"/>
      <c r="L13" s="22"/>
    </row>
    <row r="14" ht="15.75" customHeight="1">
      <c r="A14" s="23">
        <v>45286.0</v>
      </c>
      <c r="B14" s="20" t="s">
        <v>24</v>
      </c>
      <c r="C14" s="20" t="s">
        <v>21</v>
      </c>
      <c r="D14" s="20" t="s">
        <v>25</v>
      </c>
      <c r="E14" s="21" t="str">
        <f t="shared" si="4"/>
        <v>NSE:SURYAROSNI</v>
      </c>
      <c r="F14" s="22">
        <f t="array" ref="F14">IFERROR(MATCH(TRUE,Data!W8:W208&gt;=0.05,0),"Failed")</f>
        <v>3</v>
      </c>
      <c r="G14" s="22">
        <f t="array" ref="G14">IFERROR(MATCH(TRUE,Data!W8:W208&gt;=0.1,0),"Failed")</f>
        <v>3</v>
      </c>
      <c r="H14" s="22">
        <f t="array" ref="H14">IFERROR(MATCH(TRUE,Data!W8:W208&gt;=0.15,0),"Failed")</f>
        <v>3</v>
      </c>
      <c r="I14" s="22">
        <f t="array" ref="I14">IFERROR(MATCH(TRUE,Data!W8:W208&gt;=0.2,0),"Failed")</f>
        <v>4</v>
      </c>
      <c r="J14" s="22">
        <f t="array" ref="J14">IFERROR(MATCH(TRUE,Data!W8:W208&gt;=0.25,0),"Failed")</f>
        <v>4</v>
      </c>
      <c r="K14" s="22"/>
      <c r="L14" s="22"/>
    </row>
    <row r="15" ht="15.75" customHeight="1">
      <c r="A15" s="23">
        <v>45286.0</v>
      </c>
      <c r="B15" s="20" t="s">
        <v>26</v>
      </c>
      <c r="C15" s="20" t="s">
        <v>13</v>
      </c>
      <c r="D15" s="20" t="s">
        <v>27</v>
      </c>
      <c r="E15" s="21" t="str">
        <f t="shared" si="4"/>
        <v>NSE:CASTROLIND</v>
      </c>
      <c r="F15" s="24">
        <f t="array" ref="F15">IFERROR(MATCH(TRUE,Data!AA8:AA208&gt;=0.05,0),"Failed")</f>
        <v>4</v>
      </c>
      <c r="G15" s="24">
        <f t="array" ref="G15">IFERROR(MATCH(TRUE,Data!AA8:AA208&gt;=0.1,0),"Failed")</f>
        <v>26</v>
      </c>
      <c r="H15" s="24">
        <f t="array" ref="H15">IFERROR(MATCH(TRUE,Data!AA8:AA208&gt;=0.15,0),"Failed")</f>
        <v>36</v>
      </c>
      <c r="I15" s="24" t="str">
        <f t="array" ref="I15">IFERROR(MATCH(TRUE,Data!AA8:AA208&gt;=0.2,0),"Failed")</f>
        <v>Failed</v>
      </c>
      <c r="J15" s="24" t="str">
        <f t="array" ref="J15">IFERROR(MATCH(TRUE,Data!AA8:AA208&gt;=0.25,0),"Failed")</f>
        <v>Failed</v>
      </c>
      <c r="K15" s="24"/>
      <c r="L15" s="24"/>
    </row>
    <row r="16" ht="15.75" customHeight="1">
      <c r="A16" s="23">
        <v>45286.0</v>
      </c>
      <c r="B16" s="20" t="s">
        <v>28</v>
      </c>
      <c r="C16" s="20" t="s">
        <v>21</v>
      </c>
      <c r="D16" s="20" t="s">
        <v>29</v>
      </c>
      <c r="E16" s="21" t="str">
        <f t="shared" si="4"/>
        <v>NSE:BBL</v>
      </c>
      <c r="F16" s="24">
        <f t="array" ref="F16">IFERROR(MATCH(TRUE,Data!AE8:AE208&gt;=0.05,0),"Failed")</f>
        <v>5</v>
      </c>
      <c r="G16" s="24">
        <f t="array" ref="G16">IFERROR(MATCH(TRUE,Data!AE8:AE208&gt;=0.1,0),"Failed")</f>
        <v>13</v>
      </c>
      <c r="H16" s="24">
        <f t="array" ref="H16">IFERROR(MATCH(TRUE,Data!AE8:AE208&gt;=0.15,0),"Failed")</f>
        <v>29</v>
      </c>
      <c r="I16" s="24">
        <f t="array" ref="I16">IFERROR(MATCH(TRUE,Data!AE8:AE208&gt;=0.2,0),"Failed")</f>
        <v>29</v>
      </c>
      <c r="J16" s="24">
        <f t="array" ref="J16">IFERROR(MATCH(TRUE,Data!AE8:AE208&gt;=0.25,0),"Failed")</f>
        <v>30</v>
      </c>
      <c r="K16" s="24"/>
      <c r="L16" s="24"/>
    </row>
    <row r="17" ht="15.75" customHeight="1">
      <c r="A17" s="23">
        <v>45286.0</v>
      </c>
      <c r="B17" s="20" t="s">
        <v>30</v>
      </c>
      <c r="C17" s="20" t="s">
        <v>16</v>
      </c>
      <c r="D17" s="20" t="s">
        <v>31</v>
      </c>
      <c r="E17" s="21" t="str">
        <f t="shared" si="4"/>
        <v>NSE:NIPPOBATRY</v>
      </c>
      <c r="F17" s="24" t="str">
        <f t="array" ref="F17">IFERROR(MATCH(TRUE,Data!AI8:AI208&gt;=0.05,0),"Failed")</f>
        <v>Failed</v>
      </c>
      <c r="G17" s="24" t="str">
        <f t="array" ref="G17">IFERROR(MATCH(TRUE,Data!AI8:AI208&gt;=0.1,0),"Failed")</f>
        <v>Failed</v>
      </c>
      <c r="H17" s="24" t="str">
        <f t="array" ref="H17">IFERROR(MATCH(TRUE,Data!AI8:AI208&gt;=0.15,0),"Failed")</f>
        <v>Failed</v>
      </c>
      <c r="I17" s="24" t="str">
        <f t="array" ref="I17">IFERROR(MATCH(TRUE,Data!AI8:AI208&gt;=0.2,0),"Failed")</f>
        <v>Failed</v>
      </c>
      <c r="J17" s="24" t="str">
        <f t="array" ref="J17">IFERROR(MATCH(TRUE,Data!AI8:AI208&gt;=0.25,0),"Failed")</f>
        <v>Failed</v>
      </c>
      <c r="K17" s="24"/>
      <c r="L17" s="24"/>
    </row>
    <row r="18" ht="15.75" customHeight="1">
      <c r="A18" s="23">
        <v>45286.0</v>
      </c>
      <c r="B18" s="20" t="s">
        <v>32</v>
      </c>
      <c r="C18" s="20" t="s">
        <v>16</v>
      </c>
      <c r="D18" s="20" t="s">
        <v>29</v>
      </c>
      <c r="E18" s="21" t="str">
        <f t="shared" si="4"/>
        <v>NSE:DYNAMATECH</v>
      </c>
      <c r="F18" s="24">
        <f t="array" ref="F18">IFERROR(MATCH(TRUE,Data!AM8:AM208&gt;=0.05,0),"Failed")</f>
        <v>10</v>
      </c>
      <c r="G18" s="24">
        <f t="array" ref="G18">IFERROR(MATCH(TRUE,Data!AM8:AM208&gt;=0.1,0),"Failed")</f>
        <v>17</v>
      </c>
      <c r="H18" s="24">
        <f t="array" ref="H18">IFERROR(MATCH(TRUE,Data!AM8:AM208&gt;=0.15,0),"Failed")</f>
        <v>18</v>
      </c>
      <c r="I18" s="24">
        <f t="array" ref="I18">IFERROR(MATCH(TRUE,Data!AM8:AM208&gt;=0.2,0),"Failed")</f>
        <v>19</v>
      </c>
      <c r="J18" s="24">
        <f t="array" ref="J18">IFERROR(MATCH(TRUE,Data!AM8:AM208&gt;=0.25,0),"Failed")</f>
        <v>19</v>
      </c>
      <c r="K18" s="24"/>
      <c r="L18" s="24"/>
    </row>
    <row r="19" ht="15.75" customHeight="1">
      <c r="A19" s="23">
        <v>45286.0</v>
      </c>
      <c r="B19" s="20" t="s">
        <v>33</v>
      </c>
      <c r="C19" s="20" t="s">
        <v>21</v>
      </c>
      <c r="D19" s="20" t="s">
        <v>22</v>
      </c>
      <c r="E19" s="21" t="str">
        <f t="shared" si="4"/>
        <v>NSE:NESCO</v>
      </c>
      <c r="F19" s="24" t="str">
        <f t="array" ref="F19">IFERROR(MATCH(TRUE,Data!AQ8:AQ208&gt;=0.05,0),"Failed")</f>
        <v>Failed</v>
      </c>
      <c r="G19" s="24" t="str">
        <f t="array" ref="G19">IFERROR(MATCH(TRUE,Data!AQ8:AQ208&gt;=0.1,0),"Failed")</f>
        <v>Failed</v>
      </c>
      <c r="H19" s="24" t="str">
        <f t="array" ref="H19">IFERROR(MATCH(TRUE,Data!AQ8:AQ208&gt;=0.15,0),"Failed")</f>
        <v>Failed</v>
      </c>
      <c r="I19" s="24" t="str">
        <f t="array" ref="I19">IFERROR(MATCH(TRUE,Data!AQ8:AQ208&gt;=0.2,0),"Failed")</f>
        <v>Failed</v>
      </c>
      <c r="J19" s="24" t="str">
        <f t="array" ref="J19">IFERROR(MATCH(TRUE,Data!AQ8:AQ208&gt;=0.25,0),"Failed")</f>
        <v>Failed</v>
      </c>
      <c r="K19" s="24"/>
      <c r="L19" s="24"/>
    </row>
    <row r="20" ht="15.75" customHeight="1">
      <c r="A20" s="23">
        <v>45286.0</v>
      </c>
      <c r="B20" s="20" t="s">
        <v>34</v>
      </c>
      <c r="C20" s="20" t="s">
        <v>13</v>
      </c>
      <c r="D20" s="20" t="s">
        <v>27</v>
      </c>
      <c r="E20" s="21" t="str">
        <f t="shared" si="4"/>
        <v>NSE:DEEPAKNTR</v>
      </c>
      <c r="F20" s="24" t="str">
        <f t="array" ref="F20">IFERROR(MATCH(TRUE,Data!AU8:AU208&gt;=0.05,0),"Failed")</f>
        <v>Failed</v>
      </c>
      <c r="G20" s="24" t="str">
        <f t="array" ref="G20">IFERROR(MATCH(TRUE,Data!AU8:AU208&gt;=0.1,0),"Failed")</f>
        <v>Failed</v>
      </c>
      <c r="H20" s="24" t="str">
        <f t="array" ref="H20">IFERROR(MATCH(TRUE,Data!AU8:AU208&gt;=0.15,0),"Failed")</f>
        <v>Failed</v>
      </c>
      <c r="I20" s="24" t="str">
        <f t="array" ref="I20">IFERROR(MATCH(TRUE,Data!AU8:AU208&gt;=0.2,0),"Failed")</f>
        <v>Failed</v>
      </c>
      <c r="J20" s="24" t="str">
        <f t="array" ref="J20">IFERROR(MATCH(TRUE,Data!AU8:AU208&gt;=0.25,0),"Failed")</f>
        <v>Failed</v>
      </c>
      <c r="K20" s="24"/>
      <c r="L20" s="24"/>
    </row>
    <row r="21" ht="15.75" customHeight="1">
      <c r="A21" s="23">
        <v>45286.0</v>
      </c>
      <c r="B21" s="20" t="s">
        <v>35</v>
      </c>
      <c r="C21" s="20" t="s">
        <v>21</v>
      </c>
      <c r="D21" s="20" t="s">
        <v>14</v>
      </c>
      <c r="E21" s="21" t="str">
        <f t="shared" si="4"/>
        <v>NSE:ASTRAZEN</v>
      </c>
      <c r="F21" s="24">
        <f t="array" ref="F21">IFERROR(MATCH(TRUE,Data!AY8:AY208&gt;=0.05,0),"Failed")</f>
        <v>11</v>
      </c>
      <c r="G21" s="24">
        <f t="array" ref="G21">IFERROR(MATCH(TRUE,Data!AY8:AY208&gt;=0.1,0),"Failed")</f>
        <v>11</v>
      </c>
      <c r="H21" s="24">
        <f t="array" ref="H21">IFERROR(MATCH(TRUE,Data!AY8:AY208&gt;=0.15,0),"Failed")</f>
        <v>11</v>
      </c>
      <c r="I21" s="24">
        <f t="array" ref="I21">IFERROR(MATCH(TRUE,Data!AY8:AY208&gt;=0.2,0),"Failed")</f>
        <v>24</v>
      </c>
      <c r="J21" s="24">
        <f t="array" ref="J21">IFERROR(MATCH(TRUE,Data!AY8:AY208&gt;=0.25,0),"Failed")</f>
        <v>28</v>
      </c>
      <c r="K21" s="24"/>
      <c r="L21" s="24"/>
    </row>
    <row r="22" ht="15.75" customHeight="1">
      <c r="A22" s="23">
        <v>45286.0</v>
      </c>
      <c r="B22" s="20" t="s">
        <v>36</v>
      </c>
      <c r="C22" s="20" t="s">
        <v>13</v>
      </c>
      <c r="D22" s="20" t="s">
        <v>37</v>
      </c>
      <c r="E22" s="21" t="str">
        <f t="shared" si="4"/>
        <v>NSE:WIPRO</v>
      </c>
      <c r="F22" s="24">
        <f t="array" ref="F22">IFERROR(MATCH(TRUE,Data!BC8:BC208&gt;=0.05,0),"Failed")</f>
        <v>14</v>
      </c>
      <c r="G22" s="24">
        <f t="array" ref="G22">IFERROR(MATCH(TRUE,Data!BC8:BC208&gt;=0.1,0),"Failed")</f>
        <v>14</v>
      </c>
      <c r="H22" s="24">
        <f t="array" ref="H22">IFERROR(MATCH(TRUE,Data!BC8:BC208&gt;=0.15,0),"Failed")</f>
        <v>36</v>
      </c>
      <c r="I22" s="24" t="str">
        <f t="array" ref="I22">IFERROR(MATCH(TRUE,Data!BC8:BC208&gt;=0.2,0),"Failed")</f>
        <v>Failed</v>
      </c>
      <c r="J22" s="24" t="str">
        <f t="array" ref="J22">IFERROR(MATCH(TRUE,Data!BC8:BC208&gt;=0.25,0),"Failed")</f>
        <v>Failed</v>
      </c>
      <c r="K22" s="24"/>
      <c r="L22" s="24"/>
    </row>
    <row r="23" ht="15.75" customHeight="1">
      <c r="A23" s="23">
        <v>45286.0</v>
      </c>
      <c r="B23" s="20" t="s">
        <v>38</v>
      </c>
      <c r="C23" s="20" t="s">
        <v>16</v>
      </c>
      <c r="D23" s="20" t="s">
        <v>39</v>
      </c>
      <c r="E23" s="21" t="str">
        <f t="shared" si="4"/>
        <v>NSE:STARTECK</v>
      </c>
      <c r="F23" s="24" t="str">
        <f t="array" ref="F23">IFERROR(MATCH(TRUE,Data!BG8:BG208&gt;=0.05,0),"Failed")</f>
        <v>Failed</v>
      </c>
      <c r="G23" s="24" t="str">
        <f t="array" ref="G23">IFERROR(MATCH(TRUE,Data!BG8:BG208&gt;=0.1,0),"Failed")</f>
        <v>Failed</v>
      </c>
      <c r="H23" s="24" t="str">
        <f t="array" ref="H23">IFERROR(MATCH(TRUE,Data!BG8:BG208&gt;=0.15,0),"Failed")</f>
        <v>Failed</v>
      </c>
      <c r="I23" s="24" t="str">
        <f t="array" ref="I23">IFERROR(MATCH(TRUE,Data!BG8:BG208&gt;=0.2,0),"Failed")</f>
        <v>Failed</v>
      </c>
      <c r="J23" s="24" t="str">
        <f t="array" ref="J23">IFERROR(MATCH(TRUE,Data!BG8:BG208&gt;=0.25,0),"Failed")</f>
        <v>Failed</v>
      </c>
      <c r="K23" s="24"/>
      <c r="L23" s="24"/>
    </row>
    <row r="24" ht="15.75" customHeight="1">
      <c r="A24" s="23">
        <v>45286.0</v>
      </c>
      <c r="B24" s="20" t="s">
        <v>40</v>
      </c>
      <c r="C24" s="20" t="s">
        <v>16</v>
      </c>
      <c r="D24" s="20" t="s">
        <v>25</v>
      </c>
      <c r="E24" s="21" t="str">
        <f t="shared" si="4"/>
        <v>NSE:SHAHALLOYS</v>
      </c>
      <c r="F24" s="24">
        <f t="array" ref="F24">IFERROR(MATCH(TRUE,Data!BK8:BK208&gt;=0.05,0),"Failed")</f>
        <v>10</v>
      </c>
      <c r="G24" s="24">
        <f t="array" ref="G24">IFERROR(MATCH(TRUE,Data!BK8:BK208&gt;=0.1,0),"Failed")</f>
        <v>10</v>
      </c>
      <c r="H24" s="24">
        <f t="array" ref="H24">IFERROR(MATCH(TRUE,Data!BK8:BK208&gt;=0.15,0),"Failed")</f>
        <v>11</v>
      </c>
      <c r="I24" s="24">
        <f t="array" ref="I24">IFERROR(MATCH(TRUE,Data!BK8:BK208&gt;=0.2,0),"Failed")</f>
        <v>11</v>
      </c>
      <c r="J24" s="24">
        <f t="array" ref="J24">IFERROR(MATCH(TRUE,Data!BK8:BK208&gt;=0.25,0),"Failed")</f>
        <v>12</v>
      </c>
      <c r="K24" s="24"/>
      <c r="L24" s="24"/>
    </row>
    <row r="25" ht="15.75" customHeight="1">
      <c r="A25" s="23">
        <v>45286.0</v>
      </c>
      <c r="B25" s="20" t="s">
        <v>41</v>
      </c>
      <c r="C25" s="20" t="s">
        <v>13</v>
      </c>
      <c r="D25" s="20" t="s">
        <v>31</v>
      </c>
      <c r="E25" s="21" t="str">
        <f t="shared" si="4"/>
        <v>NSE:NLCINDIA</v>
      </c>
      <c r="F25" s="24">
        <f t="array" ref="F25">IFERROR(MATCH(TRUE,Data!BO8:BO208&gt;=0.05,0),"Failed")</f>
        <v>26</v>
      </c>
      <c r="G25" s="24">
        <f t="array" ref="G25">IFERROR(MATCH(TRUE,Data!BO8:BO208&gt;=0.1,0),"Failed")</f>
        <v>27</v>
      </c>
      <c r="H25" s="24" t="str">
        <f t="array" ref="H25">IFERROR(MATCH(TRUE,Data!BO8:BO208&gt;=0.15,0),"Failed")</f>
        <v>Failed</v>
      </c>
      <c r="I25" s="24" t="str">
        <f t="array" ref="I25">IFERROR(MATCH(TRUE,Data!BO8:BO208&gt;=0.2,0),"Failed")</f>
        <v>Failed</v>
      </c>
      <c r="J25" s="24" t="str">
        <f t="array" ref="J25">IFERROR(MATCH(TRUE,Data!BO8:BO208&gt;=0.25,0),"Failed")</f>
        <v>Failed</v>
      </c>
      <c r="K25" s="24"/>
      <c r="L25" s="24"/>
    </row>
    <row r="26" ht="15.75" customHeight="1">
      <c r="A26" s="23">
        <v>45286.0</v>
      </c>
      <c r="B26" s="20" t="s">
        <v>42</v>
      </c>
      <c r="C26" s="20" t="s">
        <v>16</v>
      </c>
      <c r="D26" s="20" t="s">
        <v>31</v>
      </c>
      <c r="E26" s="21" t="str">
        <f t="shared" si="4"/>
        <v>NSE:MADHAV</v>
      </c>
      <c r="F26" s="24">
        <f t="array" ref="F26">IFERROR(MATCH(TRUE,Data!BS8:BS208&gt;=0.05,0),"Failed")</f>
        <v>1</v>
      </c>
      <c r="G26" s="24">
        <f t="array" ref="G26">IFERROR(MATCH(TRUE,Data!BS8:BS208&gt;=0.1,0),"Failed")</f>
        <v>8</v>
      </c>
      <c r="H26" s="24">
        <f t="array" ref="H26">IFERROR(MATCH(TRUE,Data!BS8:BS208&gt;=0.15,0),"Failed")</f>
        <v>8</v>
      </c>
      <c r="I26" s="24">
        <f t="array" ref="I26">IFERROR(MATCH(TRUE,Data!BS8:BS208&gt;=0.2,0),"Failed")</f>
        <v>9</v>
      </c>
      <c r="J26" s="24">
        <f t="array" ref="J26">IFERROR(MATCH(TRUE,Data!BS8:BS208&gt;=0.25,0),"Failed")</f>
        <v>9</v>
      </c>
      <c r="K26" s="24"/>
      <c r="L26" s="24"/>
    </row>
    <row r="27" ht="15.75" customHeight="1">
      <c r="A27" s="23">
        <v>45286.0</v>
      </c>
      <c r="B27" s="20" t="s">
        <v>43</v>
      </c>
      <c r="C27" s="20" t="s">
        <v>21</v>
      </c>
      <c r="D27" s="20" t="s">
        <v>29</v>
      </c>
      <c r="E27" s="21" t="str">
        <f t="shared" si="4"/>
        <v>NSE:HERITGFOOD</v>
      </c>
      <c r="F27" s="24">
        <f t="array" ref="F27">IFERROR(MATCH(TRUE,Data!BW8:BW208&gt;=0.05,0),"Failed")</f>
        <v>15</v>
      </c>
      <c r="G27" s="24">
        <f t="array" ref="G27">IFERROR(MATCH(TRUE,Data!BW8:BW208&gt;=0.1,0),"Failed")</f>
        <v>22</v>
      </c>
      <c r="H27" s="24" t="str">
        <f t="array" ref="H27">IFERROR(MATCH(TRUE,Data!BW8:BW208&gt;=0.15,0),"Failed")</f>
        <v>Failed</v>
      </c>
      <c r="I27" s="24" t="str">
        <f t="array" ref="I27">IFERROR(MATCH(TRUE,Data!BW8:BW208&gt;=0.2,0),"Failed")</f>
        <v>Failed</v>
      </c>
      <c r="J27" s="24" t="str">
        <f t="array" ref="J27">IFERROR(MATCH(TRUE,Data!BW8:BW208&gt;=0.25,0),"Failed")</f>
        <v>Failed</v>
      </c>
      <c r="K27" s="24"/>
      <c r="L27" s="24"/>
    </row>
    <row r="28" ht="15.75" customHeight="1">
      <c r="A28" s="23">
        <v>45286.0</v>
      </c>
      <c r="B28" s="20" t="s">
        <v>44</v>
      </c>
      <c r="C28" s="20" t="s">
        <v>16</v>
      </c>
      <c r="D28" s="25"/>
      <c r="E28" s="21" t="str">
        <f t="shared" si="4"/>
        <v>NSE:WEL</v>
      </c>
      <c r="F28" s="24">
        <f t="array" ref="F28">IFERROR(MATCH(TRUE,Data!CA8:CA208&gt;=0.05,0),"Failed")</f>
        <v>1</v>
      </c>
      <c r="G28" s="24">
        <f t="array" ref="G28">IFERROR(MATCH(TRUE,Data!CA8:CA208&gt;=0.1,0),"Failed")</f>
        <v>2</v>
      </c>
      <c r="H28" s="24" t="str">
        <f t="array" ref="H28">IFERROR(MATCH(TRUE,Data!CA8:CA208&gt;=0.15,0),"Failed")</f>
        <v>Failed</v>
      </c>
      <c r="I28" s="24" t="str">
        <f t="array" ref="I28">IFERROR(MATCH(TRUE,Data!CA8:CA208&gt;=0.2,0),"Failed")</f>
        <v>Failed</v>
      </c>
      <c r="J28" s="24" t="str">
        <f t="array" ref="J28">IFERROR(MATCH(TRUE,Data!CA8:CA208&gt;=0.25,0),"Failed")</f>
        <v>Failed</v>
      </c>
      <c r="K28" s="24"/>
      <c r="L28" s="24"/>
    </row>
    <row r="29" ht="15.75" customHeight="1">
      <c r="A29" s="23">
        <v>45286.0</v>
      </c>
      <c r="B29" s="20" t="s">
        <v>45</v>
      </c>
      <c r="C29" s="20" t="s">
        <v>16</v>
      </c>
      <c r="D29" s="20" t="s">
        <v>31</v>
      </c>
      <c r="E29" s="21" t="str">
        <f t="shared" si="4"/>
        <v>NSE:BALMLAWRIE</v>
      </c>
      <c r="F29" s="24">
        <f t="array" ref="F29">IFERROR(MATCH(TRUE,Data!CE8:CE208&gt;=0.05,0),"Failed")</f>
        <v>12</v>
      </c>
      <c r="G29" s="24">
        <f t="array" ref="G29">IFERROR(MATCH(TRUE,Data!CE8:CE208&gt;=0.1,0),"Failed")</f>
        <v>12</v>
      </c>
      <c r="H29" s="24">
        <f t="array" ref="H29">IFERROR(MATCH(TRUE,Data!CE8:CE208&gt;=0.15,0),"Failed")</f>
        <v>18</v>
      </c>
      <c r="I29" s="24">
        <f t="array" ref="I29">IFERROR(MATCH(TRUE,Data!CE8:CE208&gt;=0.2,0),"Failed")</f>
        <v>19</v>
      </c>
      <c r="J29" s="24">
        <f t="array" ref="J29">IFERROR(MATCH(TRUE,Data!CE8:CE208&gt;=0.25,0),"Failed")</f>
        <v>23</v>
      </c>
      <c r="K29" s="24"/>
      <c r="L29" s="24"/>
    </row>
    <row r="30" ht="15.75" customHeight="1">
      <c r="A30" s="23">
        <v>45286.0</v>
      </c>
      <c r="B30" s="20" t="s">
        <v>46</v>
      </c>
      <c r="C30" s="20" t="s">
        <v>13</v>
      </c>
      <c r="D30" s="20" t="s">
        <v>27</v>
      </c>
      <c r="E30" s="21" t="str">
        <f t="shared" si="4"/>
        <v>NSE:AARTIIND</v>
      </c>
      <c r="F30" s="24">
        <f t="array" ref="F30">IFERROR(MATCH(TRUE,Data!CI8:CI208&gt;=0.05,0),"Failed")</f>
        <v>18</v>
      </c>
      <c r="G30" s="24">
        <f t="array" ref="G30">IFERROR(MATCH(TRUE,Data!CI8:CI208&gt;=0.1,0),"Failed")</f>
        <v>32</v>
      </c>
      <c r="H30" s="24" t="str">
        <f t="array" ref="H30">IFERROR(MATCH(TRUE,Data!CI8:CI208&gt;=0.15,0),"Failed")</f>
        <v>Failed</v>
      </c>
      <c r="I30" s="24" t="str">
        <f t="array" ref="I30">IFERROR(MATCH(TRUE,Data!CI8:CI208&gt;=0.2,0),"Failed")</f>
        <v>Failed</v>
      </c>
      <c r="J30" s="24" t="str">
        <f t="array" ref="J30">IFERROR(MATCH(TRUE,Data!CI8:CI208&gt;=0.25,0),"Failed")</f>
        <v>Failed</v>
      </c>
      <c r="K30" s="24"/>
      <c r="L30" s="24"/>
    </row>
    <row r="31" ht="15.75" customHeight="1">
      <c r="A31" s="23">
        <v>45286.0</v>
      </c>
      <c r="B31" s="20" t="s">
        <v>47</v>
      </c>
      <c r="C31" s="20" t="s">
        <v>16</v>
      </c>
      <c r="D31" s="20" t="s">
        <v>39</v>
      </c>
      <c r="E31" s="21" t="str">
        <f t="shared" si="4"/>
        <v>NSE:STEL</v>
      </c>
      <c r="F31" s="24" t="str">
        <f t="array" ref="F31">IFERROR(MATCH(TRUE,Data!CM8:CM208&gt;=0.05,0),"Failed")</f>
        <v>Failed</v>
      </c>
      <c r="G31" s="24" t="str">
        <f t="array" ref="G31">IFERROR(MATCH(TRUE,Data!CM8:CM208&gt;=0.1,0),"Failed")</f>
        <v>Failed</v>
      </c>
      <c r="H31" s="24" t="str">
        <f t="array" ref="H31">IFERROR(MATCH(TRUE,Data!CM8:CM208&gt;=0.15,0),"Failed")</f>
        <v>Failed</v>
      </c>
      <c r="I31" s="24" t="str">
        <f t="array" ref="I31">IFERROR(MATCH(TRUE,Data!CM8:CM208&gt;=0.2,0),"Failed")</f>
        <v>Failed</v>
      </c>
      <c r="J31" s="24" t="str">
        <f t="array" ref="J31">IFERROR(MATCH(TRUE,Data!CM8:CM208&gt;=0.25,0),"Failed")</f>
        <v>Failed</v>
      </c>
      <c r="K31" s="24"/>
      <c r="L31" s="24"/>
    </row>
    <row r="32" ht="15.75" customHeight="1">
      <c r="A32" s="23">
        <v>45286.0</v>
      </c>
      <c r="B32" s="20" t="s">
        <v>48</v>
      </c>
      <c r="C32" s="20" t="s">
        <v>16</v>
      </c>
      <c r="D32" s="20" t="s">
        <v>14</v>
      </c>
      <c r="E32" s="21" t="str">
        <f t="shared" si="4"/>
        <v>NSE:SYNCOMF</v>
      </c>
      <c r="F32" s="24">
        <f t="array" ref="F32">IFERROR(MATCH(TRUE,Data!CQ8:CQ208&gt;=0.05,0),"Failed")</f>
        <v>1</v>
      </c>
      <c r="G32" s="24">
        <f t="array" ref="G32">IFERROR(MATCH(TRUE,Data!CQ8:CQ208&gt;=0.1,0),"Failed")</f>
        <v>1</v>
      </c>
      <c r="H32" s="24">
        <f t="array" ref="H32">IFERROR(MATCH(TRUE,Data!CQ8:CQ208&gt;=0.15,0),"Failed")</f>
        <v>9</v>
      </c>
      <c r="I32" s="24">
        <f t="array" ref="I32">IFERROR(MATCH(TRUE,Data!CQ8:CQ208&gt;=0.2,0),"Failed")</f>
        <v>9</v>
      </c>
      <c r="J32" s="24">
        <f t="array" ref="J32">IFERROR(MATCH(TRUE,Data!CQ8:CQ208&gt;=0.25,0),"Failed")</f>
        <v>10</v>
      </c>
      <c r="K32" s="24"/>
      <c r="L32" s="24"/>
    </row>
    <row r="33" ht="15.75" customHeight="1">
      <c r="A33" s="23">
        <v>45286.0</v>
      </c>
      <c r="B33" s="20" t="s">
        <v>49</v>
      </c>
      <c r="C33" s="20" t="s">
        <v>16</v>
      </c>
      <c r="D33" s="20" t="s">
        <v>50</v>
      </c>
      <c r="E33" s="21" t="str">
        <f t="shared" si="4"/>
        <v>NSE:GTPL</v>
      </c>
      <c r="F33" s="24">
        <f t="array" ref="F33">IFERROR(MATCH(TRUE,Data!CU8:CU208&gt;=0.05,0),"Failed")</f>
        <v>9</v>
      </c>
      <c r="G33" s="24">
        <f t="array" ref="G33">IFERROR(MATCH(TRUE,Data!CU8:CU208&gt;=0.1,0),"Failed")</f>
        <v>11</v>
      </c>
      <c r="H33" s="24" t="str">
        <f t="array" ref="H33">IFERROR(MATCH(TRUE,Data!CU8:CU208&gt;=0.15,0),"Failed")</f>
        <v>Failed</v>
      </c>
      <c r="I33" s="24" t="str">
        <f t="array" ref="I33">IFERROR(MATCH(TRUE,Data!CU8:CU208&gt;=0.2,0),"Failed")</f>
        <v>Failed</v>
      </c>
      <c r="J33" s="24" t="str">
        <f t="array" ref="J33">IFERROR(MATCH(TRUE,Data!CU8:CU208&gt;=0.25,0),"Failed")</f>
        <v>Failed</v>
      </c>
      <c r="K33" s="24"/>
      <c r="L33" s="24"/>
    </row>
    <row r="34" ht="15.75" customHeight="1">
      <c r="A34" s="23">
        <v>45286.0</v>
      </c>
      <c r="B34" s="20" t="s">
        <v>51</v>
      </c>
      <c r="C34" s="20" t="s">
        <v>13</v>
      </c>
      <c r="D34" s="20" t="s">
        <v>19</v>
      </c>
      <c r="E34" s="21" t="str">
        <f t="shared" si="4"/>
        <v>NSE:COCHINSHIP</v>
      </c>
      <c r="F34" s="24">
        <f t="array" ref="F34">IFERROR(MATCH(TRUE,Data!CY8:CY208&gt;=0.05,0),"Failed")</f>
        <v>11</v>
      </c>
      <c r="G34" s="24">
        <f t="array" ref="G34">IFERROR(MATCH(TRUE,Data!CY8:CY208&gt;=0.1,0),"Failed")</f>
        <v>11</v>
      </c>
      <c r="H34" s="24">
        <f t="array" ref="H34">IFERROR(MATCH(TRUE,Data!CY8:CY208&gt;=0.15,0),"Failed")</f>
        <v>11</v>
      </c>
      <c r="I34" s="24">
        <f t="array" ref="I34">IFERROR(MATCH(TRUE,Data!CY8:CY208&gt;=0.2,0),"Failed")</f>
        <v>16</v>
      </c>
      <c r="J34" s="24">
        <f t="array" ref="J34">IFERROR(MATCH(TRUE,Data!CY8:CY208&gt;=0.25,0),"Failed")</f>
        <v>16</v>
      </c>
      <c r="K34" s="24"/>
      <c r="L34" s="24"/>
    </row>
    <row r="35" ht="15.75" customHeight="1">
      <c r="A35" s="23">
        <v>45286.0</v>
      </c>
      <c r="B35" s="20" t="s">
        <v>52</v>
      </c>
      <c r="C35" s="20" t="s">
        <v>16</v>
      </c>
      <c r="D35" s="20" t="s">
        <v>53</v>
      </c>
      <c r="E35" s="21" t="str">
        <f t="shared" si="4"/>
        <v>NSE:LAXMICOT</v>
      </c>
      <c r="F35" s="24">
        <f t="array" ref="F35">IFERROR(MATCH(TRUE,Data!DC8:DC208&gt;=0.05,0),"Failed")</f>
        <v>10</v>
      </c>
      <c r="G35" s="24">
        <f t="array" ref="G35">IFERROR(MATCH(TRUE,Data!DC8:DC208&gt;=0.1,0),"Failed")</f>
        <v>14</v>
      </c>
      <c r="H35" s="24">
        <f t="array" ref="H35">IFERROR(MATCH(TRUE,Data!DC8:DC208&gt;=0.15,0),"Failed")</f>
        <v>14</v>
      </c>
      <c r="I35" s="24">
        <f t="array" ref="I35">IFERROR(MATCH(TRUE,Data!DC8:DC208&gt;=0.2,0),"Failed")</f>
        <v>15</v>
      </c>
      <c r="J35" s="24">
        <f t="array" ref="J35">IFERROR(MATCH(TRUE,Data!DC8:DC208&gt;=0.25,0),"Failed")</f>
        <v>15</v>
      </c>
      <c r="K35" s="24"/>
      <c r="L35" s="24"/>
    </row>
    <row r="36" ht="15.75" customHeight="1">
      <c r="A36" s="23">
        <v>45286.0</v>
      </c>
      <c r="B36" s="20" t="s">
        <v>54</v>
      </c>
      <c r="C36" s="20" t="s">
        <v>16</v>
      </c>
      <c r="D36" s="20" t="s">
        <v>55</v>
      </c>
      <c r="E36" s="21" t="str">
        <f t="shared" si="4"/>
        <v>NSE:GTECJAINX</v>
      </c>
      <c r="F36" s="24">
        <f t="array" ref="F36">IFERROR(MATCH(TRUE,Data!DG8:DG208&gt;=0.05,0),"Failed")</f>
        <v>1</v>
      </c>
      <c r="G36" s="24">
        <f t="array" ref="G36">IFERROR(MATCH(TRUE,Data!DG8:DG208&gt;=0.1,0),"Failed")</f>
        <v>1</v>
      </c>
      <c r="H36" s="24">
        <f t="array" ref="H36">IFERROR(MATCH(TRUE,Data!DG8:DG208&gt;=0.15,0),"Failed")</f>
        <v>1</v>
      </c>
      <c r="I36" s="24">
        <f t="array" ref="I36">IFERROR(MATCH(TRUE,Data!DG8:DG208&gt;=0.2,0),"Failed")</f>
        <v>2</v>
      </c>
      <c r="J36" s="24" t="str">
        <f t="array" ref="J36">IFERROR(MATCH(TRUE,Data!DG8:DG208&gt;=0.25,0),"Failed")</f>
        <v>Failed</v>
      </c>
      <c r="K36" s="24"/>
      <c r="L36" s="24"/>
    </row>
    <row r="37" ht="15.75" customHeight="1">
      <c r="A37" s="23">
        <v>45286.0</v>
      </c>
      <c r="B37" s="20" t="s">
        <v>56</v>
      </c>
      <c r="C37" s="20" t="s">
        <v>16</v>
      </c>
      <c r="D37" s="20" t="s">
        <v>29</v>
      </c>
      <c r="E37" s="21" t="str">
        <f t="shared" si="4"/>
        <v>NSE:JASH</v>
      </c>
      <c r="F37" s="24">
        <f t="array" ref="F37">IFERROR(MATCH(TRUE,Data!DK8:DK208&gt;=0.05,0),"Failed")</f>
        <v>15</v>
      </c>
      <c r="G37" s="24">
        <f t="array" ref="G37">IFERROR(MATCH(TRUE,Data!DK8:DK208&gt;=0.1,0),"Failed")</f>
        <v>15</v>
      </c>
      <c r="H37" s="24">
        <f t="array" ref="H37">IFERROR(MATCH(TRUE,Data!DK8:DK208&gt;=0.15,0),"Failed")</f>
        <v>19</v>
      </c>
      <c r="I37" s="24" t="str">
        <f t="array" ref="I37">IFERROR(MATCH(TRUE,Data!DK8:DK208&gt;=0.2,0),"Failed")</f>
        <v>Failed</v>
      </c>
      <c r="J37" s="24" t="str">
        <f t="array" ref="J37">IFERROR(MATCH(TRUE,Data!DK8:DK208&gt;=0.25,0),"Failed")</f>
        <v>Failed</v>
      </c>
      <c r="K37" s="24"/>
      <c r="L37" s="24"/>
    </row>
    <row r="38" ht="15.75" customHeight="1">
      <c r="A38" s="23">
        <v>45286.0</v>
      </c>
      <c r="B38" s="20" t="s">
        <v>57</v>
      </c>
      <c r="C38" s="20" t="s">
        <v>21</v>
      </c>
      <c r="D38" s="20" t="s">
        <v>14</v>
      </c>
      <c r="E38" s="21" t="str">
        <f t="shared" si="4"/>
        <v>NSE:JUBLPHARMA</v>
      </c>
      <c r="F38" s="24">
        <f t="array" ref="F38">IFERROR(MATCH(TRUE,Data!DO8:DO208&gt;=0.05,0),"Failed")</f>
        <v>4</v>
      </c>
      <c r="G38" s="24">
        <f t="array" ref="G38">IFERROR(MATCH(TRUE,Data!DO8:DO208&gt;=0.1,0),"Failed")</f>
        <v>6</v>
      </c>
      <c r="H38" s="24">
        <f t="array" ref="H38">IFERROR(MATCH(TRUE,Data!DO8:DO208&gt;=0.15,0),"Failed")</f>
        <v>26</v>
      </c>
      <c r="I38" s="24" t="str">
        <f t="array" ref="I38">IFERROR(MATCH(TRUE,Data!DO8:DO208&gt;=0.2,0),"Failed")</f>
        <v>Failed</v>
      </c>
      <c r="J38" s="24" t="str">
        <f t="array" ref="J38">IFERROR(MATCH(TRUE,Data!DO8:DO208&gt;=0.25,0),"Failed")</f>
        <v>Failed</v>
      </c>
      <c r="K38" s="24"/>
      <c r="L38" s="24"/>
    </row>
    <row r="39" ht="15.75" customHeight="1">
      <c r="A39" s="23">
        <v>45286.0</v>
      </c>
      <c r="B39" s="20" t="s">
        <v>58</v>
      </c>
      <c r="C39" s="20" t="s">
        <v>16</v>
      </c>
      <c r="D39" s="20" t="s">
        <v>14</v>
      </c>
      <c r="E39" s="21" t="str">
        <f t="shared" si="4"/>
        <v>NSE:THEMISMED</v>
      </c>
      <c r="F39" s="24">
        <f t="array" ref="F39">IFERROR(MATCH(TRUE,Data!DS8:DS208&gt;=0.05,0),"Failed")</f>
        <v>8</v>
      </c>
      <c r="G39" s="24">
        <f t="array" ref="G39">IFERROR(MATCH(TRUE,Data!DS8:DS208&gt;=0.1,0),"Failed")</f>
        <v>24</v>
      </c>
      <c r="H39" s="24">
        <f t="array" ref="H39">IFERROR(MATCH(TRUE,Data!DS8:DS208&gt;=0.15,0),"Failed")</f>
        <v>37</v>
      </c>
      <c r="I39" s="24" t="str">
        <f t="array" ref="I39">IFERROR(MATCH(TRUE,Data!DS8:DS208&gt;=0.2,0),"Failed")</f>
        <v>Failed</v>
      </c>
      <c r="J39" s="24" t="str">
        <f t="array" ref="J39">IFERROR(MATCH(TRUE,Data!DS8:DS208&gt;=0.25,0),"Failed")</f>
        <v>Failed</v>
      </c>
      <c r="K39" s="24"/>
      <c r="L39" s="24"/>
    </row>
    <row r="40" ht="15.75" customHeight="1">
      <c r="A40" s="23">
        <v>45286.0</v>
      </c>
      <c r="B40" s="20" t="s">
        <v>59</v>
      </c>
      <c r="C40" s="20" t="s">
        <v>13</v>
      </c>
      <c r="D40" s="20" t="s">
        <v>19</v>
      </c>
      <c r="E40" s="21" t="str">
        <f t="shared" si="4"/>
        <v>NSE:BDL</v>
      </c>
      <c r="F40" s="24">
        <f t="array" ref="F40">IFERROR(MATCH(TRUE,Data!DW8:DW208&gt;=0.05,0),"Failed")</f>
        <v>1</v>
      </c>
      <c r="G40" s="24">
        <f t="array" ref="G40">IFERROR(MATCH(TRUE,Data!DW8:DW208&gt;=0.1,0),"Failed")</f>
        <v>30</v>
      </c>
      <c r="H40" s="24" t="str">
        <f t="array" ref="H40">IFERROR(MATCH(TRUE,Data!DW8:DW208&gt;=0.15,0),"Failed")</f>
        <v>Failed</v>
      </c>
      <c r="I40" s="24" t="str">
        <f t="array" ref="I40">IFERROR(MATCH(TRUE,Data!DW8:DW208&gt;=0.2,0),"Failed")</f>
        <v>Failed</v>
      </c>
      <c r="J40" s="24" t="str">
        <f t="array" ref="J40">IFERROR(MATCH(TRUE,Data!DW8:DW208&gt;=0.25,0),"Failed")</f>
        <v>Failed</v>
      </c>
      <c r="K40" s="24"/>
      <c r="L40" s="24"/>
    </row>
    <row r="41" ht="15.75" customHeight="1">
      <c r="A41" s="23">
        <v>45286.0</v>
      </c>
      <c r="B41" s="20" t="s">
        <v>60</v>
      </c>
      <c r="C41" s="20" t="s">
        <v>16</v>
      </c>
      <c r="D41" s="20" t="s">
        <v>25</v>
      </c>
      <c r="E41" s="21" t="str">
        <f t="shared" si="4"/>
        <v>NSE:KRITIKA</v>
      </c>
      <c r="F41" s="24">
        <f t="array" ref="F41">IFERROR(MATCH(TRUE,Data!EA8:EA208&gt;=0.05,0),"Failed")</f>
        <v>4</v>
      </c>
      <c r="G41" s="24">
        <f t="array" ref="G41">IFERROR(MATCH(TRUE,Data!EA8:EA208&gt;=0.1,0),"Failed")</f>
        <v>7</v>
      </c>
      <c r="H41" s="24">
        <f t="array" ref="H41">IFERROR(MATCH(TRUE,Data!EA8:EA208&gt;=0.15,0),"Failed")</f>
        <v>10</v>
      </c>
      <c r="I41" s="24">
        <f t="array" ref="I41">IFERROR(MATCH(TRUE,Data!EA8:EA208&gt;=0.2,0),"Failed")</f>
        <v>26</v>
      </c>
      <c r="J41" s="24">
        <f t="array" ref="J41">IFERROR(MATCH(TRUE,Data!EA8:EA208&gt;=0.25,0),"Failed")</f>
        <v>28</v>
      </c>
      <c r="K41" s="24"/>
      <c r="L41" s="24"/>
    </row>
    <row r="42" ht="15.75" customHeight="1">
      <c r="A42" s="26">
        <v>45286.0</v>
      </c>
      <c r="B42" s="20" t="s">
        <v>61</v>
      </c>
      <c r="C42" s="20" t="s">
        <v>21</v>
      </c>
      <c r="D42" s="20" t="s">
        <v>27</v>
      </c>
      <c r="E42" s="21" t="str">
        <f t="shared" si="4"/>
        <v>NSE:BALAMINES</v>
      </c>
      <c r="F42" s="24" t="str">
        <f t="array" ref="F42">IFERROR(MATCH(TRUE,Data!EE8:EE208&gt;=0.05,0),"Failed")</f>
        <v>Failed</v>
      </c>
      <c r="G42" s="24" t="str">
        <f t="array" ref="G42">IFERROR(MATCH(TRUE,Data!EE8:EE208&gt;=0.1,0),"Failed")</f>
        <v>Failed</v>
      </c>
      <c r="H42" s="24" t="str">
        <f t="array" ref="H42">IFERROR(MATCH(TRUE,Data!EE8:EE208&gt;=0.15,0),"Failed")</f>
        <v>Failed</v>
      </c>
      <c r="I42" s="24" t="str">
        <f t="array" ref="I42">IFERROR(MATCH(TRUE,Data!EE8:EE208&gt;=0.2,0),"Failed")</f>
        <v>Failed</v>
      </c>
      <c r="J42" s="24" t="str">
        <f t="array" ref="J42">IFERROR(MATCH(TRUE,Data!EE8:EE208&gt;=0.25,0),"Failed")</f>
        <v>Failed</v>
      </c>
      <c r="K42" s="24"/>
      <c r="L42" s="24"/>
    </row>
    <row r="43" ht="15.75" customHeight="1">
      <c r="A43" s="23">
        <v>45286.0</v>
      </c>
      <c r="B43" s="20" t="s">
        <v>62</v>
      </c>
      <c r="C43" s="20" t="s">
        <v>21</v>
      </c>
      <c r="D43" s="20" t="s">
        <v>37</v>
      </c>
      <c r="E43" s="21" t="str">
        <f t="shared" si="4"/>
        <v>NSE:MSTCLTD</v>
      </c>
      <c r="F43" s="24">
        <f t="array" ref="F43">IFERROR(MATCH(TRUE,Data!EI8:EI208&gt;=0.05,0),"Failed")</f>
        <v>3</v>
      </c>
      <c r="G43" s="24">
        <f t="array" ref="G43">IFERROR(MATCH(TRUE,Data!EI8:EI208&gt;=0.1,0),"Failed")</f>
        <v>12</v>
      </c>
      <c r="H43" s="24">
        <f t="array" ref="H43">IFERROR(MATCH(TRUE,Data!EI8:EI208&gt;=0.15,0),"Failed")</f>
        <v>12</v>
      </c>
      <c r="I43" s="24">
        <f t="array" ref="I43">IFERROR(MATCH(TRUE,Data!EI8:EI208&gt;=0.2,0),"Failed")</f>
        <v>12</v>
      </c>
      <c r="J43" s="24">
        <f t="array" ref="J43">IFERROR(MATCH(TRUE,Data!EI8:EI208&gt;=0.25,0),"Failed")</f>
        <v>14</v>
      </c>
      <c r="K43" s="24"/>
      <c r="L43" s="24"/>
    </row>
    <row r="44" ht="15.75" customHeight="1">
      <c r="A44" s="23">
        <v>45286.0</v>
      </c>
      <c r="B44" s="20" t="s">
        <v>63</v>
      </c>
      <c r="C44" s="20" t="s">
        <v>16</v>
      </c>
      <c r="D44" s="20" t="s">
        <v>64</v>
      </c>
      <c r="E44" s="21" t="str">
        <f t="shared" si="4"/>
        <v>NSE:DEEPENR</v>
      </c>
      <c r="F44" s="24">
        <f t="array" ref="F44">IFERROR(MATCH(TRUE,Data!EM8:EM208&gt;=0.05,0),"Failed")</f>
        <v>7</v>
      </c>
      <c r="G44" s="24">
        <f t="array" ref="G44">IFERROR(MATCH(TRUE,Data!EM8:EM208&gt;=0.1,0),"Failed")</f>
        <v>7</v>
      </c>
      <c r="H44" s="24">
        <f t="array" ref="H44">IFERROR(MATCH(TRUE,Data!EM8:EM208&gt;=0.15,0),"Failed")</f>
        <v>8</v>
      </c>
      <c r="I44" s="24" t="str">
        <f t="array" ref="I44">IFERROR(MATCH(TRUE,Data!EM8:EM208&gt;=0.2,0),"Failed")</f>
        <v>Failed</v>
      </c>
      <c r="J44" s="24" t="str">
        <f t="array" ref="J44">IFERROR(MATCH(TRUE,Data!EM8:EM208&gt;=0.25,0),"Failed")</f>
        <v>Failed</v>
      </c>
      <c r="K44" s="24"/>
      <c r="L44" s="24"/>
    </row>
    <row r="45" ht="15.75" customHeight="1">
      <c r="A45" s="23">
        <v>45286.0</v>
      </c>
      <c r="B45" s="20" t="s">
        <v>65</v>
      </c>
      <c r="C45" s="20" t="s">
        <v>13</v>
      </c>
      <c r="D45" s="20" t="s">
        <v>27</v>
      </c>
      <c r="E45" s="21" t="str">
        <f t="shared" si="4"/>
        <v>NSE:GAIL</v>
      </c>
      <c r="F45" s="24">
        <f t="array" ref="F45">IFERROR(MATCH(TRUE,Data!EQ8:EQ208&gt;=0.05,0),"Failed")</f>
        <v>3</v>
      </c>
      <c r="G45" s="24">
        <f t="array" ref="G45">IFERROR(MATCH(TRUE,Data!EQ8:EQ208&gt;=0.1,0),"Failed")</f>
        <v>22</v>
      </c>
      <c r="H45" s="24">
        <f t="array" ref="H45">IFERROR(MATCH(TRUE,Data!EQ8:EQ208&gt;=0.15,0),"Failed")</f>
        <v>26</v>
      </c>
      <c r="I45" s="24">
        <f t="array" ref="I45">IFERROR(MATCH(TRUE,Data!EQ8:EQ208&gt;=0.2,0),"Failed")</f>
        <v>27</v>
      </c>
      <c r="J45" s="24" t="str">
        <f t="array" ref="J45">IFERROR(MATCH(TRUE,Data!EQ8:EQ208&gt;=0.25,0),"Failed")</f>
        <v>Failed</v>
      </c>
      <c r="K45" s="24"/>
      <c r="L45" s="24"/>
    </row>
    <row r="46" ht="15.75" customHeight="1">
      <c r="A46" s="26">
        <v>45286.0</v>
      </c>
      <c r="B46" s="20" t="s">
        <v>66</v>
      </c>
      <c r="C46" s="20" t="s">
        <v>16</v>
      </c>
      <c r="D46" s="20" t="s">
        <v>37</v>
      </c>
      <c r="E46" s="21" t="str">
        <f t="shared" si="4"/>
        <v>NSE:CYBERTECH</v>
      </c>
      <c r="F46" s="24">
        <f t="array" ref="F46">IFERROR(MATCH(TRUE,Data!EU8:EU208&gt;=0.05,0),"Failed")</f>
        <v>2</v>
      </c>
      <c r="G46" s="24">
        <f t="array" ref="G46">IFERROR(MATCH(TRUE,Data!EU8:EU208&gt;=0.1,0),"Failed")</f>
        <v>13</v>
      </c>
      <c r="H46" s="24" t="str">
        <f t="array" ref="H46">IFERROR(MATCH(TRUE,Data!EU8:EU208&gt;=0.15,0),"Failed")</f>
        <v>Failed</v>
      </c>
      <c r="I46" s="24" t="str">
        <f t="array" ref="I46">IFERROR(MATCH(TRUE,Data!EU8:EU208&gt;=0.2,0),"Failed")</f>
        <v>Failed</v>
      </c>
      <c r="J46" s="24" t="str">
        <f t="array" ref="J46">IFERROR(MATCH(TRUE,Data!EU8:EU208&gt;=0.25,0),"Failed")</f>
        <v>Failed</v>
      </c>
      <c r="K46" s="24"/>
      <c r="L46" s="24"/>
    </row>
    <row r="47" ht="15.75" customHeight="1">
      <c r="A47" s="26">
        <v>45286.0</v>
      </c>
      <c r="B47" s="20" t="s">
        <v>67</v>
      </c>
      <c r="C47" s="20" t="s">
        <v>21</v>
      </c>
      <c r="D47" s="20" t="s">
        <v>14</v>
      </c>
      <c r="E47" s="21" t="str">
        <f t="shared" si="4"/>
        <v>NSE:STAR</v>
      </c>
      <c r="F47" s="24">
        <f t="array" ref="F47">IFERROR(MATCH(TRUE,Data!EY8:EY208&gt;=0.05,0),"Failed")</f>
        <v>5</v>
      </c>
      <c r="G47" s="24">
        <f t="array" ref="G47">IFERROR(MATCH(TRUE,Data!EY8:EY208&gt;=0.1,0),"Failed")</f>
        <v>7</v>
      </c>
      <c r="H47" s="24">
        <f t="array" ref="H47">IFERROR(MATCH(TRUE,Data!EY8:EY208&gt;=0.15,0),"Failed")</f>
        <v>32</v>
      </c>
      <c r="I47" s="24">
        <f t="array" ref="I47">IFERROR(MATCH(TRUE,Data!EY8:EY208&gt;=0.2,0),"Failed")</f>
        <v>34</v>
      </c>
      <c r="J47" s="24">
        <f t="array" ref="J47">IFERROR(MATCH(TRUE,Data!EY8:EY208&gt;=0.25,0),"Failed")</f>
        <v>34</v>
      </c>
      <c r="K47" s="24"/>
      <c r="L47" s="24"/>
    </row>
    <row r="48" ht="15.75" customHeight="1">
      <c r="A48" s="23">
        <v>45286.0</v>
      </c>
      <c r="B48" s="20" t="s">
        <v>68</v>
      </c>
      <c r="C48" s="20" t="s">
        <v>21</v>
      </c>
      <c r="D48" s="20" t="s">
        <v>25</v>
      </c>
      <c r="E48" s="21" t="str">
        <f t="shared" si="4"/>
        <v>NSE:GALLANTT</v>
      </c>
      <c r="F48" s="24">
        <f t="array" ref="F48">IFERROR(MATCH(TRUE,Data!FC8:FC208&gt;=0.05,0),"Failed")</f>
        <v>1</v>
      </c>
      <c r="G48" s="24">
        <f t="array" ref="G48">IFERROR(MATCH(TRUE,Data!FC8:FC208&gt;=0.1,0),"Failed")</f>
        <v>2</v>
      </c>
      <c r="H48" s="24">
        <f t="array" ref="H48">IFERROR(MATCH(TRUE,Data!FC8:FC208&gt;=0.15,0),"Failed")</f>
        <v>8</v>
      </c>
      <c r="I48" s="24">
        <f t="array" ref="I48">IFERROR(MATCH(TRUE,Data!FC8:FC208&gt;=0.2,0),"Failed")</f>
        <v>25</v>
      </c>
      <c r="J48" s="24">
        <f t="array" ref="J48">IFERROR(MATCH(TRUE,Data!FC8:FC208&gt;=0.25,0),"Failed")</f>
        <v>26</v>
      </c>
      <c r="K48" s="24"/>
      <c r="L48" s="24"/>
    </row>
    <row r="49" ht="15.75" customHeight="1">
      <c r="A49" s="23">
        <v>45286.0</v>
      </c>
      <c r="B49" s="20" t="s">
        <v>69</v>
      </c>
      <c r="C49" s="20" t="s">
        <v>16</v>
      </c>
      <c r="D49" s="20" t="s">
        <v>29</v>
      </c>
      <c r="E49" s="21" t="str">
        <f t="shared" si="4"/>
        <v>NSE:V2RETAIL</v>
      </c>
      <c r="F49" s="24">
        <f t="array" ref="F49">IFERROR(MATCH(TRUE,Data!FG8:FG208&gt;=0.05,0),"Failed")</f>
        <v>5</v>
      </c>
      <c r="G49" s="24">
        <f t="array" ref="G49">IFERROR(MATCH(TRUE,Data!FG8:FG208&gt;=0.1,0),"Failed")</f>
        <v>6</v>
      </c>
      <c r="H49" s="24">
        <f t="array" ref="H49">IFERROR(MATCH(TRUE,Data!FG8:FG208&gt;=0.15,0),"Failed")</f>
        <v>7</v>
      </c>
      <c r="I49" s="24">
        <f t="array" ref="I49">IFERROR(MATCH(TRUE,Data!FG8:FG208&gt;=0.2,0),"Failed")</f>
        <v>8</v>
      </c>
      <c r="J49" s="24">
        <f t="array" ref="J49">IFERROR(MATCH(TRUE,Data!FG8:FG208&gt;=0.25,0),"Failed")</f>
        <v>8</v>
      </c>
      <c r="K49" s="24"/>
      <c r="L49" s="24"/>
    </row>
    <row r="50" ht="15.75" customHeight="1">
      <c r="A50" s="26">
        <v>45286.0</v>
      </c>
      <c r="B50" s="20" t="s">
        <v>70</v>
      </c>
      <c r="C50" s="20" t="s">
        <v>21</v>
      </c>
      <c r="D50" s="20" t="s">
        <v>22</v>
      </c>
      <c r="E50" s="21" t="str">
        <f t="shared" si="4"/>
        <v>NSE:JKIL</v>
      </c>
      <c r="F50" s="24">
        <f t="array" ref="F50">IFERROR(MATCH(TRUE,Data!FK8:FK208&gt;=0.05,0),"Failed")</f>
        <v>22</v>
      </c>
      <c r="G50" s="24">
        <f t="array" ref="G50">IFERROR(MATCH(TRUE,Data!FK8:FK208&gt;=0.1,0),"Failed")</f>
        <v>22</v>
      </c>
      <c r="H50" s="24">
        <f t="array" ref="H50">IFERROR(MATCH(TRUE,Data!FK8:FK208&gt;=0.15,0),"Failed")</f>
        <v>29</v>
      </c>
      <c r="I50" s="24" t="str">
        <f t="array" ref="I50">IFERROR(MATCH(TRUE,Data!FK8:FK208&gt;=0.2,0),"Failed")</f>
        <v>Failed</v>
      </c>
      <c r="J50" s="24" t="str">
        <f t="array" ref="J50">IFERROR(MATCH(TRUE,Data!FK8:FK208&gt;=0.25,0),"Failed")</f>
        <v>Failed</v>
      </c>
      <c r="K50" s="24"/>
      <c r="L50" s="24"/>
    </row>
    <row r="51" ht="15.75" customHeight="1">
      <c r="A51" s="26">
        <v>45286.0</v>
      </c>
      <c r="B51" s="20" t="s">
        <v>71</v>
      </c>
      <c r="C51" s="20" t="s">
        <v>16</v>
      </c>
      <c r="D51" s="20" t="s">
        <v>50</v>
      </c>
      <c r="E51" s="21" t="str">
        <f t="shared" si="4"/>
        <v>NSE:HMVL</v>
      </c>
      <c r="F51" s="24">
        <f t="array" ref="F51">IFERROR(MATCH(TRUE,Data!FO8:FO208&gt;=0.05,0),"Failed")</f>
        <v>8</v>
      </c>
      <c r="G51" s="24">
        <f t="array" ref="G51">IFERROR(MATCH(TRUE,Data!FO8:FO208&gt;=0.1,0),"Failed")</f>
        <v>9</v>
      </c>
      <c r="H51" s="24">
        <f t="array" ref="H51">IFERROR(MATCH(TRUE,Data!FO8:FO208&gt;=0.15,0),"Failed")</f>
        <v>28</v>
      </c>
      <c r="I51" s="24">
        <f t="array" ref="I51">IFERROR(MATCH(TRUE,Data!FO8:FO208&gt;=0.2,0),"Failed")</f>
        <v>28</v>
      </c>
      <c r="J51" s="24">
        <f t="array" ref="J51">IFERROR(MATCH(TRUE,Data!FO8:FO208&gt;=0.25,0),"Failed")</f>
        <v>39</v>
      </c>
      <c r="K51" s="24"/>
      <c r="L51" s="24"/>
    </row>
    <row r="52" ht="15.75" customHeight="1">
      <c r="A52" s="23">
        <v>45286.0</v>
      </c>
      <c r="B52" s="20" t="s">
        <v>72</v>
      </c>
      <c r="C52" s="20" t="s">
        <v>16</v>
      </c>
      <c r="D52" s="20" t="s">
        <v>25</v>
      </c>
      <c r="E52" s="21" t="str">
        <f t="shared" si="4"/>
        <v>NSE:SHAH</v>
      </c>
      <c r="F52" s="24" t="str">
        <f t="array" ref="F52">IFERROR(MATCH(TRUE,Data!FS8:FS208&gt;=0.05,0),"Failed")</f>
        <v>Failed</v>
      </c>
      <c r="G52" s="24" t="str">
        <f t="array" ref="G52">IFERROR(MATCH(TRUE,Data!FS8:FS208&gt;=0.1,0),"Failed")</f>
        <v>Failed</v>
      </c>
      <c r="H52" s="24" t="str">
        <f t="array" ref="H52">IFERROR(MATCH(TRUE,Data!FS8:FS208&gt;=0.15,0),"Failed")</f>
        <v>Failed</v>
      </c>
      <c r="I52" s="24" t="str">
        <f t="array" ref="I52">IFERROR(MATCH(TRUE,Data!FS8:FS208&gt;=0.2,0),"Failed")</f>
        <v>Failed</v>
      </c>
      <c r="J52" s="24" t="str">
        <f t="array" ref="J52">IFERROR(MATCH(TRUE,Data!FS8:FS208&gt;=0.25,0),"Failed")</f>
        <v>Failed</v>
      </c>
      <c r="K52" s="24"/>
      <c r="L52" s="24"/>
    </row>
    <row r="53" ht="15.75" customHeight="1">
      <c r="A53" s="23">
        <v>45286.0</v>
      </c>
      <c r="B53" s="20" t="s">
        <v>73</v>
      </c>
      <c r="C53" s="20" t="s">
        <v>21</v>
      </c>
      <c r="D53" s="20" t="s">
        <v>29</v>
      </c>
      <c r="E53" s="21" t="str">
        <f t="shared" si="4"/>
        <v>NSE:KIRLOSENG</v>
      </c>
      <c r="F53" s="24">
        <f t="array" ref="F53">IFERROR(MATCH(TRUE,Data!FW8:FW208&gt;=0.05,0),"Failed")</f>
        <v>12</v>
      </c>
      <c r="G53" s="24">
        <f t="array" ref="G53">IFERROR(MATCH(TRUE,Data!FW8:FW208&gt;=0.1,0),"Failed")</f>
        <v>28</v>
      </c>
      <c r="H53" s="24">
        <f t="array" ref="H53">IFERROR(MATCH(TRUE,Data!FW8:FW208&gt;=0.15,0),"Failed")</f>
        <v>29</v>
      </c>
      <c r="I53" s="24">
        <f t="array" ref="I53">IFERROR(MATCH(TRUE,Data!FW8:FW208&gt;=0.2,0),"Failed")</f>
        <v>30</v>
      </c>
      <c r="J53" s="24">
        <f t="array" ref="J53">IFERROR(MATCH(TRUE,Data!FW8:FW208&gt;=0.25,0),"Failed")</f>
        <v>31</v>
      </c>
      <c r="K53" s="24"/>
      <c r="L53" s="24"/>
    </row>
    <row r="54" ht="15.75" customHeight="1">
      <c r="A54" s="23">
        <v>45286.0</v>
      </c>
      <c r="B54" s="20" t="s">
        <v>74</v>
      </c>
      <c r="C54" s="20" t="s">
        <v>16</v>
      </c>
      <c r="D54" s="20" t="s">
        <v>14</v>
      </c>
      <c r="E54" s="21" t="str">
        <f t="shared" si="4"/>
        <v>NSE:BROOKS</v>
      </c>
      <c r="F54" s="24">
        <f t="array" ref="F54">IFERROR(MATCH(TRUE,Data!GA8:GA208&gt;=0.05,0),"Failed")</f>
        <v>8</v>
      </c>
      <c r="G54" s="24" t="str">
        <f t="array" ref="G54">IFERROR(MATCH(TRUE,Data!GA8:GA208&gt;=0.1,0),"Failed")</f>
        <v>Failed</v>
      </c>
      <c r="H54" s="24" t="str">
        <f t="array" ref="H54">IFERROR(MATCH(TRUE,Data!GA8:GA208&gt;=0.15,0),"Failed")</f>
        <v>Failed</v>
      </c>
      <c r="I54" s="24" t="str">
        <f t="array" ref="I54">IFERROR(MATCH(TRUE,Data!GA8:GA208&gt;=0.2,0),"Failed")</f>
        <v>Failed</v>
      </c>
      <c r="J54" s="24" t="str">
        <f t="array" ref="J54">IFERROR(MATCH(TRUE,Data!GA8:GA208&gt;=0.25,0),"Failed")</f>
        <v>Failed</v>
      </c>
      <c r="K54" s="24"/>
      <c r="L54" s="24"/>
    </row>
    <row r="55" ht="15.75" customHeight="1">
      <c r="A55" s="23">
        <v>45286.0</v>
      </c>
      <c r="B55" s="20" t="s">
        <v>75</v>
      </c>
      <c r="C55" s="20" t="s">
        <v>16</v>
      </c>
      <c r="D55" s="20" t="s">
        <v>37</v>
      </c>
      <c r="E55" s="21" t="str">
        <f t="shared" si="4"/>
        <v>NSE:NURECA</v>
      </c>
      <c r="F55" s="24" t="str">
        <f t="array" ref="F55">IFERROR(MATCH(TRUE,Data!GE8:GE208&gt;=0.05,0),"Failed")</f>
        <v>Failed</v>
      </c>
      <c r="G55" s="24" t="str">
        <f t="array" ref="G55">IFERROR(MATCH(TRUE,Data!GE8:GE208&gt;=0.1,0),"Failed")</f>
        <v>Failed</v>
      </c>
      <c r="H55" s="24" t="str">
        <f t="array" ref="H55">IFERROR(MATCH(TRUE,Data!GE8:GE208&gt;=0.15,0),"Failed")</f>
        <v>Failed</v>
      </c>
      <c r="I55" s="24" t="str">
        <f t="array" ref="I55">IFERROR(MATCH(TRUE,Data!GE8:GE208&gt;=0.2,0),"Failed")</f>
        <v>Failed</v>
      </c>
      <c r="J55" s="24" t="str">
        <f t="array" ref="J55">IFERROR(MATCH(TRUE,Data!GE8:GE208&gt;=0.25,0),"Failed")</f>
        <v>Failed</v>
      </c>
      <c r="K55" s="24"/>
      <c r="L55" s="24"/>
    </row>
    <row r="56" ht="15.75" customHeight="1">
      <c r="A56" s="23">
        <v>45286.0</v>
      </c>
      <c r="B56" s="20" t="s">
        <v>76</v>
      </c>
      <c r="C56" s="20" t="s">
        <v>21</v>
      </c>
      <c r="D56" s="20" t="s">
        <v>31</v>
      </c>
      <c r="E56" s="21" t="str">
        <f t="shared" si="4"/>
        <v>NSE:IWEL</v>
      </c>
      <c r="F56" s="24">
        <f t="array" ref="F56">IFERROR(MATCH(TRUE,Data!GI8:GI208&gt;=0.05,0),"Failed")</f>
        <v>4</v>
      </c>
      <c r="G56" s="24">
        <f t="array" ref="G56">IFERROR(MATCH(TRUE,Data!GI8:GI208&gt;=0.1,0),"Failed")</f>
        <v>5</v>
      </c>
      <c r="H56" s="24">
        <f t="array" ref="H56">IFERROR(MATCH(TRUE,Data!GI8:GI208&gt;=0.15,0),"Failed")</f>
        <v>6</v>
      </c>
      <c r="I56" s="24">
        <f t="array" ref="I56">IFERROR(MATCH(TRUE,Data!GI8:GI208&gt;=0.2,0),"Failed")</f>
        <v>7</v>
      </c>
      <c r="J56" s="24">
        <f t="array" ref="J56">IFERROR(MATCH(TRUE,Data!GI8:GI208&gt;=0.25,0),"Failed")</f>
        <v>37</v>
      </c>
      <c r="K56" s="24"/>
      <c r="L56" s="24"/>
    </row>
    <row r="57" ht="15.75" customHeight="1">
      <c r="A57" s="23">
        <v>45286.0</v>
      </c>
      <c r="B57" s="20" t="s">
        <v>77</v>
      </c>
      <c r="C57" s="20" t="s">
        <v>16</v>
      </c>
      <c r="D57" s="20" t="s">
        <v>27</v>
      </c>
      <c r="E57" s="21" t="str">
        <f t="shared" si="4"/>
        <v>NSE:SIKKO</v>
      </c>
      <c r="F57" s="24" t="str">
        <f t="array" ref="F57">IFERROR(MATCH(TRUE,Data!GM8:GM208&gt;=0.05,0),"Failed")</f>
        <v>Failed</v>
      </c>
      <c r="G57" s="24" t="str">
        <f t="array" ref="G57">IFERROR(MATCH(TRUE,Data!GM8:GM208&gt;=0.1,0),"Failed")</f>
        <v>Failed</v>
      </c>
      <c r="H57" s="24" t="str">
        <f t="array" ref="H57">IFERROR(MATCH(TRUE,Data!GM8:GM208&gt;=0.15,0),"Failed")</f>
        <v>Failed</v>
      </c>
      <c r="I57" s="24" t="str">
        <f t="array" ref="I57">IFERROR(MATCH(TRUE,Data!GM8:GM208&gt;=0.2,0),"Failed")</f>
        <v>Failed</v>
      </c>
      <c r="J57" s="24" t="str">
        <f t="array" ref="J57">IFERROR(MATCH(TRUE,Data!GM8:GM208&gt;=0.25,0),"Failed")</f>
        <v>Failed</v>
      </c>
      <c r="K57" s="24"/>
      <c r="L57" s="24"/>
    </row>
    <row r="58" ht="15.75" customHeight="1">
      <c r="A58" s="26">
        <v>45286.0</v>
      </c>
      <c r="B58" s="20" t="s">
        <v>78</v>
      </c>
      <c r="C58" s="20" t="s">
        <v>21</v>
      </c>
      <c r="D58" s="20" t="s">
        <v>27</v>
      </c>
      <c r="E58" s="21" t="str">
        <f t="shared" si="4"/>
        <v>NSE:TEGA</v>
      </c>
      <c r="F58" s="24">
        <f t="array" ref="F58">IFERROR(MATCH(TRUE,Data!GQ8:GQ208&gt;=0.05,0),"Failed")</f>
        <v>1</v>
      </c>
      <c r="G58" s="24">
        <f t="array" ref="G58">IFERROR(MATCH(TRUE,Data!GQ8:GQ208&gt;=0.1,0),"Failed")</f>
        <v>1</v>
      </c>
      <c r="H58" s="24">
        <f t="array" ref="H58">IFERROR(MATCH(TRUE,Data!GQ8:GQ208&gt;=0.15,0),"Failed")</f>
        <v>35</v>
      </c>
      <c r="I58" s="24">
        <f t="array" ref="I58">IFERROR(MATCH(TRUE,Data!GQ8:GQ208&gt;=0.2,0),"Failed")</f>
        <v>35</v>
      </c>
      <c r="J58" s="24">
        <f t="array" ref="J58">IFERROR(MATCH(TRUE,Data!GQ8:GQ208&gt;=0.25,0),"Failed")</f>
        <v>35</v>
      </c>
      <c r="K58" s="24"/>
      <c r="L58" s="24"/>
    </row>
    <row r="59" ht="15.75" customHeight="1">
      <c r="A59" s="23">
        <v>45286.0</v>
      </c>
      <c r="B59" s="20" t="s">
        <v>79</v>
      </c>
      <c r="C59" s="20" t="s">
        <v>16</v>
      </c>
      <c r="D59" s="20" t="s">
        <v>27</v>
      </c>
      <c r="E59" s="21" t="str">
        <f t="shared" si="4"/>
        <v>NSE:NAGAFERT</v>
      </c>
      <c r="F59" s="24">
        <f t="array" ref="F59">IFERROR(MATCH(TRUE,Data!GU8:GU208&gt;=0.05,0),"Failed")</f>
        <v>4</v>
      </c>
      <c r="G59" s="24">
        <f t="array" ref="G59">IFERROR(MATCH(TRUE,Data!GU8:GU208&gt;=0.1,0),"Failed")</f>
        <v>5</v>
      </c>
      <c r="H59" s="24">
        <f t="array" ref="H59">IFERROR(MATCH(TRUE,Data!GU8:GU208&gt;=0.15,0),"Failed")</f>
        <v>6</v>
      </c>
      <c r="I59" s="24">
        <f t="array" ref="I59">IFERROR(MATCH(TRUE,Data!GU8:GU208&gt;=0.2,0),"Failed")</f>
        <v>6</v>
      </c>
      <c r="J59" s="24" t="str">
        <f t="array" ref="J59">IFERROR(MATCH(TRUE,Data!GU8:GU208&gt;=0.25,0),"Failed")</f>
        <v>Failed</v>
      </c>
      <c r="K59" s="24"/>
      <c r="L59" s="24"/>
    </row>
    <row r="60" ht="15.75" customHeight="1">
      <c r="A60" s="23">
        <v>45287.0</v>
      </c>
      <c r="B60" s="20" t="s">
        <v>80</v>
      </c>
      <c r="C60" s="20" t="s">
        <v>16</v>
      </c>
      <c r="D60" s="20" t="s">
        <v>29</v>
      </c>
      <c r="E60" s="21" t="str">
        <f t="shared" si="4"/>
        <v>NSE:HEADSUP</v>
      </c>
      <c r="F60" s="24">
        <f t="array" ref="F60">IFERROR(MATCH(TRUE,Data!GY8:GY208&gt;=0.05,0),"Failed")</f>
        <v>8</v>
      </c>
      <c r="G60" s="24">
        <f t="array" ref="G60">IFERROR(MATCH(TRUE,Data!GY8:GY208&gt;=0.1,0),"Failed")</f>
        <v>8</v>
      </c>
      <c r="H60" s="24">
        <f t="array" ref="H60">IFERROR(MATCH(TRUE,Data!GY8:GY208&gt;=0.15,0),"Failed")</f>
        <v>21</v>
      </c>
      <c r="I60" s="24">
        <f t="array" ref="I60">IFERROR(MATCH(TRUE,Data!GY8:GY208&gt;=0.2,0),"Failed")</f>
        <v>22</v>
      </c>
      <c r="J60" s="24">
        <f t="array" ref="J60">IFERROR(MATCH(TRUE,Data!GY8:GY208&gt;=0.25,0),"Failed")</f>
        <v>22</v>
      </c>
      <c r="K60" s="24"/>
      <c r="L60" s="24"/>
    </row>
    <row r="61" ht="15.75" customHeight="1">
      <c r="A61" s="23">
        <v>45287.0</v>
      </c>
      <c r="B61" s="20" t="s">
        <v>81</v>
      </c>
      <c r="C61" s="20" t="s">
        <v>13</v>
      </c>
      <c r="D61" s="20" t="s">
        <v>25</v>
      </c>
      <c r="E61" s="21" t="str">
        <f t="shared" si="4"/>
        <v>NSE:HINDALCO</v>
      </c>
      <c r="F61" s="24" t="str">
        <f t="array" ref="F61">IFERROR(MATCH(TRUE,Data!HC8:HC208&gt;=0.05,0),"Failed")</f>
        <v>Failed</v>
      </c>
      <c r="G61" s="24" t="str">
        <f t="array" ref="G61">IFERROR(MATCH(TRUE,Data!HC8:HC208&gt;=0.1,0),"Failed")</f>
        <v>Failed</v>
      </c>
      <c r="H61" s="24" t="str">
        <f t="array" ref="H61">IFERROR(MATCH(TRUE,Data!HC8:HC208&gt;=0.15,0),"Failed")</f>
        <v>Failed</v>
      </c>
      <c r="I61" s="24" t="str">
        <f t="array" ref="I61">IFERROR(MATCH(TRUE,Data!HC8:HC208&gt;=0.2,0),"Failed")</f>
        <v>Failed</v>
      </c>
      <c r="J61" s="24" t="str">
        <f t="array" ref="J61">IFERROR(MATCH(TRUE,Data!HC8:HC208&gt;=0.25,0),"Failed")</f>
        <v>Failed</v>
      </c>
      <c r="K61" s="24"/>
      <c r="L61" s="24"/>
    </row>
    <row r="62" ht="15.75" customHeight="1">
      <c r="A62" s="23">
        <v>45287.0</v>
      </c>
      <c r="B62" s="20" t="s">
        <v>28</v>
      </c>
      <c r="C62" s="20" t="s">
        <v>21</v>
      </c>
      <c r="D62" s="20" t="s">
        <v>29</v>
      </c>
      <c r="E62" s="21" t="str">
        <f t="shared" si="4"/>
        <v>NSE:BBL</v>
      </c>
      <c r="F62" s="24" t="str">
        <f t="array" ref="F62">IFERROR(MATCH(TRUE,Data!HG8:HG208&gt;=0.05,0),"Failed")</f>
        <v>Failed</v>
      </c>
      <c r="G62" s="24" t="str">
        <f t="array" ref="G62">IFERROR(MATCH(TRUE,Data!HG8:HG208&gt;=0.1,0),"Failed")</f>
        <v>Failed</v>
      </c>
      <c r="H62" s="24" t="str">
        <f t="array" ref="H62">IFERROR(MATCH(TRUE,Data!HG8:HG208&gt;=0.15,0),"Failed")</f>
        <v>Failed</v>
      </c>
      <c r="I62" s="24" t="str">
        <f t="array" ref="I62">IFERROR(MATCH(TRUE,Data!HG8:HG208&gt;=0.2,0),"Failed")</f>
        <v>Failed</v>
      </c>
      <c r="J62" s="24" t="str">
        <f t="array" ref="J62">IFERROR(MATCH(TRUE,Data!HG8:HG208&gt;=0.25,0),"Failed")</f>
        <v>Failed</v>
      </c>
      <c r="K62" s="24"/>
      <c r="L62" s="24"/>
    </row>
    <row r="63" ht="15.75" customHeight="1">
      <c r="A63" s="23">
        <v>45287.0</v>
      </c>
      <c r="B63" s="20" t="s">
        <v>32</v>
      </c>
      <c r="C63" s="20" t="s">
        <v>16</v>
      </c>
      <c r="D63" s="20" t="s">
        <v>29</v>
      </c>
      <c r="E63" s="21" t="str">
        <f t="shared" si="4"/>
        <v>NSE:DYNAMATECH</v>
      </c>
      <c r="F63" s="24">
        <f t="array" ref="F63">IFERROR(MATCH(TRUE,Data!HK8:HK208&gt;=0.05,0),"Failed")</f>
        <v>7</v>
      </c>
      <c r="G63" s="24">
        <f t="array" ref="G63">IFERROR(MATCH(TRUE,Data!HK8:HK208&gt;=0.1,0),"Failed")</f>
        <v>16</v>
      </c>
      <c r="H63" s="24">
        <f t="array" ref="H63">IFERROR(MATCH(TRUE,Data!HK8:HK208&gt;=0.15,0),"Failed")</f>
        <v>16</v>
      </c>
      <c r="I63" s="24">
        <f t="array" ref="I63">IFERROR(MATCH(TRUE,Data!HK8:HK208&gt;=0.2,0),"Failed")</f>
        <v>18</v>
      </c>
      <c r="J63" s="24">
        <f t="array" ref="J63">IFERROR(MATCH(TRUE,Data!HK8:HK208&gt;=0.25,0),"Failed")</f>
        <v>18</v>
      </c>
      <c r="K63" s="24"/>
      <c r="L63" s="24"/>
    </row>
    <row r="64" ht="15.75" customHeight="1">
      <c r="A64" s="23">
        <v>45287.0</v>
      </c>
      <c r="B64" s="20" t="s">
        <v>82</v>
      </c>
      <c r="C64" s="20" t="s">
        <v>21</v>
      </c>
      <c r="D64" s="20" t="s">
        <v>29</v>
      </c>
      <c r="E64" s="21" t="str">
        <f t="shared" si="4"/>
        <v>NSE:JAICORPLTD</v>
      </c>
      <c r="F64" s="24" t="str">
        <f t="array" ref="F64">IFERROR(MATCH(TRUE,Data!HO8:HO208&gt;=0.05,0),"Failed")</f>
        <v>Failed</v>
      </c>
      <c r="G64" s="24" t="str">
        <f t="array" ref="G64">IFERROR(MATCH(TRUE,Data!HO8:HO208&gt;=0.1,0),"Failed")</f>
        <v>Failed</v>
      </c>
      <c r="H64" s="24" t="str">
        <f t="array" ref="H64">IFERROR(MATCH(TRUE,Data!HO8:HO208&gt;=0.15,0),"Failed")</f>
        <v>Failed</v>
      </c>
      <c r="I64" s="24" t="str">
        <f t="array" ref="I64">IFERROR(MATCH(TRUE,Data!HO8:HO208&gt;=0.2,0),"Failed")</f>
        <v>Failed</v>
      </c>
      <c r="J64" s="24" t="str">
        <f t="array" ref="J64">IFERROR(MATCH(TRUE,Data!HO8:HO208&gt;=0.25,0),"Failed")</f>
        <v>Failed</v>
      </c>
      <c r="K64" s="24"/>
      <c r="L64" s="24"/>
    </row>
    <row r="65" ht="15.75" customHeight="1">
      <c r="A65" s="23">
        <v>45287.0</v>
      </c>
      <c r="B65" s="20" t="s">
        <v>41</v>
      </c>
      <c r="C65" s="20" t="s">
        <v>13</v>
      </c>
      <c r="D65" s="20" t="s">
        <v>31</v>
      </c>
      <c r="E65" s="21" t="str">
        <f t="shared" si="4"/>
        <v>NSE:NLCINDIA</v>
      </c>
      <c r="F65" s="24">
        <f t="array" ref="F65">IFERROR(MATCH(TRUE,Data!HS8:HS208&gt;=0.05,0),"Failed")</f>
        <v>25</v>
      </c>
      <c r="G65" s="24">
        <f t="array" ref="G65">IFERROR(MATCH(TRUE,Data!HS8:HS208&gt;=0.1,0),"Failed")</f>
        <v>26</v>
      </c>
      <c r="H65" s="24">
        <f t="array" ref="H65">IFERROR(MATCH(TRUE,Data!HS8:HS208&gt;=0.15,0),"Failed")</f>
        <v>26</v>
      </c>
      <c r="I65" s="24" t="str">
        <f t="array" ref="I65">IFERROR(MATCH(TRUE,Data!HS8:HS208&gt;=0.2,0),"Failed")</f>
        <v>Failed</v>
      </c>
      <c r="J65" s="24" t="str">
        <f t="array" ref="J65">IFERROR(MATCH(TRUE,Data!HS8:HS208&gt;=0.25,0),"Failed")</f>
        <v>Failed</v>
      </c>
      <c r="K65" s="24"/>
      <c r="L65" s="24"/>
    </row>
    <row r="66" ht="15.75" customHeight="1">
      <c r="A66" s="23">
        <v>45287.0</v>
      </c>
      <c r="B66" s="20" t="s">
        <v>42</v>
      </c>
      <c r="C66" s="20" t="s">
        <v>16</v>
      </c>
      <c r="D66" s="20" t="s">
        <v>31</v>
      </c>
      <c r="E66" s="21" t="str">
        <f t="shared" si="4"/>
        <v>NSE:MADHAV</v>
      </c>
      <c r="F66" s="24">
        <f t="array" ref="F66">IFERROR(MATCH(TRUE,Data!HW8:HW208&gt;=0.05,0),"Failed")</f>
        <v>7</v>
      </c>
      <c r="G66" s="24">
        <f t="array" ref="G66">IFERROR(MATCH(TRUE,Data!HW8:HW208&gt;=0.1,0),"Failed")</f>
        <v>7</v>
      </c>
      <c r="H66" s="24">
        <f t="array" ref="H66">IFERROR(MATCH(TRUE,Data!HW8:HW208&gt;=0.15,0),"Failed")</f>
        <v>8</v>
      </c>
      <c r="I66" s="24">
        <f t="array" ref="I66">IFERROR(MATCH(TRUE,Data!HW8:HW208&gt;=0.2,0),"Failed")</f>
        <v>8</v>
      </c>
      <c r="J66" s="24">
        <f t="array" ref="J66">IFERROR(MATCH(TRUE,Data!HW8:HW208&gt;=0.25,0),"Failed")</f>
        <v>8</v>
      </c>
      <c r="K66" s="24"/>
      <c r="L66" s="24"/>
    </row>
    <row r="67" ht="15.75" customHeight="1">
      <c r="A67" s="23">
        <v>45287.0</v>
      </c>
      <c r="B67" s="20" t="s">
        <v>44</v>
      </c>
      <c r="C67" s="20" t="s">
        <v>16</v>
      </c>
      <c r="D67" s="25"/>
      <c r="E67" s="21" t="str">
        <f t="shared" si="4"/>
        <v>NSE:WEL</v>
      </c>
      <c r="F67" s="24" t="str">
        <f t="array" ref="F67">IFERROR(MATCH(TRUE,Data!IA8:IA208&gt;=0.05,0),"Failed")</f>
        <v>Failed</v>
      </c>
      <c r="G67" s="24" t="str">
        <f t="array" ref="G67">IFERROR(MATCH(TRUE,Data!IA8:IA208&gt;=0.1,0),"Failed")</f>
        <v>Failed</v>
      </c>
      <c r="H67" s="24" t="str">
        <f t="array" ref="H67">IFERROR(MATCH(TRUE,Data!IA8:IA208&gt;=0.15,0),"Failed")</f>
        <v>Failed</v>
      </c>
      <c r="I67" s="24" t="str">
        <f t="array" ref="I67">IFERROR(MATCH(TRUE,Data!IA8:IA208&gt;=0.2,0),"Failed")</f>
        <v>Failed</v>
      </c>
      <c r="J67" s="24" t="str">
        <f t="array" ref="J67">IFERROR(MATCH(TRUE,Data!IA8:IA208&gt;=0.25,0),"Failed")</f>
        <v>Failed</v>
      </c>
      <c r="K67" s="24"/>
      <c r="L67" s="24"/>
    </row>
    <row r="68" ht="15.75" customHeight="1">
      <c r="A68" s="23">
        <v>45287.0</v>
      </c>
      <c r="B68" s="20" t="s">
        <v>83</v>
      </c>
      <c r="C68" s="20" t="s">
        <v>16</v>
      </c>
      <c r="D68" s="20" t="s">
        <v>53</v>
      </c>
      <c r="E68" s="21" t="str">
        <f t="shared" si="4"/>
        <v>NSE:SURYALAXMI</v>
      </c>
      <c r="F68" s="24" t="str">
        <f t="array" ref="F68">IFERROR(MATCH(TRUE,Data!IE8:IE208&gt;=0.05,0),"Failed")</f>
        <v>Failed</v>
      </c>
      <c r="G68" s="24" t="str">
        <f t="array" ref="G68">IFERROR(MATCH(TRUE,Data!IE8:IE208&gt;=0.1,0),"Failed")</f>
        <v>Failed</v>
      </c>
      <c r="H68" s="24" t="str">
        <f t="array" ref="H68">IFERROR(MATCH(TRUE,Data!IE8:IE208&gt;=0.15,0),"Failed")</f>
        <v>Failed</v>
      </c>
      <c r="I68" s="24" t="str">
        <f t="array" ref="I68">IFERROR(MATCH(TRUE,Data!IE8:IE208&gt;=0.2,0),"Failed")</f>
        <v>Failed</v>
      </c>
      <c r="J68" s="24" t="str">
        <f t="array" ref="J68">IFERROR(MATCH(TRUE,Data!IE8:IE208&gt;=0.25,0),"Failed")</f>
        <v>Failed</v>
      </c>
      <c r="K68" s="24"/>
      <c r="L68" s="24"/>
    </row>
    <row r="69" ht="15.75" customHeight="1">
      <c r="A69" s="23">
        <v>45287.0</v>
      </c>
      <c r="B69" s="20" t="s">
        <v>84</v>
      </c>
      <c r="C69" s="20" t="s">
        <v>21</v>
      </c>
      <c r="D69" s="20" t="s">
        <v>14</v>
      </c>
      <c r="E69" s="21" t="str">
        <f t="shared" si="4"/>
        <v>NSE:AARTIPHARM</v>
      </c>
      <c r="F69" s="24">
        <f t="array" ref="F69">IFERROR(MATCH(TRUE,Data!II8:II208&gt;=0.05,0),"Failed")</f>
        <v>12</v>
      </c>
      <c r="G69" s="24" t="str">
        <f t="array" ref="G69">IFERROR(MATCH(TRUE,Data!II8:II208&gt;=0.1,0),"Failed")</f>
        <v>Failed</v>
      </c>
      <c r="H69" s="24" t="str">
        <f t="array" ref="H69">IFERROR(MATCH(TRUE,Data!II8:II208&gt;=0.15,0),"Failed")</f>
        <v>Failed</v>
      </c>
      <c r="I69" s="24" t="str">
        <f t="array" ref="I69">IFERROR(MATCH(TRUE,Data!II8:II208&gt;=0.2,0),"Failed")</f>
        <v>Failed</v>
      </c>
      <c r="J69" s="24" t="str">
        <f t="array" ref="J69">IFERROR(MATCH(TRUE,Data!II8:II208&gt;=0.25,0),"Failed")</f>
        <v>Failed</v>
      </c>
      <c r="K69" s="24"/>
      <c r="L69" s="24"/>
    </row>
    <row r="70" ht="15.75" customHeight="1">
      <c r="A70" s="23">
        <v>45287.0</v>
      </c>
      <c r="B70" s="20" t="s">
        <v>85</v>
      </c>
      <c r="C70" s="20" t="s">
        <v>16</v>
      </c>
      <c r="D70" s="20" t="s">
        <v>29</v>
      </c>
      <c r="E70" s="21" t="str">
        <f t="shared" si="4"/>
        <v>NSE:SHANTIGEAR</v>
      </c>
      <c r="F70" s="24" t="str">
        <f t="array" ref="F70">IFERROR(MATCH(TRUE,Data!IM8:IM208&gt;=0.05,0),"Failed")</f>
        <v>Failed</v>
      </c>
      <c r="G70" s="24" t="str">
        <f t="array" ref="G70">IFERROR(MATCH(TRUE,Data!IM8:IM208&gt;=0.1,0),"Failed")</f>
        <v>Failed</v>
      </c>
      <c r="H70" s="24" t="str">
        <f t="array" ref="H70">IFERROR(MATCH(TRUE,Data!IM8:IM208&gt;=0.15,0),"Failed")</f>
        <v>Failed</v>
      </c>
      <c r="I70" s="24" t="str">
        <f t="array" ref="I70">IFERROR(MATCH(TRUE,Data!IM8:IM208&gt;=0.2,0),"Failed")</f>
        <v>Failed</v>
      </c>
      <c r="J70" s="24" t="str">
        <f t="array" ref="J70">IFERROR(MATCH(TRUE,Data!IM8:IM208&gt;=0.25,0),"Failed")</f>
        <v>Failed</v>
      </c>
      <c r="K70" s="24"/>
      <c r="L70" s="24"/>
    </row>
    <row r="71" ht="15.75" customHeight="1">
      <c r="A71" s="23">
        <v>45287.0</v>
      </c>
      <c r="B71" s="20" t="s">
        <v>86</v>
      </c>
      <c r="C71" s="20" t="s">
        <v>16</v>
      </c>
      <c r="D71" s="20" t="s">
        <v>64</v>
      </c>
      <c r="E71" s="21" t="str">
        <f t="shared" si="4"/>
        <v>NSE:DOLPHIN</v>
      </c>
      <c r="F71" s="24">
        <f t="array" ref="F71">IFERROR(MATCH(TRUE,Data!IQ8:IQ208&gt;=0.05,0),"Failed")</f>
        <v>4</v>
      </c>
      <c r="G71" s="24">
        <f t="array" ref="G71">IFERROR(MATCH(TRUE,Data!IQ8:IQ208&gt;=0.1,0),"Failed")</f>
        <v>6</v>
      </c>
      <c r="H71" s="24">
        <f t="array" ref="H71">IFERROR(MATCH(TRUE,Data!IQ8:IQ208&gt;=0.15,0),"Failed")</f>
        <v>9</v>
      </c>
      <c r="I71" s="24">
        <f t="array" ref="I71">IFERROR(MATCH(TRUE,Data!IQ8:IQ208&gt;=0.2,0),"Failed")</f>
        <v>11</v>
      </c>
      <c r="J71" s="24">
        <f t="array" ref="J71">IFERROR(MATCH(TRUE,Data!IQ8:IQ208&gt;=0.25,0),"Failed")</f>
        <v>13</v>
      </c>
      <c r="K71" s="24"/>
      <c r="L71" s="24"/>
    </row>
    <row r="72" ht="15.75" customHeight="1">
      <c r="A72" s="23">
        <v>45287.0</v>
      </c>
      <c r="B72" s="20" t="s">
        <v>87</v>
      </c>
      <c r="C72" s="20" t="s">
        <v>16</v>
      </c>
      <c r="D72" s="20" t="s">
        <v>37</v>
      </c>
      <c r="E72" s="21" t="str">
        <f t="shared" si="4"/>
        <v>NSE:CONTROLPR</v>
      </c>
      <c r="F72" s="24">
        <f t="array" ref="F72">IFERROR(MATCH(TRUE,Data!IU8:IU208&gt;=0.05,0),"Failed")</f>
        <v>3</v>
      </c>
      <c r="G72" s="24" t="str">
        <f t="array" ref="G72">IFERROR(MATCH(TRUE,Data!IU8:IU208&gt;=0.1,0),"Failed")</f>
        <v>Failed</v>
      </c>
      <c r="H72" s="24" t="str">
        <f t="array" ref="H72">IFERROR(MATCH(TRUE,Data!IU8:IU208&gt;=0.15,0),"Failed")</f>
        <v>Failed</v>
      </c>
      <c r="I72" s="24" t="str">
        <f t="array" ref="I72">IFERROR(MATCH(TRUE,Data!IU8:IU208&gt;=0.2,0),"Failed")</f>
        <v>Failed</v>
      </c>
      <c r="J72" s="24" t="str">
        <f t="array" ref="J72">IFERROR(MATCH(TRUE,Data!IU8:IU208&gt;=0.25,0),"Failed")</f>
        <v>Failed</v>
      </c>
      <c r="K72" s="24"/>
      <c r="L72" s="24"/>
    </row>
    <row r="73" ht="15.75" customHeight="1">
      <c r="A73" s="23">
        <v>45287.0</v>
      </c>
      <c r="B73" s="20" t="s">
        <v>88</v>
      </c>
      <c r="C73" s="20" t="s">
        <v>16</v>
      </c>
      <c r="D73" s="20" t="s">
        <v>22</v>
      </c>
      <c r="E73" s="21" t="str">
        <f t="shared" si="4"/>
        <v>NSE:BLAL</v>
      </c>
      <c r="F73" s="24">
        <f t="array" ref="F73">IFERROR(MATCH(TRUE,Data!IY8:IY208&gt;=0.05,0),"Failed")</f>
        <v>2</v>
      </c>
      <c r="G73" s="24">
        <f t="array" ref="G73">IFERROR(MATCH(TRUE,Data!IY8:IY208&gt;=0.1,0),"Failed")</f>
        <v>22</v>
      </c>
      <c r="H73" s="24">
        <f t="array" ref="H73">IFERROR(MATCH(TRUE,Data!IY8:IY208&gt;=0.15,0),"Failed")</f>
        <v>24</v>
      </c>
      <c r="I73" s="24">
        <f t="array" ref="I73">IFERROR(MATCH(TRUE,Data!IY8:IY208&gt;=0.2,0),"Failed")</f>
        <v>24</v>
      </c>
      <c r="J73" s="24">
        <f t="array" ref="J73">IFERROR(MATCH(TRUE,Data!IY8:IY208&gt;=0.25,0),"Failed")</f>
        <v>24</v>
      </c>
      <c r="K73" s="24"/>
      <c r="L73" s="24"/>
    </row>
    <row r="74" ht="15.75" customHeight="1">
      <c r="A74" s="23">
        <v>45287.0</v>
      </c>
      <c r="B74" s="20" t="s">
        <v>89</v>
      </c>
      <c r="C74" s="20" t="s">
        <v>13</v>
      </c>
      <c r="D74" s="20" t="s">
        <v>31</v>
      </c>
      <c r="E74" s="21" t="str">
        <f t="shared" si="4"/>
        <v>NSE:3MINDIA</v>
      </c>
      <c r="F74" s="24">
        <f t="array" ref="F74">IFERROR(MATCH(TRUE,Data!JC8:JC208&gt;=0.05,0),"Failed")</f>
        <v>2</v>
      </c>
      <c r="G74" s="24">
        <f t="array" ref="G74">IFERROR(MATCH(TRUE,Data!JC8:JC208&gt;=0.1,0),"Failed")</f>
        <v>2</v>
      </c>
      <c r="H74" s="24" t="str">
        <f t="array" ref="H74">IFERROR(MATCH(TRUE,Data!JC8:JC208&gt;=0.15,0),"Failed")</f>
        <v>Failed</v>
      </c>
      <c r="I74" s="24" t="str">
        <f t="array" ref="I74">IFERROR(MATCH(TRUE,Data!JC8:JC208&gt;=0.2,0),"Failed")</f>
        <v>Failed</v>
      </c>
      <c r="J74" s="24" t="str">
        <f t="array" ref="J74">IFERROR(MATCH(TRUE,Data!JC8:JC208&gt;=0.25,0),"Failed")</f>
        <v>Failed</v>
      </c>
      <c r="K74" s="24"/>
      <c r="L74" s="24"/>
    </row>
    <row r="75" ht="15.75" customHeight="1">
      <c r="A75" s="23">
        <v>45287.0</v>
      </c>
      <c r="B75" s="20" t="s">
        <v>46</v>
      </c>
      <c r="C75" s="20" t="s">
        <v>13</v>
      </c>
      <c r="D75" s="20" t="s">
        <v>27</v>
      </c>
      <c r="E75" s="21" t="str">
        <f t="shared" si="4"/>
        <v>NSE:AARTIIND</v>
      </c>
      <c r="F75" s="24">
        <f t="array" ref="F75">IFERROR(MATCH(TRUE,Data!JG8:JG208&gt;=0.05,0),"Failed")</f>
        <v>17</v>
      </c>
      <c r="G75" s="24">
        <f t="array" ref="G75">IFERROR(MATCH(TRUE,Data!JG8:JG208&gt;=0.1,0),"Failed")</f>
        <v>35</v>
      </c>
      <c r="H75" s="24" t="str">
        <f t="array" ref="H75">IFERROR(MATCH(TRUE,Data!JG8:JG208&gt;=0.15,0),"Failed")</f>
        <v>Failed</v>
      </c>
      <c r="I75" s="24" t="str">
        <f t="array" ref="I75">IFERROR(MATCH(TRUE,Data!JG8:JG208&gt;=0.2,0),"Failed")</f>
        <v>Failed</v>
      </c>
      <c r="J75" s="24" t="str">
        <f t="array" ref="J75">IFERROR(MATCH(TRUE,Data!JG8:JG208&gt;=0.25,0),"Failed")</f>
        <v>Failed</v>
      </c>
      <c r="K75" s="24"/>
      <c r="L75" s="24"/>
    </row>
    <row r="76" ht="15.75" customHeight="1">
      <c r="A76" s="23">
        <v>45287.0</v>
      </c>
      <c r="B76" s="20" t="s">
        <v>47</v>
      </c>
      <c r="C76" s="20" t="s">
        <v>16</v>
      </c>
      <c r="D76" s="20" t="s">
        <v>39</v>
      </c>
      <c r="E76" s="21" t="str">
        <f t="shared" si="4"/>
        <v>NSE:STEL</v>
      </c>
      <c r="F76" s="24" t="str">
        <f t="array" ref="F76">IFERROR(MATCH(TRUE,Data!JK8:JK208&gt;=0.05,0),"Failed")</f>
        <v>Failed</v>
      </c>
      <c r="G76" s="24" t="str">
        <f t="array" ref="G76">IFERROR(MATCH(TRUE,Data!JK8:JK208&gt;=0.1,0),"Failed")</f>
        <v>Failed</v>
      </c>
      <c r="H76" s="24" t="str">
        <f t="array" ref="H76">IFERROR(MATCH(TRUE,Data!JK8:JK208&gt;=0.15,0),"Failed")</f>
        <v>Failed</v>
      </c>
      <c r="I76" s="24" t="str">
        <f t="array" ref="I76">IFERROR(MATCH(TRUE,Data!JK8:JK208&gt;=0.2,0),"Failed")</f>
        <v>Failed</v>
      </c>
      <c r="J76" s="24" t="str">
        <f t="array" ref="J76">IFERROR(MATCH(TRUE,Data!JK8:JK208&gt;=0.25,0),"Failed")</f>
        <v>Failed</v>
      </c>
      <c r="K76" s="24"/>
      <c r="L76" s="24"/>
    </row>
    <row r="77" ht="15.75" customHeight="1">
      <c r="A77" s="23">
        <v>45287.0</v>
      </c>
      <c r="B77" s="20" t="s">
        <v>48</v>
      </c>
      <c r="C77" s="20" t="s">
        <v>16</v>
      </c>
      <c r="D77" s="20" t="s">
        <v>14</v>
      </c>
      <c r="E77" s="21" t="str">
        <f t="shared" si="4"/>
        <v>NSE:SYNCOMF</v>
      </c>
      <c r="F77" s="24" t="str">
        <f t="array" ref="F77">IFERROR(MATCH(TRUE,Data!JO8:JO208&gt;=0.05,0),"Failed")</f>
        <v>Failed</v>
      </c>
      <c r="G77" s="24" t="str">
        <f t="array" ref="G77">IFERROR(MATCH(TRUE,Data!JO8:JO208&gt;=0.1,0),"Failed")</f>
        <v>Failed</v>
      </c>
      <c r="H77" s="24" t="str">
        <f t="array" ref="H77">IFERROR(MATCH(TRUE,Data!JO8:JO208&gt;=0.15,0),"Failed")</f>
        <v>Failed</v>
      </c>
      <c r="I77" s="24" t="str">
        <f t="array" ref="I77">IFERROR(MATCH(TRUE,Data!JO8:JO208&gt;=0.2,0),"Failed")</f>
        <v>Failed</v>
      </c>
      <c r="J77" s="24" t="str">
        <f t="array" ref="J77">IFERROR(MATCH(TRUE,Data!JO8:JO208&gt;=0.25,0),"Failed")</f>
        <v>Failed</v>
      </c>
      <c r="K77" s="24"/>
      <c r="L77" s="24"/>
    </row>
    <row r="78" ht="15.75" customHeight="1">
      <c r="A78" s="23">
        <v>45287.0</v>
      </c>
      <c r="B78" s="20" t="s">
        <v>54</v>
      </c>
      <c r="C78" s="20" t="s">
        <v>16</v>
      </c>
      <c r="D78" s="20" t="s">
        <v>55</v>
      </c>
      <c r="E78" s="21" t="str">
        <f t="shared" si="4"/>
        <v>NSE:GTECJAINX</v>
      </c>
      <c r="F78" s="24" t="str">
        <f t="array" ref="F78">IFERROR(MATCH(TRUE,Data!JS8:JS208&gt;=0.05,0),"Failed")</f>
        <v>Failed</v>
      </c>
      <c r="G78" s="24" t="str">
        <f t="array" ref="G78">IFERROR(MATCH(TRUE,Data!JS8:JS208&gt;=0.1,0),"Failed")</f>
        <v>Failed</v>
      </c>
      <c r="H78" s="24" t="str">
        <f t="array" ref="H78">IFERROR(MATCH(TRUE,Data!JS8:JS208&gt;=0.15,0),"Failed")</f>
        <v>Failed</v>
      </c>
      <c r="I78" s="24" t="str">
        <f t="array" ref="I78">IFERROR(MATCH(TRUE,Data!JS8:JS208&gt;=0.2,0),"Failed")</f>
        <v>Failed</v>
      </c>
      <c r="J78" s="24" t="str">
        <f t="array" ref="J78">IFERROR(MATCH(TRUE,Data!JS8:JS208&gt;=0.25,0),"Failed")</f>
        <v>Failed</v>
      </c>
      <c r="K78" s="24"/>
      <c r="L78" s="24"/>
    </row>
    <row r="79" ht="15.75" customHeight="1">
      <c r="A79" s="23">
        <v>45287.0</v>
      </c>
      <c r="B79" s="20" t="s">
        <v>90</v>
      </c>
      <c r="C79" s="20" t="s">
        <v>16</v>
      </c>
      <c r="D79" s="20" t="s">
        <v>91</v>
      </c>
      <c r="E79" s="21" t="str">
        <f t="shared" si="4"/>
        <v>NSE:GREENPLY</v>
      </c>
      <c r="F79" s="24" t="str">
        <f t="array" ref="F79">IFERROR(MATCH(TRUE,Data!JW8:JW208&gt;=0.05,0),"Failed")</f>
        <v>Failed</v>
      </c>
      <c r="G79" s="24" t="str">
        <f t="array" ref="G79">IFERROR(MATCH(TRUE,Data!JW8:JW208&gt;=0.1,0),"Failed")</f>
        <v>Failed</v>
      </c>
      <c r="H79" s="24" t="str">
        <f t="array" ref="H79">IFERROR(MATCH(TRUE,Data!JW8:JW208&gt;=0.15,0),"Failed")</f>
        <v>Failed</v>
      </c>
      <c r="I79" s="24" t="str">
        <f t="array" ref="I79">IFERROR(MATCH(TRUE,Data!JW8:JW208&gt;=0.2,0),"Failed")</f>
        <v>Failed</v>
      </c>
      <c r="J79" s="24" t="str">
        <f t="array" ref="J79">IFERROR(MATCH(TRUE,Data!JW8:JW208&gt;=0.25,0),"Failed")</f>
        <v>Failed</v>
      </c>
      <c r="K79" s="24"/>
      <c r="L79" s="24"/>
    </row>
    <row r="80" ht="15.75" customHeight="1">
      <c r="A80" s="23">
        <v>45287.0</v>
      </c>
      <c r="B80" s="20" t="s">
        <v>92</v>
      </c>
      <c r="C80" s="20" t="s">
        <v>16</v>
      </c>
      <c r="D80" s="20" t="s">
        <v>55</v>
      </c>
      <c r="E80" s="21" t="str">
        <f t="shared" si="4"/>
        <v>NSE:5PAISA</v>
      </c>
      <c r="F80" s="24">
        <f t="array" ref="F80">IFERROR(MATCH(TRUE,Data!KA8:KA208&gt;=0.05,0),"Failed")</f>
        <v>2</v>
      </c>
      <c r="G80" s="24">
        <f t="array" ref="G80">IFERROR(MATCH(TRUE,Data!KA8:KA208&gt;=0.1,0),"Failed")</f>
        <v>4</v>
      </c>
      <c r="H80" s="24">
        <f t="array" ref="H80">IFERROR(MATCH(TRUE,Data!KA8:KA208&gt;=0.15,0),"Failed")</f>
        <v>4</v>
      </c>
      <c r="I80" s="24">
        <f t="array" ref="I80">IFERROR(MATCH(TRUE,Data!KA8:KA208&gt;=0.2,0),"Failed")</f>
        <v>5</v>
      </c>
      <c r="J80" s="24">
        <f t="array" ref="J80">IFERROR(MATCH(TRUE,Data!KA8:KA208&gt;=0.25,0),"Failed")</f>
        <v>5</v>
      </c>
      <c r="K80" s="24"/>
      <c r="L80" s="24"/>
    </row>
    <row r="81" ht="15.75" customHeight="1">
      <c r="A81" s="27">
        <v>45287.0</v>
      </c>
      <c r="B81" s="20" t="s">
        <v>59</v>
      </c>
      <c r="C81" s="20" t="s">
        <v>13</v>
      </c>
      <c r="D81" s="20" t="s">
        <v>19</v>
      </c>
      <c r="E81" s="21" t="str">
        <f t="shared" si="4"/>
        <v>NSE:BDL</v>
      </c>
      <c r="F81" s="24">
        <f t="array" ref="F81">IFERROR(MATCH(TRUE,Data!KE8:KE208&gt;=0.05,0),"Failed")</f>
        <v>14</v>
      </c>
      <c r="G81" s="24">
        <f t="array" ref="G81">IFERROR(MATCH(TRUE,Data!KE8:KE208&gt;=0.1,0),"Failed")</f>
        <v>29</v>
      </c>
      <c r="H81" s="24" t="str">
        <f t="array" ref="H81">IFERROR(MATCH(TRUE,Data!KE8:KE208&gt;=0.15,0),"Failed")</f>
        <v>Failed</v>
      </c>
      <c r="I81" s="24" t="str">
        <f t="array" ref="I81">IFERROR(MATCH(TRUE,Data!KE8:KE208&gt;=0.2,0),"Failed")</f>
        <v>Failed</v>
      </c>
      <c r="J81" s="24" t="str">
        <f t="array" ref="J81">IFERROR(MATCH(TRUE,Data!KE8:KE208&gt;=0.25,0),"Failed")</f>
        <v>Failed</v>
      </c>
      <c r="K81" s="24"/>
      <c r="L81" s="24"/>
    </row>
    <row r="82" ht="15.75" customHeight="1">
      <c r="A82" s="27">
        <v>45287.0</v>
      </c>
      <c r="B82" s="20" t="s">
        <v>93</v>
      </c>
      <c r="C82" s="20" t="s">
        <v>16</v>
      </c>
      <c r="D82" s="20" t="s">
        <v>55</v>
      </c>
      <c r="E82" s="21" t="str">
        <f t="shared" si="4"/>
        <v>NSE:AVG</v>
      </c>
      <c r="F82" s="24">
        <f t="array" ref="F82">IFERROR(MATCH(TRUE,Data!KI8:KI208&gt;=0.05,0),"Failed")</f>
        <v>8</v>
      </c>
      <c r="G82" s="24">
        <f t="array" ref="G82">IFERROR(MATCH(TRUE,Data!KI8:KI208&gt;=0.1,0),"Failed")</f>
        <v>9</v>
      </c>
      <c r="H82" s="24">
        <f t="array" ref="H82">IFERROR(MATCH(TRUE,Data!KI8:KI208&gt;=0.15,0),"Failed")</f>
        <v>9</v>
      </c>
      <c r="I82" s="24">
        <f t="array" ref="I82">IFERROR(MATCH(TRUE,Data!KI8:KI208&gt;=0.2,0),"Failed")</f>
        <v>34</v>
      </c>
      <c r="J82" s="24">
        <f t="array" ref="J82">IFERROR(MATCH(TRUE,Data!KI8:KI208&gt;=0.25,0),"Failed")</f>
        <v>36</v>
      </c>
      <c r="K82" s="24"/>
      <c r="L82" s="24"/>
    </row>
    <row r="83" ht="15.75" customHeight="1">
      <c r="A83" s="27">
        <v>45287.0</v>
      </c>
      <c r="B83" s="20" t="s">
        <v>94</v>
      </c>
      <c r="C83" s="20" t="s">
        <v>16</v>
      </c>
      <c r="D83" s="20" t="s">
        <v>22</v>
      </c>
      <c r="E83" s="21" t="str">
        <f t="shared" si="4"/>
        <v>NSE:NILAINFRA</v>
      </c>
      <c r="F83" s="24">
        <f t="array" ref="F83">IFERROR(MATCH(TRUE,Data!KM8:KM208&gt;=0.05,0),"Failed")</f>
        <v>13</v>
      </c>
      <c r="G83" s="24">
        <f t="array" ref="G83">IFERROR(MATCH(TRUE,Data!KM8:KM208&gt;=0.1,0),"Failed")</f>
        <v>14</v>
      </c>
      <c r="H83" s="24">
        <f t="array" ref="H83">IFERROR(MATCH(TRUE,Data!KM8:KM208&gt;=0.15,0),"Failed")</f>
        <v>18</v>
      </c>
      <c r="I83" s="24">
        <f t="array" ref="I83">IFERROR(MATCH(TRUE,Data!KM8:KM208&gt;=0.2,0),"Failed")</f>
        <v>18</v>
      </c>
      <c r="J83" s="24">
        <f t="array" ref="J83">IFERROR(MATCH(TRUE,Data!KM8:KM208&gt;=0.25,0),"Failed")</f>
        <v>23</v>
      </c>
      <c r="K83" s="24"/>
      <c r="L83" s="24"/>
    </row>
    <row r="84" ht="15.75" customHeight="1">
      <c r="A84" s="27">
        <v>45287.0</v>
      </c>
      <c r="B84" s="20" t="s">
        <v>95</v>
      </c>
      <c r="C84" s="20" t="s">
        <v>16</v>
      </c>
      <c r="D84" s="20" t="s">
        <v>55</v>
      </c>
      <c r="E84" s="21" t="str">
        <f t="shared" si="4"/>
        <v>NSE:SVLL</v>
      </c>
      <c r="F84" s="24">
        <f t="array" ref="F84">IFERROR(MATCH(TRUE,Data!KQ8:KQ208&gt;=0.05,0),"Failed")</f>
        <v>2</v>
      </c>
      <c r="G84" s="24">
        <f t="array" ref="G84">IFERROR(MATCH(TRUE,Data!KQ8:KQ208&gt;=0.1,0),"Failed")</f>
        <v>3</v>
      </c>
      <c r="H84" s="24">
        <f t="array" ref="H84">IFERROR(MATCH(TRUE,Data!KQ8:KQ208&gt;=0.15,0),"Failed")</f>
        <v>4</v>
      </c>
      <c r="I84" s="24">
        <f t="array" ref="I84">IFERROR(MATCH(TRUE,Data!KQ8:KQ208&gt;=0.2,0),"Failed")</f>
        <v>8</v>
      </c>
      <c r="J84" s="24">
        <f t="array" ref="J84">IFERROR(MATCH(TRUE,Data!KQ8:KQ208&gt;=0.25,0),"Failed")</f>
        <v>9</v>
      </c>
      <c r="K84" s="24"/>
      <c r="L84" s="24"/>
    </row>
    <row r="85" ht="15.75" customHeight="1">
      <c r="A85" s="27">
        <v>45287.0</v>
      </c>
      <c r="B85" s="20" t="s">
        <v>60</v>
      </c>
      <c r="C85" s="20" t="s">
        <v>16</v>
      </c>
      <c r="D85" s="20" t="s">
        <v>25</v>
      </c>
      <c r="E85" s="21" t="str">
        <f t="shared" si="4"/>
        <v>NSE:KRITIKA</v>
      </c>
      <c r="F85" s="24">
        <f t="array" ref="F85">IFERROR(MATCH(TRUE,Data!KU8:KU208&gt;=0.05,0),"Failed")</f>
        <v>4</v>
      </c>
      <c r="G85" s="24">
        <f t="array" ref="G85">IFERROR(MATCH(TRUE,Data!KU8:KU208&gt;=0.1,0),"Failed")</f>
        <v>7</v>
      </c>
      <c r="H85" s="24">
        <f t="array" ref="H85">IFERROR(MATCH(TRUE,Data!KU8:KU208&gt;=0.15,0),"Failed")</f>
        <v>10</v>
      </c>
      <c r="I85" s="24">
        <f t="array" ref="I85">IFERROR(MATCH(TRUE,Data!KU8:KU208&gt;=0.2,0),"Failed")</f>
        <v>26</v>
      </c>
      <c r="J85" s="24">
        <f t="array" ref="J85">IFERROR(MATCH(TRUE,Data!KU8:KU208&gt;=0.25,0),"Failed")</f>
        <v>27</v>
      </c>
      <c r="K85" s="24"/>
      <c r="L85" s="24"/>
    </row>
    <row r="86" ht="15.75" customHeight="1">
      <c r="A86" s="27">
        <v>45287.0</v>
      </c>
      <c r="B86" s="20" t="s">
        <v>61</v>
      </c>
      <c r="C86" s="20" t="s">
        <v>21</v>
      </c>
      <c r="D86" s="20" t="s">
        <v>27</v>
      </c>
      <c r="E86" s="21" t="str">
        <f t="shared" si="4"/>
        <v>NSE:BALAMINES</v>
      </c>
      <c r="F86" s="24" t="str">
        <f t="array" ref="F86">IFERROR(MATCH(TRUE,Data!KY8:KY208&gt;=0.05,0),"Failed")</f>
        <v>Failed</v>
      </c>
      <c r="G86" s="24" t="str">
        <f t="array" ref="G86">IFERROR(MATCH(TRUE,Data!KY8:KY208&gt;=0.1,0),"Failed")</f>
        <v>Failed</v>
      </c>
      <c r="H86" s="24" t="str">
        <f t="array" ref="H86">IFERROR(MATCH(TRUE,Data!KY8:KY208&gt;=0.15,0),"Failed")</f>
        <v>Failed</v>
      </c>
      <c r="I86" s="24" t="str">
        <f t="array" ref="I86">IFERROR(MATCH(TRUE,Data!KY8:KY208&gt;=0.2,0),"Failed")</f>
        <v>Failed</v>
      </c>
      <c r="J86" s="24" t="str">
        <f t="array" ref="J86">IFERROR(MATCH(TRUE,Data!KY8:KY208&gt;=0.25,0),"Failed")</f>
        <v>Failed</v>
      </c>
      <c r="K86" s="24"/>
      <c r="L86" s="24"/>
    </row>
    <row r="87" ht="15.75" customHeight="1">
      <c r="A87" s="27">
        <v>45287.0</v>
      </c>
      <c r="B87" s="20" t="s">
        <v>96</v>
      </c>
      <c r="C87" s="20" t="s">
        <v>16</v>
      </c>
      <c r="D87" s="20" t="s">
        <v>37</v>
      </c>
      <c r="E87" s="21" t="str">
        <f t="shared" si="4"/>
        <v>NSE:ALANKIT</v>
      </c>
      <c r="F87" s="24">
        <f t="array" ref="F87">IFERROR(MATCH(TRUE,Data!LC8:LC208&gt;=0.05,0),"Failed")</f>
        <v>2</v>
      </c>
      <c r="G87" s="24">
        <f t="array" ref="G87">IFERROR(MATCH(TRUE,Data!LC8:LC208&gt;=0.1,0),"Failed")</f>
        <v>8</v>
      </c>
      <c r="H87" s="24">
        <f t="array" ref="H87">IFERROR(MATCH(TRUE,Data!LC8:LC208&gt;=0.15,0),"Failed")</f>
        <v>10</v>
      </c>
      <c r="I87" s="24">
        <f t="array" ref="I87">IFERROR(MATCH(TRUE,Data!LC8:LC208&gt;=0.2,0),"Failed")</f>
        <v>12</v>
      </c>
      <c r="J87" s="24">
        <f t="array" ref="J87">IFERROR(MATCH(TRUE,Data!LC8:LC208&gt;=0.25,0),"Failed")</f>
        <v>12</v>
      </c>
      <c r="K87" s="24"/>
      <c r="L87" s="24"/>
    </row>
    <row r="88" ht="15.75" customHeight="1">
      <c r="A88" s="27">
        <v>45287.0</v>
      </c>
      <c r="B88" s="20" t="s">
        <v>97</v>
      </c>
      <c r="C88" s="20" t="s">
        <v>16</v>
      </c>
      <c r="D88" s="20" t="s">
        <v>37</v>
      </c>
      <c r="E88" s="21" t="str">
        <f t="shared" si="4"/>
        <v>NSE:XELPMOC</v>
      </c>
      <c r="F88" s="24">
        <f t="array" ref="F88">IFERROR(MATCH(TRUE,Data!LG8:LG208&gt;=0.05,0),"Failed")</f>
        <v>12</v>
      </c>
      <c r="G88" s="24">
        <f t="array" ref="G88">IFERROR(MATCH(TRUE,Data!LG8:LG208&gt;=0.1,0),"Failed")</f>
        <v>13</v>
      </c>
      <c r="H88" s="24">
        <f t="array" ref="H88">IFERROR(MATCH(TRUE,Data!LG8:LG208&gt;=0.15,0),"Failed")</f>
        <v>13</v>
      </c>
      <c r="I88" s="24" t="str">
        <f t="array" ref="I88">IFERROR(MATCH(TRUE,Data!LG8:LG208&gt;=0.2,0),"Failed")</f>
        <v>Failed</v>
      </c>
      <c r="J88" s="24" t="str">
        <f t="array" ref="J88">IFERROR(MATCH(TRUE,Data!LG8:LG208&gt;=0.25,0),"Failed")</f>
        <v>Failed</v>
      </c>
      <c r="K88" s="24"/>
      <c r="L88" s="24"/>
    </row>
    <row r="89" ht="15.75" customHeight="1">
      <c r="A89" s="27">
        <v>45287.0</v>
      </c>
      <c r="B89" s="20" t="s">
        <v>98</v>
      </c>
      <c r="C89" s="20" t="s">
        <v>16</v>
      </c>
      <c r="D89" s="20" t="s">
        <v>27</v>
      </c>
      <c r="E89" s="21" t="str">
        <f t="shared" si="4"/>
        <v>NSE:AARTISURF</v>
      </c>
      <c r="F89" s="24">
        <f t="array" ref="F89">IFERROR(MATCH(TRUE,Data!LK8:LK208&gt;=0.05,0),"Failed")</f>
        <v>1</v>
      </c>
      <c r="G89" s="24" t="str">
        <f t="array" ref="G89">IFERROR(MATCH(TRUE,Data!LK8:LK208&gt;=0.1,0),"Failed")</f>
        <v>Failed</v>
      </c>
      <c r="H89" s="24" t="str">
        <f t="array" ref="H89">IFERROR(MATCH(TRUE,Data!LK8:LK208&gt;=0.15,0),"Failed")</f>
        <v>Failed</v>
      </c>
      <c r="I89" s="24" t="str">
        <f t="array" ref="I89">IFERROR(MATCH(TRUE,Data!LK8:LK208&gt;=0.2,0),"Failed")</f>
        <v>Failed</v>
      </c>
      <c r="J89" s="24" t="str">
        <f t="array" ref="J89">IFERROR(MATCH(TRUE,Data!LK8:LK208&gt;=0.25,0),"Failed")</f>
        <v>Failed</v>
      </c>
      <c r="K89" s="24"/>
      <c r="L89" s="24"/>
    </row>
    <row r="90" ht="15.75" customHeight="1">
      <c r="A90" s="27">
        <v>45287.0</v>
      </c>
      <c r="B90" s="20" t="s">
        <v>99</v>
      </c>
      <c r="C90" s="20" t="s">
        <v>16</v>
      </c>
      <c r="D90" s="20" t="s">
        <v>17</v>
      </c>
      <c r="E90" s="21" t="str">
        <f t="shared" si="4"/>
        <v>NSE:NDRAUTO</v>
      </c>
      <c r="F90" s="24" t="str">
        <f t="array" ref="F90">IFERROR(MATCH(TRUE,Data!LO8:LO208&gt;=0.05,0),"Failed")</f>
        <v>Failed</v>
      </c>
      <c r="G90" s="24" t="str">
        <f t="array" ref="G90">IFERROR(MATCH(TRUE,Data!LO8:LO208&gt;=0.1,0),"Failed")</f>
        <v>Failed</v>
      </c>
      <c r="H90" s="24" t="str">
        <f t="array" ref="H90">IFERROR(MATCH(TRUE,Data!LO8:LO208&gt;=0.15,0),"Failed")</f>
        <v>Failed</v>
      </c>
      <c r="I90" s="24" t="str">
        <f t="array" ref="I90">IFERROR(MATCH(TRUE,Data!LO8:LO208&gt;=0.2,0),"Failed")</f>
        <v>Failed</v>
      </c>
      <c r="J90" s="24" t="str">
        <f t="array" ref="J90">IFERROR(MATCH(TRUE,Data!LO8:LO208&gt;=0.25,0),"Failed")</f>
        <v>Failed</v>
      </c>
      <c r="K90" s="24"/>
      <c r="L90" s="24"/>
    </row>
    <row r="91" ht="15.75" customHeight="1">
      <c r="A91" s="27">
        <v>45287.0</v>
      </c>
      <c r="B91" s="20" t="s">
        <v>100</v>
      </c>
      <c r="C91" s="20" t="s">
        <v>16</v>
      </c>
      <c r="D91" s="20" t="s">
        <v>25</v>
      </c>
      <c r="E91" s="21" t="str">
        <f t="shared" si="4"/>
        <v>NSE:KAMDHENU</v>
      </c>
      <c r="F91" s="24">
        <f t="array" ref="F91">IFERROR(MATCH(TRUE,Data!LS8:LS208&gt;=0.05,0),"Failed")</f>
        <v>1</v>
      </c>
      <c r="G91" s="24">
        <f t="array" ref="G91">IFERROR(MATCH(TRUE,Data!LS8:LS208&gt;=0.1,0),"Failed")</f>
        <v>9</v>
      </c>
      <c r="H91" s="24">
        <f t="array" ref="H91">IFERROR(MATCH(TRUE,Data!LS8:LS208&gt;=0.15,0),"Failed")</f>
        <v>9</v>
      </c>
      <c r="I91" s="24">
        <f t="array" ref="I91">IFERROR(MATCH(TRUE,Data!LS8:LS208&gt;=0.2,0),"Failed")</f>
        <v>10</v>
      </c>
      <c r="J91" s="24">
        <f t="array" ref="J91">IFERROR(MATCH(TRUE,Data!LS8:LS208&gt;=0.25,0),"Failed")</f>
        <v>12</v>
      </c>
      <c r="K91" s="24"/>
      <c r="L91" s="24"/>
    </row>
    <row r="92" ht="15.75" customHeight="1">
      <c r="A92" s="27">
        <v>45287.0</v>
      </c>
      <c r="B92" s="20" t="s">
        <v>101</v>
      </c>
      <c r="C92" s="20" t="s">
        <v>16</v>
      </c>
      <c r="D92" s="20" t="s">
        <v>55</v>
      </c>
      <c r="E92" s="21" t="str">
        <f t="shared" si="4"/>
        <v>NSE:GLOBALVECT</v>
      </c>
      <c r="F92" s="24">
        <f t="array" ref="F92">IFERROR(MATCH(TRUE,Data!LW8:LW208&gt;=0.05,0),"Failed")</f>
        <v>7</v>
      </c>
      <c r="G92" s="24" t="str">
        <f t="array" ref="G92">IFERROR(MATCH(TRUE,Data!LW8:LW208&gt;=0.1,0),"Failed")</f>
        <v>Failed</v>
      </c>
      <c r="H92" s="24" t="str">
        <f t="array" ref="H92">IFERROR(MATCH(TRUE,Data!LW8:LW208&gt;=0.15,0),"Failed")</f>
        <v>Failed</v>
      </c>
      <c r="I92" s="24" t="str">
        <f t="array" ref="I92">IFERROR(MATCH(TRUE,Data!LW8:LW208&gt;=0.2,0),"Failed")</f>
        <v>Failed</v>
      </c>
      <c r="J92" s="24" t="str">
        <f t="array" ref="J92">IFERROR(MATCH(TRUE,Data!LW8:LW208&gt;=0.25,0),"Failed")</f>
        <v>Failed</v>
      </c>
      <c r="K92" s="24"/>
      <c r="L92" s="24"/>
    </row>
    <row r="93" ht="15.75" customHeight="1">
      <c r="A93" s="27">
        <v>45287.0</v>
      </c>
      <c r="B93" s="20" t="s">
        <v>70</v>
      </c>
      <c r="C93" s="20" t="s">
        <v>21</v>
      </c>
      <c r="D93" s="20" t="s">
        <v>22</v>
      </c>
      <c r="E93" s="21" t="str">
        <f t="shared" si="4"/>
        <v>NSE:JKIL</v>
      </c>
      <c r="F93" s="24">
        <f t="array" ref="F93">IFERROR(MATCH(TRUE,Data!MA8:MA208&gt;=0.05,0),"Failed")</f>
        <v>21</v>
      </c>
      <c r="G93" s="24">
        <f t="array" ref="G93">IFERROR(MATCH(TRUE,Data!MA8:MA208&gt;=0.1,0),"Failed")</f>
        <v>26</v>
      </c>
      <c r="H93" s="24" t="str">
        <f t="array" ref="H93">IFERROR(MATCH(TRUE,Data!MA8:MA208&gt;=0.15,0),"Failed")</f>
        <v>Failed</v>
      </c>
      <c r="I93" s="24" t="str">
        <f t="array" ref="I93">IFERROR(MATCH(TRUE,Data!MA8:MA208&gt;=0.2,0),"Failed")</f>
        <v>Failed</v>
      </c>
      <c r="J93" s="24" t="str">
        <f t="array" ref="J93">IFERROR(MATCH(TRUE,Data!MA8:MA208&gt;=0.25,0),"Failed")</f>
        <v>Failed</v>
      </c>
      <c r="K93" s="24"/>
      <c r="L93" s="24"/>
    </row>
    <row r="94" ht="15.75" customHeight="1">
      <c r="A94" s="27">
        <v>45287.0</v>
      </c>
      <c r="B94" s="20" t="s">
        <v>102</v>
      </c>
      <c r="C94" s="20" t="s">
        <v>16</v>
      </c>
      <c r="D94" s="20" t="s">
        <v>53</v>
      </c>
      <c r="E94" s="21" t="str">
        <f t="shared" si="4"/>
        <v>NSE:SPYL</v>
      </c>
      <c r="F94" s="24" t="str">
        <f t="array" ref="F94">IFERROR(MATCH(TRUE,Data!ME8:ME208&gt;=0.05,0),"Failed")</f>
        <v>Failed</v>
      </c>
      <c r="G94" s="24" t="str">
        <f t="array" ref="G94">IFERROR(MATCH(TRUE,Data!ME8:ME208&gt;=0.1,0),"Failed")</f>
        <v>Failed</v>
      </c>
      <c r="H94" s="24" t="str">
        <f t="array" ref="H94">IFERROR(MATCH(TRUE,Data!ME8:ME208&gt;=0.15,0),"Failed")</f>
        <v>Failed</v>
      </c>
      <c r="I94" s="24" t="str">
        <f t="array" ref="I94">IFERROR(MATCH(TRUE,Data!ME8:ME208&gt;=0.2,0),"Failed")</f>
        <v>Failed</v>
      </c>
      <c r="J94" s="24" t="str">
        <f t="array" ref="J94">IFERROR(MATCH(TRUE,Data!ME8:ME208&gt;=0.25,0),"Failed")</f>
        <v>Failed</v>
      </c>
      <c r="K94" s="24"/>
      <c r="L94" s="24"/>
    </row>
    <row r="95" ht="15.75" customHeight="1">
      <c r="A95" s="27">
        <v>45287.0</v>
      </c>
      <c r="B95" s="20" t="s">
        <v>103</v>
      </c>
      <c r="C95" s="20" t="s">
        <v>13</v>
      </c>
      <c r="D95" s="20" t="s">
        <v>14</v>
      </c>
      <c r="E95" s="21" t="str">
        <f t="shared" si="4"/>
        <v>NSE:GLAND</v>
      </c>
      <c r="F95" s="24">
        <f t="array" ref="F95">IFERROR(MATCH(TRUE,Data!MI8:MI208&gt;=0.05,0),"Failed")</f>
        <v>27</v>
      </c>
      <c r="G95" s="24">
        <f t="array" ref="G95">IFERROR(MATCH(TRUE,Data!MI8:MI208&gt;=0.1,0),"Failed")</f>
        <v>27</v>
      </c>
      <c r="H95" s="24" t="str">
        <f t="array" ref="H95">IFERROR(MATCH(TRUE,Data!MI8:MI208&gt;=0.15,0),"Failed")</f>
        <v>Failed</v>
      </c>
      <c r="I95" s="24" t="str">
        <f t="array" ref="I95">IFERROR(MATCH(TRUE,Data!MI8:MI208&gt;=0.2,0),"Failed")</f>
        <v>Failed</v>
      </c>
      <c r="J95" s="24" t="str">
        <f t="array" ref="J95">IFERROR(MATCH(TRUE,Data!MI8:MI208&gt;=0.25,0),"Failed")</f>
        <v>Failed</v>
      </c>
      <c r="K95" s="24"/>
      <c r="L95" s="24"/>
    </row>
    <row r="96" ht="15.75" customHeight="1">
      <c r="A96" s="27">
        <v>45287.0</v>
      </c>
      <c r="B96" s="20" t="s">
        <v>104</v>
      </c>
      <c r="C96" s="20" t="s">
        <v>16</v>
      </c>
      <c r="D96" s="20" t="s">
        <v>55</v>
      </c>
      <c r="E96" s="21" t="str">
        <f t="shared" si="4"/>
        <v>NSE:SREEL</v>
      </c>
      <c r="F96" s="24">
        <f t="array" ref="F96">IFERROR(MATCH(TRUE,Data!MM8:MM208&gt;=0.05,0),"Failed")</f>
        <v>1</v>
      </c>
      <c r="G96" s="24" t="str">
        <f t="array" ref="G96">IFERROR(MATCH(TRUE,Data!MM8:MM208&gt;=0.1,0),"Failed")</f>
        <v>Failed</v>
      </c>
      <c r="H96" s="24" t="str">
        <f t="array" ref="H96">IFERROR(MATCH(TRUE,Data!MM8:MM208&gt;=0.15,0),"Failed")</f>
        <v>Failed</v>
      </c>
      <c r="I96" s="24" t="str">
        <f t="array" ref="I96">IFERROR(MATCH(TRUE,Data!MM8:MM208&gt;=0.2,0),"Failed")</f>
        <v>Failed</v>
      </c>
      <c r="J96" s="24" t="str">
        <f t="array" ref="J96">IFERROR(MATCH(TRUE,Data!MM8:MM208&gt;=0.25,0),"Failed")</f>
        <v>Failed</v>
      </c>
      <c r="K96" s="24"/>
      <c r="L96" s="24"/>
    </row>
    <row r="97" ht="15.75" customHeight="1">
      <c r="A97" s="27">
        <v>45287.0</v>
      </c>
      <c r="B97" s="20" t="s">
        <v>105</v>
      </c>
      <c r="C97" s="20" t="s">
        <v>21</v>
      </c>
      <c r="D97" s="20" t="s">
        <v>27</v>
      </c>
      <c r="E97" s="21" t="str">
        <f t="shared" si="4"/>
        <v>NSE:GULFOILLUB</v>
      </c>
      <c r="F97" s="24">
        <f t="array" ref="F97">IFERROR(MATCH(TRUE,Data!MQ8:MQ208&gt;=0.05,0),"Failed")</f>
        <v>20</v>
      </c>
      <c r="G97" s="24">
        <f t="array" ref="G97">IFERROR(MATCH(TRUE,Data!MQ8:MQ208&gt;=0.1,0),"Failed")</f>
        <v>23</v>
      </c>
      <c r="H97" s="24">
        <f t="array" ref="H97">IFERROR(MATCH(TRUE,Data!MQ8:MQ208&gt;=0.15,0),"Failed")</f>
        <v>25</v>
      </c>
      <c r="I97" s="24">
        <f t="array" ref="I97">IFERROR(MATCH(TRUE,Data!MQ8:MQ208&gt;=0.2,0),"Failed")</f>
        <v>25</v>
      </c>
      <c r="J97" s="24">
        <f t="array" ref="J97">IFERROR(MATCH(TRUE,Data!MQ8:MQ208&gt;=0.25,0),"Failed")</f>
        <v>27</v>
      </c>
      <c r="K97" s="24"/>
      <c r="L97" s="24"/>
    </row>
    <row r="98" ht="15.75" customHeight="1">
      <c r="A98" s="27">
        <v>45287.0</v>
      </c>
      <c r="B98" s="20" t="s">
        <v>106</v>
      </c>
      <c r="C98" s="20" t="s">
        <v>16</v>
      </c>
      <c r="D98" s="20" t="s">
        <v>107</v>
      </c>
      <c r="E98" s="21" t="str">
        <f t="shared" si="4"/>
        <v>NSE:COFFEEDAY</v>
      </c>
      <c r="F98" s="24">
        <f t="array" ref="F98">IFERROR(MATCH(TRUE,Data!MU8:MU208&gt;=0.05,0),"Failed")</f>
        <v>35</v>
      </c>
      <c r="G98" s="24">
        <f t="array" ref="G98">IFERROR(MATCH(TRUE,Data!MU8:MU208&gt;=0.1,0),"Failed")</f>
        <v>35</v>
      </c>
      <c r="H98" s="24" t="str">
        <f t="array" ref="H98">IFERROR(MATCH(TRUE,Data!MU8:MU208&gt;=0.15,0),"Failed")</f>
        <v>Failed</v>
      </c>
      <c r="I98" s="24" t="str">
        <f t="array" ref="I98">IFERROR(MATCH(TRUE,Data!MU8:MU208&gt;=0.2,0),"Failed")</f>
        <v>Failed</v>
      </c>
      <c r="J98" s="24" t="str">
        <f t="array" ref="J98">IFERROR(MATCH(TRUE,Data!MU8:MU208&gt;=0.25,0),"Failed")</f>
        <v>Failed</v>
      </c>
      <c r="K98" s="24"/>
      <c r="L98" s="24"/>
    </row>
    <row r="99" ht="15.75" customHeight="1">
      <c r="A99" s="27">
        <v>45287.0</v>
      </c>
      <c r="B99" s="20" t="s">
        <v>108</v>
      </c>
      <c r="C99" s="20" t="s">
        <v>21</v>
      </c>
      <c r="D99" s="20" t="s">
        <v>31</v>
      </c>
      <c r="E99" s="21" t="str">
        <f t="shared" si="4"/>
        <v>NSE:TEAMLEASE</v>
      </c>
      <c r="F99" s="24">
        <f t="array" ref="F99">IFERROR(MATCH(TRUE,Data!MY8:MY208&gt;=0.05,0),"Failed")</f>
        <v>12</v>
      </c>
      <c r="G99" s="24" t="str">
        <f t="array" ref="G99">IFERROR(MATCH(TRUE,Data!MY8:MY208&gt;=0.1,0),"Failed")</f>
        <v>Failed</v>
      </c>
      <c r="H99" s="24" t="str">
        <f t="array" ref="H99">IFERROR(MATCH(TRUE,Data!MY8:MY208&gt;=0.15,0),"Failed")</f>
        <v>Failed</v>
      </c>
      <c r="I99" s="24" t="str">
        <f t="array" ref="I99">IFERROR(MATCH(TRUE,Data!MY8:MY208&gt;=0.2,0),"Failed")</f>
        <v>Failed</v>
      </c>
      <c r="J99" s="24" t="str">
        <f t="array" ref="J99">IFERROR(MATCH(TRUE,Data!MY8:MY208&gt;=0.25,0),"Failed")</f>
        <v>Failed</v>
      </c>
      <c r="K99" s="24"/>
      <c r="L99" s="24"/>
    </row>
    <row r="100" ht="15.75" customHeight="1">
      <c r="A100" s="27">
        <v>45287.0</v>
      </c>
      <c r="B100" s="20" t="s">
        <v>79</v>
      </c>
      <c r="C100" s="20" t="s">
        <v>16</v>
      </c>
      <c r="D100" s="20" t="s">
        <v>27</v>
      </c>
      <c r="E100" s="21" t="str">
        <f t="shared" si="4"/>
        <v>NSE:NAGAFERT</v>
      </c>
      <c r="F100" s="24">
        <f t="array" ref="F100">IFERROR(MATCH(TRUE,Data!NC8:NC208&gt;=0.05,0),"Failed")</f>
        <v>2</v>
      </c>
      <c r="G100" s="24">
        <f t="array" ref="G100">IFERROR(MATCH(TRUE,Data!NC8:NC208&gt;=0.1,0),"Failed")</f>
        <v>3</v>
      </c>
      <c r="H100" s="24">
        <f t="array" ref="H100">IFERROR(MATCH(TRUE,Data!NC8:NC208&gt;=0.15,0),"Failed")</f>
        <v>4</v>
      </c>
      <c r="I100" s="24">
        <f t="array" ref="I100">IFERROR(MATCH(TRUE,Data!NC8:NC208&gt;=0.2,0),"Failed")</f>
        <v>5</v>
      </c>
      <c r="J100" s="24">
        <f t="array" ref="J100">IFERROR(MATCH(TRUE,Data!NC8:NC208&gt;=0.25,0),"Failed")</f>
        <v>23</v>
      </c>
      <c r="K100" s="24"/>
      <c r="L100" s="24"/>
    </row>
    <row r="101" ht="15.75" customHeight="1">
      <c r="A101" s="27">
        <v>45288.0</v>
      </c>
      <c r="B101" s="20" t="s">
        <v>109</v>
      </c>
      <c r="C101" s="20" t="s">
        <v>21</v>
      </c>
      <c r="D101" s="20" t="s">
        <v>27</v>
      </c>
      <c r="E101" s="21" t="str">
        <f t="shared" si="4"/>
        <v>NSE:CHAMBLFERT</v>
      </c>
      <c r="F101" s="24">
        <f t="array" ref="F101">IFERROR(MATCH(TRUE,Data!NG8:NG208&gt;=0.05,0),"Failed")</f>
        <v>5</v>
      </c>
      <c r="G101" s="24" t="str">
        <f t="array" ref="G101">IFERROR(MATCH(TRUE,Data!NG8:NG208&gt;=0.1,0),"Failed")</f>
        <v>Failed</v>
      </c>
      <c r="H101" s="24" t="str">
        <f t="array" ref="H101">IFERROR(MATCH(TRUE,Data!NG8:NG208&gt;=0.15,0),"Failed")</f>
        <v>Failed</v>
      </c>
      <c r="I101" s="24" t="str">
        <f t="array" ref="I101">IFERROR(MATCH(TRUE,Data!NG8:NG208&gt;=0.2,0),"Failed")</f>
        <v>Failed</v>
      </c>
      <c r="J101" s="24" t="str">
        <f t="array" ref="J101">IFERROR(MATCH(TRUE,Data!NG8:NG208&gt;=0.25,0),"Failed")</f>
        <v>Failed</v>
      </c>
      <c r="K101" s="24"/>
      <c r="L101" s="24"/>
    </row>
    <row r="102" ht="15.75" customHeight="1">
      <c r="A102" s="27">
        <v>45288.0</v>
      </c>
      <c r="B102" s="20" t="s">
        <v>110</v>
      </c>
      <c r="C102" s="20" t="s">
        <v>13</v>
      </c>
      <c r="D102" s="20" t="s">
        <v>27</v>
      </c>
      <c r="E102" s="21" t="str">
        <f t="shared" si="4"/>
        <v>NSE:HINDPETRO</v>
      </c>
      <c r="F102" s="24">
        <f t="array" ref="F102">IFERROR(MATCH(TRUE,Data!NK8:NK208&gt;=0.05,0),"Failed")</f>
        <v>4</v>
      </c>
      <c r="G102" s="24">
        <f t="array" ref="G102">IFERROR(MATCH(TRUE,Data!NK8:NK208&gt;=0.1,0),"Failed")</f>
        <v>8</v>
      </c>
      <c r="H102" s="24">
        <f t="array" ref="H102">IFERROR(MATCH(TRUE,Data!NK8:NK208&gt;=0.15,0),"Failed")</f>
        <v>15</v>
      </c>
      <c r="I102" s="24">
        <f t="array" ref="I102">IFERROR(MATCH(TRUE,Data!NK8:NK208&gt;=0.2,0),"Failed")</f>
        <v>21</v>
      </c>
      <c r="J102" s="24">
        <f t="array" ref="J102">IFERROR(MATCH(TRUE,Data!NK8:NK208&gt;=0.25,0),"Failed")</f>
        <v>24</v>
      </c>
      <c r="K102" s="24"/>
      <c r="L102" s="24"/>
    </row>
    <row r="103" ht="15.75" customHeight="1">
      <c r="A103" s="27">
        <v>45288.0</v>
      </c>
      <c r="B103" s="20" t="s">
        <v>111</v>
      </c>
      <c r="C103" s="20" t="s">
        <v>13</v>
      </c>
      <c r="D103" s="20" t="s">
        <v>25</v>
      </c>
      <c r="E103" s="21" t="str">
        <f t="shared" si="4"/>
        <v>NSE:SAIL</v>
      </c>
      <c r="F103" s="24">
        <f t="array" ref="F103">IFERROR(MATCH(TRUE,Data!NO8:NO208&gt;=0.05,0),"Failed")</f>
        <v>24</v>
      </c>
      <c r="G103" s="24">
        <f t="array" ref="G103">IFERROR(MATCH(TRUE,Data!NO8:NO208&gt;=0.1,0),"Failed")</f>
        <v>25</v>
      </c>
      <c r="H103" s="24">
        <f t="array" ref="H103">IFERROR(MATCH(TRUE,Data!NO8:NO208&gt;=0.15,0),"Failed")</f>
        <v>26</v>
      </c>
      <c r="I103" s="24">
        <f t="array" ref="I103">IFERROR(MATCH(TRUE,Data!NO8:NO208&gt;=0.2,0),"Failed")</f>
        <v>27</v>
      </c>
      <c r="J103" s="24" t="str">
        <f t="array" ref="J103">IFERROR(MATCH(TRUE,Data!NO8:NO208&gt;=0.25,0),"Failed")</f>
        <v>Failed</v>
      </c>
      <c r="K103" s="24"/>
      <c r="L103" s="24"/>
    </row>
    <row r="104" ht="15.75" customHeight="1">
      <c r="A104" s="27">
        <v>45288.0</v>
      </c>
      <c r="B104" s="20" t="s">
        <v>112</v>
      </c>
      <c r="C104" s="20" t="s">
        <v>13</v>
      </c>
      <c r="D104" s="20" t="s">
        <v>17</v>
      </c>
      <c r="E104" s="21" t="str">
        <f t="shared" si="4"/>
        <v>NSE:HEROMOTOCO</v>
      </c>
      <c r="F104" s="24">
        <f t="array" ref="F104">IFERROR(MATCH(TRUE,Data!NS8:NS208&gt;=0.05,0),"Failed")</f>
        <v>10</v>
      </c>
      <c r="G104" s="24">
        <f t="array" ref="G104">IFERROR(MATCH(TRUE,Data!NS8:NS208&gt;=0.1,0),"Failed")</f>
        <v>20</v>
      </c>
      <c r="H104" s="24">
        <f t="array" ref="H104">IFERROR(MATCH(TRUE,Data!NS8:NS208&gt;=0.15,0),"Failed")</f>
        <v>27</v>
      </c>
      <c r="I104" s="24" t="str">
        <f t="array" ref="I104">IFERROR(MATCH(TRUE,Data!NS8:NS208&gt;=0.2,0),"Failed")</f>
        <v>Failed</v>
      </c>
      <c r="J104" s="24" t="str">
        <f t="array" ref="J104">IFERROR(MATCH(TRUE,Data!NS8:NS208&gt;=0.25,0),"Failed")</f>
        <v>Failed</v>
      </c>
      <c r="K104" s="24"/>
      <c r="L104" s="24"/>
    </row>
    <row r="105" ht="15.75" customHeight="1">
      <c r="A105" s="27">
        <v>45288.0</v>
      </c>
      <c r="B105" s="20" t="s">
        <v>113</v>
      </c>
      <c r="C105" s="20" t="s">
        <v>16</v>
      </c>
      <c r="D105" s="20" t="s">
        <v>29</v>
      </c>
      <c r="E105" s="21" t="str">
        <f t="shared" si="4"/>
        <v>NSE:PILITA</v>
      </c>
      <c r="F105" s="24">
        <f t="array" ref="F105">IFERROR(MATCH(TRUE,Data!NW8:NW208&gt;=0.05,0),"Failed")</f>
        <v>2</v>
      </c>
      <c r="G105" s="24">
        <f t="array" ref="G105">IFERROR(MATCH(TRUE,Data!NW8:NW208&gt;=0.1,0),"Failed")</f>
        <v>9</v>
      </c>
      <c r="H105" s="24">
        <f t="array" ref="H105">IFERROR(MATCH(TRUE,Data!NW8:NW208&gt;=0.15,0),"Failed")</f>
        <v>17</v>
      </c>
      <c r="I105" s="24">
        <f t="array" ref="I105">IFERROR(MATCH(TRUE,Data!NW8:NW208&gt;=0.2,0),"Failed")</f>
        <v>25</v>
      </c>
      <c r="J105" s="24">
        <f t="array" ref="J105">IFERROR(MATCH(TRUE,Data!NW8:NW208&gt;=0.25,0),"Failed")</f>
        <v>26</v>
      </c>
      <c r="K105" s="24"/>
      <c r="L105" s="24"/>
    </row>
    <row r="106" ht="15.75" customHeight="1">
      <c r="A106" s="27">
        <v>45288.0</v>
      </c>
      <c r="B106" s="20" t="s">
        <v>114</v>
      </c>
      <c r="C106" s="20" t="s">
        <v>21</v>
      </c>
      <c r="D106" s="20" t="s">
        <v>27</v>
      </c>
      <c r="E106" s="21" t="str">
        <f t="shared" si="4"/>
        <v>NSE:GSFC</v>
      </c>
      <c r="F106" s="24">
        <f t="array" ref="F106">IFERROR(MATCH(TRUE,Data!OA8:OA208&gt;=0.05,0),"Failed")</f>
        <v>2</v>
      </c>
      <c r="G106" s="24">
        <f t="array" ref="G106">IFERROR(MATCH(TRUE,Data!OA8:OA208&gt;=0.1,0),"Failed")</f>
        <v>2</v>
      </c>
      <c r="H106" s="24">
        <f t="array" ref="H106">IFERROR(MATCH(TRUE,Data!OA8:OA208&gt;=0.15,0),"Failed")</f>
        <v>2</v>
      </c>
      <c r="I106" s="24">
        <f t="array" ref="I106">IFERROR(MATCH(TRUE,Data!OA8:OA208&gt;=0.2,0),"Failed")</f>
        <v>5</v>
      </c>
      <c r="J106" s="24">
        <f t="array" ref="J106">IFERROR(MATCH(TRUE,Data!OA8:OA208&gt;=0.25,0),"Failed")</f>
        <v>17</v>
      </c>
      <c r="K106" s="24"/>
      <c r="L106" s="24"/>
    </row>
    <row r="107" ht="15.75" customHeight="1">
      <c r="A107" s="27">
        <v>45288.0</v>
      </c>
      <c r="B107" s="20" t="s">
        <v>115</v>
      </c>
      <c r="C107" s="20" t="s">
        <v>13</v>
      </c>
      <c r="D107" s="20" t="s">
        <v>29</v>
      </c>
      <c r="E107" s="21" t="str">
        <f t="shared" si="4"/>
        <v>NSE:TATACONSUM</v>
      </c>
      <c r="F107" s="24">
        <f t="array" ref="F107">IFERROR(MATCH(TRUE,Data!OE8:OE208&gt;=0.05,0),"Failed")</f>
        <v>5</v>
      </c>
      <c r="G107" s="24">
        <f t="array" ref="G107">IFERROR(MATCH(TRUE,Data!OE8:OE208&gt;=0.1,0),"Failed")</f>
        <v>11</v>
      </c>
      <c r="H107" s="24" t="str">
        <f t="array" ref="H107">IFERROR(MATCH(TRUE,Data!OE8:OE208&gt;=0.15,0),"Failed")</f>
        <v>Failed</v>
      </c>
      <c r="I107" s="24" t="str">
        <f t="array" ref="I107">IFERROR(MATCH(TRUE,Data!OE8:OE208&gt;=0.2,0),"Failed")</f>
        <v>Failed</v>
      </c>
      <c r="J107" s="24" t="str">
        <f t="array" ref="J107">IFERROR(MATCH(TRUE,Data!OE8:OE208&gt;=0.25,0),"Failed")</f>
        <v>Failed</v>
      </c>
      <c r="K107" s="24"/>
      <c r="L107" s="24"/>
    </row>
    <row r="108" ht="15.75" customHeight="1">
      <c r="A108" s="27">
        <v>45288.0</v>
      </c>
      <c r="B108" s="20" t="s">
        <v>28</v>
      </c>
      <c r="C108" s="20" t="s">
        <v>21</v>
      </c>
      <c r="D108" s="20" t="s">
        <v>29</v>
      </c>
      <c r="E108" s="21" t="str">
        <f t="shared" si="4"/>
        <v>NSE:BBL</v>
      </c>
      <c r="F108" s="28">
        <f t="array" ref="F108">IFERROR(MATCH(TRUE,Data!OI8:OI208&gt;=0.05,0),"Failed")</f>
        <v>11</v>
      </c>
      <c r="G108" s="28">
        <f t="array" ref="G108">IFERROR(MATCH(TRUE,Data!OI8:OI208&gt;=0.1,0),"Failed")</f>
        <v>11</v>
      </c>
      <c r="H108" s="28">
        <f t="array" ref="H108">IFERROR(MATCH(TRUE,Data!OI8:OI208&gt;=0.15,0),"Failed")</f>
        <v>27</v>
      </c>
      <c r="I108" s="28">
        <f t="array" ref="I108">IFERROR(MATCH(TRUE,Data!OI8:OI208&gt;=0.2,0),"Failed")</f>
        <v>27</v>
      </c>
      <c r="J108" s="28" t="str">
        <f t="array" ref="J108">IFERROR(MATCH(TRUE,Data!OI8:OI208&gt;=0.25,0),"Failed")</f>
        <v>Failed</v>
      </c>
      <c r="K108" s="28"/>
      <c r="L108" s="28"/>
    </row>
    <row r="109" ht="15.75" customHeight="1">
      <c r="A109" s="27">
        <v>45288.0</v>
      </c>
      <c r="B109" s="20" t="s">
        <v>116</v>
      </c>
      <c r="C109" s="20" t="s">
        <v>21</v>
      </c>
      <c r="D109" s="20" t="s">
        <v>29</v>
      </c>
      <c r="E109" s="21" t="str">
        <f t="shared" si="4"/>
        <v>NSE:HEG</v>
      </c>
      <c r="F109" s="24" t="str">
        <f t="array" ref="F109">IFERROR(MATCH(TRUE,Data!OM8:OM208&gt;=0.05,0),"Failed")</f>
        <v>Failed</v>
      </c>
      <c r="G109" s="24" t="str">
        <f t="array" ref="G109">IFERROR(MATCH(TRUE,Data!OM8:OM208&gt;=0.1,0),"Failed")</f>
        <v>Failed</v>
      </c>
      <c r="H109" s="24" t="str">
        <f t="array" ref="H109">IFERROR(MATCH(TRUE,Data!OM8:OM208&gt;=0.15,0),"Failed")</f>
        <v>Failed</v>
      </c>
      <c r="I109" s="24" t="str">
        <f t="array" ref="I109">IFERROR(MATCH(TRUE,Data!OM8:OM208&gt;=0.2,0),"Failed")</f>
        <v>Failed</v>
      </c>
      <c r="J109" s="24" t="str">
        <f t="array" ref="J109">IFERROR(MATCH(TRUE,Data!OM8:OM208&gt;=0.25,0),"Failed")</f>
        <v>Failed</v>
      </c>
      <c r="K109" s="24"/>
      <c r="L109" s="24"/>
    </row>
    <row r="110" ht="15.75" customHeight="1">
      <c r="A110" s="27">
        <v>45288.0</v>
      </c>
      <c r="B110" s="20" t="s">
        <v>117</v>
      </c>
      <c r="C110" s="20" t="s">
        <v>16</v>
      </c>
      <c r="D110" s="20" t="s">
        <v>27</v>
      </c>
      <c r="E110" s="21" t="str">
        <f t="shared" si="4"/>
        <v>NSE:BHAGYANGR</v>
      </c>
      <c r="F110" s="24" t="str">
        <f t="array" ref="F110">IFERROR(MATCH(TRUE,Data!OQ8:OQ208&gt;=0.05,0),"Failed")</f>
        <v>Failed</v>
      </c>
      <c r="G110" s="24" t="str">
        <f t="array" ref="G110">IFERROR(MATCH(TRUE,Data!OQ8:OQ208&gt;=0.1,0),"Failed")</f>
        <v>Failed</v>
      </c>
      <c r="H110" s="24" t="str">
        <f t="array" ref="H110">IFERROR(MATCH(TRUE,Data!OQ8:OQ208&gt;=0.15,0),"Failed")</f>
        <v>Failed</v>
      </c>
      <c r="I110" s="24" t="str">
        <f t="array" ref="I110">IFERROR(MATCH(TRUE,Data!OQ8:OQ208&gt;=0.2,0),"Failed")</f>
        <v>Failed</v>
      </c>
      <c r="J110" s="24" t="str">
        <f t="array" ref="J110">IFERROR(MATCH(TRUE,Data!OQ8:OQ208&gt;=0.25,0),"Failed")</f>
        <v>Failed</v>
      </c>
      <c r="K110" s="24"/>
      <c r="L110" s="24"/>
    </row>
    <row r="111" ht="15.75" customHeight="1">
      <c r="A111" s="27">
        <v>45288.0</v>
      </c>
      <c r="B111" s="20" t="s">
        <v>118</v>
      </c>
      <c r="C111" s="20" t="s">
        <v>13</v>
      </c>
      <c r="D111" s="20" t="s">
        <v>25</v>
      </c>
      <c r="E111" s="21" t="str">
        <f t="shared" si="4"/>
        <v>NSE:HINDCOPPER</v>
      </c>
      <c r="F111" s="24" t="str">
        <f t="array" ref="F111">IFERROR(MATCH(TRUE,Data!OU8:OU208&gt;=0.05,0),"Failed")</f>
        <v>Failed</v>
      </c>
      <c r="G111" s="24" t="str">
        <f t="array" ref="G111">IFERROR(MATCH(TRUE,Data!OU8:OU208&gt;=0.1,0),"Failed")</f>
        <v>Failed</v>
      </c>
      <c r="H111" s="24" t="str">
        <f t="array" ref="H111">IFERROR(MATCH(TRUE,Data!OU8:OU208&gt;=0.15,0),"Failed")</f>
        <v>Failed</v>
      </c>
      <c r="I111" s="24" t="str">
        <f t="array" ref="I111">IFERROR(MATCH(TRUE,Data!OU8:OU208&gt;=0.2,0),"Failed")</f>
        <v>Failed</v>
      </c>
      <c r="J111" s="24" t="str">
        <f t="array" ref="J111">IFERROR(MATCH(TRUE,Data!OU8:OU208&gt;=0.25,0),"Failed")</f>
        <v>Failed</v>
      </c>
      <c r="K111" s="24"/>
      <c r="L111" s="24"/>
    </row>
    <row r="112" ht="15.75" customHeight="1">
      <c r="A112" s="27">
        <v>44451.0</v>
      </c>
      <c r="B112" s="20" t="s">
        <v>119</v>
      </c>
      <c r="C112" s="20" t="s">
        <v>16</v>
      </c>
      <c r="D112" s="20" t="s">
        <v>55</v>
      </c>
      <c r="E112" s="21" t="str">
        <f t="shared" si="4"/>
        <v>NSE:ROHLTD</v>
      </c>
      <c r="F112" s="24" t="str">
        <f t="array" ref="F112">IFERROR(MATCH(TRUE,Data!OY8:OY208&gt;=0.05,0),"Failed")</f>
        <v>Failed</v>
      </c>
      <c r="G112" s="24" t="str">
        <f t="array" ref="G112">IFERROR(MATCH(TRUE,Data!OY8:OY208&gt;=0.1,0),"Failed")</f>
        <v>Failed</v>
      </c>
      <c r="H112" s="24" t="str">
        <f t="array" ref="H112">IFERROR(MATCH(TRUE,Data!OY8:OY208&gt;=0.15,0),"Failed")</f>
        <v>Failed</v>
      </c>
      <c r="I112" s="24" t="str">
        <f t="array" ref="I112">IFERROR(MATCH(TRUE,Data!OY8:OY208&gt;=0.2,0),"Failed")</f>
        <v>Failed</v>
      </c>
      <c r="J112" s="24" t="str">
        <f t="array" ref="J112">IFERROR(MATCH(TRUE,Data!OY8:OY208&gt;=0.25,0),"Failed")</f>
        <v>Failed</v>
      </c>
      <c r="K112" s="24"/>
      <c r="L112" s="24"/>
    </row>
    <row r="113" ht="15.75" customHeight="1">
      <c r="A113" s="27">
        <v>44451.0</v>
      </c>
      <c r="B113" s="20" t="s">
        <v>120</v>
      </c>
      <c r="C113" s="20" t="s">
        <v>16</v>
      </c>
      <c r="D113" s="20" t="s">
        <v>50</v>
      </c>
      <c r="E113" s="21" t="str">
        <f t="shared" si="4"/>
        <v>NSE:DISHTV</v>
      </c>
      <c r="F113" s="24" t="str">
        <f t="array" ref="F113">IFERROR(MATCH(TRUE,Data!PC8:PC208&gt;=0.05,0),"Failed")</f>
        <v>Failed</v>
      </c>
      <c r="G113" s="24" t="str">
        <f t="array" ref="G113">IFERROR(MATCH(TRUE,Data!PC8:PC208&gt;=0.1,0),"Failed")</f>
        <v>Failed</v>
      </c>
      <c r="H113" s="24" t="str">
        <f t="array" ref="H113">IFERROR(MATCH(TRUE,Data!PC8:PC208&gt;=0.15,0),"Failed")</f>
        <v>Failed</v>
      </c>
      <c r="I113" s="24" t="str">
        <f t="array" ref="I113">IFERROR(MATCH(TRUE,Data!PC8:PC208&gt;=0.2,0),"Failed")</f>
        <v>Failed</v>
      </c>
      <c r="J113" s="24" t="str">
        <f t="array" ref="J113">IFERROR(MATCH(TRUE,Data!PC8:PC208&gt;=0.25,0),"Failed")</f>
        <v>Failed</v>
      </c>
      <c r="K113" s="24"/>
      <c r="L113" s="24"/>
    </row>
    <row r="114" ht="15.75" customHeight="1">
      <c r="A114" s="27">
        <v>44451.0</v>
      </c>
      <c r="B114" s="20" t="s">
        <v>69</v>
      </c>
      <c r="C114" s="20" t="s">
        <v>16</v>
      </c>
      <c r="D114" s="20" t="s">
        <v>29</v>
      </c>
      <c r="E114" s="21" t="str">
        <f t="shared" si="4"/>
        <v>NSE:V2RETAIL</v>
      </c>
      <c r="F114" s="24" t="str">
        <f t="array" ref="F114">IFERROR(MATCH(TRUE,Data!PG8:PG208&gt;=0.05,0),"Failed")</f>
        <v>Failed</v>
      </c>
      <c r="G114" s="24" t="str">
        <f t="array" ref="G114">IFERROR(MATCH(TRUE,Data!PG8:PG208&gt;=0.1,0),"Failed")</f>
        <v>Failed</v>
      </c>
      <c r="H114" s="24" t="str">
        <f t="array" ref="H114">IFERROR(MATCH(TRUE,Data!PG8:PG208&gt;=0.15,0),"Failed")</f>
        <v>Failed</v>
      </c>
      <c r="I114" s="24" t="str">
        <f t="array" ref="I114">IFERROR(MATCH(TRUE,Data!PG8:PG208&gt;=0.2,0),"Failed")</f>
        <v>Failed</v>
      </c>
      <c r="J114" s="24" t="str">
        <f t="array" ref="J114">IFERROR(MATCH(TRUE,Data!PG8:PG208&gt;=0.25,0),"Failed")</f>
        <v>Failed</v>
      </c>
      <c r="K114" s="24"/>
      <c r="L114" s="24"/>
    </row>
    <row r="115" ht="15.75" customHeight="1">
      <c r="A115" s="27">
        <v>44451.0</v>
      </c>
      <c r="B115" s="20" t="s">
        <v>121</v>
      </c>
      <c r="C115" s="20" t="s">
        <v>13</v>
      </c>
      <c r="D115" s="20" t="s">
        <v>29</v>
      </c>
      <c r="E115" s="21" t="str">
        <f t="shared" si="4"/>
        <v>NSE:JYOTHYLAB</v>
      </c>
      <c r="F115" s="24" t="str">
        <f t="array" ref="F115">IFERROR(MATCH(TRUE,Data!PK8:PK208&gt;=0.05,0),"Failed")</f>
        <v>Failed</v>
      </c>
      <c r="G115" s="24" t="str">
        <f t="array" ref="G115">IFERROR(MATCH(TRUE,Data!PK8:PK208&gt;=0.1,0),"Failed")</f>
        <v>Failed</v>
      </c>
      <c r="H115" s="24" t="str">
        <f t="array" ref="H115">IFERROR(MATCH(TRUE,Data!PK8:PK208&gt;=0.15,0),"Failed")</f>
        <v>Failed</v>
      </c>
      <c r="I115" s="24" t="str">
        <f t="array" ref="I115">IFERROR(MATCH(TRUE,Data!PK8:PK208&gt;=0.2,0),"Failed")</f>
        <v>Failed</v>
      </c>
      <c r="J115" s="24" t="str">
        <f t="array" ref="J115">IFERROR(MATCH(TRUE,Data!PK8:PK208&gt;=0.25,0),"Failed")</f>
        <v>Failed</v>
      </c>
      <c r="K115" s="24"/>
      <c r="L115" s="24"/>
    </row>
    <row r="116" ht="15.75" customHeight="1">
      <c r="A116" s="27">
        <v>44451.0</v>
      </c>
      <c r="B116" s="20" t="s">
        <v>122</v>
      </c>
      <c r="C116" s="20" t="s">
        <v>16</v>
      </c>
      <c r="D116" s="20" t="s">
        <v>22</v>
      </c>
      <c r="E116" s="21" t="str">
        <f t="shared" si="4"/>
        <v>NSE:SEPC</v>
      </c>
      <c r="F116" s="24" t="str">
        <f t="array" ref="F116">IFERROR(MATCH(TRUE,Data!PO8:PO208&gt;=0.05,0),"Failed")</f>
        <v>Failed</v>
      </c>
      <c r="G116" s="24" t="str">
        <f t="array" ref="G116">IFERROR(MATCH(TRUE,Data!PO8:PO208&gt;=0.1,0),"Failed")</f>
        <v>Failed</v>
      </c>
      <c r="H116" s="24" t="str">
        <f t="array" ref="H116">IFERROR(MATCH(TRUE,Data!PO8:PO208&gt;=0.15,0),"Failed")</f>
        <v>Failed</v>
      </c>
      <c r="I116" s="24" t="str">
        <f t="array" ref="I116">IFERROR(MATCH(TRUE,Data!PO8:PO208&gt;=0.2,0),"Failed")</f>
        <v>Failed</v>
      </c>
      <c r="J116" s="24" t="str">
        <f t="array" ref="J116">IFERROR(MATCH(TRUE,Data!PO8:PO208&gt;=0.25,0),"Failed")</f>
        <v>Failed</v>
      </c>
      <c r="K116" s="24"/>
      <c r="L116" s="24"/>
    </row>
    <row r="117" ht="15.75" customHeight="1">
      <c r="A117" s="27">
        <v>44451.0</v>
      </c>
      <c r="B117" s="20" t="s">
        <v>123</v>
      </c>
      <c r="C117" s="20" t="s">
        <v>13</v>
      </c>
      <c r="D117" s="20" t="s">
        <v>17</v>
      </c>
      <c r="E117" s="21" t="str">
        <f t="shared" si="4"/>
        <v>NSE:ZFCVINDIA</v>
      </c>
      <c r="F117" s="24" t="str">
        <f t="array" ref="F117">IFERROR(MATCH(TRUE,Data!PS8:PS208&gt;=0.05,0),"Failed")</f>
        <v>Failed</v>
      </c>
      <c r="G117" s="24" t="str">
        <f t="array" ref="G117">IFERROR(MATCH(TRUE,Data!PS8:PS208&gt;=0.1,0),"Failed")</f>
        <v>Failed</v>
      </c>
      <c r="H117" s="24" t="str">
        <f t="array" ref="H117">IFERROR(MATCH(TRUE,Data!PS8:PS208&gt;=0.15,0),"Failed")</f>
        <v>Failed</v>
      </c>
      <c r="I117" s="24" t="str">
        <f t="array" ref="I117">IFERROR(MATCH(TRUE,Data!PS8:PS208&gt;=0.2,0),"Failed")</f>
        <v>Failed</v>
      </c>
      <c r="J117" s="24" t="str">
        <f t="array" ref="J117">IFERROR(MATCH(TRUE,Data!PS8:PS208&gt;=0.25,0),"Failed")</f>
        <v>Failed</v>
      </c>
      <c r="K117" s="24"/>
      <c r="L117" s="24"/>
    </row>
    <row r="118" ht="15.75" customHeight="1">
      <c r="A118" s="27">
        <v>44451.0</v>
      </c>
      <c r="B118" s="20" t="s">
        <v>124</v>
      </c>
      <c r="C118" s="20" t="s">
        <v>16</v>
      </c>
      <c r="D118" s="20" t="s">
        <v>53</v>
      </c>
      <c r="E118" s="21" t="str">
        <f t="shared" si="4"/>
        <v>NSE:CANTABIL</v>
      </c>
      <c r="F118" s="24" t="str">
        <f t="array" ref="F118">IFERROR(MATCH(TRUE,Data!PW8:PW208&gt;=0.05,0),"Failed")</f>
        <v>Failed</v>
      </c>
      <c r="G118" s="24" t="str">
        <f t="array" ref="G118">IFERROR(MATCH(TRUE,Data!PW8:PW208&gt;=0.1,0),"Failed")</f>
        <v>Failed</v>
      </c>
      <c r="H118" s="24" t="str">
        <f t="array" ref="H118">IFERROR(MATCH(TRUE,Data!PW8:PW208&gt;=0.15,0),"Failed")</f>
        <v>Failed</v>
      </c>
      <c r="I118" s="24" t="str">
        <f t="array" ref="I118">IFERROR(MATCH(TRUE,Data!PW8:PW208&gt;=0.2,0),"Failed")</f>
        <v>Failed</v>
      </c>
      <c r="J118" s="24" t="str">
        <f t="array" ref="J118">IFERROR(MATCH(TRUE,Data!PW8:PW208&gt;=0.25,0),"Failed")</f>
        <v>Failed</v>
      </c>
      <c r="K118" s="24"/>
      <c r="L118" s="24"/>
    </row>
    <row r="119" ht="15.75" customHeight="1">
      <c r="A119" s="27">
        <v>44451.0</v>
      </c>
      <c r="B119" s="20" t="s">
        <v>125</v>
      </c>
      <c r="C119" s="20" t="s">
        <v>16</v>
      </c>
      <c r="D119" s="20" t="s">
        <v>37</v>
      </c>
      <c r="E119" s="21" t="str">
        <f t="shared" si="4"/>
        <v>NSE:CIGNITITEC</v>
      </c>
      <c r="F119" s="24" t="str">
        <f t="array" ref="F119">IFERROR(MATCH(TRUE,Data!QA8:QA208&gt;=0.05,0),"Failed")</f>
        <v>Failed</v>
      </c>
      <c r="G119" s="24" t="str">
        <f t="array" ref="G119">IFERROR(MATCH(TRUE,Data!QA8:QA208&gt;=0.1,0),"Failed")</f>
        <v>Failed</v>
      </c>
      <c r="H119" s="24" t="str">
        <f t="array" ref="H119">IFERROR(MATCH(TRUE,Data!QA8:QA208&gt;=0.15,0),"Failed")</f>
        <v>Failed</v>
      </c>
      <c r="I119" s="24" t="str">
        <f t="array" ref="I119">IFERROR(MATCH(TRUE,Data!QA8:QA208&gt;=0.2,0),"Failed")</f>
        <v>Failed</v>
      </c>
      <c r="J119" s="24" t="str">
        <f t="array" ref="J119">IFERROR(MATCH(TRUE,Data!QA8:QA208&gt;=0.25,0),"Failed")</f>
        <v>Failed</v>
      </c>
      <c r="K119" s="24"/>
      <c r="L119" s="24"/>
    </row>
    <row r="120" ht="15.75" customHeight="1">
      <c r="A120" s="29">
        <v>44451.0</v>
      </c>
      <c r="B120" s="20" t="s">
        <v>126</v>
      </c>
      <c r="C120" s="20" t="s">
        <v>16</v>
      </c>
      <c r="D120" s="20" t="s">
        <v>53</v>
      </c>
      <c r="E120" s="21" t="str">
        <f t="shared" si="4"/>
        <v>NSE:MONTECARLO</v>
      </c>
      <c r="F120" s="24" t="str">
        <f t="array" ref="F120">IFERROR(MATCH(TRUE,Data!QE8:QE208&gt;=0.05,0),"Failed")</f>
        <v>Failed</v>
      </c>
      <c r="G120" s="24" t="str">
        <f t="array" ref="G120">IFERROR(MATCH(TRUE,Data!QE8:QE208&gt;=0.1,0),"Failed")</f>
        <v>Failed</v>
      </c>
      <c r="H120" s="24" t="str">
        <f t="array" ref="H120">IFERROR(MATCH(TRUE,Data!QE8:QE208&gt;=0.15,0),"Failed")</f>
        <v>Failed</v>
      </c>
      <c r="I120" s="24" t="str">
        <f t="array" ref="I120">IFERROR(MATCH(TRUE,Data!QE8:QE208&gt;=0.2,0),"Failed")</f>
        <v>Failed</v>
      </c>
      <c r="J120" s="24" t="str">
        <f t="array" ref="J120">IFERROR(MATCH(TRUE,Data!QE8:QE208&gt;=0.25,0),"Failed")</f>
        <v>Failed</v>
      </c>
      <c r="K120" s="24"/>
      <c r="L120" s="24"/>
    </row>
    <row r="121" ht="15.75" customHeight="1">
      <c r="A121" s="29">
        <v>44451.0</v>
      </c>
      <c r="B121" s="20" t="s">
        <v>127</v>
      </c>
      <c r="C121" s="20" t="s">
        <v>16</v>
      </c>
      <c r="D121" s="20" t="s">
        <v>37</v>
      </c>
      <c r="E121" s="21" t="str">
        <f t="shared" si="4"/>
        <v>NSE:AURUM</v>
      </c>
      <c r="F121" s="24" t="str">
        <f t="array" ref="F121">IFERROR(MATCH(TRUE,Data!QI8:QI208&gt;=0.05,0),"Failed")</f>
        <v>Failed</v>
      </c>
      <c r="G121" s="24" t="str">
        <f t="array" ref="G121">IFERROR(MATCH(TRUE,Data!QI8:QI208&gt;=0.1,0),"Failed")</f>
        <v>Failed</v>
      </c>
      <c r="H121" s="24" t="str">
        <f t="array" ref="H121">IFERROR(MATCH(TRUE,Data!QI8:QI208&gt;=0.15,0),"Failed")</f>
        <v>Failed</v>
      </c>
      <c r="I121" s="24" t="str">
        <f t="array" ref="I121">IFERROR(MATCH(TRUE,Data!QI8:QI208&gt;=0.2,0),"Failed")</f>
        <v>Failed</v>
      </c>
      <c r="J121" s="24" t="str">
        <f t="array" ref="J121">IFERROR(MATCH(TRUE,Data!QI8:QI208&gt;=0.25,0),"Failed")</f>
        <v>Failed</v>
      </c>
      <c r="K121" s="24"/>
      <c r="L121" s="24"/>
    </row>
    <row r="122" ht="15.75" customHeight="1">
      <c r="A122" s="29">
        <v>44458.0</v>
      </c>
      <c r="B122" s="20" t="s">
        <v>128</v>
      </c>
      <c r="C122" s="20" t="s">
        <v>21</v>
      </c>
      <c r="D122" s="20" t="s">
        <v>17</v>
      </c>
      <c r="E122" s="21" t="str">
        <f t="shared" si="4"/>
        <v>NSE:FORCEMOT</v>
      </c>
      <c r="F122" s="24" t="str">
        <f t="array" ref="F122">IFERROR(MATCH(TRUE,Data!QM8:QM208&gt;=0.05,0),"Failed")</f>
        <v>Failed</v>
      </c>
      <c r="G122" s="24" t="str">
        <f t="array" ref="G122">IFERROR(MATCH(TRUE,Data!QM8:QM208&gt;=0.1,0),"Failed")</f>
        <v>Failed</v>
      </c>
      <c r="H122" s="24" t="str">
        <f t="array" ref="H122">IFERROR(MATCH(TRUE,Data!QM8:QM208&gt;=0.15,0),"Failed")</f>
        <v>Failed</v>
      </c>
      <c r="I122" s="24" t="str">
        <f t="array" ref="I122">IFERROR(MATCH(TRUE,Data!QM8:QM208&gt;=0.2,0),"Failed")</f>
        <v>Failed</v>
      </c>
      <c r="J122" s="24" t="str">
        <f t="array" ref="J122">IFERROR(MATCH(TRUE,Data!QM8:QM208&gt;=0.25,0),"Failed")</f>
        <v>Failed</v>
      </c>
      <c r="K122" s="24"/>
      <c r="L122" s="24"/>
    </row>
    <row r="123" ht="15.75" customHeight="1">
      <c r="A123" s="29">
        <v>44458.0</v>
      </c>
      <c r="B123" s="20" t="s">
        <v>129</v>
      </c>
      <c r="C123" s="20" t="s">
        <v>16</v>
      </c>
      <c r="D123" s="20" t="s">
        <v>29</v>
      </c>
      <c r="E123" s="21" t="str">
        <f t="shared" si="4"/>
        <v>NSE:BANARISUG</v>
      </c>
      <c r="F123" s="24" t="str">
        <f t="array" ref="F123">IFERROR(MATCH(TRUE,Data!QQ8:QQ208&gt;=0.05,0),"Failed")</f>
        <v>Failed</v>
      </c>
      <c r="G123" s="24" t="str">
        <f t="array" ref="G123">IFERROR(MATCH(TRUE,Data!QQ8:QQ208&gt;=0.1,0),"Failed")</f>
        <v>Failed</v>
      </c>
      <c r="H123" s="24" t="str">
        <f t="array" ref="H123">IFERROR(MATCH(TRUE,Data!QQ8:QQ208&gt;=0.15,0),"Failed")</f>
        <v>Failed</v>
      </c>
      <c r="I123" s="24" t="str">
        <f t="array" ref="I123">IFERROR(MATCH(TRUE,Data!QQ8:QQ208&gt;=0.2,0),"Failed")</f>
        <v>Failed</v>
      </c>
      <c r="J123" s="24" t="str">
        <f t="array" ref="J123">IFERROR(MATCH(TRUE,Data!QQ8:QQ208&gt;=0.25,0),"Failed")</f>
        <v>Failed</v>
      </c>
      <c r="K123" s="24"/>
      <c r="L123" s="24"/>
    </row>
    <row r="124" ht="15.75" customHeight="1">
      <c r="A124" s="29">
        <v>44458.0</v>
      </c>
      <c r="B124" s="20" t="s">
        <v>130</v>
      </c>
      <c r="C124" s="20" t="s">
        <v>16</v>
      </c>
      <c r="D124" s="20" t="s">
        <v>27</v>
      </c>
      <c r="E124" s="21" t="str">
        <f t="shared" si="4"/>
        <v>NSE:ANDHRSUGAR</v>
      </c>
      <c r="F124" s="24" t="str">
        <f t="array" ref="F124">IFERROR(MATCH(TRUE,Data!QU8:QU208&gt;=0.05,0),"Failed")</f>
        <v>Failed</v>
      </c>
      <c r="G124" s="24" t="str">
        <f t="array" ref="G124">IFERROR(MATCH(TRUE,Data!QU8:QU208&gt;=0.1,0),"Failed")</f>
        <v>Failed</v>
      </c>
      <c r="H124" s="24" t="str">
        <f t="array" ref="H124">IFERROR(MATCH(TRUE,Data!QU8:QU208&gt;=0.15,0),"Failed")</f>
        <v>Failed</v>
      </c>
      <c r="I124" s="24" t="str">
        <f t="array" ref="I124">IFERROR(MATCH(TRUE,Data!QU8:QU208&gt;=0.2,0),"Failed")</f>
        <v>Failed</v>
      </c>
      <c r="J124" s="24" t="str">
        <f t="array" ref="J124">IFERROR(MATCH(TRUE,Data!QU8:QU208&gt;=0.25,0),"Failed")</f>
        <v>Failed</v>
      </c>
      <c r="K124" s="24"/>
      <c r="L124" s="24"/>
    </row>
    <row r="125" ht="15.75" customHeight="1">
      <c r="A125" s="29">
        <v>44458.0</v>
      </c>
      <c r="B125" s="20" t="s">
        <v>131</v>
      </c>
      <c r="C125" s="20" t="s">
        <v>13</v>
      </c>
      <c r="D125" s="20" t="s">
        <v>29</v>
      </c>
      <c r="E125" s="21" t="str">
        <f t="shared" si="4"/>
        <v>NSE:GODFRYPHLP</v>
      </c>
      <c r="F125" s="24" t="str">
        <f t="array" ref="F125">IFERROR(MATCH(TRUE,Data!QY8:QY208&gt;=0.05,0),"Failed")</f>
        <v>Failed</v>
      </c>
      <c r="G125" s="24" t="str">
        <f t="array" ref="G125">IFERROR(MATCH(TRUE,Data!QY8:QY208&gt;=0.1,0),"Failed")</f>
        <v>Failed</v>
      </c>
      <c r="H125" s="24" t="str">
        <f t="array" ref="H125">IFERROR(MATCH(TRUE,Data!QY8:QY208&gt;=0.15,0),"Failed")</f>
        <v>Failed</v>
      </c>
      <c r="I125" s="24" t="str">
        <f t="array" ref="I125">IFERROR(MATCH(TRUE,Data!QY8:QY208&gt;=0.2,0),"Failed")</f>
        <v>Failed</v>
      </c>
      <c r="J125" s="24" t="str">
        <f t="array" ref="J125">IFERROR(MATCH(TRUE,Data!QY8:QY208&gt;=0.25,0),"Failed")</f>
        <v>Failed</v>
      </c>
      <c r="K125" s="24"/>
      <c r="L125" s="24"/>
    </row>
    <row r="126" ht="15.75" customHeight="1">
      <c r="A126" s="29">
        <v>44458.0</v>
      </c>
      <c r="B126" s="20" t="s">
        <v>132</v>
      </c>
      <c r="C126" s="20" t="s">
        <v>16</v>
      </c>
      <c r="D126" s="20" t="s">
        <v>39</v>
      </c>
      <c r="E126" s="21" t="str">
        <f t="shared" si="4"/>
        <v>NSE:GFLLIMITED</v>
      </c>
      <c r="F126" s="24" t="str">
        <f t="array" ref="F126">IFERROR(MATCH(TRUE,Data!RC8:RC208&gt;=0.05,0),"Failed")</f>
        <v>Failed</v>
      </c>
      <c r="G126" s="24" t="str">
        <f t="array" ref="G126">IFERROR(MATCH(TRUE,Data!RC8:RC208&gt;=0.1,0),"Failed")</f>
        <v>Failed</v>
      </c>
      <c r="H126" s="24" t="str">
        <f t="array" ref="H126">IFERROR(MATCH(TRUE,Data!RC8:RC208&gt;=0.15,0),"Failed")</f>
        <v>Failed</v>
      </c>
      <c r="I126" s="24" t="str">
        <f t="array" ref="I126">IFERROR(MATCH(TRUE,Data!RC8:RC208&gt;=0.2,0),"Failed")</f>
        <v>Failed</v>
      </c>
      <c r="J126" s="24" t="str">
        <f t="array" ref="J126">IFERROR(MATCH(TRUE,Data!RC8:RC208&gt;=0.25,0),"Failed")</f>
        <v>Failed</v>
      </c>
      <c r="K126" s="24"/>
      <c r="L126" s="24"/>
    </row>
    <row r="127" ht="15.75" customHeight="1">
      <c r="A127" s="29">
        <v>44458.0</v>
      </c>
      <c r="B127" s="20" t="s">
        <v>133</v>
      </c>
      <c r="C127" s="20" t="s">
        <v>16</v>
      </c>
      <c r="D127" s="20" t="s">
        <v>27</v>
      </c>
      <c r="E127" s="21" t="str">
        <f t="shared" si="4"/>
        <v>NSE:BOROLTD</v>
      </c>
      <c r="F127" s="24" t="str">
        <f t="array" ref="F127">IFERROR(MATCH(TRUE,Data!RG8:RG208&gt;=0.05,0),"Failed")</f>
        <v>Failed</v>
      </c>
      <c r="G127" s="24" t="str">
        <f t="array" ref="G127">IFERROR(MATCH(TRUE,Data!RG8:RG208&gt;=0.1,0),"Failed")</f>
        <v>Failed</v>
      </c>
      <c r="H127" s="24" t="str">
        <f t="array" ref="H127">IFERROR(MATCH(TRUE,Data!RG8:RG208&gt;=0.15,0),"Failed")</f>
        <v>Failed</v>
      </c>
      <c r="I127" s="24" t="str">
        <f t="array" ref="I127">IFERROR(MATCH(TRUE,Data!RG8:RG208&gt;=0.2,0),"Failed")</f>
        <v>Failed</v>
      </c>
      <c r="J127" s="24" t="str">
        <f t="array" ref="J127">IFERROR(MATCH(TRUE,Data!RG8:RG208&gt;=0.25,0),"Failed")</f>
        <v>Failed</v>
      </c>
      <c r="K127" s="24"/>
      <c r="L127" s="24"/>
    </row>
    <row r="128" ht="15.75" customHeight="1">
      <c r="A128" s="29">
        <v>44458.0</v>
      </c>
      <c r="B128" s="20" t="s">
        <v>33</v>
      </c>
      <c r="C128" s="20" t="s">
        <v>21</v>
      </c>
      <c r="D128" s="20" t="s">
        <v>22</v>
      </c>
      <c r="E128" s="21" t="str">
        <f t="shared" si="4"/>
        <v>NSE:NESCO</v>
      </c>
      <c r="F128" s="24" t="str">
        <f t="array" ref="F128">IFERROR(MATCH(TRUE,Data!RK8:RK208&gt;=0.05,0),"Failed")</f>
        <v>Failed</v>
      </c>
      <c r="G128" s="24" t="str">
        <f t="array" ref="G128">IFERROR(MATCH(TRUE,Data!RK8:RK208&gt;=0.1,0),"Failed")</f>
        <v>Failed</v>
      </c>
      <c r="H128" s="24" t="str">
        <f t="array" ref="H128">IFERROR(MATCH(TRUE,Data!RK8:RK208&gt;=0.15,0),"Failed")</f>
        <v>Failed</v>
      </c>
      <c r="I128" s="24" t="str">
        <f t="array" ref="I128">IFERROR(MATCH(TRUE,Data!RK8:RK208&gt;=0.2,0),"Failed")</f>
        <v>Failed</v>
      </c>
      <c r="J128" s="24" t="str">
        <f t="array" ref="J128">IFERROR(MATCH(TRUE,Data!RK8:RK208&gt;=0.25,0),"Failed")</f>
        <v>Failed</v>
      </c>
      <c r="K128" s="24"/>
      <c r="L128" s="24"/>
    </row>
    <row r="129" ht="15.75" customHeight="1">
      <c r="A129" s="29">
        <v>44458.0</v>
      </c>
      <c r="B129" s="20" t="s">
        <v>134</v>
      </c>
      <c r="C129" s="20" t="s">
        <v>16</v>
      </c>
      <c r="D129" s="20" t="s">
        <v>29</v>
      </c>
      <c r="E129" s="21" t="str">
        <f t="shared" si="4"/>
        <v>NSE:WENDT</v>
      </c>
      <c r="F129" s="24" t="str">
        <f t="array" ref="F129">IFERROR(MATCH(TRUE,Data!RO8:RO208&gt;=0.05,0),"Failed")</f>
        <v>Failed</v>
      </c>
      <c r="G129" s="24" t="str">
        <f t="array" ref="G129">IFERROR(MATCH(TRUE,Data!RO8:RO208&gt;=0.1,0),"Failed")</f>
        <v>Failed</v>
      </c>
      <c r="H129" s="24" t="str">
        <f t="array" ref="H129">IFERROR(MATCH(TRUE,Data!RO8:RO208&gt;=0.15,0),"Failed")</f>
        <v>Failed</v>
      </c>
      <c r="I129" s="24" t="str">
        <f t="array" ref="I129">IFERROR(MATCH(TRUE,Data!RO8:RO208&gt;=0.2,0),"Failed")</f>
        <v>Failed</v>
      </c>
      <c r="J129" s="24" t="str">
        <f t="array" ref="J129">IFERROR(MATCH(TRUE,Data!RO8:RO208&gt;=0.25,0),"Failed")</f>
        <v>Failed</v>
      </c>
      <c r="K129" s="24"/>
      <c r="L129" s="24"/>
    </row>
    <row r="130" ht="15.75" customHeight="1">
      <c r="A130" s="29">
        <v>44458.0</v>
      </c>
      <c r="B130" s="20" t="s">
        <v>135</v>
      </c>
      <c r="C130" s="20" t="s">
        <v>16</v>
      </c>
      <c r="D130" s="20" t="s">
        <v>17</v>
      </c>
      <c r="E130" s="21" t="str">
        <f t="shared" si="4"/>
        <v>NSE:TVSSRICHAK</v>
      </c>
      <c r="F130" s="24" t="str">
        <f t="array" ref="F130">IFERROR(MATCH(TRUE,Data!RS8:RS208&gt;=0.05,0),"Failed")</f>
        <v>Failed</v>
      </c>
      <c r="G130" s="24" t="str">
        <f t="array" ref="G130">IFERROR(MATCH(TRUE,Data!RS8:RS208&gt;=0.1,0),"Failed")</f>
        <v>Failed</v>
      </c>
      <c r="H130" s="24" t="str">
        <f t="array" ref="H130">IFERROR(MATCH(TRUE,Data!RS8:RS208&gt;=0.15,0),"Failed")</f>
        <v>Failed</v>
      </c>
      <c r="I130" s="24" t="str">
        <f t="array" ref="I130">IFERROR(MATCH(TRUE,Data!RS8:RS208&gt;=0.2,0),"Failed")</f>
        <v>Failed</v>
      </c>
      <c r="J130" s="24" t="str">
        <f t="array" ref="J130">IFERROR(MATCH(TRUE,Data!RS8:RS208&gt;=0.25,0),"Failed")</f>
        <v>Failed</v>
      </c>
      <c r="K130" s="24"/>
      <c r="L130" s="24"/>
    </row>
    <row r="131" ht="15.75" customHeight="1">
      <c r="A131" s="29">
        <v>44458.0</v>
      </c>
      <c r="B131" s="20" t="s">
        <v>41</v>
      </c>
      <c r="C131" s="20" t="s">
        <v>13</v>
      </c>
      <c r="D131" s="20" t="s">
        <v>31</v>
      </c>
      <c r="E131" s="21" t="str">
        <f t="shared" si="4"/>
        <v>NSE:NLCINDIA</v>
      </c>
      <c r="F131" s="24" t="str">
        <f t="array" ref="F131">IFERROR(MATCH(TRUE,Data!RW8:RW208&gt;=0.05,0),"Failed")</f>
        <v>Failed</v>
      </c>
      <c r="G131" s="24" t="str">
        <f t="array" ref="G131">IFERROR(MATCH(TRUE,Data!RW8:RW208&gt;=0.1,0),"Failed")</f>
        <v>Failed</v>
      </c>
      <c r="H131" s="24" t="str">
        <f t="array" ref="H131">IFERROR(MATCH(TRUE,Data!RW8:RW208&gt;=0.15,0),"Failed")</f>
        <v>Failed</v>
      </c>
      <c r="I131" s="24" t="str">
        <f t="array" ref="I131">IFERROR(MATCH(TRUE,Data!RW8:RW208&gt;=0.2,0),"Failed")</f>
        <v>Failed</v>
      </c>
      <c r="J131" s="24" t="str">
        <f t="array" ref="J131">IFERROR(MATCH(TRUE,Data!RW8:RW208&gt;=0.25,0),"Failed")</f>
        <v>Failed</v>
      </c>
      <c r="K131" s="24"/>
      <c r="L131" s="24"/>
    </row>
    <row r="132" ht="15.75" customHeight="1">
      <c r="A132" s="29">
        <v>44458.0</v>
      </c>
      <c r="B132" s="20" t="s">
        <v>136</v>
      </c>
      <c r="C132" s="20" t="s">
        <v>16</v>
      </c>
      <c r="D132" s="20" t="s">
        <v>29</v>
      </c>
      <c r="E132" s="21" t="str">
        <f t="shared" si="4"/>
        <v>NSE:IGARASHI</v>
      </c>
      <c r="F132" s="24" t="str">
        <f t="array" ref="F132">IFERROR(MATCH(TRUE,Data!SA8:SA208&gt;=0.05,0),"Failed")</f>
        <v>Failed</v>
      </c>
      <c r="G132" s="24" t="str">
        <f t="array" ref="G132">IFERROR(MATCH(TRUE,Data!SA8:SA208&gt;=0.1,0),"Failed")</f>
        <v>Failed</v>
      </c>
      <c r="H132" s="24" t="str">
        <f t="array" ref="H132">IFERROR(MATCH(TRUE,Data!SA8:SA208&gt;=0.15,0),"Failed")</f>
        <v>Failed</v>
      </c>
      <c r="I132" s="24" t="str">
        <f t="array" ref="I132">IFERROR(MATCH(TRUE,Data!SA8:SA208&gt;=0.2,0),"Failed")</f>
        <v>Failed</v>
      </c>
      <c r="J132" s="24" t="str">
        <f t="array" ref="J132">IFERROR(MATCH(TRUE,Data!SA8:SA208&gt;=0.25,0),"Failed")</f>
        <v>Failed</v>
      </c>
      <c r="K132" s="24"/>
      <c r="L132" s="24"/>
    </row>
    <row r="133" ht="15.75" customHeight="1">
      <c r="A133" s="29">
        <v>45425.0</v>
      </c>
      <c r="B133" s="20" t="s">
        <v>137</v>
      </c>
      <c r="C133" s="20" t="s">
        <v>13</v>
      </c>
      <c r="D133" s="20" t="s">
        <v>55</v>
      </c>
      <c r="E133" s="21" t="str">
        <f t="shared" si="4"/>
        <v>NSE:ADANIENT</v>
      </c>
      <c r="F133" s="24" t="str">
        <f t="array" ref="F133">IFERROR(MATCH(TRUE,Data!SE8:SE208&gt;=0.05,0),"Failed")</f>
        <v>Failed</v>
      </c>
      <c r="G133" s="24" t="str">
        <f t="array" ref="G133">IFERROR(MATCH(TRUE,Data!SE8:SE208&gt;=0.1,0),"Failed")</f>
        <v>Failed</v>
      </c>
      <c r="H133" s="24" t="str">
        <f t="array" ref="H133">IFERROR(MATCH(TRUE,Data!SE8:SE208&gt;=0.15,0),"Failed")</f>
        <v>Failed</v>
      </c>
      <c r="I133" s="24" t="str">
        <f t="array" ref="I133">IFERROR(MATCH(TRUE,Data!SE8:SE208&gt;=0.2,0),"Failed")</f>
        <v>Failed</v>
      </c>
      <c r="J133" s="24" t="str">
        <f t="array" ref="J133">IFERROR(MATCH(TRUE,Data!SE8:SE208&gt;=0.25,0),"Failed")</f>
        <v>Failed</v>
      </c>
      <c r="K133" s="24"/>
      <c r="L133" s="24"/>
    </row>
    <row r="134" ht="15.75" customHeight="1">
      <c r="A134" s="23">
        <v>45425.0</v>
      </c>
      <c r="B134" s="20" t="s">
        <v>138</v>
      </c>
      <c r="C134" s="20" t="s">
        <v>16</v>
      </c>
      <c r="D134" s="20" t="s">
        <v>55</v>
      </c>
      <c r="E134" s="21" t="str">
        <f t="shared" si="4"/>
        <v>NSE:EIHAHOTELS</v>
      </c>
      <c r="F134" s="24" t="str">
        <f t="array" ref="F134">IFERROR(MATCH(TRUE,Data!SI8:SI208&gt;=0.05,0),"Failed")</f>
        <v>Failed</v>
      </c>
      <c r="G134" s="24" t="str">
        <f t="array" ref="G134">IFERROR(MATCH(TRUE,Data!SI8:SI208&gt;=0.1,0),"Failed")</f>
        <v>Failed</v>
      </c>
      <c r="H134" s="24" t="str">
        <f t="array" ref="H134">IFERROR(MATCH(TRUE,Data!SI8:SI208&gt;=0.15,0),"Failed")</f>
        <v>Failed</v>
      </c>
      <c r="I134" s="24" t="str">
        <f t="array" ref="I134">IFERROR(MATCH(TRUE,Data!SI8:SI208&gt;=0.2,0),"Failed")</f>
        <v>Failed</v>
      </c>
      <c r="J134" s="24" t="str">
        <f t="array" ref="J134">IFERROR(MATCH(TRUE,Data!SI8:SI208&gt;=0.25,0),"Failed")</f>
        <v>Failed</v>
      </c>
      <c r="K134" s="24"/>
      <c r="L134" s="24"/>
    </row>
    <row r="135" ht="15.75" customHeight="1">
      <c r="A135" s="23">
        <v>45425.0</v>
      </c>
      <c r="B135" s="20" t="s">
        <v>88</v>
      </c>
      <c r="C135" s="20" t="s">
        <v>16</v>
      </c>
      <c r="D135" s="20" t="s">
        <v>22</v>
      </c>
      <c r="E135" s="21" t="str">
        <f t="shared" si="4"/>
        <v>NSE:BLAL</v>
      </c>
      <c r="F135" s="24" t="str">
        <f t="array" ref="F135">IFERROR(MATCH(TRUE,Data!SM8:SM208&gt;=0.05,0),"Failed")</f>
        <v>Failed</v>
      </c>
      <c r="G135" s="24" t="str">
        <f t="array" ref="G135">IFERROR(MATCH(TRUE,Data!SM8:SM208&gt;=0.1,0),"Failed")</f>
        <v>Failed</v>
      </c>
      <c r="H135" s="24" t="str">
        <f t="array" ref="H135">IFERROR(MATCH(TRUE,Data!SM8:SM208&gt;=0.15,0),"Failed")</f>
        <v>Failed</v>
      </c>
      <c r="I135" s="24" t="str">
        <f t="array" ref="I135">IFERROR(MATCH(TRUE,Data!SM8:SM208&gt;=0.2,0),"Failed")</f>
        <v>Failed</v>
      </c>
      <c r="J135" s="24" t="str">
        <f t="array" ref="J135">IFERROR(MATCH(TRUE,Data!SM8:SM208&gt;=0.25,0),"Failed")</f>
        <v>Failed</v>
      </c>
      <c r="K135" s="24"/>
      <c r="L135" s="24"/>
    </row>
    <row r="136" ht="15.75" customHeight="1">
      <c r="A136" s="23">
        <v>45425.0</v>
      </c>
      <c r="B136" s="20" t="s">
        <v>139</v>
      </c>
      <c r="C136" s="20" t="s">
        <v>16</v>
      </c>
      <c r="D136" s="20" t="s">
        <v>19</v>
      </c>
      <c r="E136" s="21" t="str">
        <f t="shared" si="4"/>
        <v>NSE:IDEAFORGE</v>
      </c>
      <c r="F136" s="24" t="str">
        <f t="array" ref="F136">IFERROR(MATCH(TRUE,Data!SQ8:SQ208&gt;=0.05,0),"Failed")</f>
        <v>Failed</v>
      </c>
      <c r="G136" s="24" t="str">
        <f t="array" ref="G136">IFERROR(MATCH(TRUE,Data!SQ8:SQ208&gt;=0.1,0),"Failed")</f>
        <v>Failed</v>
      </c>
      <c r="H136" s="24" t="str">
        <f t="array" ref="H136">IFERROR(MATCH(TRUE,Data!SQ8:SQ208&gt;=0.15,0),"Failed")</f>
        <v>Failed</v>
      </c>
      <c r="I136" s="24" t="str">
        <f t="array" ref="I136">IFERROR(MATCH(TRUE,Data!SQ8:SQ208&gt;=0.2,0),"Failed")</f>
        <v>Failed</v>
      </c>
      <c r="J136" s="24" t="str">
        <f t="array" ref="J136">IFERROR(MATCH(TRUE,Data!SQ8:SQ208&gt;=0.25,0),"Failed")</f>
        <v>Failed</v>
      </c>
      <c r="K136" s="24"/>
      <c r="L136" s="24"/>
    </row>
    <row r="137" ht="15.75" customHeight="1">
      <c r="A137" s="23">
        <v>45425.0</v>
      </c>
      <c r="B137" s="20" t="s">
        <v>140</v>
      </c>
      <c r="C137" s="20" t="s">
        <v>16</v>
      </c>
      <c r="D137" s="20" t="s">
        <v>64</v>
      </c>
      <c r="E137" s="21" t="str">
        <f t="shared" si="4"/>
        <v>NSE:PANAMAPET</v>
      </c>
      <c r="F137" s="24" t="str">
        <f t="array" ref="F137">IFERROR(MATCH(TRUE,Data!SU8:SU208&gt;=0.05,0),"Failed")</f>
        <v>Failed</v>
      </c>
      <c r="G137" s="24" t="str">
        <f t="array" ref="G137">IFERROR(MATCH(TRUE,Data!SU8:SU208&gt;=0.1,0),"Failed")</f>
        <v>Failed</v>
      </c>
      <c r="H137" s="24" t="str">
        <f t="array" ref="H137">IFERROR(MATCH(TRUE,Data!SU8:SU208&gt;=0.15,0),"Failed")</f>
        <v>Failed</v>
      </c>
      <c r="I137" s="24" t="str">
        <f t="array" ref="I137">IFERROR(MATCH(TRUE,Data!SU8:SU208&gt;=0.2,0),"Failed")</f>
        <v>Failed</v>
      </c>
      <c r="J137" s="24" t="str">
        <f t="array" ref="J137">IFERROR(MATCH(TRUE,Data!SU8:SU208&gt;=0.25,0),"Failed")</f>
        <v>Failed</v>
      </c>
      <c r="K137" s="24"/>
      <c r="L137" s="24"/>
    </row>
    <row r="138" ht="15.75" customHeight="1">
      <c r="A138" s="23">
        <v>45425.0</v>
      </c>
      <c r="B138" s="20" t="s">
        <v>141</v>
      </c>
      <c r="C138" s="20" t="s">
        <v>16</v>
      </c>
      <c r="D138" s="20" t="s">
        <v>22</v>
      </c>
      <c r="E138" s="21" t="str">
        <f t="shared" si="4"/>
        <v>NSE:MOLDTECH</v>
      </c>
      <c r="F138" s="24" t="str">
        <f t="array" ref="F138">IFERROR(MATCH(TRUE,Data!SY8:SY208&gt;=0.05,0),"Failed")</f>
        <v>Failed</v>
      </c>
      <c r="G138" s="24" t="str">
        <f t="array" ref="G138">IFERROR(MATCH(TRUE,Data!SY8:SY208&gt;=0.1,0),"Failed")</f>
        <v>Failed</v>
      </c>
      <c r="H138" s="24" t="str">
        <f t="array" ref="H138">IFERROR(MATCH(TRUE,Data!SY8:SY208&gt;=0.15,0),"Failed")</f>
        <v>Failed</v>
      </c>
      <c r="I138" s="24" t="str">
        <f t="array" ref="I138">IFERROR(MATCH(TRUE,Data!SY8:SY208&gt;=0.2,0),"Failed")</f>
        <v>Failed</v>
      </c>
      <c r="J138" s="24" t="str">
        <f t="array" ref="J138">IFERROR(MATCH(TRUE,Data!SY8:SY208&gt;=0.25,0),"Failed")</f>
        <v>Failed</v>
      </c>
      <c r="K138" s="24"/>
      <c r="L138" s="24"/>
    </row>
    <row r="139" ht="15.75" customHeight="1">
      <c r="A139" s="23">
        <v>45425.0</v>
      </c>
      <c r="B139" s="20" t="s">
        <v>142</v>
      </c>
      <c r="C139" s="20" t="s">
        <v>13</v>
      </c>
      <c r="D139" s="20" t="s">
        <v>37</v>
      </c>
      <c r="E139" s="21" t="str">
        <f t="shared" si="4"/>
        <v>NSE:TATATECH</v>
      </c>
      <c r="F139" s="24" t="str">
        <f t="array" ref="F139">IFERROR(MATCH(TRUE,Data!TC8:TC208&gt;=0.05,0),"Failed")</f>
        <v>Failed</v>
      </c>
      <c r="G139" s="24" t="str">
        <f t="array" ref="G139">IFERROR(MATCH(TRUE,Data!TC8:TC208&gt;=0.1,0),"Failed")</f>
        <v>Failed</v>
      </c>
      <c r="H139" s="24" t="str">
        <f t="array" ref="H139">IFERROR(MATCH(TRUE,Data!TC8:TC208&gt;=0.15,0),"Failed")</f>
        <v>Failed</v>
      </c>
      <c r="I139" s="24" t="str">
        <f t="array" ref="I139">IFERROR(MATCH(TRUE,Data!TC8:TC208&gt;=0.2,0),"Failed")</f>
        <v>Failed</v>
      </c>
      <c r="J139" s="24" t="str">
        <f t="array" ref="J139">IFERROR(MATCH(TRUE,Data!TC8:TC208&gt;=0.25,0),"Failed")</f>
        <v>Failed</v>
      </c>
      <c r="K139" s="24"/>
      <c r="L139" s="24"/>
    </row>
    <row r="140" ht="15.75" customHeight="1">
      <c r="A140" s="23">
        <v>45425.0</v>
      </c>
      <c r="B140" s="20" t="s">
        <v>143</v>
      </c>
      <c r="C140" s="20" t="s">
        <v>16</v>
      </c>
      <c r="D140" s="20" t="s">
        <v>31</v>
      </c>
      <c r="E140" s="21" t="str">
        <f t="shared" si="4"/>
        <v>NSE:FLAIR</v>
      </c>
      <c r="F140" s="24" t="str">
        <f t="array" ref="F140">IFERROR(MATCH(TRUE,Data!TG8:TG208&gt;=0.05,0),"Failed")</f>
        <v>Failed</v>
      </c>
      <c r="G140" s="24" t="str">
        <f t="array" ref="G140">IFERROR(MATCH(TRUE,Data!TG8:TG208&gt;=0.1,0),"Failed")</f>
        <v>Failed</v>
      </c>
      <c r="H140" s="24" t="str">
        <f t="array" ref="H140">IFERROR(MATCH(TRUE,Data!TG8:TG208&gt;=0.15,0),"Failed")</f>
        <v>Failed</v>
      </c>
      <c r="I140" s="24" t="str">
        <f t="array" ref="I140">IFERROR(MATCH(TRUE,Data!TG8:TG208&gt;=0.2,0),"Failed")</f>
        <v>Failed</v>
      </c>
      <c r="J140" s="24" t="str">
        <f t="array" ref="J140">IFERROR(MATCH(TRUE,Data!TG8:TG208&gt;=0.25,0),"Failed")</f>
        <v>Failed</v>
      </c>
      <c r="K140" s="24"/>
      <c r="L140" s="24"/>
    </row>
    <row r="141" ht="15.75" customHeight="1">
      <c r="A141" s="23">
        <v>45467.0</v>
      </c>
      <c r="B141" s="20" t="s">
        <v>144</v>
      </c>
      <c r="C141" s="20" t="s">
        <v>13</v>
      </c>
      <c r="D141" s="20" t="s">
        <v>29</v>
      </c>
      <c r="E141" s="21" t="str">
        <f t="shared" si="4"/>
        <v>NSE:ASTRAL</v>
      </c>
      <c r="F141" s="24" t="str">
        <f t="array" ref="F141">IFERROR(MATCH(TRUE,Data!TK8:TK208&gt;=0.05,0),"Failed")</f>
        <v>Failed</v>
      </c>
      <c r="G141" s="24" t="str">
        <f t="array" ref="G141">IFERROR(MATCH(TRUE,Data!TK8:TK208&gt;=0.1,0),"Failed")</f>
        <v>Failed</v>
      </c>
      <c r="H141" s="24" t="str">
        <f t="array" ref="H141">IFERROR(MATCH(TRUE,Data!TK8:TK208&gt;=0.15,0),"Failed")</f>
        <v>Failed</v>
      </c>
      <c r="I141" s="24" t="str">
        <f t="array" ref="I141">IFERROR(MATCH(TRUE,Data!TK8:TK208&gt;=0.2,0),"Failed")</f>
        <v>Failed</v>
      </c>
      <c r="J141" s="24" t="str">
        <f t="array" ref="J141">IFERROR(MATCH(TRUE,Data!TK8:TK208&gt;=0.25,0),"Failed")</f>
        <v>Failed</v>
      </c>
      <c r="K141" s="24"/>
      <c r="L141" s="24"/>
    </row>
    <row r="142" ht="15.75" customHeight="1">
      <c r="A142" s="23">
        <v>45467.0</v>
      </c>
      <c r="B142" s="20" t="s">
        <v>145</v>
      </c>
      <c r="C142" s="20" t="s">
        <v>16</v>
      </c>
      <c r="D142" s="20" t="s">
        <v>37</v>
      </c>
      <c r="E142" s="21" t="str">
        <f t="shared" si="4"/>
        <v>NSE:ADSL</v>
      </c>
      <c r="F142" s="24" t="str">
        <f t="array" ref="F142">IFERROR(MATCH(TRUE,Data!TO8:TO208&gt;=0.05,0),"Failed")</f>
        <v>Failed</v>
      </c>
      <c r="G142" s="24" t="str">
        <f t="array" ref="G142">IFERROR(MATCH(TRUE,Data!TO8:TO208&gt;=0.1,0),"Failed")</f>
        <v>Failed</v>
      </c>
      <c r="H142" s="24" t="str">
        <f t="array" ref="H142">IFERROR(MATCH(TRUE,Data!TO8:TO208&gt;=0.15,0),"Failed")</f>
        <v>Failed</v>
      </c>
      <c r="I142" s="24" t="str">
        <f t="array" ref="I142">IFERROR(MATCH(TRUE,Data!TO8:TO208&gt;=0.2,0),"Failed")</f>
        <v>Failed</v>
      </c>
      <c r="J142" s="24" t="str">
        <f t="array" ref="J142">IFERROR(MATCH(TRUE,Data!TO8:TO208&gt;=0.25,0),"Failed")</f>
        <v>Failed</v>
      </c>
      <c r="K142" s="24"/>
      <c r="L142" s="24"/>
    </row>
    <row r="143" ht="15.75" customHeight="1">
      <c r="A143" s="23">
        <v>45467.0</v>
      </c>
      <c r="B143" s="20" t="s">
        <v>146</v>
      </c>
      <c r="C143" s="20" t="s">
        <v>21</v>
      </c>
      <c r="D143" s="20" t="s">
        <v>22</v>
      </c>
      <c r="E143" s="21" t="str">
        <f t="shared" si="4"/>
        <v>NSE:PURVA</v>
      </c>
      <c r="F143" s="24" t="str">
        <f t="array" ref="F143">IFERROR(MATCH(TRUE,Data!TS8:TS208&gt;=0.05,0),"Failed")</f>
        <v>Failed</v>
      </c>
      <c r="G143" s="24" t="str">
        <f t="array" ref="G143">IFERROR(MATCH(TRUE,Data!TS8:TS208&gt;=0.1,0),"Failed")</f>
        <v>Failed</v>
      </c>
      <c r="H143" s="24" t="str">
        <f t="array" ref="H143">IFERROR(MATCH(TRUE,Data!TS8:TS208&gt;=0.15,0),"Failed")</f>
        <v>Failed</v>
      </c>
      <c r="I143" s="24" t="str">
        <f t="array" ref="I143">IFERROR(MATCH(TRUE,Data!TS8:TS208&gt;=0.2,0),"Failed")</f>
        <v>Failed</v>
      </c>
      <c r="J143" s="24" t="str">
        <f t="array" ref="J143">IFERROR(MATCH(TRUE,Data!TS8:TS208&gt;=0.25,0),"Failed")</f>
        <v>Failed</v>
      </c>
      <c r="K143" s="24"/>
      <c r="L143" s="24"/>
    </row>
    <row r="144" ht="15.75" customHeight="1">
      <c r="A144" s="23">
        <v>45467.0</v>
      </c>
      <c r="B144" s="20" t="s">
        <v>147</v>
      </c>
      <c r="C144" s="20" t="s">
        <v>13</v>
      </c>
      <c r="D144" s="20" t="s">
        <v>31</v>
      </c>
      <c r="E144" s="21" t="str">
        <f t="shared" si="4"/>
        <v>NSE:POWERGRID</v>
      </c>
      <c r="F144" s="24" t="str">
        <f t="array" ref="F144">IFERROR(MATCH(TRUE,Data!TW8:TW208&gt;=0.05,0),"Failed")</f>
        <v>Failed</v>
      </c>
      <c r="G144" s="24" t="str">
        <f t="array" ref="G144">IFERROR(MATCH(TRUE,Data!TW8:TW208&gt;=0.1,0),"Failed")</f>
        <v>Failed</v>
      </c>
      <c r="H144" s="24" t="str">
        <f t="array" ref="H144">IFERROR(MATCH(TRUE,Data!TW8:TW208&gt;=0.15,0),"Failed")</f>
        <v>Failed</v>
      </c>
      <c r="I144" s="24" t="str">
        <f t="array" ref="I144">IFERROR(MATCH(TRUE,Data!TW8:TW208&gt;=0.2,0),"Failed")</f>
        <v>Failed</v>
      </c>
      <c r="J144" s="24" t="str">
        <f t="array" ref="J144">IFERROR(MATCH(TRUE,Data!TW8:TW208&gt;=0.25,0),"Failed")</f>
        <v>Failed</v>
      </c>
      <c r="K144" s="24"/>
      <c r="L144" s="24"/>
    </row>
    <row r="145" ht="15.75" customHeight="1">
      <c r="A145" s="23">
        <v>45467.0</v>
      </c>
      <c r="B145" s="20" t="s">
        <v>148</v>
      </c>
      <c r="C145" s="20" t="s">
        <v>16</v>
      </c>
      <c r="D145" s="20" t="s">
        <v>17</v>
      </c>
      <c r="E145" s="21" t="str">
        <f t="shared" si="4"/>
        <v>NSE:RBL</v>
      </c>
      <c r="F145" s="24" t="str">
        <f t="array" ref="F145">IFERROR(MATCH(TRUE,Data!UA8:UA208&gt;=0.05,0),"Failed")</f>
        <v>Failed</v>
      </c>
      <c r="G145" s="24" t="str">
        <f t="array" ref="G145">IFERROR(MATCH(TRUE,Data!UA8:UA208&gt;=0.1,0),"Failed")</f>
        <v>Failed</v>
      </c>
      <c r="H145" s="24" t="str">
        <f t="array" ref="H145">IFERROR(MATCH(TRUE,Data!UA8:UA208&gt;=0.15,0),"Failed")</f>
        <v>Failed</v>
      </c>
      <c r="I145" s="24" t="str">
        <f t="array" ref="I145">IFERROR(MATCH(TRUE,Data!UA8:UA208&gt;=0.2,0),"Failed")</f>
        <v>Failed</v>
      </c>
      <c r="J145" s="24" t="str">
        <f t="array" ref="J145">IFERROR(MATCH(TRUE,Data!UA8:UA208&gt;=0.25,0),"Failed")</f>
        <v>Failed</v>
      </c>
      <c r="K145" s="24"/>
      <c r="L145" s="24"/>
    </row>
    <row r="146" ht="15.75" customHeight="1">
      <c r="A146" s="23">
        <v>45467.0</v>
      </c>
      <c r="B146" s="20" t="s">
        <v>149</v>
      </c>
      <c r="C146" s="20" t="s">
        <v>13</v>
      </c>
      <c r="D146" s="20" t="s">
        <v>22</v>
      </c>
      <c r="E146" s="21" t="str">
        <f t="shared" si="4"/>
        <v>NSE:GODREJPROP</v>
      </c>
      <c r="F146" s="24" t="str">
        <f t="array" ref="F146">IFERROR(MATCH(TRUE,Data!UE8:UE208&gt;=0.05,0),"Failed")</f>
        <v>Failed</v>
      </c>
      <c r="G146" s="24" t="str">
        <f t="array" ref="G146">IFERROR(MATCH(TRUE,Data!UE8:UE208&gt;=0.1,0),"Failed")</f>
        <v>Failed</v>
      </c>
      <c r="H146" s="24" t="str">
        <f t="array" ref="H146">IFERROR(MATCH(TRUE,Data!UE8:UE208&gt;=0.15,0),"Failed")</f>
        <v>Failed</v>
      </c>
      <c r="I146" s="24" t="str">
        <f t="array" ref="I146">IFERROR(MATCH(TRUE,Data!UE8:UE208&gt;=0.2,0),"Failed")</f>
        <v>Failed</v>
      </c>
      <c r="J146" s="24" t="str">
        <f t="array" ref="J146">IFERROR(MATCH(TRUE,Data!UE8:UE208&gt;=0.25,0),"Failed")</f>
        <v>Failed</v>
      </c>
      <c r="K146" s="24"/>
      <c r="L146" s="24"/>
    </row>
    <row r="147" ht="15.75" customHeight="1">
      <c r="A147" s="23">
        <v>45467.0</v>
      </c>
      <c r="B147" s="20" t="s">
        <v>150</v>
      </c>
      <c r="C147" s="20" t="s">
        <v>13</v>
      </c>
      <c r="D147" s="20" t="s">
        <v>107</v>
      </c>
      <c r="E147" s="21" t="str">
        <f t="shared" si="4"/>
        <v>NSE:JUBLFOOD</v>
      </c>
      <c r="F147" s="24" t="str">
        <f t="array" ref="F147">IFERROR(MATCH(TRUE,Data!UI8:UI208&gt;=0.05,0),"Failed")</f>
        <v>Failed</v>
      </c>
      <c r="G147" s="24" t="str">
        <f t="array" ref="G147">IFERROR(MATCH(TRUE,Data!UI8:UI208&gt;=0.1,0),"Failed")</f>
        <v>Failed</v>
      </c>
      <c r="H147" s="24" t="str">
        <f t="array" ref="H147">IFERROR(MATCH(TRUE,Data!UI8:UI208&gt;=0.15,0),"Failed")</f>
        <v>Failed</v>
      </c>
      <c r="I147" s="24" t="str">
        <f t="array" ref="I147">IFERROR(MATCH(TRUE,Data!UI8:UI208&gt;=0.2,0),"Failed")</f>
        <v>Failed</v>
      </c>
      <c r="J147" s="24" t="str">
        <f t="array" ref="J147">IFERROR(MATCH(TRUE,Data!UI8:UI208&gt;=0.25,0),"Failed")</f>
        <v>Failed</v>
      </c>
      <c r="K147" s="24"/>
      <c r="L147" s="24"/>
    </row>
    <row r="148" ht="15.75" customHeight="1">
      <c r="A148" s="23">
        <v>45467.0</v>
      </c>
      <c r="B148" s="20" t="s">
        <v>151</v>
      </c>
      <c r="C148" s="20" t="s">
        <v>16</v>
      </c>
      <c r="D148" s="20" t="s">
        <v>19</v>
      </c>
      <c r="E148" s="21" t="str">
        <f t="shared" si="4"/>
        <v>NSE:ROSSELLIND</v>
      </c>
      <c r="F148" s="24" t="str">
        <f t="array" ref="F148">IFERROR(MATCH(TRUE,Data!UM8:UM208&gt;=0.05,0),"Failed")</f>
        <v>Failed</v>
      </c>
      <c r="G148" s="24" t="str">
        <f t="array" ref="G148">IFERROR(MATCH(TRUE,Data!UM8:UM208&gt;=0.1,0),"Failed")</f>
        <v>Failed</v>
      </c>
      <c r="H148" s="24" t="str">
        <f t="array" ref="H148">IFERROR(MATCH(TRUE,Data!UM8:UM208&gt;=0.15,0),"Failed")</f>
        <v>Failed</v>
      </c>
      <c r="I148" s="24" t="str">
        <f t="array" ref="I148">IFERROR(MATCH(TRUE,Data!UM8:UM208&gt;=0.2,0),"Failed")</f>
        <v>Failed</v>
      </c>
      <c r="J148" s="24" t="str">
        <f t="array" ref="J148">IFERROR(MATCH(TRUE,Data!UM8:UM208&gt;=0.25,0),"Failed")</f>
        <v>Failed</v>
      </c>
      <c r="K148" s="24"/>
      <c r="L148" s="24"/>
    </row>
    <row r="149" ht="15.75" customHeight="1">
      <c r="A149" s="23">
        <v>45467.0</v>
      </c>
      <c r="B149" s="20" t="s">
        <v>152</v>
      </c>
      <c r="C149" s="20" t="s">
        <v>21</v>
      </c>
      <c r="D149" s="20" t="s">
        <v>29</v>
      </c>
      <c r="E149" s="21" t="str">
        <f t="shared" si="4"/>
        <v>NSE:TEXRAIL</v>
      </c>
      <c r="F149" s="24" t="str">
        <f t="array" ref="F149">IFERROR(MATCH(TRUE,Data!UQ8:UQ208&gt;=0.05,0),"Failed")</f>
        <v>Failed</v>
      </c>
      <c r="G149" s="24" t="str">
        <f t="array" ref="G149">IFERROR(MATCH(TRUE,Data!UQ8:UQ208&gt;=0.1,0),"Failed")</f>
        <v>Failed</v>
      </c>
      <c r="H149" s="24" t="str">
        <f t="array" ref="H149">IFERROR(MATCH(TRUE,Data!UQ8:UQ208&gt;=0.15,0),"Failed")</f>
        <v>Failed</v>
      </c>
      <c r="I149" s="24" t="str">
        <f t="array" ref="I149">IFERROR(MATCH(TRUE,Data!UQ8:UQ208&gt;=0.2,0),"Failed")</f>
        <v>Failed</v>
      </c>
      <c r="J149" s="24" t="str">
        <f t="array" ref="J149">IFERROR(MATCH(TRUE,Data!UQ8:UQ208&gt;=0.25,0),"Failed")</f>
        <v>Failed</v>
      </c>
      <c r="K149" s="24"/>
      <c r="L149" s="24"/>
    </row>
    <row r="150" ht="15.75" customHeight="1">
      <c r="A150" s="23">
        <v>45467.0</v>
      </c>
      <c r="B150" s="20" t="s">
        <v>153</v>
      </c>
      <c r="C150" s="20" t="s">
        <v>16</v>
      </c>
      <c r="D150" s="20" t="s">
        <v>22</v>
      </c>
      <c r="E150" s="21" t="str">
        <f t="shared" si="4"/>
        <v>NSE:GPTINFRA</v>
      </c>
      <c r="F150" s="24" t="str">
        <f t="array" ref="F150">IFERROR(MATCH(TRUE,Data!UU8:UU208&gt;=0.05,0),"Failed")</f>
        <v>Failed</v>
      </c>
      <c r="G150" s="24" t="str">
        <f t="array" ref="G150">IFERROR(MATCH(TRUE,Data!UU8:UU208&gt;=0.1,0),"Failed")</f>
        <v>Failed</v>
      </c>
      <c r="H150" s="24" t="str">
        <f t="array" ref="H150">IFERROR(MATCH(TRUE,Data!UU8:UU208&gt;=0.15,0),"Failed")</f>
        <v>Failed</v>
      </c>
      <c r="I150" s="24" t="str">
        <f t="array" ref="I150">IFERROR(MATCH(TRUE,Data!UU8:UU208&gt;=0.2,0),"Failed")</f>
        <v>Failed</v>
      </c>
      <c r="J150" s="24" t="str">
        <f t="array" ref="J150">IFERROR(MATCH(TRUE,Data!UU8:UU208&gt;=0.25,0),"Failed")</f>
        <v>Failed</v>
      </c>
      <c r="K150" s="24"/>
      <c r="L150" s="24"/>
    </row>
    <row r="151" ht="15.75" customHeight="1">
      <c r="A151" s="23">
        <v>45467.0</v>
      </c>
      <c r="B151" s="20" t="s">
        <v>154</v>
      </c>
      <c r="C151" s="20" t="s">
        <v>21</v>
      </c>
      <c r="D151" s="20" t="s">
        <v>27</v>
      </c>
      <c r="E151" s="21" t="str">
        <f t="shared" si="4"/>
        <v>NSE:INDIGOPNTS</v>
      </c>
      <c r="F151" s="24" t="str">
        <f t="array" ref="F151">IFERROR(MATCH(TRUE,Data!UY8:UY208&gt;=0.05,0),"Failed")</f>
        <v>Failed</v>
      </c>
      <c r="G151" s="24" t="str">
        <f t="array" ref="G151">IFERROR(MATCH(TRUE,Data!UY8:UY208&gt;=0.1,0),"Failed")</f>
        <v>Failed</v>
      </c>
      <c r="H151" s="24" t="str">
        <f t="array" ref="H151">IFERROR(MATCH(TRUE,Data!UY8:UY208&gt;=0.15,0),"Failed")</f>
        <v>Failed</v>
      </c>
      <c r="I151" s="24" t="str">
        <f t="array" ref="I151">IFERROR(MATCH(TRUE,Data!UY8:UY208&gt;=0.2,0),"Failed")</f>
        <v>Failed</v>
      </c>
      <c r="J151" s="24" t="str">
        <f t="array" ref="J151">IFERROR(MATCH(TRUE,Data!UY8:UY208&gt;=0.25,0),"Failed")</f>
        <v>Failed</v>
      </c>
      <c r="K151" s="24"/>
      <c r="L151" s="24"/>
    </row>
    <row r="152" ht="15.75" customHeight="1">
      <c r="A152" s="23">
        <v>45467.0</v>
      </c>
      <c r="B152" s="20" t="s">
        <v>155</v>
      </c>
      <c r="C152" s="20" t="s">
        <v>13</v>
      </c>
      <c r="D152" s="20" t="s">
        <v>156</v>
      </c>
      <c r="E152" s="21" t="str">
        <f t="shared" si="4"/>
        <v>NSE:INDUSTOWER</v>
      </c>
      <c r="F152" s="24" t="str">
        <f t="array" ref="F152">IFERROR(MATCH(TRUE,Data!VC8:VC208&gt;=0.05,0),"Failed")</f>
        <v>Failed</v>
      </c>
      <c r="G152" s="24" t="str">
        <f t="array" ref="G152">IFERROR(MATCH(TRUE,Data!VC8:VC208&gt;=0.1,0),"Failed")</f>
        <v>Failed</v>
      </c>
      <c r="H152" s="24" t="str">
        <f t="array" ref="H152">IFERROR(MATCH(TRUE,Data!VC8:VC208&gt;=0.15,0),"Failed")</f>
        <v>Failed</v>
      </c>
      <c r="I152" s="24" t="str">
        <f t="array" ref="I152">IFERROR(MATCH(TRUE,Data!VC8:VC208&gt;=0.2,0),"Failed")</f>
        <v>Failed</v>
      </c>
      <c r="J152" s="24" t="str">
        <f t="array" ref="J152">IFERROR(MATCH(TRUE,Data!VC8:VC208&gt;=0.25,0),"Failed")</f>
        <v>Failed</v>
      </c>
      <c r="K152" s="24"/>
      <c r="L152" s="24"/>
    </row>
    <row r="153" ht="15.75" customHeight="1">
      <c r="A153" s="23">
        <v>45467.0</v>
      </c>
      <c r="B153" s="20" t="s">
        <v>157</v>
      </c>
      <c r="C153" s="20" t="s">
        <v>21</v>
      </c>
      <c r="D153" s="20" t="s">
        <v>17</v>
      </c>
      <c r="E153" s="21" t="str">
        <f t="shared" si="4"/>
        <v>NSE:SHARDAMOTR</v>
      </c>
      <c r="F153" s="24" t="str">
        <f t="array" ref="F153">IFERROR(MATCH(TRUE,Data!VG8:VG208&gt;=0.05,0),"Failed")</f>
        <v>Failed</v>
      </c>
      <c r="G153" s="24" t="str">
        <f t="array" ref="G153">IFERROR(MATCH(TRUE,Data!VG8:VG208&gt;=0.1,0),"Failed")</f>
        <v>Failed</v>
      </c>
      <c r="H153" s="24" t="str">
        <f t="array" ref="H153">IFERROR(MATCH(TRUE,Data!VG8:VG208&gt;=0.15,0),"Failed")</f>
        <v>Failed</v>
      </c>
      <c r="I153" s="24" t="str">
        <f t="array" ref="I153">IFERROR(MATCH(TRUE,Data!VG8:VG208&gt;=0.2,0),"Failed")</f>
        <v>Failed</v>
      </c>
      <c r="J153" s="24" t="str">
        <f t="array" ref="J153">IFERROR(MATCH(TRUE,Data!VG8:VG208&gt;=0.25,0),"Failed")</f>
        <v>Failed</v>
      </c>
      <c r="K153" s="24"/>
      <c r="L153" s="24"/>
    </row>
    <row r="154" ht="15.75" customHeight="1">
      <c r="A154" s="23">
        <v>45467.0</v>
      </c>
      <c r="B154" s="20" t="s">
        <v>158</v>
      </c>
      <c r="C154" s="20" t="s">
        <v>16</v>
      </c>
      <c r="D154" s="20" t="s">
        <v>39</v>
      </c>
      <c r="E154" s="21" t="str">
        <f t="shared" si="4"/>
        <v>NSE:JPOLYINVST</v>
      </c>
      <c r="F154" s="24" t="str">
        <f t="array" ref="F154">IFERROR(MATCH(TRUE,Data!VK8:VK208&gt;=0.05,0),"Failed")</f>
        <v>Failed</v>
      </c>
      <c r="G154" s="24" t="str">
        <f t="array" ref="G154">IFERROR(MATCH(TRUE,Data!VK8:VK208&gt;=0.1,0),"Failed")</f>
        <v>Failed</v>
      </c>
      <c r="H154" s="24" t="str">
        <f t="array" ref="H154">IFERROR(MATCH(TRUE,Data!VK8:VK208&gt;=0.15,0),"Failed")</f>
        <v>Failed</v>
      </c>
      <c r="I154" s="24" t="str">
        <f t="array" ref="I154">IFERROR(MATCH(TRUE,Data!VK8:VK208&gt;=0.2,0),"Failed")</f>
        <v>Failed</v>
      </c>
      <c r="J154" s="24" t="str">
        <f t="array" ref="J154">IFERROR(MATCH(TRUE,Data!VK8:VK208&gt;=0.25,0),"Failed")</f>
        <v>Failed</v>
      </c>
      <c r="K154" s="24"/>
      <c r="L154" s="24"/>
    </row>
    <row r="155" ht="15.75" customHeight="1">
      <c r="A155" s="23">
        <v>45467.0</v>
      </c>
      <c r="B155" s="20" t="s">
        <v>159</v>
      </c>
      <c r="C155" s="20" t="s">
        <v>16</v>
      </c>
      <c r="D155" s="20" t="s">
        <v>55</v>
      </c>
      <c r="E155" s="21" t="str">
        <f t="shared" si="4"/>
        <v>NSE:RACE</v>
      </c>
      <c r="F155" s="24" t="str">
        <f t="array" ref="F155">IFERROR(MATCH(TRUE,Data!VO8:VO208&gt;=0.05,0),"Failed")</f>
        <v>Failed</v>
      </c>
      <c r="G155" s="24" t="str">
        <f t="array" ref="G155">IFERROR(MATCH(TRUE,Data!VO8:VO208&gt;=0.1,0),"Failed")</f>
        <v>Failed</v>
      </c>
      <c r="H155" s="24" t="str">
        <f t="array" ref="H155">IFERROR(MATCH(TRUE,Data!VO8:VO208&gt;=0.15,0),"Failed")</f>
        <v>Failed</v>
      </c>
      <c r="I155" s="24" t="str">
        <f t="array" ref="I155">IFERROR(MATCH(TRUE,Data!VO8:VO208&gt;=0.2,0),"Failed")</f>
        <v>Failed</v>
      </c>
      <c r="J155" s="24" t="str">
        <f t="array" ref="J155">IFERROR(MATCH(TRUE,Data!VO8:VO208&gt;=0.25,0),"Failed")</f>
        <v>Failed</v>
      </c>
      <c r="K155" s="24"/>
      <c r="L155" s="24"/>
    </row>
    <row r="156" ht="15.75" customHeight="1">
      <c r="A156" s="23">
        <v>45467.0</v>
      </c>
      <c r="B156" s="20" t="s">
        <v>160</v>
      </c>
      <c r="C156" s="20" t="s">
        <v>21</v>
      </c>
      <c r="D156" s="20" t="s">
        <v>39</v>
      </c>
      <c r="E156" s="21" t="str">
        <f t="shared" si="4"/>
        <v>NSE:AIIL</v>
      </c>
      <c r="F156" s="24" t="str">
        <f t="array" ref="F156">IFERROR(MATCH(TRUE,Data!VS8:VS208&gt;=0.05,0),"Failed")</f>
        <v>Failed</v>
      </c>
      <c r="G156" s="24" t="str">
        <f t="array" ref="G156">IFERROR(MATCH(TRUE,Data!VS8:VS208&gt;=0.1,0),"Failed")</f>
        <v>Failed</v>
      </c>
      <c r="H156" s="24" t="str">
        <f t="array" ref="H156">IFERROR(MATCH(TRUE,Data!VS8:VS208&gt;=0.15,0),"Failed")</f>
        <v>Failed</v>
      </c>
      <c r="I156" s="24" t="str">
        <f t="array" ref="I156">IFERROR(MATCH(TRUE,Data!VS8:VS208&gt;=0.2,0),"Failed")</f>
        <v>Failed</v>
      </c>
      <c r="J156" s="24" t="str">
        <f t="array" ref="J156">IFERROR(MATCH(TRUE,Data!VS8:VS208&gt;=0.25,0),"Failed")</f>
        <v>Failed</v>
      </c>
      <c r="K156" s="24"/>
      <c r="L156" s="24"/>
    </row>
    <row r="157" ht="15.75" customHeight="1">
      <c r="A157" s="23">
        <v>45467.0</v>
      </c>
      <c r="B157" s="20" t="s">
        <v>161</v>
      </c>
      <c r="C157" s="20" t="s">
        <v>21</v>
      </c>
      <c r="D157" s="20" t="s">
        <v>29</v>
      </c>
      <c r="E157" s="21" t="str">
        <f t="shared" si="4"/>
        <v>NSE:LLOYDSENGG</v>
      </c>
      <c r="F157" s="24" t="str">
        <f t="array" ref="F157">IFERROR(MATCH(TRUE,Data!VW8:VW208&gt;=0.05,0),"Failed")</f>
        <v>Failed</v>
      </c>
      <c r="G157" s="24" t="str">
        <f t="array" ref="G157">IFERROR(MATCH(TRUE,Data!VW8:VW208&gt;=0.1,0),"Failed")</f>
        <v>Failed</v>
      </c>
      <c r="H157" s="24" t="str">
        <f t="array" ref="H157">IFERROR(MATCH(TRUE,Data!VW8:VW208&gt;=0.15,0),"Failed")</f>
        <v>Failed</v>
      </c>
      <c r="I157" s="24" t="str">
        <f t="array" ref="I157">IFERROR(MATCH(TRUE,Data!VW8:VW208&gt;=0.2,0),"Failed")</f>
        <v>Failed</v>
      </c>
      <c r="J157" s="24" t="str">
        <f t="array" ref="J157">IFERROR(MATCH(TRUE,Data!VW8:VW208&gt;=0.25,0),"Failed")</f>
        <v>Failed</v>
      </c>
      <c r="K157" s="24"/>
      <c r="L157" s="24"/>
    </row>
    <row r="158" ht="15.75" customHeight="1">
      <c r="A158" s="23">
        <v>45468.0</v>
      </c>
      <c r="B158" s="20" t="s">
        <v>162</v>
      </c>
      <c r="C158" s="20" t="s">
        <v>13</v>
      </c>
      <c r="D158" s="20" t="s">
        <v>17</v>
      </c>
      <c r="E158" s="21" t="str">
        <f t="shared" si="4"/>
        <v>NSE:ARE&amp;M</v>
      </c>
      <c r="F158" s="24" t="str">
        <f t="array" ref="F158">IFERROR(MATCH(TRUE,Data!WA8:WA208&gt;=0.05,0),"Failed")</f>
        <v>Failed</v>
      </c>
      <c r="G158" s="24" t="str">
        <f t="array" ref="G158">IFERROR(MATCH(TRUE,Data!WA8:WA208&gt;=0.1,0),"Failed")</f>
        <v>Failed</v>
      </c>
      <c r="H158" s="24" t="str">
        <f t="array" ref="H158">IFERROR(MATCH(TRUE,Data!WA8:WA208&gt;=0.15,0),"Failed")</f>
        <v>Failed</v>
      </c>
      <c r="I158" s="24" t="str">
        <f t="array" ref="I158">IFERROR(MATCH(TRUE,Data!WA8:WA208&gt;=0.2,0),"Failed")</f>
        <v>Failed</v>
      </c>
      <c r="J158" s="24" t="str">
        <f t="array" ref="J158">IFERROR(MATCH(TRUE,Data!WA8:WA208&gt;=0.25,0),"Failed")</f>
        <v>Failed</v>
      </c>
      <c r="K158" s="24"/>
      <c r="L158" s="24"/>
    </row>
    <row r="159" ht="15.75" customHeight="1">
      <c r="A159" s="23">
        <v>45468.0</v>
      </c>
      <c r="B159" s="20" t="s">
        <v>163</v>
      </c>
      <c r="C159" s="20" t="s">
        <v>21</v>
      </c>
      <c r="D159" s="20" t="s">
        <v>27</v>
      </c>
      <c r="E159" s="21" t="str">
        <f t="shared" si="4"/>
        <v>NSE:LAXMIMACH</v>
      </c>
    </row>
    <row r="160" ht="15.75" customHeight="1">
      <c r="A160" s="23">
        <v>45468.0</v>
      </c>
      <c r="B160" s="20" t="s">
        <v>164</v>
      </c>
      <c r="C160" s="20" t="s">
        <v>13</v>
      </c>
      <c r="D160" s="20" t="s">
        <v>39</v>
      </c>
      <c r="E160" s="21" t="str">
        <f t="shared" si="4"/>
        <v>NSE:LICHSGFIN</v>
      </c>
    </row>
    <row r="161" ht="15.75" customHeight="1">
      <c r="A161" s="23">
        <v>45468.0</v>
      </c>
      <c r="B161" s="20" t="s">
        <v>165</v>
      </c>
      <c r="C161" s="20" t="s">
        <v>13</v>
      </c>
      <c r="D161" s="20" t="s">
        <v>27</v>
      </c>
      <c r="E161" s="21" t="str">
        <f t="shared" si="4"/>
        <v>NSE:PIDILITIND</v>
      </c>
    </row>
    <row r="162" ht="15.75" customHeight="1">
      <c r="A162" s="23">
        <v>45468.0</v>
      </c>
      <c r="B162" s="20" t="s">
        <v>166</v>
      </c>
      <c r="C162" s="20" t="s">
        <v>21</v>
      </c>
      <c r="D162" s="20" t="s">
        <v>37</v>
      </c>
      <c r="E162" s="21" t="str">
        <f t="shared" si="4"/>
        <v>NSE:BBOX</v>
      </c>
    </row>
    <row r="163" ht="15.75" customHeight="1">
      <c r="A163" s="23">
        <v>45468.0</v>
      </c>
      <c r="B163" s="20" t="s">
        <v>167</v>
      </c>
      <c r="C163" s="20" t="s">
        <v>13</v>
      </c>
      <c r="D163" s="20" t="s">
        <v>17</v>
      </c>
      <c r="E163" s="21" t="str">
        <f t="shared" si="4"/>
        <v>NSE:BOSCHLTD</v>
      </c>
    </row>
    <row r="164" ht="15.75" customHeight="1">
      <c r="A164" s="23">
        <v>45468.0</v>
      </c>
      <c r="B164" s="20" t="s">
        <v>168</v>
      </c>
      <c r="C164" s="20" t="s">
        <v>21</v>
      </c>
      <c r="D164" s="20" t="s">
        <v>55</v>
      </c>
      <c r="E164" s="21" t="str">
        <f t="shared" si="4"/>
        <v>NSE:GRWRHITECH</v>
      </c>
    </row>
    <row r="165" ht="15.75" customHeight="1">
      <c r="A165" s="23">
        <v>45468.0</v>
      </c>
      <c r="B165" s="20" t="s">
        <v>169</v>
      </c>
      <c r="C165" s="20" t="s">
        <v>16</v>
      </c>
      <c r="D165" s="20" t="s">
        <v>39</v>
      </c>
      <c r="E165" s="21" t="str">
        <f t="shared" si="4"/>
        <v>NSE:RANEHOLDIN</v>
      </c>
    </row>
    <row r="166" ht="15.75" customHeight="1">
      <c r="A166" s="23">
        <v>45468.0</v>
      </c>
      <c r="B166" s="20" t="s">
        <v>170</v>
      </c>
      <c r="C166" s="20" t="s">
        <v>21</v>
      </c>
      <c r="D166" s="20" t="s">
        <v>39</v>
      </c>
      <c r="E166" s="21" t="str">
        <f t="shared" si="4"/>
        <v>NSE:CANFINHOME</v>
      </c>
    </row>
    <row r="167" ht="15.75" customHeight="1">
      <c r="A167" s="23">
        <v>45468.0</v>
      </c>
      <c r="B167" s="20" t="s">
        <v>171</v>
      </c>
      <c r="C167" s="20" t="s">
        <v>16</v>
      </c>
      <c r="D167" s="20" t="s">
        <v>39</v>
      </c>
      <c r="E167" s="21" t="str">
        <f t="shared" si="4"/>
        <v>NSE:MUTHOOTCAP</v>
      </c>
    </row>
    <row r="168" ht="15.75" customHeight="1">
      <c r="A168" s="23">
        <v>45468.0</v>
      </c>
      <c r="B168" s="20" t="s">
        <v>172</v>
      </c>
      <c r="C168" s="20" t="s">
        <v>16</v>
      </c>
      <c r="D168" s="20" t="s">
        <v>25</v>
      </c>
      <c r="E168" s="21" t="str">
        <f t="shared" si="4"/>
        <v>NSE:SBCL</v>
      </c>
    </row>
    <row r="169" ht="15.75" customHeight="1">
      <c r="A169" s="23">
        <v>45468.0</v>
      </c>
      <c r="B169" s="20" t="s">
        <v>173</v>
      </c>
      <c r="C169" s="20" t="s">
        <v>16</v>
      </c>
      <c r="D169" s="20" t="s">
        <v>37</v>
      </c>
      <c r="E169" s="21" t="str">
        <f t="shared" si="4"/>
        <v>NSE:DIGISPICE</v>
      </c>
    </row>
    <row r="170" ht="15.75" customHeight="1">
      <c r="A170" s="23">
        <v>45468.0</v>
      </c>
      <c r="B170" s="20" t="s">
        <v>174</v>
      </c>
      <c r="C170" s="20" t="s">
        <v>13</v>
      </c>
      <c r="D170" s="20" t="s">
        <v>29</v>
      </c>
      <c r="E170" s="21" t="str">
        <f t="shared" si="4"/>
        <v>NSE:KAYNES</v>
      </c>
    </row>
    <row r="171" ht="15.75" customHeight="1">
      <c r="A171" s="23">
        <v>45468.0</v>
      </c>
      <c r="B171" s="20" t="s">
        <v>175</v>
      </c>
      <c r="C171" s="20" t="s">
        <v>16</v>
      </c>
      <c r="D171" s="20" t="s">
        <v>29</v>
      </c>
      <c r="E171" s="21" t="str">
        <f t="shared" si="4"/>
        <v>NSE:KABRAEXTRU</v>
      </c>
    </row>
    <row r="172" ht="15.75" customHeight="1">
      <c r="A172" s="23">
        <v>45468.0</v>
      </c>
      <c r="B172" s="20" t="s">
        <v>176</v>
      </c>
      <c r="C172" s="20" t="s">
        <v>13</v>
      </c>
      <c r="D172" s="20" t="s">
        <v>177</v>
      </c>
      <c r="E172" s="21" t="str">
        <f t="shared" si="4"/>
        <v>NSE:NIFTY</v>
      </c>
    </row>
    <row r="173" ht="15.75" customHeight="1">
      <c r="A173" s="23">
        <v>45468.0</v>
      </c>
      <c r="B173" s="20" t="s">
        <v>178</v>
      </c>
      <c r="C173" s="20" t="s">
        <v>16</v>
      </c>
      <c r="D173" s="20" t="s">
        <v>29</v>
      </c>
      <c r="E173" s="21" t="str">
        <f t="shared" si="4"/>
        <v>NSE:BIL</v>
      </c>
    </row>
    <row r="174" ht="15.75" customHeight="1">
      <c r="A174" s="23">
        <v>45468.0</v>
      </c>
      <c r="B174" s="20" t="s">
        <v>179</v>
      </c>
      <c r="C174" s="20" t="s">
        <v>21</v>
      </c>
      <c r="D174" s="20" t="s">
        <v>31</v>
      </c>
      <c r="E174" s="21" t="str">
        <f t="shared" si="4"/>
        <v>NSE:GODREJAGRO</v>
      </c>
    </row>
    <row r="175" ht="15.75" customHeight="1">
      <c r="A175" s="23">
        <v>45468.0</v>
      </c>
      <c r="B175" s="20" t="s">
        <v>180</v>
      </c>
      <c r="C175" s="20" t="s">
        <v>21</v>
      </c>
      <c r="D175" s="20" t="s">
        <v>27</v>
      </c>
      <c r="E175" s="21" t="str">
        <f t="shared" si="4"/>
        <v>NSE:HAPPYFORGE</v>
      </c>
    </row>
    <row r="176" ht="15.75" customHeight="1">
      <c r="A176" s="23">
        <v>45468.0</v>
      </c>
      <c r="B176" s="20" t="s">
        <v>181</v>
      </c>
      <c r="C176" s="20" t="s">
        <v>16</v>
      </c>
      <c r="D176" s="20" t="s">
        <v>55</v>
      </c>
      <c r="E176" s="21" t="str">
        <f t="shared" si="4"/>
        <v>NSE:RPTECH</v>
      </c>
    </row>
    <row r="177" ht="15.75" customHeight="1">
      <c r="A177" s="23">
        <v>45468.0</v>
      </c>
      <c r="B177" s="20" t="s">
        <v>182</v>
      </c>
      <c r="C177" s="20" t="s">
        <v>13</v>
      </c>
      <c r="D177" s="20" t="s">
        <v>19</v>
      </c>
      <c r="E177" s="21" t="str">
        <f t="shared" si="4"/>
        <v>NSE:GRSE</v>
      </c>
    </row>
    <row r="178" ht="15.75" customHeight="1">
      <c r="A178" s="23">
        <v>45468.0</v>
      </c>
      <c r="B178" s="20" t="s">
        <v>183</v>
      </c>
      <c r="C178" s="20" t="s">
        <v>16</v>
      </c>
      <c r="D178" s="20" t="s">
        <v>17</v>
      </c>
      <c r="E178" s="21" t="str">
        <f t="shared" si="4"/>
        <v>NSE:ATULAUTO</v>
      </c>
    </row>
    <row r="179" ht="15.75" customHeight="1">
      <c r="A179" s="23">
        <v>45468.0</v>
      </c>
      <c r="B179" s="20" t="s">
        <v>184</v>
      </c>
      <c r="C179" s="20" t="s">
        <v>21</v>
      </c>
      <c r="D179" s="20" t="s">
        <v>185</v>
      </c>
      <c r="E179" s="21" t="str">
        <f t="shared" si="4"/>
        <v>NSE:CUB</v>
      </c>
    </row>
    <row r="180" ht="15.75" customHeight="1">
      <c r="A180" s="23">
        <v>45468.0</v>
      </c>
      <c r="B180" s="20" t="s">
        <v>186</v>
      </c>
      <c r="C180" s="20" t="s">
        <v>16</v>
      </c>
      <c r="D180" s="20" t="s">
        <v>14</v>
      </c>
      <c r="E180" s="21" t="str">
        <f t="shared" si="4"/>
        <v>NSE:INDSWFTLAB</v>
      </c>
    </row>
    <row r="181" ht="15.75" customHeight="1">
      <c r="A181" s="23">
        <v>45468.0</v>
      </c>
      <c r="B181" s="20" t="s">
        <v>187</v>
      </c>
      <c r="C181" s="20" t="s">
        <v>13</v>
      </c>
      <c r="D181" s="20" t="s">
        <v>25</v>
      </c>
      <c r="E181" s="21" t="str">
        <f t="shared" si="4"/>
        <v>NSE:JSL</v>
      </c>
    </row>
    <row r="182" ht="15.75" customHeight="1">
      <c r="A182" s="23">
        <v>45468.0</v>
      </c>
      <c r="B182" s="20" t="s">
        <v>188</v>
      </c>
      <c r="C182" s="20" t="s">
        <v>16</v>
      </c>
      <c r="D182" s="20" t="s">
        <v>17</v>
      </c>
      <c r="E182" s="21" t="str">
        <f t="shared" si="4"/>
        <v>NSE:LUMAXTECH</v>
      </c>
    </row>
    <row r="183" ht="15.75" customHeight="1">
      <c r="A183" s="23">
        <v>45468.0</v>
      </c>
      <c r="B183" s="20" t="s">
        <v>189</v>
      </c>
      <c r="C183" s="20" t="s">
        <v>16</v>
      </c>
      <c r="D183" s="20" t="s">
        <v>39</v>
      </c>
      <c r="E183" s="21" t="str">
        <f t="shared" si="4"/>
        <v>NSE:DHANI</v>
      </c>
    </row>
    <row r="184" ht="15.75" customHeight="1">
      <c r="A184" s="23">
        <v>45468.0</v>
      </c>
      <c r="B184" s="20" t="s">
        <v>190</v>
      </c>
      <c r="C184" s="20" t="s">
        <v>16</v>
      </c>
      <c r="D184" s="20" t="s">
        <v>27</v>
      </c>
      <c r="E184" s="21" t="str">
        <f t="shared" si="4"/>
        <v>NSE:JUBLINDS</v>
      </c>
    </row>
    <row r="185" ht="15.75" customHeight="1">
      <c r="A185" s="23">
        <v>45468.0</v>
      </c>
      <c r="B185" s="20" t="s">
        <v>191</v>
      </c>
      <c r="C185" s="20" t="s">
        <v>21</v>
      </c>
      <c r="D185" s="20" t="s">
        <v>29</v>
      </c>
      <c r="E185" s="21" t="str">
        <f t="shared" si="4"/>
        <v>NSE:VMART</v>
      </c>
    </row>
    <row r="186" ht="15.75" customHeight="1">
      <c r="A186" s="23">
        <v>45468.0</v>
      </c>
      <c r="B186" s="20" t="s">
        <v>192</v>
      </c>
      <c r="C186" s="20" t="s">
        <v>16</v>
      </c>
      <c r="D186" s="20" t="s">
        <v>39</v>
      </c>
      <c r="E186" s="21" t="str">
        <f t="shared" si="4"/>
        <v>NSE:REPCOHOME</v>
      </c>
    </row>
    <row r="187" ht="15.75" customHeight="1">
      <c r="A187" s="23">
        <v>45468.0</v>
      </c>
      <c r="B187" s="20" t="s">
        <v>193</v>
      </c>
      <c r="C187" s="20" t="s">
        <v>21</v>
      </c>
      <c r="D187" s="20" t="s">
        <v>17</v>
      </c>
      <c r="E187" s="21" t="str">
        <f t="shared" si="4"/>
        <v>NSE:CRAFTSMAN</v>
      </c>
    </row>
    <row r="188" ht="15.75" customHeight="1">
      <c r="A188" s="23">
        <v>45468.0</v>
      </c>
      <c r="B188" s="20" t="s">
        <v>194</v>
      </c>
      <c r="C188" s="20" t="s">
        <v>21</v>
      </c>
      <c r="D188" s="20" t="s">
        <v>31</v>
      </c>
      <c r="E188" s="21" t="str">
        <f t="shared" si="4"/>
        <v>NSE:CMSINFO</v>
      </c>
    </row>
    <row r="189" ht="15.75" customHeight="1">
      <c r="A189" s="23">
        <v>45469.0</v>
      </c>
      <c r="B189" s="20" t="s">
        <v>195</v>
      </c>
      <c r="C189" s="20" t="s">
        <v>16</v>
      </c>
      <c r="D189" s="20" t="s">
        <v>55</v>
      </c>
      <c r="E189" s="21" t="str">
        <f t="shared" si="4"/>
        <v>NSE:TCIEXP</v>
      </c>
    </row>
    <row r="190" ht="15.75" customHeight="1">
      <c r="A190" s="23">
        <v>45469.0</v>
      </c>
      <c r="B190" s="20" t="s">
        <v>196</v>
      </c>
      <c r="C190" s="20" t="s">
        <v>13</v>
      </c>
      <c r="D190" s="20" t="s">
        <v>185</v>
      </c>
      <c r="E190" s="21" t="str">
        <f t="shared" si="4"/>
        <v>NSE:SBIN</v>
      </c>
    </row>
    <row r="191" ht="15.75" customHeight="1">
      <c r="A191" s="23">
        <v>45469.0</v>
      </c>
      <c r="B191" s="20" t="s">
        <v>197</v>
      </c>
      <c r="C191" s="20" t="s">
        <v>13</v>
      </c>
      <c r="D191" s="20" t="s">
        <v>27</v>
      </c>
      <c r="E191" s="21" t="str">
        <f t="shared" si="4"/>
        <v>NSE:RELIANCE</v>
      </c>
    </row>
    <row r="192" ht="15.75" customHeight="1">
      <c r="A192" s="23">
        <v>45469.0</v>
      </c>
      <c r="B192" s="20" t="s">
        <v>198</v>
      </c>
      <c r="C192" s="20" t="s">
        <v>21</v>
      </c>
      <c r="D192" s="20" t="s">
        <v>53</v>
      </c>
      <c r="E192" s="21" t="str">
        <f t="shared" si="4"/>
        <v>NSE:VTL</v>
      </c>
    </row>
    <row r="193" ht="15.75" customHeight="1">
      <c r="A193" s="23">
        <v>45469.0</v>
      </c>
      <c r="B193" s="20" t="s">
        <v>199</v>
      </c>
      <c r="C193" s="20" t="s">
        <v>16</v>
      </c>
      <c r="D193" s="20" t="s">
        <v>53</v>
      </c>
      <c r="E193" s="21" t="str">
        <f t="shared" si="4"/>
        <v>NSE:PRECOT</v>
      </c>
    </row>
    <row r="194" ht="15.75" customHeight="1">
      <c r="A194" s="23">
        <v>45469.0</v>
      </c>
      <c r="B194" s="20" t="s">
        <v>200</v>
      </c>
      <c r="C194" s="20" t="s">
        <v>16</v>
      </c>
      <c r="D194" s="20" t="s">
        <v>27</v>
      </c>
      <c r="E194" s="21" t="str">
        <f t="shared" si="4"/>
        <v>NSE:AMNPLST</v>
      </c>
    </row>
    <row r="195" ht="15.75" customHeight="1">
      <c r="A195" s="23">
        <v>45469.0</v>
      </c>
      <c r="B195" s="20" t="s">
        <v>201</v>
      </c>
      <c r="C195" s="20" t="s">
        <v>21</v>
      </c>
      <c r="D195" s="20" t="s">
        <v>27</v>
      </c>
      <c r="E195" s="21" t="str">
        <f t="shared" si="4"/>
        <v>NSE:SUDARSCHEM</v>
      </c>
    </row>
    <row r="196" ht="15.75" customHeight="1">
      <c r="A196" s="23">
        <v>45469.0</v>
      </c>
      <c r="B196" s="20" t="s">
        <v>202</v>
      </c>
      <c r="C196" s="20" t="s">
        <v>16</v>
      </c>
      <c r="D196" s="20" t="s">
        <v>53</v>
      </c>
      <c r="E196" s="21" t="str">
        <f t="shared" si="4"/>
        <v>NSE:AYMSYNTEX</v>
      </c>
    </row>
    <row r="197" ht="15.75" customHeight="1">
      <c r="A197" s="23">
        <v>45469.0</v>
      </c>
      <c r="B197" s="20" t="s">
        <v>203</v>
      </c>
      <c r="C197" s="20" t="s">
        <v>21</v>
      </c>
      <c r="D197" s="20" t="s">
        <v>22</v>
      </c>
      <c r="E197" s="21" t="str">
        <f t="shared" si="4"/>
        <v>NSE:ITDCEM</v>
      </c>
    </row>
    <row r="198" ht="15.75" customHeight="1">
      <c r="A198" s="23">
        <v>45469.0</v>
      </c>
      <c r="B198" s="20" t="s">
        <v>204</v>
      </c>
      <c r="C198" s="20" t="s">
        <v>21</v>
      </c>
      <c r="D198" s="20" t="s">
        <v>27</v>
      </c>
      <c r="E198" s="21" t="str">
        <f t="shared" si="4"/>
        <v>NSE:AETHER</v>
      </c>
    </row>
    <row r="199" ht="15.75" customHeight="1">
      <c r="A199" s="23">
        <v>45469.0</v>
      </c>
      <c r="B199" s="20" t="s">
        <v>205</v>
      </c>
      <c r="C199" s="20" t="s">
        <v>16</v>
      </c>
      <c r="D199" s="20" t="s">
        <v>53</v>
      </c>
      <c r="E199" s="21" t="str">
        <f t="shared" si="4"/>
        <v>NSE:ASHIMASYN</v>
      </c>
    </row>
    <row r="200" ht="15.75" customHeight="1">
      <c r="A200" s="23">
        <v>45469.0</v>
      </c>
      <c r="B200" s="20" t="s">
        <v>206</v>
      </c>
      <c r="C200" s="20" t="s">
        <v>16</v>
      </c>
      <c r="D200" s="20" t="s">
        <v>53</v>
      </c>
      <c r="E200" s="21" t="str">
        <f t="shared" si="4"/>
        <v>NSE:NAHARINDUS</v>
      </c>
    </row>
    <row r="201" ht="15.75" customHeight="1">
      <c r="A201" s="23">
        <v>45469.0</v>
      </c>
      <c r="B201" s="20" t="s">
        <v>207</v>
      </c>
      <c r="C201" s="20" t="s">
        <v>16</v>
      </c>
      <c r="D201" s="20" t="s">
        <v>53</v>
      </c>
      <c r="E201" s="21" t="str">
        <f t="shared" si="4"/>
        <v>NSE:GHCLTEXTIL</v>
      </c>
    </row>
    <row r="202" ht="15.75" customHeight="1">
      <c r="A202" s="23">
        <v>45469.0</v>
      </c>
      <c r="B202" s="20" t="s">
        <v>208</v>
      </c>
      <c r="C202" s="20" t="s">
        <v>21</v>
      </c>
      <c r="D202" s="20" t="s">
        <v>31</v>
      </c>
      <c r="E202" s="21" t="str">
        <f t="shared" si="4"/>
        <v>NSE:SENCO</v>
      </c>
    </row>
    <row r="203" ht="15.75" customHeight="1">
      <c r="A203" s="23">
        <v>45469.0</v>
      </c>
      <c r="B203" s="20" t="s">
        <v>209</v>
      </c>
      <c r="C203" s="20" t="s">
        <v>16</v>
      </c>
      <c r="D203" s="20" t="s">
        <v>53</v>
      </c>
      <c r="E203" s="21" t="str">
        <f t="shared" si="4"/>
        <v>NSE:SARLAPOLY</v>
      </c>
    </row>
    <row r="204" ht="15.75" customHeight="1">
      <c r="A204" s="23">
        <v>45469.0</v>
      </c>
      <c r="B204" s="20" t="s">
        <v>210</v>
      </c>
      <c r="C204" s="20" t="s">
        <v>16</v>
      </c>
      <c r="D204" s="20" t="s">
        <v>91</v>
      </c>
      <c r="E204" s="21" t="str">
        <f t="shared" si="4"/>
        <v>NSE:STYLAMIND</v>
      </c>
    </row>
    <row r="205" ht="15.75" customHeight="1">
      <c r="A205" s="23">
        <v>45469.0</v>
      </c>
      <c r="B205" s="20" t="s">
        <v>211</v>
      </c>
      <c r="C205" s="20" t="s">
        <v>21</v>
      </c>
      <c r="D205" s="20" t="s">
        <v>27</v>
      </c>
      <c r="E205" s="21" t="str">
        <f t="shared" si="4"/>
        <v>NSE:INDIACEM</v>
      </c>
    </row>
    <row r="206" ht="15.75" customHeight="1">
      <c r="A206" s="23">
        <v>45469.0</v>
      </c>
      <c r="B206" s="20" t="s">
        <v>212</v>
      </c>
      <c r="C206" s="20" t="s">
        <v>16</v>
      </c>
      <c r="D206" s="20" t="s">
        <v>29</v>
      </c>
      <c r="E206" s="21" t="str">
        <f t="shared" si="4"/>
        <v>NSE:EPACK</v>
      </c>
    </row>
    <row r="207" ht="15.75" customHeight="1">
      <c r="A207" s="23">
        <v>45469.0</v>
      </c>
      <c r="B207" s="20" t="s">
        <v>213</v>
      </c>
      <c r="C207" s="20" t="s">
        <v>21</v>
      </c>
      <c r="D207" s="20" t="s">
        <v>27</v>
      </c>
      <c r="E207" s="21" t="str">
        <f t="shared" si="4"/>
        <v>NSE:GALAXYSURF</v>
      </c>
    </row>
    <row r="208" ht="15.75" customHeight="1">
      <c r="A208" s="23">
        <v>45469.0</v>
      </c>
      <c r="B208" s="20" t="s">
        <v>214</v>
      </c>
      <c r="C208" s="20" t="s">
        <v>16</v>
      </c>
      <c r="D208" s="20" t="s">
        <v>27</v>
      </c>
      <c r="E208" s="21" t="str">
        <f t="shared" si="4"/>
        <v>NSE:YASHO</v>
      </c>
    </row>
    <row r="209" ht="15.75" customHeight="1">
      <c r="A209" s="23">
        <v>45469.0</v>
      </c>
      <c r="B209" s="20" t="s">
        <v>215</v>
      </c>
      <c r="C209" s="20" t="s">
        <v>16</v>
      </c>
      <c r="D209" s="20" t="s">
        <v>25</v>
      </c>
      <c r="E209" s="21" t="str">
        <f t="shared" si="4"/>
        <v>NSE:VSTL</v>
      </c>
    </row>
    <row r="210" ht="15.75" customHeight="1">
      <c r="A210" s="23">
        <v>45469.0</v>
      </c>
      <c r="B210" s="20" t="s">
        <v>216</v>
      </c>
      <c r="C210" s="20" t="s">
        <v>21</v>
      </c>
      <c r="D210" s="20" t="s">
        <v>27</v>
      </c>
      <c r="E210" s="21" t="str">
        <f t="shared" si="4"/>
        <v>NSE:FINEORG</v>
      </c>
    </row>
    <row r="211" ht="15.75" customHeight="1">
      <c r="A211" s="23">
        <v>45469.0</v>
      </c>
      <c r="B211" s="20" t="s">
        <v>217</v>
      </c>
      <c r="C211" s="20" t="s">
        <v>16</v>
      </c>
      <c r="D211" s="20" t="s">
        <v>27</v>
      </c>
      <c r="E211" s="21" t="str">
        <f t="shared" si="4"/>
        <v>NSE:CHEMBOND</v>
      </c>
    </row>
    <row r="212" ht="15.75" customHeight="1">
      <c r="A212" s="23">
        <v>45469.0</v>
      </c>
      <c r="B212" s="20" t="s">
        <v>218</v>
      </c>
      <c r="C212" s="20" t="s">
        <v>16</v>
      </c>
      <c r="D212" s="20" t="s">
        <v>17</v>
      </c>
      <c r="E212" s="21" t="str">
        <f t="shared" si="4"/>
        <v>NSE:VSTTILLERS</v>
      </c>
    </row>
    <row r="213" ht="15.75" customHeight="1">
      <c r="A213" s="23">
        <v>45469.0</v>
      </c>
      <c r="B213" s="20" t="s">
        <v>219</v>
      </c>
      <c r="C213" s="20" t="s">
        <v>16</v>
      </c>
      <c r="D213" s="20" t="s">
        <v>53</v>
      </c>
      <c r="E213" s="21" t="str">
        <f t="shared" si="4"/>
        <v>NSE:GLOSTERLTD</v>
      </c>
    </row>
    <row r="214" ht="15.75" customHeight="1">
      <c r="A214" s="29">
        <v>45469.0</v>
      </c>
      <c r="B214" s="20" t="s">
        <v>220</v>
      </c>
      <c r="C214" s="20" t="s">
        <v>13</v>
      </c>
      <c r="D214" s="20" t="s">
        <v>39</v>
      </c>
      <c r="E214" s="21" t="str">
        <f t="shared" si="4"/>
        <v>NSE:360ONE</v>
      </c>
    </row>
    <row r="215" ht="15.75" customHeight="1">
      <c r="A215" s="29">
        <v>45469.0</v>
      </c>
      <c r="B215" s="20" t="s">
        <v>221</v>
      </c>
      <c r="C215" s="20" t="s">
        <v>13</v>
      </c>
      <c r="D215" s="20" t="s">
        <v>14</v>
      </c>
      <c r="E215" s="21" t="str">
        <f t="shared" si="4"/>
        <v>NSE:DIVISLAB</v>
      </c>
    </row>
    <row r="216" ht="15.75" customHeight="1">
      <c r="A216" s="29">
        <v>45469.0</v>
      </c>
      <c r="B216" s="20" t="s">
        <v>222</v>
      </c>
      <c r="C216" s="20" t="s">
        <v>13</v>
      </c>
      <c r="D216" s="20" t="s">
        <v>14</v>
      </c>
      <c r="E216" s="21" t="str">
        <f t="shared" si="4"/>
        <v>NSE:BIOCON</v>
      </c>
    </row>
    <row r="217" ht="15.75" customHeight="1">
      <c r="A217" s="29">
        <v>45469.0</v>
      </c>
      <c r="B217" s="20" t="s">
        <v>223</v>
      </c>
      <c r="C217" s="20" t="s">
        <v>13</v>
      </c>
      <c r="D217" s="20" t="s">
        <v>27</v>
      </c>
      <c r="E217" s="21" t="str">
        <f t="shared" si="4"/>
        <v>NSE:ULTRACEMCO</v>
      </c>
    </row>
    <row r="218" ht="15.75" customHeight="1">
      <c r="A218" s="29">
        <v>45469.0</v>
      </c>
      <c r="B218" s="20" t="s">
        <v>224</v>
      </c>
      <c r="C218" s="20" t="s">
        <v>21</v>
      </c>
      <c r="D218" s="20" t="s">
        <v>39</v>
      </c>
      <c r="E218" s="21" t="str">
        <f t="shared" si="4"/>
        <v>NSE:IIFL</v>
      </c>
    </row>
    <row r="219" ht="15.75" customHeight="1">
      <c r="A219" s="29">
        <v>45469.0</v>
      </c>
      <c r="B219" s="20" t="s">
        <v>225</v>
      </c>
      <c r="C219" s="20" t="s">
        <v>21</v>
      </c>
      <c r="D219" s="20" t="s">
        <v>50</v>
      </c>
      <c r="E219" s="21" t="str">
        <f t="shared" si="4"/>
        <v>NSE:PVRINOX</v>
      </c>
    </row>
    <row r="220" ht="15.75" customHeight="1">
      <c r="A220" s="29">
        <v>45469.0</v>
      </c>
      <c r="B220" s="20" t="s">
        <v>226</v>
      </c>
      <c r="C220" s="20" t="s">
        <v>16</v>
      </c>
      <c r="D220" s="20" t="s">
        <v>17</v>
      </c>
      <c r="E220" s="21" t="str">
        <f t="shared" si="4"/>
        <v>NSE:FIEMIND</v>
      </c>
    </row>
    <row r="221" ht="15.75" customHeight="1">
      <c r="A221" s="29">
        <v>45469.0</v>
      </c>
      <c r="B221" s="20" t="s">
        <v>227</v>
      </c>
      <c r="C221" s="20" t="s">
        <v>16</v>
      </c>
      <c r="D221" s="20" t="s">
        <v>50</v>
      </c>
      <c r="E221" s="21" t="str">
        <f t="shared" si="4"/>
        <v>NSE:ZEEMEDIA</v>
      </c>
    </row>
    <row r="222" ht="15.75" customHeight="1">
      <c r="A222" s="29">
        <v>45469.0</v>
      </c>
      <c r="B222" s="20" t="s">
        <v>228</v>
      </c>
      <c r="C222" s="20" t="s">
        <v>13</v>
      </c>
      <c r="D222" s="20" t="s">
        <v>29</v>
      </c>
      <c r="E222" s="21" t="str">
        <f t="shared" si="4"/>
        <v>NSE:VGUARD</v>
      </c>
    </row>
    <row r="223" ht="15.75" customHeight="1">
      <c r="A223" s="29">
        <v>45469.0</v>
      </c>
      <c r="B223" s="20" t="s">
        <v>229</v>
      </c>
      <c r="C223" s="20" t="s">
        <v>16</v>
      </c>
      <c r="D223" s="20" t="s">
        <v>55</v>
      </c>
      <c r="E223" s="21" t="str">
        <f t="shared" si="4"/>
        <v>NSE:MOLDTKPAC</v>
      </c>
    </row>
    <row r="224" ht="15.75" customHeight="1">
      <c r="A224" s="29">
        <v>45469.0</v>
      </c>
      <c r="B224" s="20" t="s">
        <v>152</v>
      </c>
      <c r="C224" s="20" t="s">
        <v>21</v>
      </c>
      <c r="D224" s="20" t="s">
        <v>29</v>
      </c>
      <c r="E224" s="21" t="str">
        <f t="shared" si="4"/>
        <v>NSE:TEXRAIL</v>
      </c>
    </row>
    <row r="225" ht="15.75" customHeight="1">
      <c r="A225" s="29">
        <v>45469.0</v>
      </c>
      <c r="B225" s="20" t="s">
        <v>230</v>
      </c>
      <c r="C225" s="20" t="s">
        <v>16</v>
      </c>
      <c r="D225" s="20" t="s">
        <v>29</v>
      </c>
      <c r="E225" s="21" t="str">
        <f t="shared" si="4"/>
        <v>NSE:RUPA</v>
      </c>
    </row>
    <row r="226" ht="15.75" customHeight="1">
      <c r="A226" s="29">
        <v>45469.0</v>
      </c>
      <c r="B226" s="20" t="s">
        <v>231</v>
      </c>
      <c r="C226" s="20" t="s">
        <v>21</v>
      </c>
      <c r="D226" s="20" t="s">
        <v>29</v>
      </c>
      <c r="E226" s="21" t="str">
        <f t="shared" si="4"/>
        <v>NSE:PGEL</v>
      </c>
    </row>
    <row r="227" ht="15.75" customHeight="1">
      <c r="A227" s="29">
        <v>45469.0</v>
      </c>
      <c r="B227" s="20" t="s">
        <v>232</v>
      </c>
      <c r="C227" s="20" t="s">
        <v>21</v>
      </c>
      <c r="D227" s="20" t="s">
        <v>29</v>
      </c>
      <c r="E227" s="21" t="str">
        <f t="shared" si="4"/>
        <v>NSE:TRITURBINE</v>
      </c>
    </row>
    <row r="228" ht="15.75" customHeight="1">
      <c r="A228" s="29">
        <v>45469.0</v>
      </c>
      <c r="B228" s="20" t="s">
        <v>125</v>
      </c>
      <c r="C228" s="20" t="s">
        <v>16</v>
      </c>
      <c r="D228" s="20" t="s">
        <v>37</v>
      </c>
      <c r="E228" s="21" t="str">
        <f t="shared" si="4"/>
        <v>NSE:CIGNITITEC</v>
      </c>
    </row>
    <row r="229" ht="15.75" customHeight="1">
      <c r="A229" s="29">
        <v>45469.0</v>
      </c>
      <c r="B229" s="20" t="s">
        <v>233</v>
      </c>
      <c r="C229" s="20" t="s">
        <v>21</v>
      </c>
      <c r="D229" s="20" t="s">
        <v>22</v>
      </c>
      <c r="E229" s="21" t="str">
        <f t="shared" si="4"/>
        <v>NSE:GRINFRA</v>
      </c>
    </row>
    <row r="230" ht="15.75" customHeight="1">
      <c r="A230" s="29">
        <v>45469.0</v>
      </c>
      <c r="B230" s="20" t="s">
        <v>234</v>
      </c>
      <c r="C230" s="20" t="s">
        <v>16</v>
      </c>
      <c r="D230" s="20" t="s">
        <v>53</v>
      </c>
      <c r="E230" s="21" t="str">
        <f t="shared" si="4"/>
        <v>NSE:SPORTKING</v>
      </c>
    </row>
    <row r="231" ht="15.75" customHeight="1">
      <c r="A231" s="29">
        <v>45469.0</v>
      </c>
      <c r="B231" s="20" t="s">
        <v>127</v>
      </c>
      <c r="C231" s="20" t="s">
        <v>16</v>
      </c>
      <c r="D231" s="20" t="s">
        <v>37</v>
      </c>
      <c r="E231" s="21" t="str">
        <f t="shared" si="4"/>
        <v>NSE:AURUM</v>
      </c>
    </row>
    <row r="232" ht="15.75" customHeight="1">
      <c r="A232" s="29">
        <v>45469.0</v>
      </c>
      <c r="B232" s="20" t="s">
        <v>235</v>
      </c>
      <c r="C232" s="20" t="s">
        <v>13</v>
      </c>
      <c r="D232" s="20" t="s">
        <v>27</v>
      </c>
      <c r="E232" s="21" t="str">
        <f t="shared" si="4"/>
        <v>NSE:GUJGASLTD</v>
      </c>
    </row>
    <row r="233" ht="15.75" customHeight="1">
      <c r="A233" s="29">
        <v>45469.0</v>
      </c>
      <c r="B233" s="20" t="s">
        <v>236</v>
      </c>
      <c r="C233" s="20" t="s">
        <v>13</v>
      </c>
      <c r="D233" s="20" t="s">
        <v>37</v>
      </c>
      <c r="E233" s="21" t="str">
        <f t="shared" si="4"/>
        <v>NSE:LTIM</v>
      </c>
    </row>
    <row r="234" ht="15.75" customHeight="1">
      <c r="A234" s="29">
        <v>45470.0</v>
      </c>
      <c r="B234" s="20" t="s">
        <v>237</v>
      </c>
      <c r="C234" s="20" t="s">
        <v>13</v>
      </c>
      <c r="D234" s="20" t="s">
        <v>55</v>
      </c>
      <c r="E234" s="21" t="str">
        <f t="shared" si="4"/>
        <v>NSE:AEGISLOG</v>
      </c>
    </row>
    <row r="235" ht="15.75" customHeight="1">
      <c r="A235" s="29">
        <v>45470.0</v>
      </c>
      <c r="B235" s="20" t="s">
        <v>238</v>
      </c>
      <c r="C235" s="20" t="s">
        <v>13</v>
      </c>
      <c r="D235" s="20" t="s">
        <v>39</v>
      </c>
      <c r="E235" s="21" t="str">
        <f t="shared" si="4"/>
        <v>NSE:BAJFINANCE</v>
      </c>
    </row>
    <row r="236" ht="15.75" customHeight="1">
      <c r="A236" s="29">
        <v>45470.0</v>
      </c>
      <c r="B236" s="20" t="s">
        <v>239</v>
      </c>
      <c r="C236" s="20" t="s">
        <v>16</v>
      </c>
      <c r="D236" s="20" t="s">
        <v>27</v>
      </c>
      <c r="E236" s="21" t="str">
        <f t="shared" si="4"/>
        <v>NSE:DIAMINESQ</v>
      </c>
    </row>
    <row r="237" ht="15.75" customHeight="1">
      <c r="A237" s="29">
        <v>45470.0</v>
      </c>
      <c r="B237" s="20" t="s">
        <v>240</v>
      </c>
      <c r="C237" s="20" t="s">
        <v>21</v>
      </c>
      <c r="D237" s="20" t="s">
        <v>55</v>
      </c>
      <c r="E237" s="21" t="str">
        <f t="shared" si="4"/>
        <v>NSE:EPL</v>
      </c>
    </row>
    <row r="238" ht="15.75" customHeight="1">
      <c r="A238" s="29">
        <v>45470.0</v>
      </c>
      <c r="B238" s="20" t="s">
        <v>241</v>
      </c>
      <c r="C238" s="20" t="s">
        <v>13</v>
      </c>
      <c r="D238" s="20" t="s">
        <v>25</v>
      </c>
      <c r="E238" s="21" t="str">
        <f t="shared" si="4"/>
        <v>NSE:JSWSTEEL</v>
      </c>
    </row>
    <row r="239" ht="15.75" customHeight="1">
      <c r="A239" s="29">
        <v>45470.0</v>
      </c>
      <c r="B239" s="20" t="s">
        <v>242</v>
      </c>
      <c r="C239" s="20" t="s">
        <v>13</v>
      </c>
      <c r="D239" s="20" t="s">
        <v>29</v>
      </c>
      <c r="E239" s="21" t="str">
        <f t="shared" si="4"/>
        <v>NSE:WHIRLPOOL</v>
      </c>
    </row>
    <row r="240" ht="15.75" customHeight="1">
      <c r="A240" s="29">
        <v>45470.0</v>
      </c>
      <c r="B240" s="20" t="s">
        <v>243</v>
      </c>
      <c r="C240" s="20" t="s">
        <v>13</v>
      </c>
      <c r="D240" s="20" t="s">
        <v>39</v>
      </c>
      <c r="E240" s="21" t="str">
        <f t="shared" si="4"/>
        <v>NSE:PEL</v>
      </c>
    </row>
    <row r="241" ht="15.75" customHeight="1">
      <c r="A241" s="29">
        <v>45470.0</v>
      </c>
      <c r="B241" s="20" t="s">
        <v>244</v>
      </c>
      <c r="C241" s="20" t="s">
        <v>13</v>
      </c>
      <c r="D241" s="20" t="s">
        <v>27</v>
      </c>
      <c r="E241" s="21" t="str">
        <f t="shared" si="4"/>
        <v>NSE:SHREECEM</v>
      </c>
    </row>
    <row r="242" ht="15.75" customHeight="1">
      <c r="A242" s="29">
        <v>45470.0</v>
      </c>
      <c r="B242" s="20" t="s">
        <v>245</v>
      </c>
      <c r="C242" s="20" t="s">
        <v>16</v>
      </c>
      <c r="D242" s="20" t="s">
        <v>53</v>
      </c>
      <c r="E242" s="21" t="str">
        <f t="shared" si="4"/>
        <v>NSE:SIYSIL</v>
      </c>
    </row>
    <row r="243" ht="15.75" customHeight="1">
      <c r="A243" s="29">
        <v>45470.0</v>
      </c>
      <c r="B243" s="20" t="s">
        <v>246</v>
      </c>
      <c r="C243" s="20" t="s">
        <v>16</v>
      </c>
      <c r="D243" s="20" t="s">
        <v>29</v>
      </c>
      <c r="E243" s="21" t="str">
        <f t="shared" si="4"/>
        <v>NSE:GRPLTD</v>
      </c>
    </row>
    <row r="244" ht="15.75" customHeight="1">
      <c r="A244" s="23">
        <v>45470.0</v>
      </c>
      <c r="B244" s="20" t="s">
        <v>247</v>
      </c>
      <c r="C244" s="20" t="s">
        <v>16</v>
      </c>
      <c r="D244" s="20" t="s">
        <v>17</v>
      </c>
      <c r="E244" s="21" t="str">
        <f t="shared" si="4"/>
        <v>NSE:HINDCOMPOS</v>
      </c>
    </row>
    <row r="245" ht="15.75" customHeight="1">
      <c r="A245" s="23">
        <v>45470.0</v>
      </c>
      <c r="B245" s="20" t="s">
        <v>248</v>
      </c>
      <c r="C245" s="20" t="s">
        <v>16</v>
      </c>
      <c r="D245" s="20" t="s">
        <v>55</v>
      </c>
      <c r="E245" s="21" t="str">
        <f t="shared" si="4"/>
        <v>NSE:SINCLAIR</v>
      </c>
    </row>
    <row r="246" ht="15.75" customHeight="1">
      <c r="A246" s="23">
        <v>45470.0</v>
      </c>
      <c r="B246" s="20" t="s">
        <v>249</v>
      </c>
      <c r="C246" s="20" t="s">
        <v>13</v>
      </c>
      <c r="D246" s="20" t="s">
        <v>27</v>
      </c>
      <c r="E246" s="21" t="str">
        <f t="shared" si="4"/>
        <v>NSE:PIIND</v>
      </c>
    </row>
    <row r="247" ht="15.75" customHeight="1">
      <c r="A247" s="23">
        <v>45470.0</v>
      </c>
      <c r="B247" s="20" t="s">
        <v>250</v>
      </c>
      <c r="C247" s="20" t="s">
        <v>16</v>
      </c>
      <c r="D247" s="20" t="s">
        <v>29</v>
      </c>
      <c r="E247" s="21" t="str">
        <f t="shared" si="4"/>
        <v>NSE:RISHABH</v>
      </c>
    </row>
    <row r="248" ht="15.75" customHeight="1">
      <c r="A248" s="23">
        <v>45470.0</v>
      </c>
      <c r="B248" s="20" t="s">
        <v>251</v>
      </c>
      <c r="C248" s="20" t="s">
        <v>16</v>
      </c>
      <c r="D248" s="20" t="s">
        <v>31</v>
      </c>
      <c r="E248" s="21" t="str">
        <f t="shared" si="4"/>
        <v>NSE:SIGNPOST</v>
      </c>
    </row>
    <row r="249" ht="15.75" customHeight="1">
      <c r="A249" s="23">
        <v>45470.0</v>
      </c>
      <c r="B249" s="20" t="s">
        <v>252</v>
      </c>
      <c r="C249" s="20" t="s">
        <v>16</v>
      </c>
      <c r="D249" s="20" t="s">
        <v>14</v>
      </c>
      <c r="E249" s="21" t="str">
        <f t="shared" si="4"/>
        <v>NSE:ZIMLAB</v>
      </c>
    </row>
    <row r="250" ht="15.75" customHeight="1">
      <c r="A250" s="23">
        <v>45470.0</v>
      </c>
      <c r="B250" s="20" t="s">
        <v>253</v>
      </c>
      <c r="C250" s="20" t="s">
        <v>13</v>
      </c>
      <c r="D250" s="20" t="s">
        <v>14</v>
      </c>
      <c r="E250" s="21" t="str">
        <f t="shared" si="4"/>
        <v>NSE:SUVENPHAR</v>
      </c>
    </row>
    <row r="251" ht="15.75" customHeight="1">
      <c r="A251" s="23">
        <v>45470.0</v>
      </c>
      <c r="B251" s="20" t="s">
        <v>254</v>
      </c>
      <c r="C251" s="20" t="s">
        <v>16</v>
      </c>
      <c r="D251" s="20" t="s">
        <v>29</v>
      </c>
      <c r="E251" s="21" t="str">
        <f t="shared" si="4"/>
        <v>NSE:KDDL</v>
      </c>
    </row>
    <row r="252" ht="15.75" customHeight="1">
      <c r="A252" s="23">
        <v>45470.0</v>
      </c>
      <c r="B252" s="20" t="s">
        <v>255</v>
      </c>
      <c r="C252" s="20" t="s">
        <v>21</v>
      </c>
      <c r="D252" s="20" t="s">
        <v>37</v>
      </c>
      <c r="E252" s="21" t="str">
        <f t="shared" si="4"/>
        <v>NSE:ROUTE</v>
      </c>
    </row>
    <row r="253" ht="15.75" customHeight="1">
      <c r="A253" s="23">
        <v>45470.0</v>
      </c>
      <c r="B253" s="20" t="s">
        <v>256</v>
      </c>
      <c r="C253" s="20" t="s">
        <v>21</v>
      </c>
      <c r="D253" s="20" t="s">
        <v>50</v>
      </c>
      <c r="E253" s="21" t="str">
        <f t="shared" si="4"/>
        <v>NSE:SAREGAMA</v>
      </c>
    </row>
    <row r="254" ht="15.75" customHeight="1">
      <c r="A254" s="23">
        <v>45470.0</v>
      </c>
      <c r="B254" s="20" t="s">
        <v>257</v>
      </c>
      <c r="C254" s="20" t="s">
        <v>13</v>
      </c>
      <c r="D254" s="20" t="s">
        <v>27</v>
      </c>
      <c r="E254" s="21" t="str">
        <f t="shared" si="4"/>
        <v>NSE:MAZDOCK</v>
      </c>
    </row>
    <row r="255" ht="15.75" customHeight="1">
      <c r="A255" s="23">
        <v>45470.0</v>
      </c>
      <c r="B255" s="20" t="s">
        <v>258</v>
      </c>
      <c r="C255" s="20" t="s">
        <v>13</v>
      </c>
      <c r="D255" s="20" t="s">
        <v>27</v>
      </c>
      <c r="E255" s="21" t="str">
        <f t="shared" si="4"/>
        <v>NSE:IGL</v>
      </c>
    </row>
    <row r="256" ht="15.75" customHeight="1">
      <c r="A256" s="23">
        <v>45470.0</v>
      </c>
      <c r="B256" s="20" t="s">
        <v>259</v>
      </c>
      <c r="C256" s="20" t="s">
        <v>21</v>
      </c>
      <c r="D256" s="20" t="s">
        <v>91</v>
      </c>
      <c r="E256" s="21" t="str">
        <f t="shared" si="4"/>
        <v>NSE:CENTURYPLY</v>
      </c>
    </row>
    <row r="257" ht="15.75" customHeight="1">
      <c r="A257" s="23">
        <v>45470.0</v>
      </c>
      <c r="B257" s="20" t="s">
        <v>260</v>
      </c>
      <c r="C257" s="20" t="s">
        <v>16</v>
      </c>
      <c r="D257" s="20" t="s">
        <v>27</v>
      </c>
      <c r="E257" s="21" t="str">
        <f t="shared" si="4"/>
        <v>NSE:ASAHISONG</v>
      </c>
    </row>
    <row r="258" ht="15.75" customHeight="1">
      <c r="A258" s="23">
        <v>45470.0</v>
      </c>
      <c r="B258" s="20" t="s">
        <v>261</v>
      </c>
      <c r="C258" s="20" t="s">
        <v>13</v>
      </c>
      <c r="D258" s="20" t="s">
        <v>27</v>
      </c>
      <c r="E258" s="21" t="str">
        <f t="shared" si="4"/>
        <v>NSE:ADANIPORTS</v>
      </c>
    </row>
    <row r="259" ht="15.75" customHeight="1">
      <c r="A259" s="23">
        <v>45470.0</v>
      </c>
      <c r="B259" s="20" t="s">
        <v>149</v>
      </c>
      <c r="C259" s="20" t="s">
        <v>13</v>
      </c>
      <c r="D259" s="20" t="s">
        <v>22</v>
      </c>
      <c r="E259" s="21" t="str">
        <f t="shared" si="4"/>
        <v>NSE:GODREJPROP</v>
      </c>
    </row>
    <row r="260" ht="15.75" customHeight="1">
      <c r="A260" s="23">
        <v>45470.0</v>
      </c>
      <c r="B260" s="20" t="s">
        <v>192</v>
      </c>
      <c r="C260" s="20" t="s">
        <v>16</v>
      </c>
      <c r="D260" s="20" t="s">
        <v>39</v>
      </c>
      <c r="E260" s="21" t="str">
        <f t="shared" si="4"/>
        <v>NSE:REPCOHOME</v>
      </c>
    </row>
    <row r="261" ht="15.75" customHeight="1">
      <c r="A261" s="23">
        <v>45470.0</v>
      </c>
      <c r="B261" s="20" t="s">
        <v>262</v>
      </c>
      <c r="C261" s="20" t="s">
        <v>13</v>
      </c>
      <c r="D261" s="20" t="s">
        <v>37</v>
      </c>
      <c r="E261" s="21" t="str">
        <f t="shared" si="4"/>
        <v>NSE:POLICYBZR</v>
      </c>
    </row>
    <row r="262" ht="15.75" customHeight="1">
      <c r="A262" s="23">
        <v>45470.0</v>
      </c>
      <c r="B262" s="20" t="s">
        <v>263</v>
      </c>
      <c r="C262" s="20" t="s">
        <v>13</v>
      </c>
      <c r="D262" s="20" t="s">
        <v>55</v>
      </c>
      <c r="E262" s="21" t="str">
        <f t="shared" si="4"/>
        <v>NSE:STARHEALTH</v>
      </c>
    </row>
    <row r="263" ht="15.75" customHeight="1">
      <c r="A263" s="23">
        <v>45470.0</v>
      </c>
      <c r="B263" s="20" t="s">
        <v>264</v>
      </c>
      <c r="C263" s="20" t="s">
        <v>16</v>
      </c>
      <c r="D263" s="20" t="s">
        <v>53</v>
      </c>
      <c r="E263" s="21" t="str">
        <f t="shared" si="4"/>
        <v>NSE:MALLCOM</v>
      </c>
    </row>
    <row r="264" ht="15.75" customHeight="1">
      <c r="A264" s="23">
        <v>45471.0</v>
      </c>
      <c r="B264" s="20" t="s">
        <v>265</v>
      </c>
      <c r="C264" s="20" t="s">
        <v>13</v>
      </c>
      <c r="D264" s="20" t="s">
        <v>29</v>
      </c>
      <c r="E264" s="21" t="str">
        <f t="shared" si="4"/>
        <v>NSE:BATAINDIA</v>
      </c>
    </row>
    <row r="265" ht="15.75" customHeight="1">
      <c r="A265" s="23">
        <v>45471.0</v>
      </c>
      <c r="B265" s="20" t="s">
        <v>266</v>
      </c>
      <c r="C265" s="20" t="s">
        <v>21</v>
      </c>
      <c r="D265" s="20" t="s">
        <v>14</v>
      </c>
      <c r="E265" s="21" t="str">
        <f t="shared" si="4"/>
        <v>NSE:PGHL</v>
      </c>
    </row>
    <row r="266" ht="15.75" customHeight="1">
      <c r="A266" s="23">
        <v>45471.0</v>
      </c>
      <c r="B266" s="20" t="s">
        <v>267</v>
      </c>
      <c r="C266" s="20" t="s">
        <v>13</v>
      </c>
      <c r="D266" s="20" t="s">
        <v>27</v>
      </c>
      <c r="E266" s="21" t="str">
        <f t="shared" si="4"/>
        <v>NSE:AMBUJACEM</v>
      </c>
    </row>
    <row r="267" ht="15.75" customHeight="1">
      <c r="A267" s="23">
        <v>45471.0</v>
      </c>
      <c r="B267" s="20" t="s">
        <v>268</v>
      </c>
      <c r="C267" s="20" t="s">
        <v>21</v>
      </c>
      <c r="D267" s="20" t="s">
        <v>55</v>
      </c>
      <c r="E267" s="21" t="str">
        <f t="shared" si="4"/>
        <v>NSE:GESHIP</v>
      </c>
    </row>
    <row r="268" ht="15.75" customHeight="1">
      <c r="A268" s="23">
        <v>45471.0</v>
      </c>
      <c r="B268" s="20" t="s">
        <v>269</v>
      </c>
      <c r="C268" s="20" t="s">
        <v>13</v>
      </c>
      <c r="D268" s="20" t="s">
        <v>27</v>
      </c>
      <c r="E268" s="21" t="str">
        <f t="shared" si="4"/>
        <v>NSE:ASIANPAINT</v>
      </c>
    </row>
    <row r="269" ht="15.75" customHeight="1">
      <c r="A269" s="23">
        <v>45471.0</v>
      </c>
      <c r="B269" s="20" t="s">
        <v>270</v>
      </c>
      <c r="C269" s="20" t="s">
        <v>16</v>
      </c>
      <c r="D269" s="20" t="s">
        <v>27</v>
      </c>
      <c r="E269" s="21" t="str">
        <f t="shared" si="4"/>
        <v>NSE:SAGCEM</v>
      </c>
    </row>
    <row r="270" ht="15.75" customHeight="1">
      <c r="A270" s="23">
        <v>45471.0</v>
      </c>
      <c r="B270" s="20" t="s">
        <v>271</v>
      </c>
      <c r="C270" s="20" t="s">
        <v>13</v>
      </c>
      <c r="D270" s="20" t="s">
        <v>39</v>
      </c>
      <c r="E270" s="21" t="str">
        <f t="shared" si="4"/>
        <v>NSE:CHOLAHLDNG</v>
      </c>
    </row>
    <row r="271" ht="15.75" customHeight="1">
      <c r="A271" s="23">
        <v>45471.0</v>
      </c>
      <c r="B271" s="20" t="s">
        <v>272</v>
      </c>
      <c r="C271" s="20" t="s">
        <v>16</v>
      </c>
      <c r="D271" s="20" t="s">
        <v>22</v>
      </c>
      <c r="E271" s="21" t="str">
        <f t="shared" si="4"/>
        <v>NSE:TEXINFRA</v>
      </c>
    </row>
    <row r="272" ht="15.75" customHeight="1">
      <c r="A272" s="23">
        <v>45471.0</v>
      </c>
      <c r="B272" s="20" t="s">
        <v>273</v>
      </c>
      <c r="C272" s="20" t="s">
        <v>16</v>
      </c>
      <c r="D272" s="20" t="s">
        <v>64</v>
      </c>
      <c r="E272" s="21" t="str">
        <f t="shared" si="4"/>
        <v>NSE:STYRENIX</v>
      </c>
    </row>
    <row r="273" ht="15.75" customHeight="1">
      <c r="A273" s="23">
        <v>45471.0</v>
      </c>
      <c r="B273" s="20" t="s">
        <v>274</v>
      </c>
      <c r="C273" s="20" t="s">
        <v>16</v>
      </c>
      <c r="D273" s="20" t="s">
        <v>31</v>
      </c>
      <c r="E273" s="21" t="str">
        <f t="shared" si="4"/>
        <v>NSE:NAVNETEDUL</v>
      </c>
    </row>
    <row r="274" ht="15.75" customHeight="1">
      <c r="A274" s="23">
        <v>45471.0</v>
      </c>
      <c r="B274" s="20" t="s">
        <v>204</v>
      </c>
      <c r="C274" s="20" t="s">
        <v>21</v>
      </c>
      <c r="D274" s="20" t="s">
        <v>27</v>
      </c>
      <c r="E274" s="21" t="str">
        <f t="shared" si="4"/>
        <v>NSE:AETHER</v>
      </c>
    </row>
    <row r="275" ht="15.75" customHeight="1">
      <c r="A275" s="23">
        <v>45471.0</v>
      </c>
      <c r="B275" s="20" t="s">
        <v>275</v>
      </c>
      <c r="C275" s="20" t="s">
        <v>16</v>
      </c>
      <c r="D275" s="20" t="s">
        <v>37</v>
      </c>
      <c r="E275" s="21" t="str">
        <f t="shared" si="4"/>
        <v>NSE:MINDTECK</v>
      </c>
    </row>
    <row r="276" ht="15.75" customHeight="1">
      <c r="A276" s="23">
        <v>45471.0</v>
      </c>
      <c r="B276" s="20" t="s">
        <v>276</v>
      </c>
      <c r="C276" s="20" t="s">
        <v>16</v>
      </c>
      <c r="D276" s="20" t="s">
        <v>27</v>
      </c>
      <c r="E276" s="21" t="str">
        <f t="shared" si="4"/>
        <v>NSE:APCL</v>
      </c>
    </row>
    <row r="277" ht="15.75" customHeight="1">
      <c r="A277" s="23">
        <v>45471.0</v>
      </c>
      <c r="B277" s="20" t="s">
        <v>206</v>
      </c>
      <c r="C277" s="20" t="s">
        <v>16</v>
      </c>
      <c r="D277" s="20" t="s">
        <v>53</v>
      </c>
      <c r="E277" s="21" t="str">
        <f t="shared" si="4"/>
        <v>NSE:NAHARINDUS</v>
      </c>
    </row>
    <row r="278" ht="15.75" customHeight="1">
      <c r="A278" s="23">
        <v>45471.0</v>
      </c>
      <c r="B278" s="20" t="s">
        <v>277</v>
      </c>
      <c r="C278" s="20" t="s">
        <v>21</v>
      </c>
      <c r="D278" s="20" t="s">
        <v>29</v>
      </c>
      <c r="E278" s="21" t="str">
        <f t="shared" si="4"/>
        <v>NSE:PRAJIND</v>
      </c>
    </row>
    <row r="279" ht="15.75" customHeight="1">
      <c r="A279" s="23">
        <v>45471.0</v>
      </c>
      <c r="B279" s="20" t="s">
        <v>278</v>
      </c>
      <c r="C279" s="20" t="s">
        <v>16</v>
      </c>
      <c r="D279" s="20" t="s">
        <v>37</v>
      </c>
      <c r="E279" s="21" t="str">
        <f t="shared" si="4"/>
        <v>NSE:VLEGOV</v>
      </c>
    </row>
    <row r="280" ht="15.75" customHeight="1">
      <c r="A280" s="23">
        <v>45471.0</v>
      </c>
      <c r="B280" s="20" t="s">
        <v>279</v>
      </c>
      <c r="C280" s="20" t="s">
        <v>13</v>
      </c>
      <c r="D280" s="20" t="s">
        <v>31</v>
      </c>
      <c r="E280" s="21" t="str">
        <f t="shared" si="4"/>
        <v>NSE:CDSL</v>
      </c>
    </row>
    <row r="281" ht="15.75" customHeight="1">
      <c r="A281" s="23">
        <v>45471.0</v>
      </c>
      <c r="B281" s="20" t="s">
        <v>280</v>
      </c>
      <c r="C281" s="20" t="s">
        <v>21</v>
      </c>
      <c r="D281" s="20" t="s">
        <v>14</v>
      </c>
      <c r="E281" s="21" t="str">
        <f t="shared" si="4"/>
        <v>NSE:JLHL</v>
      </c>
    </row>
    <row r="282" ht="15.75" customHeight="1">
      <c r="A282" s="23">
        <v>45471.0</v>
      </c>
      <c r="B282" s="20" t="s">
        <v>281</v>
      </c>
      <c r="C282" s="20" t="s">
        <v>16</v>
      </c>
      <c r="D282" s="20" t="s">
        <v>55</v>
      </c>
      <c r="E282" s="21" t="str">
        <f t="shared" si="4"/>
        <v>NSE:MAHLOG</v>
      </c>
    </row>
    <row r="283" ht="15.75" customHeight="1">
      <c r="A283" s="23">
        <v>45471.0</v>
      </c>
      <c r="B283" s="20" t="s">
        <v>282</v>
      </c>
      <c r="C283" s="20" t="s">
        <v>16</v>
      </c>
      <c r="D283" s="20" t="s">
        <v>185</v>
      </c>
      <c r="E283" s="21" t="str">
        <f t="shared" si="4"/>
        <v>NSE:CAPITALSFB</v>
      </c>
    </row>
    <row r="284" ht="15.75" customHeight="1">
      <c r="A284" s="23">
        <v>45471.0</v>
      </c>
      <c r="B284" s="20" t="s">
        <v>283</v>
      </c>
      <c r="C284" s="20" t="s">
        <v>13</v>
      </c>
      <c r="D284" s="20" t="s">
        <v>22</v>
      </c>
      <c r="E284" s="21" t="str">
        <f t="shared" si="4"/>
        <v>NSE:RVNL</v>
      </c>
    </row>
    <row r="285" ht="15.75" customHeight="1">
      <c r="A285" s="23">
        <v>45471.0</v>
      </c>
      <c r="B285" s="20" t="s">
        <v>221</v>
      </c>
      <c r="C285" s="20" t="s">
        <v>13</v>
      </c>
      <c r="D285" s="20" t="s">
        <v>14</v>
      </c>
      <c r="E285" s="21" t="str">
        <f t="shared" si="4"/>
        <v>NSE:DIVISLAB</v>
      </c>
    </row>
    <row r="286" ht="15.75" customHeight="1">
      <c r="A286" s="23">
        <v>45471.0</v>
      </c>
      <c r="B286" s="20" t="s">
        <v>187</v>
      </c>
      <c r="C286" s="20" t="s">
        <v>13</v>
      </c>
      <c r="D286" s="20" t="s">
        <v>25</v>
      </c>
      <c r="E286" s="21" t="str">
        <f t="shared" si="4"/>
        <v>NSE:JSL</v>
      </c>
    </row>
    <row r="287" ht="15.75" customHeight="1">
      <c r="A287" s="23">
        <v>45471.0</v>
      </c>
      <c r="B287" s="20" t="s">
        <v>284</v>
      </c>
      <c r="C287" s="20" t="s">
        <v>13</v>
      </c>
      <c r="D287" s="20" t="s">
        <v>27</v>
      </c>
      <c r="E287" s="21" t="str">
        <f t="shared" si="4"/>
        <v>NSE:PETRONET</v>
      </c>
    </row>
    <row r="288" ht="15.75" customHeight="1">
      <c r="A288" s="23">
        <v>45471.0</v>
      </c>
      <c r="B288" s="20" t="s">
        <v>224</v>
      </c>
      <c r="C288" s="20" t="s">
        <v>21</v>
      </c>
      <c r="D288" s="20" t="s">
        <v>39</v>
      </c>
      <c r="E288" s="21" t="str">
        <f t="shared" si="4"/>
        <v>NSE:IIFL</v>
      </c>
    </row>
    <row r="289" ht="15.75" customHeight="1">
      <c r="A289" s="23">
        <v>45471.0</v>
      </c>
      <c r="B289" s="20" t="s">
        <v>285</v>
      </c>
      <c r="C289" s="20" t="s">
        <v>13</v>
      </c>
      <c r="D289" s="20" t="s">
        <v>29</v>
      </c>
      <c r="E289" s="21" t="str">
        <f t="shared" si="4"/>
        <v>NSE:KEC</v>
      </c>
    </row>
    <row r="290" ht="15.75" customHeight="1">
      <c r="A290" s="23">
        <v>45471.0</v>
      </c>
      <c r="B290" s="20" t="s">
        <v>286</v>
      </c>
      <c r="C290" s="20" t="s">
        <v>21</v>
      </c>
      <c r="D290" s="20" t="s">
        <v>37</v>
      </c>
      <c r="E290" s="21" t="str">
        <f t="shared" si="4"/>
        <v>NSE:RSYSTEMS</v>
      </c>
    </row>
    <row r="291" ht="15.75" customHeight="1">
      <c r="A291" s="23">
        <v>45471.0</v>
      </c>
      <c r="B291" s="20" t="s">
        <v>287</v>
      </c>
      <c r="C291" s="20" t="s">
        <v>16</v>
      </c>
      <c r="D291" s="20" t="s">
        <v>53</v>
      </c>
      <c r="E291" s="21" t="str">
        <f t="shared" si="4"/>
        <v>NSE:SUTLEJTEX</v>
      </c>
    </row>
    <row r="292" ht="15.75" customHeight="1">
      <c r="A292" s="23">
        <v>45471.0</v>
      </c>
      <c r="B292" s="20" t="s">
        <v>288</v>
      </c>
      <c r="C292" s="20" t="s">
        <v>16</v>
      </c>
      <c r="D292" s="20" t="s">
        <v>27</v>
      </c>
      <c r="E292" s="21" t="str">
        <f t="shared" si="4"/>
        <v>NSE:SRHHYPOLTD</v>
      </c>
    </row>
    <row r="293" ht="15.75" customHeight="1">
      <c r="A293" s="23">
        <v>45471.0</v>
      </c>
      <c r="B293" s="20" t="s">
        <v>145</v>
      </c>
      <c r="C293" s="20" t="s">
        <v>16</v>
      </c>
      <c r="D293" s="20" t="s">
        <v>37</v>
      </c>
      <c r="E293" s="21" t="str">
        <f t="shared" si="4"/>
        <v>NSE:ADSL</v>
      </c>
    </row>
    <row r="294" ht="15.75" customHeight="1">
      <c r="A294" s="23">
        <v>45471.0</v>
      </c>
      <c r="B294" s="20" t="s">
        <v>289</v>
      </c>
      <c r="C294" s="20" t="s">
        <v>13</v>
      </c>
      <c r="D294" s="20" t="s">
        <v>64</v>
      </c>
      <c r="E294" s="21" t="str">
        <f t="shared" si="4"/>
        <v>NSE:OIL</v>
      </c>
    </row>
    <row r="295" ht="15.75" customHeight="1">
      <c r="A295" s="23">
        <v>45471.0</v>
      </c>
      <c r="B295" s="20" t="s">
        <v>124</v>
      </c>
      <c r="C295" s="20" t="s">
        <v>16</v>
      </c>
      <c r="D295" s="20" t="s">
        <v>53</v>
      </c>
      <c r="E295" s="21" t="str">
        <f t="shared" si="4"/>
        <v>NSE:CANTABIL</v>
      </c>
    </row>
    <row r="296" ht="15.75" customHeight="1">
      <c r="A296" s="23">
        <v>45471.0</v>
      </c>
      <c r="B296" s="20" t="s">
        <v>290</v>
      </c>
      <c r="C296" s="20" t="s">
        <v>16</v>
      </c>
      <c r="D296" s="20" t="s">
        <v>39</v>
      </c>
      <c r="E296" s="21" t="str">
        <f t="shared" si="4"/>
        <v>NSE:SRGHFL</v>
      </c>
    </row>
    <row r="297" ht="15.75" customHeight="1">
      <c r="A297" s="23">
        <v>45471.0</v>
      </c>
      <c r="B297" s="20" t="s">
        <v>291</v>
      </c>
      <c r="C297" s="20" t="s">
        <v>21</v>
      </c>
      <c r="D297" s="20" t="s">
        <v>156</v>
      </c>
      <c r="E297" s="21" t="str">
        <f t="shared" si="4"/>
        <v>NSE:NAZARA</v>
      </c>
    </row>
    <row r="298" ht="15.75" customHeight="1">
      <c r="A298" s="23">
        <v>45471.0</v>
      </c>
      <c r="B298" s="20" t="s">
        <v>292</v>
      </c>
      <c r="C298" s="20" t="s">
        <v>16</v>
      </c>
      <c r="D298" s="20" t="s">
        <v>107</v>
      </c>
      <c r="E298" s="21" t="str">
        <f t="shared" si="4"/>
        <v>NSE:BARBEQUE</v>
      </c>
    </row>
    <row r="299" ht="15.75" customHeight="1">
      <c r="A299" s="23">
        <v>45471.0</v>
      </c>
      <c r="B299" s="20" t="s">
        <v>293</v>
      </c>
      <c r="C299" s="20" t="s">
        <v>21</v>
      </c>
      <c r="D299" s="20" t="s">
        <v>27</v>
      </c>
      <c r="E299" s="21" t="str">
        <f t="shared" si="4"/>
        <v>NSE:NUVOCO</v>
      </c>
    </row>
    <row r="300" ht="15.75" customHeight="1">
      <c r="A300" s="23">
        <v>45471.0</v>
      </c>
      <c r="B300" s="20" t="s">
        <v>294</v>
      </c>
      <c r="C300" s="20" t="s">
        <v>16</v>
      </c>
      <c r="D300" s="20" t="s">
        <v>37</v>
      </c>
      <c r="E300" s="21" t="str">
        <f t="shared" si="4"/>
        <v>NSE:NINSYS</v>
      </c>
    </row>
    <row r="301" ht="15.75" customHeight="1">
      <c r="A301" s="23">
        <v>45474.0</v>
      </c>
      <c r="B301" s="20" t="s">
        <v>295</v>
      </c>
      <c r="C301" s="20" t="s">
        <v>21</v>
      </c>
      <c r="D301" s="20" t="s">
        <v>29</v>
      </c>
      <c r="E301" s="21" t="str">
        <f t="shared" si="4"/>
        <v>NSE:SFL</v>
      </c>
    </row>
    <row r="302" ht="15.75" customHeight="1">
      <c r="A302" s="23">
        <v>45474.0</v>
      </c>
      <c r="B302" s="20" t="s">
        <v>12</v>
      </c>
      <c r="C302" s="20" t="s">
        <v>13</v>
      </c>
      <c r="D302" s="20" t="s">
        <v>14</v>
      </c>
      <c r="E302" s="21" t="str">
        <f t="shared" si="4"/>
        <v>NSE:LAURUSLABS</v>
      </c>
    </row>
    <row r="303" ht="15.75" customHeight="1">
      <c r="A303" s="23">
        <v>45474.0</v>
      </c>
      <c r="B303" s="20" t="s">
        <v>296</v>
      </c>
      <c r="C303" s="20" t="s">
        <v>13</v>
      </c>
      <c r="D303" s="20" t="s">
        <v>27</v>
      </c>
      <c r="E303" s="21" t="str">
        <f t="shared" si="4"/>
        <v>NSE:ATUL</v>
      </c>
    </row>
    <row r="304" ht="15.75" customHeight="1">
      <c r="A304" s="23">
        <v>45474.0</v>
      </c>
      <c r="B304" s="20" t="s">
        <v>297</v>
      </c>
      <c r="C304" s="20" t="s">
        <v>16</v>
      </c>
      <c r="D304" s="20" t="s">
        <v>14</v>
      </c>
      <c r="E304" s="21" t="str">
        <f t="shared" si="4"/>
        <v>NSE:AMRUTANJAN</v>
      </c>
    </row>
    <row r="305" ht="15.75" customHeight="1">
      <c r="A305" s="23">
        <v>45474.0</v>
      </c>
      <c r="B305" s="20" t="s">
        <v>298</v>
      </c>
      <c r="C305" s="20" t="s">
        <v>16</v>
      </c>
      <c r="D305" s="20" t="s">
        <v>37</v>
      </c>
      <c r="E305" s="21" t="str">
        <f t="shared" si="4"/>
        <v>NSE:SAKSOFT</v>
      </c>
    </row>
    <row r="306" ht="15.75" customHeight="1">
      <c r="A306" s="23">
        <v>45474.0</v>
      </c>
      <c r="B306" s="20" t="s">
        <v>299</v>
      </c>
      <c r="C306" s="20" t="s">
        <v>16</v>
      </c>
      <c r="D306" s="20" t="s">
        <v>27</v>
      </c>
      <c r="E306" s="21" t="str">
        <f t="shared" si="4"/>
        <v>NSE:BIRLACABLE</v>
      </c>
    </row>
    <row r="307" ht="15.75" customHeight="1">
      <c r="A307" s="23">
        <v>45474.0</v>
      </c>
      <c r="B307" s="20" t="s">
        <v>300</v>
      </c>
      <c r="C307" s="20" t="s">
        <v>16</v>
      </c>
      <c r="D307" s="20" t="s">
        <v>27</v>
      </c>
      <c r="E307" s="21" t="str">
        <f t="shared" si="4"/>
        <v>NSE:KCP</v>
      </c>
    </row>
    <row r="308" ht="15.75" customHeight="1">
      <c r="A308" s="23">
        <v>45474.0</v>
      </c>
      <c r="B308" s="20" t="s">
        <v>301</v>
      </c>
      <c r="C308" s="20" t="s">
        <v>16</v>
      </c>
      <c r="D308" s="20" t="s">
        <v>27</v>
      </c>
      <c r="E308" s="21" t="str">
        <f t="shared" si="4"/>
        <v>NSE:OAL</v>
      </c>
    </row>
    <row r="309" ht="15.75" customHeight="1">
      <c r="A309" s="23">
        <v>45474.0</v>
      </c>
      <c r="B309" s="20" t="s">
        <v>302</v>
      </c>
      <c r="C309" s="20" t="s">
        <v>16</v>
      </c>
      <c r="D309" s="20" t="s">
        <v>55</v>
      </c>
      <c r="E309" s="21" t="str">
        <f t="shared" si="4"/>
        <v>NSE:ESTER</v>
      </c>
    </row>
    <row r="310" ht="15.75" customHeight="1">
      <c r="A310" s="23">
        <v>45474.0</v>
      </c>
      <c r="B310" s="20" t="s">
        <v>303</v>
      </c>
      <c r="C310" s="20" t="s">
        <v>16</v>
      </c>
      <c r="D310" s="20" t="s">
        <v>29</v>
      </c>
      <c r="E310" s="21" t="str">
        <f t="shared" si="4"/>
        <v>NSE:INDIAGLYCO</v>
      </c>
    </row>
    <row r="311" ht="15.75" customHeight="1">
      <c r="A311" s="29">
        <v>45474.0</v>
      </c>
      <c r="B311" s="20" t="s">
        <v>304</v>
      </c>
      <c r="C311" s="20" t="s">
        <v>16</v>
      </c>
      <c r="D311" s="20" t="s">
        <v>53</v>
      </c>
      <c r="E311" s="21" t="str">
        <f t="shared" si="4"/>
        <v>NSE:INDORAMA</v>
      </c>
    </row>
    <row r="312" ht="15.75" customHeight="1">
      <c r="A312" s="29">
        <v>45474.0</v>
      </c>
      <c r="B312" s="20" t="s">
        <v>241</v>
      </c>
      <c r="C312" s="20" t="s">
        <v>13</v>
      </c>
      <c r="D312" s="20" t="s">
        <v>25</v>
      </c>
      <c r="E312" s="21" t="str">
        <f t="shared" si="4"/>
        <v>NSE:JSWSTEEL</v>
      </c>
    </row>
    <row r="313" ht="15.75" customHeight="1">
      <c r="A313" s="29">
        <v>45474.0</v>
      </c>
      <c r="B313" s="20" t="s">
        <v>305</v>
      </c>
      <c r="C313" s="20" t="s">
        <v>13</v>
      </c>
      <c r="D313" s="20" t="s">
        <v>27</v>
      </c>
      <c r="E313" s="21" t="str">
        <f t="shared" si="4"/>
        <v>NSE:KAJARIACER</v>
      </c>
    </row>
    <row r="314" ht="15.75" customHeight="1">
      <c r="A314" s="29">
        <v>45474.0</v>
      </c>
      <c r="B314" s="20" t="s">
        <v>306</v>
      </c>
      <c r="C314" s="20" t="s">
        <v>13</v>
      </c>
      <c r="D314" s="20" t="s">
        <v>29</v>
      </c>
      <c r="E314" s="21" t="str">
        <f t="shared" si="4"/>
        <v>NSE:TRENT</v>
      </c>
    </row>
    <row r="315" ht="15.75" customHeight="1">
      <c r="A315" s="29">
        <v>45474.0</v>
      </c>
      <c r="B315" s="20" t="s">
        <v>307</v>
      </c>
      <c r="C315" s="20" t="s">
        <v>13</v>
      </c>
      <c r="D315" s="20" t="s">
        <v>39</v>
      </c>
      <c r="E315" s="21" t="str">
        <f t="shared" si="4"/>
        <v>NSE:MFSL</v>
      </c>
    </row>
    <row r="316" ht="15.75" customHeight="1">
      <c r="A316" s="29">
        <v>45474.0</v>
      </c>
      <c r="B316" s="20" t="s">
        <v>23</v>
      </c>
      <c r="C316" s="20" t="s">
        <v>16</v>
      </c>
      <c r="D316" s="20" t="s">
        <v>14</v>
      </c>
      <c r="E316" s="21" t="str">
        <f t="shared" si="4"/>
        <v>NSE:MOREPENLAB</v>
      </c>
    </row>
    <row r="317" ht="15.75" customHeight="1">
      <c r="A317" s="29">
        <v>45474.0</v>
      </c>
      <c r="B317" s="20" t="s">
        <v>308</v>
      </c>
      <c r="C317" s="20" t="s">
        <v>21</v>
      </c>
      <c r="D317" s="20" t="s">
        <v>27</v>
      </c>
      <c r="E317" s="21" t="str">
        <f t="shared" si="4"/>
        <v>NSE:HEIDELBERG</v>
      </c>
    </row>
    <row r="318" ht="15.75" customHeight="1">
      <c r="A318" s="29">
        <v>45474.0</v>
      </c>
      <c r="B318" s="20" t="s">
        <v>309</v>
      </c>
      <c r="C318" s="20" t="s">
        <v>16</v>
      </c>
      <c r="D318" s="20" t="s">
        <v>53</v>
      </c>
      <c r="E318" s="21" t="str">
        <f t="shared" si="4"/>
        <v>NSE:NAHARSPING</v>
      </c>
    </row>
    <row r="319" ht="15.75" customHeight="1">
      <c r="A319" s="29">
        <v>45474.0</v>
      </c>
      <c r="B319" s="20" t="s">
        <v>310</v>
      </c>
      <c r="C319" s="20" t="s">
        <v>16</v>
      </c>
      <c r="D319" s="20" t="s">
        <v>37</v>
      </c>
      <c r="E319" s="21" t="str">
        <f t="shared" si="4"/>
        <v>NSE:NIITLTD</v>
      </c>
    </row>
    <row r="320" ht="15.75" customHeight="1">
      <c r="A320" s="29">
        <v>45474.0</v>
      </c>
      <c r="B320" s="20" t="s">
        <v>311</v>
      </c>
      <c r="C320" s="20" t="s">
        <v>16</v>
      </c>
      <c r="D320" s="20" t="s">
        <v>53</v>
      </c>
      <c r="E320" s="21" t="str">
        <f t="shared" si="4"/>
        <v>NSE:RSWM</v>
      </c>
    </row>
    <row r="321" ht="15.75" customHeight="1">
      <c r="A321" s="29">
        <v>45474.0</v>
      </c>
      <c r="B321" s="20" t="s">
        <v>312</v>
      </c>
      <c r="C321" s="20" t="s">
        <v>16</v>
      </c>
      <c r="D321" s="20" t="s">
        <v>25</v>
      </c>
      <c r="E321" s="21" t="str">
        <f t="shared" si="4"/>
        <v>NSE:SUNFLAG</v>
      </c>
    </row>
    <row r="322" ht="15.75" customHeight="1">
      <c r="A322" s="29">
        <v>45474.0</v>
      </c>
      <c r="B322" s="20" t="s">
        <v>313</v>
      </c>
      <c r="C322" s="20" t="s">
        <v>16</v>
      </c>
      <c r="D322" s="20" t="s">
        <v>55</v>
      </c>
      <c r="E322" s="21" t="str">
        <f t="shared" si="4"/>
        <v>NSE:UNIENTER</v>
      </c>
    </row>
    <row r="323" ht="15.75" customHeight="1">
      <c r="A323" s="29">
        <v>45474.0</v>
      </c>
      <c r="B323" s="20" t="s">
        <v>314</v>
      </c>
      <c r="C323" s="20" t="s">
        <v>13</v>
      </c>
      <c r="D323" s="20" t="s">
        <v>39</v>
      </c>
      <c r="E323" s="21" t="str">
        <f t="shared" si="4"/>
        <v>NSE:BAJAJHLDNG</v>
      </c>
    </row>
    <row r="324" ht="15.75" customHeight="1">
      <c r="A324" s="29">
        <v>45474.0</v>
      </c>
      <c r="B324" s="20" t="s">
        <v>315</v>
      </c>
      <c r="C324" s="20" t="s">
        <v>21</v>
      </c>
      <c r="D324" s="20" t="s">
        <v>27</v>
      </c>
      <c r="E324" s="21" t="str">
        <f t="shared" si="4"/>
        <v>NSE:GNFC</v>
      </c>
    </row>
    <row r="325" ht="15.75" customHeight="1">
      <c r="A325" s="29">
        <v>45474.0</v>
      </c>
      <c r="B325" s="20" t="s">
        <v>316</v>
      </c>
      <c r="C325" s="20" t="s">
        <v>13</v>
      </c>
      <c r="D325" s="20" t="s">
        <v>27</v>
      </c>
      <c r="E325" s="21" t="str">
        <f t="shared" si="4"/>
        <v>NSE:TATACHEM</v>
      </c>
    </row>
    <row r="326" ht="15.75" customHeight="1">
      <c r="A326" s="29">
        <v>45474.0</v>
      </c>
      <c r="B326" s="20" t="s">
        <v>26</v>
      </c>
      <c r="C326" s="20" t="s">
        <v>13</v>
      </c>
      <c r="D326" s="20" t="s">
        <v>27</v>
      </c>
      <c r="E326" s="21" t="str">
        <f t="shared" si="4"/>
        <v>NSE:CASTROLIND</v>
      </c>
    </row>
    <row r="327" ht="15.75" customHeight="1">
      <c r="A327" s="29">
        <v>45474.0</v>
      </c>
      <c r="B327" s="20" t="s">
        <v>317</v>
      </c>
      <c r="C327" s="20" t="s">
        <v>21</v>
      </c>
      <c r="D327" s="20" t="s">
        <v>17</v>
      </c>
      <c r="E327" s="21" t="str">
        <f t="shared" si="4"/>
        <v>NSE:BBTC</v>
      </c>
    </row>
    <row r="328" ht="15.75" customHeight="1">
      <c r="A328" s="29">
        <v>45474.0</v>
      </c>
      <c r="B328" s="20" t="s">
        <v>318</v>
      </c>
      <c r="C328" s="20" t="s">
        <v>16</v>
      </c>
      <c r="D328" s="20" t="s">
        <v>29</v>
      </c>
      <c r="E328" s="21" t="str">
        <f t="shared" si="4"/>
        <v>NSE:GREAVESCOT</v>
      </c>
    </row>
    <row r="329" ht="15.75" customHeight="1">
      <c r="A329" s="29">
        <v>45474.0</v>
      </c>
      <c r="B329" s="20" t="s">
        <v>319</v>
      </c>
      <c r="C329" s="20" t="s">
        <v>16</v>
      </c>
      <c r="D329" s="20" t="s">
        <v>27</v>
      </c>
      <c r="E329" s="21" t="str">
        <f t="shared" si="4"/>
        <v>NSE:DECCANCE</v>
      </c>
    </row>
    <row r="330" ht="15.75" customHeight="1">
      <c r="A330" s="29">
        <v>45474.0</v>
      </c>
      <c r="B330" s="20" t="s">
        <v>320</v>
      </c>
      <c r="C330" s="20" t="s">
        <v>16</v>
      </c>
      <c r="D330" s="20" t="s">
        <v>27</v>
      </c>
      <c r="E330" s="21" t="str">
        <f t="shared" si="4"/>
        <v>NSE:NCLIND</v>
      </c>
    </row>
    <row r="331" ht="15.75" customHeight="1">
      <c r="A331" s="29">
        <v>45474.0</v>
      </c>
      <c r="B331" s="20" t="s">
        <v>321</v>
      </c>
      <c r="C331" s="20" t="s">
        <v>16</v>
      </c>
      <c r="D331" s="20" t="s">
        <v>27</v>
      </c>
      <c r="E331" s="21" t="str">
        <f t="shared" si="4"/>
        <v>NSE:SAURASHCEM</v>
      </c>
    </row>
    <row r="332" ht="15.75" customHeight="1">
      <c r="A332" s="29">
        <v>45474.0</v>
      </c>
      <c r="B332" s="20" t="s">
        <v>322</v>
      </c>
      <c r="C332" s="20" t="s">
        <v>16</v>
      </c>
      <c r="D332" s="20" t="s">
        <v>27</v>
      </c>
      <c r="E332" s="21" t="str">
        <f t="shared" si="4"/>
        <v>NSE:ANDHRAPAP</v>
      </c>
    </row>
    <row r="333" ht="15.75" customHeight="1">
      <c r="A333" s="29">
        <v>45474.0</v>
      </c>
      <c r="B333" s="20" t="s">
        <v>198</v>
      </c>
      <c r="C333" s="20" t="s">
        <v>21</v>
      </c>
      <c r="D333" s="20" t="s">
        <v>53</v>
      </c>
      <c r="E333" s="21" t="str">
        <f t="shared" si="4"/>
        <v>NSE:VTL</v>
      </c>
    </row>
    <row r="334" ht="15.75" customHeight="1">
      <c r="A334" s="29">
        <v>45474.0</v>
      </c>
      <c r="B334" s="20" t="s">
        <v>323</v>
      </c>
      <c r="C334" s="20" t="s">
        <v>16</v>
      </c>
      <c r="D334" s="20" t="s">
        <v>53</v>
      </c>
      <c r="E334" s="21" t="str">
        <f t="shared" si="4"/>
        <v>NSE:BANSWRAS</v>
      </c>
    </row>
    <row r="335" ht="15.75" customHeight="1">
      <c r="A335" s="29">
        <v>45474.0</v>
      </c>
      <c r="B335" s="20" t="s">
        <v>324</v>
      </c>
      <c r="C335" s="20" t="s">
        <v>13</v>
      </c>
      <c r="D335" s="20" t="s">
        <v>27</v>
      </c>
      <c r="E335" s="21" t="str">
        <f t="shared" si="4"/>
        <v>NSE:SRF</v>
      </c>
    </row>
    <row r="336" ht="15.75" customHeight="1">
      <c r="A336" s="29">
        <v>45474.0</v>
      </c>
      <c r="B336" s="20" t="s">
        <v>325</v>
      </c>
      <c r="C336" s="20" t="s">
        <v>16</v>
      </c>
      <c r="D336" s="20" t="s">
        <v>22</v>
      </c>
      <c r="E336" s="21" t="str">
        <f t="shared" si="4"/>
        <v>NSE:WSI</v>
      </c>
    </row>
    <row r="337" ht="15.75" customHeight="1">
      <c r="A337" s="29">
        <v>45474.0</v>
      </c>
      <c r="B337" s="20" t="s">
        <v>326</v>
      </c>
      <c r="C337" s="20" t="s">
        <v>16</v>
      </c>
      <c r="D337" s="20" t="s">
        <v>22</v>
      </c>
      <c r="E337" s="21" t="str">
        <f t="shared" si="4"/>
        <v>NSE:INDIANHUME</v>
      </c>
    </row>
    <row r="338" ht="15.75" customHeight="1">
      <c r="A338" s="29">
        <v>45474.0</v>
      </c>
      <c r="B338" s="20" t="s">
        <v>327</v>
      </c>
      <c r="C338" s="20" t="s">
        <v>21</v>
      </c>
      <c r="D338" s="20" t="s">
        <v>29</v>
      </c>
      <c r="E338" s="21" t="str">
        <f t="shared" si="4"/>
        <v>NSE:GMMPFAUDLR</v>
      </c>
    </row>
    <row r="339" ht="15.75" customHeight="1">
      <c r="A339" s="29">
        <v>45474.0</v>
      </c>
      <c r="B339" s="20" t="s">
        <v>328</v>
      </c>
      <c r="C339" s="20" t="s">
        <v>13</v>
      </c>
      <c r="D339" s="20" t="s">
        <v>29</v>
      </c>
      <c r="E339" s="21" t="str">
        <f t="shared" si="4"/>
        <v>NSE:GRINDWELL</v>
      </c>
    </row>
    <row r="340" ht="15.75" customHeight="1">
      <c r="A340" s="29">
        <v>45474.0</v>
      </c>
      <c r="B340" s="20" t="s">
        <v>329</v>
      </c>
      <c r="C340" s="20" t="s">
        <v>13</v>
      </c>
      <c r="D340" s="20" t="s">
        <v>27</v>
      </c>
      <c r="E340" s="21" t="str">
        <f t="shared" si="4"/>
        <v>NSE:COROMANDEL</v>
      </c>
    </row>
    <row r="341" ht="15.75" customHeight="1">
      <c r="A341" s="23">
        <v>45474.0</v>
      </c>
      <c r="B341" s="20" t="s">
        <v>34</v>
      </c>
      <c r="C341" s="20" t="s">
        <v>13</v>
      </c>
      <c r="D341" s="20" t="s">
        <v>27</v>
      </c>
      <c r="E341" s="21" t="str">
        <f t="shared" si="4"/>
        <v>NSE:DEEPAKNTR</v>
      </c>
    </row>
    <row r="342" ht="15.75" customHeight="1">
      <c r="A342" s="23">
        <v>45474.0</v>
      </c>
      <c r="B342" s="20" t="s">
        <v>330</v>
      </c>
      <c r="C342" s="20" t="s">
        <v>21</v>
      </c>
      <c r="D342" s="20" t="s">
        <v>27</v>
      </c>
      <c r="E342" s="21" t="str">
        <f t="shared" si="4"/>
        <v>NSE:ALKYLAMINE</v>
      </c>
    </row>
    <row r="343" ht="15.75" customHeight="1">
      <c r="A343" s="23">
        <v>45474.0</v>
      </c>
      <c r="B343" s="20" t="s">
        <v>35</v>
      </c>
      <c r="C343" s="20" t="s">
        <v>21</v>
      </c>
      <c r="D343" s="20" t="s">
        <v>14</v>
      </c>
      <c r="E343" s="21" t="str">
        <f t="shared" si="4"/>
        <v>NSE:ASTRAZEN</v>
      </c>
    </row>
    <row r="344" ht="15.75" customHeight="1">
      <c r="A344" s="23">
        <v>45474.0</v>
      </c>
      <c r="B344" s="20" t="s">
        <v>331</v>
      </c>
      <c r="C344" s="20" t="s">
        <v>16</v>
      </c>
      <c r="D344" s="20" t="s">
        <v>29</v>
      </c>
      <c r="E344" s="21" t="str">
        <f t="shared" si="4"/>
        <v>NSE:WALCHANNAG</v>
      </c>
    </row>
    <row r="345" ht="15.75" customHeight="1">
      <c r="A345" s="23">
        <v>45474.0</v>
      </c>
      <c r="B345" s="20" t="s">
        <v>332</v>
      </c>
      <c r="C345" s="20" t="s">
        <v>16</v>
      </c>
      <c r="D345" s="20" t="s">
        <v>29</v>
      </c>
      <c r="E345" s="21" t="str">
        <f t="shared" si="4"/>
        <v>NSE:IFBAGRO</v>
      </c>
    </row>
    <row r="346" ht="15.75" customHeight="1">
      <c r="A346" s="23">
        <v>45474.0</v>
      </c>
      <c r="B346" s="20" t="s">
        <v>333</v>
      </c>
      <c r="C346" s="20" t="s">
        <v>16</v>
      </c>
      <c r="D346" s="20" t="s">
        <v>29</v>
      </c>
      <c r="E346" s="21" t="str">
        <f t="shared" si="4"/>
        <v>NSE:GMBREW</v>
      </c>
    </row>
    <row r="347" ht="15.75" customHeight="1">
      <c r="A347" s="23">
        <v>45474.0</v>
      </c>
      <c r="B347" s="20" t="s">
        <v>334</v>
      </c>
      <c r="C347" s="20" t="s">
        <v>16</v>
      </c>
      <c r="D347" s="20" t="s">
        <v>29</v>
      </c>
      <c r="E347" s="21" t="str">
        <f t="shared" si="4"/>
        <v>NSE:FOODSIN</v>
      </c>
    </row>
    <row r="348" ht="15.75" customHeight="1">
      <c r="A348" s="23">
        <v>45474.0</v>
      </c>
      <c r="B348" s="20" t="s">
        <v>202</v>
      </c>
      <c r="C348" s="20" t="s">
        <v>16</v>
      </c>
      <c r="D348" s="20" t="s">
        <v>53</v>
      </c>
      <c r="E348" s="21" t="str">
        <f t="shared" si="4"/>
        <v>NSE:AYMSYNTEX</v>
      </c>
    </row>
    <row r="349" ht="15.75" customHeight="1">
      <c r="A349" s="23">
        <v>45474.0</v>
      </c>
      <c r="B349" s="20" t="s">
        <v>335</v>
      </c>
      <c r="C349" s="20" t="s">
        <v>13</v>
      </c>
      <c r="D349" s="20" t="s">
        <v>27</v>
      </c>
      <c r="E349" s="21" t="str">
        <f t="shared" si="4"/>
        <v>NSE:BERGEPAINT</v>
      </c>
    </row>
    <row r="350" ht="15.75" customHeight="1">
      <c r="A350" s="23">
        <v>45474.0</v>
      </c>
      <c r="B350" s="20" t="s">
        <v>336</v>
      </c>
      <c r="C350" s="20" t="s">
        <v>16</v>
      </c>
      <c r="D350" s="20" t="s">
        <v>39</v>
      </c>
      <c r="E350" s="21" t="str">
        <f t="shared" si="4"/>
        <v>NSE:VLSFINANCE</v>
      </c>
    </row>
    <row r="351" ht="15.75" customHeight="1">
      <c r="A351" s="23">
        <v>45474.0</v>
      </c>
      <c r="B351" s="20" t="s">
        <v>337</v>
      </c>
      <c r="C351" s="20" t="s">
        <v>16</v>
      </c>
      <c r="D351" s="20" t="s">
        <v>55</v>
      </c>
      <c r="E351" s="21" t="str">
        <f t="shared" si="4"/>
        <v>NSE:MONARCH</v>
      </c>
    </row>
    <row r="352" ht="15.75" customHeight="1">
      <c r="A352" s="23">
        <v>45474.0</v>
      </c>
      <c r="B352" s="20" t="s">
        <v>338</v>
      </c>
      <c r="C352" s="20" t="s">
        <v>16</v>
      </c>
      <c r="D352" s="20" t="s">
        <v>55</v>
      </c>
      <c r="E352" s="21" t="str">
        <f t="shared" si="4"/>
        <v>NSE:ARIHANTCAP</v>
      </c>
    </row>
    <row r="353" ht="15.75" customHeight="1">
      <c r="A353" s="23">
        <v>45474.0</v>
      </c>
      <c r="B353" s="20" t="s">
        <v>339</v>
      </c>
      <c r="C353" s="20" t="s">
        <v>16</v>
      </c>
      <c r="D353" s="20" t="s">
        <v>22</v>
      </c>
      <c r="E353" s="21" t="str">
        <f t="shared" si="4"/>
        <v>NSE:VIPULLTD</v>
      </c>
    </row>
    <row r="354" ht="15.75" customHeight="1">
      <c r="A354" s="23">
        <v>45474.0</v>
      </c>
      <c r="B354" s="20" t="s">
        <v>82</v>
      </c>
      <c r="C354" s="20" t="s">
        <v>21</v>
      </c>
      <c r="D354" s="20" t="s">
        <v>29</v>
      </c>
      <c r="E354" s="21" t="str">
        <f t="shared" si="4"/>
        <v>NSE:JAICORPLTD</v>
      </c>
    </row>
    <row r="355" ht="15.75" customHeight="1">
      <c r="A355" s="23">
        <v>45474.0</v>
      </c>
      <c r="B355" s="20" t="s">
        <v>340</v>
      </c>
      <c r="C355" s="20" t="s">
        <v>16</v>
      </c>
      <c r="D355" s="20" t="s">
        <v>55</v>
      </c>
      <c r="E355" s="21" t="str">
        <f t="shared" si="4"/>
        <v>NSE:VERANDA</v>
      </c>
    </row>
    <row r="356" ht="15.75" customHeight="1">
      <c r="A356" s="23">
        <v>45474.0</v>
      </c>
      <c r="B356" s="20" t="s">
        <v>341</v>
      </c>
      <c r="C356" s="20" t="s">
        <v>13</v>
      </c>
      <c r="D356" s="20" t="s">
        <v>27</v>
      </c>
      <c r="E356" s="21" t="str">
        <f t="shared" si="4"/>
        <v>NSE:LLOYDSME</v>
      </c>
    </row>
    <row r="357" ht="15.75" customHeight="1">
      <c r="A357" s="23">
        <v>45474.0</v>
      </c>
      <c r="B357" s="20" t="s">
        <v>342</v>
      </c>
      <c r="C357" s="20" t="s">
        <v>16</v>
      </c>
      <c r="D357" s="20" t="s">
        <v>14</v>
      </c>
      <c r="E357" s="21" t="str">
        <f t="shared" si="4"/>
        <v>NSE:SEQUENT</v>
      </c>
    </row>
    <row r="358" ht="15.75" customHeight="1">
      <c r="A358" s="23">
        <v>45474.0</v>
      </c>
      <c r="B358" s="20" t="s">
        <v>343</v>
      </c>
      <c r="C358" s="20" t="s">
        <v>21</v>
      </c>
      <c r="D358" s="20" t="s">
        <v>29</v>
      </c>
      <c r="E358" s="21" t="str">
        <f t="shared" si="4"/>
        <v>NSE:AVANTIFEED</v>
      </c>
    </row>
    <row r="359" ht="15.75" customHeight="1">
      <c r="A359" s="23">
        <v>45474.0</v>
      </c>
      <c r="B359" s="20" t="s">
        <v>344</v>
      </c>
      <c r="C359" s="20" t="s">
        <v>16</v>
      </c>
      <c r="D359" s="20" t="s">
        <v>53</v>
      </c>
      <c r="E359" s="21" t="str">
        <f t="shared" si="4"/>
        <v>NSE:ORBTEXP</v>
      </c>
    </row>
    <row r="360" ht="15.75" customHeight="1">
      <c r="A360" s="23">
        <v>45474.0</v>
      </c>
      <c r="B360" s="20" t="s">
        <v>345</v>
      </c>
      <c r="C360" s="20" t="s">
        <v>21</v>
      </c>
      <c r="D360" s="20" t="s">
        <v>37</v>
      </c>
      <c r="E360" s="21" t="str">
        <f t="shared" si="4"/>
        <v>NSE:EMUDHRA</v>
      </c>
    </row>
    <row r="361" ht="15.75" customHeight="1">
      <c r="A361" s="23">
        <v>45474.0</v>
      </c>
      <c r="B361" s="20" t="s">
        <v>346</v>
      </c>
      <c r="C361" s="20" t="s">
        <v>16</v>
      </c>
      <c r="D361" s="20" t="s">
        <v>29</v>
      </c>
      <c r="E361" s="21" t="str">
        <f t="shared" si="4"/>
        <v>NSE:PITTIENG</v>
      </c>
    </row>
    <row r="362" ht="15.75" customHeight="1">
      <c r="A362" s="23">
        <v>45474.0</v>
      </c>
      <c r="B362" s="20" t="s">
        <v>347</v>
      </c>
      <c r="C362" s="20" t="s">
        <v>16</v>
      </c>
      <c r="D362" s="20" t="s">
        <v>53</v>
      </c>
      <c r="E362" s="21" t="str">
        <f t="shared" si="4"/>
        <v>NSE:HIMATSEIDE</v>
      </c>
    </row>
    <row r="363" ht="15.75" customHeight="1">
      <c r="A363" s="29">
        <v>45474.0</v>
      </c>
      <c r="B363" s="20" t="s">
        <v>348</v>
      </c>
      <c r="C363" s="20" t="s">
        <v>21</v>
      </c>
      <c r="D363" s="20" t="s">
        <v>17</v>
      </c>
      <c r="E363" s="21" t="str">
        <f t="shared" si="4"/>
        <v>NSE:PRICOLLTD</v>
      </c>
    </row>
    <row r="364" ht="15.75" customHeight="1">
      <c r="A364" s="29">
        <v>45474.0</v>
      </c>
      <c r="B364" s="20" t="s">
        <v>349</v>
      </c>
      <c r="C364" s="20" t="s">
        <v>16</v>
      </c>
      <c r="D364" s="20" t="s">
        <v>22</v>
      </c>
      <c r="E364" s="21" t="str">
        <f t="shared" si="4"/>
        <v>NSE:VINDHYATEL</v>
      </c>
    </row>
    <row r="365" ht="15.75" customHeight="1">
      <c r="A365" s="29">
        <v>45474.0</v>
      </c>
      <c r="B365" s="20" t="s">
        <v>350</v>
      </c>
      <c r="C365" s="20" t="s">
        <v>16</v>
      </c>
      <c r="D365" s="20" t="s">
        <v>17</v>
      </c>
      <c r="E365" s="21" t="str">
        <f t="shared" si="4"/>
        <v>NSE:SUBROS</v>
      </c>
    </row>
    <row r="366" ht="15.75" customHeight="1">
      <c r="A366" s="29">
        <v>45474.0</v>
      </c>
      <c r="B366" s="20" t="s">
        <v>351</v>
      </c>
      <c r="C366" s="20" t="s">
        <v>16</v>
      </c>
      <c r="D366" s="20" t="s">
        <v>29</v>
      </c>
      <c r="E366" s="21" t="str">
        <f t="shared" si="4"/>
        <v>NSE:ROTO</v>
      </c>
    </row>
    <row r="367" ht="15.75" customHeight="1">
      <c r="A367" s="29">
        <v>45474.0</v>
      </c>
      <c r="B367" s="20" t="s">
        <v>352</v>
      </c>
      <c r="C367" s="20" t="s">
        <v>21</v>
      </c>
      <c r="D367" s="20" t="s">
        <v>29</v>
      </c>
      <c r="E367" s="21" t="str">
        <f t="shared" si="4"/>
        <v>NSE:TTKPRESTIG</v>
      </c>
    </row>
    <row r="368" ht="15.75" customHeight="1">
      <c r="A368" s="29">
        <v>45474.0</v>
      </c>
      <c r="B368" s="20" t="s">
        <v>353</v>
      </c>
      <c r="C368" s="20" t="s">
        <v>16</v>
      </c>
      <c r="D368" s="20" t="s">
        <v>39</v>
      </c>
      <c r="E368" s="21" t="str">
        <f t="shared" si="4"/>
        <v>NSE:AHL</v>
      </c>
    </row>
    <row r="369" ht="15.75" customHeight="1">
      <c r="A369" s="29">
        <v>45474.0</v>
      </c>
      <c r="B369" s="20" t="s">
        <v>354</v>
      </c>
      <c r="C369" s="20" t="s">
        <v>16</v>
      </c>
      <c r="D369" s="20" t="s">
        <v>17</v>
      </c>
      <c r="E369" s="21" t="str">
        <f t="shared" si="4"/>
        <v>NSE:MUNJALSHOW</v>
      </c>
    </row>
    <row r="370" ht="15.75" customHeight="1">
      <c r="A370" s="29">
        <v>45474.0</v>
      </c>
      <c r="B370" s="20" t="s">
        <v>355</v>
      </c>
      <c r="C370" s="20" t="s">
        <v>21</v>
      </c>
      <c r="D370" s="20" t="s">
        <v>17</v>
      </c>
      <c r="E370" s="21" t="str">
        <f t="shared" si="4"/>
        <v>NSE:JTEKTINDIA</v>
      </c>
    </row>
    <row r="371" ht="15.75" customHeight="1">
      <c r="A371" s="29">
        <v>45474.0</v>
      </c>
      <c r="B371" s="20" t="s">
        <v>356</v>
      </c>
      <c r="C371" s="20" t="s">
        <v>16</v>
      </c>
      <c r="D371" s="20" t="s">
        <v>29</v>
      </c>
      <c r="E371" s="21" t="str">
        <f t="shared" si="4"/>
        <v>NSE:HLEGLAS</v>
      </c>
    </row>
    <row r="372" ht="15.75" customHeight="1">
      <c r="A372" s="29">
        <v>45474.0</v>
      </c>
      <c r="B372" s="20" t="s">
        <v>357</v>
      </c>
      <c r="C372" s="20" t="s">
        <v>16</v>
      </c>
      <c r="D372" s="20" t="s">
        <v>31</v>
      </c>
      <c r="E372" s="21" t="str">
        <f t="shared" si="4"/>
        <v>NSE:KOKUYOCMLN</v>
      </c>
    </row>
    <row r="373" ht="15.75" customHeight="1">
      <c r="A373" s="29">
        <v>45474.0</v>
      </c>
      <c r="B373" s="20" t="s">
        <v>358</v>
      </c>
      <c r="C373" s="20" t="s">
        <v>16</v>
      </c>
      <c r="D373" s="20" t="s">
        <v>55</v>
      </c>
      <c r="E373" s="21" t="str">
        <f t="shared" si="4"/>
        <v>NSE:NAHARPOLY</v>
      </c>
    </row>
    <row r="374" ht="15.75" customHeight="1">
      <c r="A374" s="29">
        <v>45474.0</v>
      </c>
      <c r="B374" s="20" t="s">
        <v>359</v>
      </c>
      <c r="C374" s="20" t="s">
        <v>16</v>
      </c>
      <c r="D374" s="20" t="s">
        <v>14</v>
      </c>
      <c r="E374" s="21" t="str">
        <f t="shared" si="4"/>
        <v>NSE:AARTIDRUGS</v>
      </c>
    </row>
    <row r="375" ht="15.75" customHeight="1">
      <c r="A375" s="29">
        <v>45474.0</v>
      </c>
      <c r="B375" s="20" t="s">
        <v>360</v>
      </c>
      <c r="C375" s="20" t="s">
        <v>21</v>
      </c>
      <c r="D375" s="20" t="s">
        <v>14</v>
      </c>
      <c r="E375" s="21" t="str">
        <f t="shared" si="4"/>
        <v>NSE:MARKSANS</v>
      </c>
    </row>
    <row r="376" ht="15.75" customHeight="1">
      <c r="A376" s="29">
        <v>45474.0</v>
      </c>
      <c r="B376" s="20" t="s">
        <v>361</v>
      </c>
      <c r="C376" s="20" t="s">
        <v>16</v>
      </c>
      <c r="D376" s="20" t="s">
        <v>53</v>
      </c>
      <c r="E376" s="21" t="str">
        <f t="shared" si="4"/>
        <v>NSE:VARDHACRLC</v>
      </c>
    </row>
    <row r="377" ht="15.75" customHeight="1">
      <c r="A377" s="29">
        <v>45474.0</v>
      </c>
      <c r="B377" s="20" t="s">
        <v>51</v>
      </c>
      <c r="C377" s="20" t="s">
        <v>13</v>
      </c>
      <c r="D377" s="20" t="s">
        <v>19</v>
      </c>
      <c r="E377" s="21" t="str">
        <f t="shared" si="4"/>
        <v>NSE:COCHINSHIP</v>
      </c>
    </row>
    <row r="378" ht="15.75" customHeight="1">
      <c r="A378" s="29">
        <v>45474.0</v>
      </c>
      <c r="B378" s="20" t="s">
        <v>362</v>
      </c>
      <c r="C378" s="20" t="s">
        <v>13</v>
      </c>
      <c r="D378" s="20" t="s">
        <v>29</v>
      </c>
      <c r="E378" s="21" t="str">
        <f t="shared" si="4"/>
        <v>NSE:DIXON</v>
      </c>
    </row>
    <row r="379" ht="15.75" customHeight="1">
      <c r="A379" s="29">
        <v>45474.0</v>
      </c>
      <c r="B379" s="20" t="s">
        <v>363</v>
      </c>
      <c r="C379" s="20" t="s">
        <v>13</v>
      </c>
      <c r="D379" s="20" t="s">
        <v>14</v>
      </c>
      <c r="E379" s="21" t="str">
        <f t="shared" si="4"/>
        <v>NSE:AUROPHARMA</v>
      </c>
    </row>
    <row r="380" ht="15.75" customHeight="1">
      <c r="A380" s="29">
        <v>45474.0</v>
      </c>
      <c r="B380" s="20" t="s">
        <v>364</v>
      </c>
      <c r="C380" s="20" t="s">
        <v>13</v>
      </c>
      <c r="D380" s="20" t="s">
        <v>14</v>
      </c>
      <c r="E380" s="21" t="str">
        <f t="shared" si="4"/>
        <v>NSE:NATCOPHARM</v>
      </c>
    </row>
    <row r="381" ht="15.75" customHeight="1">
      <c r="A381" s="29">
        <v>45474.0</v>
      </c>
      <c r="B381" s="20" t="s">
        <v>365</v>
      </c>
      <c r="C381" s="20" t="s">
        <v>16</v>
      </c>
      <c r="D381" s="20" t="s">
        <v>31</v>
      </c>
      <c r="E381" s="21" t="str">
        <f t="shared" si="4"/>
        <v>NSE:MATRIMONY</v>
      </c>
    </row>
    <row r="382" ht="15.75" customHeight="1">
      <c r="A382" s="29">
        <v>45474.0</v>
      </c>
      <c r="B382" s="20" t="s">
        <v>366</v>
      </c>
      <c r="C382" s="20" t="s">
        <v>13</v>
      </c>
      <c r="D382" s="20" t="s">
        <v>27</v>
      </c>
      <c r="E382" s="21" t="str">
        <f t="shared" si="4"/>
        <v>NSE:JSWINFRA</v>
      </c>
    </row>
    <row r="383" ht="15.75" customHeight="1">
      <c r="A383" s="29">
        <v>45474.0</v>
      </c>
      <c r="B383" s="20" t="s">
        <v>367</v>
      </c>
      <c r="C383" s="20" t="s">
        <v>21</v>
      </c>
      <c r="D383" s="20" t="s">
        <v>17</v>
      </c>
      <c r="E383" s="21" t="str">
        <f t="shared" si="4"/>
        <v>NSE:ASKAUTOLTD</v>
      </c>
    </row>
    <row r="384" ht="15.75" customHeight="1">
      <c r="A384" s="29">
        <v>45474.0</v>
      </c>
      <c r="B384" s="20" t="s">
        <v>368</v>
      </c>
      <c r="C384" s="20" t="s">
        <v>13</v>
      </c>
      <c r="D384" s="20" t="s">
        <v>39</v>
      </c>
      <c r="E384" s="21" t="str">
        <f t="shared" si="4"/>
        <v>NSE:IREDA</v>
      </c>
    </row>
    <row r="385" ht="15.75" customHeight="1">
      <c r="A385" s="29">
        <v>45474.0</v>
      </c>
      <c r="B385" s="20" t="s">
        <v>369</v>
      </c>
      <c r="C385" s="20" t="s">
        <v>16</v>
      </c>
      <c r="D385" s="20" t="s">
        <v>39</v>
      </c>
      <c r="E385" s="21" t="str">
        <f t="shared" si="4"/>
        <v>NSE:FEDFINA</v>
      </c>
    </row>
    <row r="386" ht="15.75" customHeight="1">
      <c r="A386" s="29">
        <v>45474.0</v>
      </c>
      <c r="B386" s="20" t="s">
        <v>370</v>
      </c>
      <c r="C386" s="20" t="s">
        <v>16</v>
      </c>
      <c r="D386" s="20" t="s">
        <v>27</v>
      </c>
      <c r="E386" s="21" t="str">
        <f t="shared" si="4"/>
        <v>NSE:GANDHAR</v>
      </c>
    </row>
    <row r="387" ht="15.75" customHeight="1">
      <c r="A387" s="29">
        <v>45474.0</v>
      </c>
      <c r="B387" s="20" t="s">
        <v>371</v>
      </c>
      <c r="C387" s="20" t="s">
        <v>13</v>
      </c>
      <c r="D387" s="20" t="s">
        <v>55</v>
      </c>
      <c r="E387" s="21" t="str">
        <f t="shared" si="4"/>
        <v>NSE:ICICIGI</v>
      </c>
    </row>
    <row r="388" ht="15.75" customHeight="1">
      <c r="A388" s="29">
        <v>45474.0</v>
      </c>
      <c r="B388" s="20" t="s">
        <v>179</v>
      </c>
      <c r="C388" s="20" t="s">
        <v>21</v>
      </c>
      <c r="D388" s="20" t="s">
        <v>31</v>
      </c>
      <c r="E388" s="21" t="str">
        <f t="shared" si="4"/>
        <v>NSE:GODREJAGRO</v>
      </c>
    </row>
    <row r="389" ht="15.75" customHeight="1">
      <c r="A389" s="29">
        <v>45474.0</v>
      </c>
      <c r="B389" s="20" t="s">
        <v>372</v>
      </c>
      <c r="C389" s="20" t="s">
        <v>21</v>
      </c>
      <c r="D389" s="20" t="s">
        <v>373</v>
      </c>
      <c r="E389" s="21" t="str">
        <f t="shared" si="4"/>
        <v>NSE:IEX</v>
      </c>
    </row>
    <row r="390" ht="15.75" customHeight="1">
      <c r="A390" s="23">
        <v>45474.0</v>
      </c>
      <c r="B390" s="20" t="s">
        <v>180</v>
      </c>
      <c r="C390" s="20" t="s">
        <v>21</v>
      </c>
      <c r="D390" s="20" t="s">
        <v>27</v>
      </c>
      <c r="E390" s="21" t="str">
        <f t="shared" si="4"/>
        <v>NSE:HAPPYFORGE</v>
      </c>
    </row>
    <row r="391" ht="15.75" customHeight="1">
      <c r="A391" s="23">
        <v>45474.0</v>
      </c>
      <c r="B391" s="20" t="s">
        <v>374</v>
      </c>
      <c r="C391" s="20" t="s">
        <v>16</v>
      </c>
      <c r="D391" s="20" t="s">
        <v>29</v>
      </c>
      <c r="E391" s="21" t="str">
        <f t="shared" si="4"/>
        <v>NSE:MUFTI</v>
      </c>
    </row>
    <row r="392" ht="15.75" customHeight="1">
      <c r="A392" s="23">
        <v>45474.0</v>
      </c>
      <c r="B392" s="20" t="s">
        <v>375</v>
      </c>
      <c r="C392" s="20" t="s">
        <v>13</v>
      </c>
      <c r="D392" s="20" t="s">
        <v>55</v>
      </c>
      <c r="E392" s="21" t="str">
        <f t="shared" si="4"/>
        <v>NSE:NIACL</v>
      </c>
    </row>
    <row r="393" ht="15.75" customHeight="1">
      <c r="A393" s="23">
        <v>45474.0</v>
      </c>
      <c r="B393" s="20" t="s">
        <v>376</v>
      </c>
      <c r="C393" s="20" t="s">
        <v>16</v>
      </c>
      <c r="D393" s="20" t="s">
        <v>27</v>
      </c>
      <c r="E393" s="21" t="str">
        <f t="shared" si="4"/>
        <v>NSE:SUNCLAY</v>
      </c>
    </row>
    <row r="394" ht="15.75" customHeight="1">
      <c r="A394" s="23">
        <v>45474.0</v>
      </c>
      <c r="B394" s="20" t="s">
        <v>377</v>
      </c>
      <c r="C394" s="20" t="s">
        <v>16</v>
      </c>
      <c r="D394" s="20" t="s">
        <v>27</v>
      </c>
      <c r="E394" s="21" t="str">
        <f t="shared" si="4"/>
        <v>NSE:LAOPALA</v>
      </c>
    </row>
    <row r="395" ht="15.75" customHeight="1">
      <c r="A395" s="23">
        <v>45474.0</v>
      </c>
      <c r="B395" s="20" t="s">
        <v>378</v>
      </c>
      <c r="C395" s="20" t="s">
        <v>16</v>
      </c>
      <c r="D395" s="20" t="s">
        <v>37</v>
      </c>
      <c r="E395" s="21" t="str">
        <f t="shared" si="4"/>
        <v>NSE:ONEPOINT</v>
      </c>
    </row>
    <row r="396" ht="15.75" customHeight="1">
      <c r="A396" s="23">
        <v>45474.0</v>
      </c>
      <c r="B396" s="20" t="s">
        <v>379</v>
      </c>
      <c r="C396" s="20" t="s">
        <v>16</v>
      </c>
      <c r="D396" s="20" t="s">
        <v>53</v>
      </c>
      <c r="E396" s="21" t="str">
        <f t="shared" si="4"/>
        <v>NSE:FAZE3Q</v>
      </c>
    </row>
    <row r="397" ht="15.75" customHeight="1">
      <c r="A397" s="23">
        <v>45474.0</v>
      </c>
      <c r="B397" s="20" t="s">
        <v>380</v>
      </c>
      <c r="C397" s="20" t="s">
        <v>21</v>
      </c>
      <c r="D397" s="20" t="s">
        <v>27</v>
      </c>
      <c r="E397" s="21" t="str">
        <f t="shared" si="4"/>
        <v>NSE:PRIVISCL</v>
      </c>
    </row>
    <row r="398" ht="15.75" customHeight="1">
      <c r="A398" s="23">
        <v>45474.0</v>
      </c>
      <c r="B398" s="20" t="s">
        <v>251</v>
      </c>
      <c r="C398" s="20" t="s">
        <v>16</v>
      </c>
      <c r="D398" s="20" t="s">
        <v>31</v>
      </c>
      <c r="E398" s="21" t="str">
        <f t="shared" si="4"/>
        <v>NSE:SIGNPOST</v>
      </c>
    </row>
    <row r="399" ht="15.75" customHeight="1">
      <c r="A399" s="23">
        <v>45474.0</v>
      </c>
      <c r="B399" s="20" t="s">
        <v>181</v>
      </c>
      <c r="C399" s="20" t="s">
        <v>16</v>
      </c>
      <c r="D399" s="20" t="s">
        <v>55</v>
      </c>
      <c r="E399" s="21" t="str">
        <f t="shared" si="4"/>
        <v>NSE:RPTECH</v>
      </c>
    </row>
    <row r="400" ht="15.75" customHeight="1">
      <c r="A400" s="23">
        <v>45474.0</v>
      </c>
      <c r="B400" s="20" t="s">
        <v>381</v>
      </c>
      <c r="C400" s="20" t="s">
        <v>16</v>
      </c>
      <c r="D400" s="20" t="s">
        <v>17</v>
      </c>
      <c r="E400" s="21" t="str">
        <f t="shared" si="4"/>
        <v>NSE:SANDHAR</v>
      </c>
    </row>
    <row r="401" ht="15.75" customHeight="1">
      <c r="A401" s="23">
        <v>45474.0</v>
      </c>
      <c r="B401" s="20" t="s">
        <v>382</v>
      </c>
      <c r="C401" s="20" t="s">
        <v>21</v>
      </c>
      <c r="D401" s="20" t="s">
        <v>29</v>
      </c>
      <c r="E401" s="21" t="str">
        <f t="shared" si="4"/>
        <v>NSE:GENUSPOWER</v>
      </c>
    </row>
    <row r="402" ht="15.75" customHeight="1">
      <c r="A402" s="23">
        <v>45474.0</v>
      </c>
      <c r="B402" s="20" t="s">
        <v>383</v>
      </c>
      <c r="C402" s="20" t="s">
        <v>13</v>
      </c>
      <c r="D402" s="20" t="s">
        <v>29</v>
      </c>
      <c r="E402" s="21" t="str">
        <f t="shared" si="4"/>
        <v>NSE:RELAXO</v>
      </c>
    </row>
    <row r="403" ht="15.75" customHeight="1">
      <c r="A403" s="23">
        <v>45474.0</v>
      </c>
      <c r="B403" s="20" t="s">
        <v>384</v>
      </c>
      <c r="C403" s="20" t="s">
        <v>21</v>
      </c>
      <c r="D403" s="20" t="s">
        <v>17</v>
      </c>
      <c r="E403" s="21" t="str">
        <f t="shared" si="4"/>
        <v>NSE:VARROC</v>
      </c>
    </row>
    <row r="404" ht="15.75" customHeight="1">
      <c r="A404" s="23">
        <v>45474.0</v>
      </c>
      <c r="B404" s="20" t="s">
        <v>385</v>
      </c>
      <c r="C404" s="20" t="s">
        <v>16</v>
      </c>
      <c r="D404" s="20" t="s">
        <v>53</v>
      </c>
      <c r="E404" s="21" t="str">
        <f t="shared" si="4"/>
        <v>NSE:RAJRILTD</v>
      </c>
    </row>
    <row r="405" ht="15.75" customHeight="1">
      <c r="A405" s="30">
        <v>45474.0</v>
      </c>
      <c r="B405" s="20" t="s">
        <v>386</v>
      </c>
      <c r="C405" s="20" t="s">
        <v>21</v>
      </c>
      <c r="D405" s="20" t="s">
        <v>29</v>
      </c>
      <c r="E405" s="21" t="str">
        <f t="shared" si="4"/>
        <v>NSE:KRBL</v>
      </c>
    </row>
    <row r="406" ht="15.75" customHeight="1">
      <c r="A406" s="30">
        <v>45474.0</v>
      </c>
      <c r="B406" s="20" t="s">
        <v>387</v>
      </c>
      <c r="C406" s="20" t="s">
        <v>16</v>
      </c>
      <c r="D406" s="20" t="s">
        <v>14</v>
      </c>
      <c r="E406" s="21" t="str">
        <f t="shared" si="4"/>
        <v>NSE:MEDICAMEQ</v>
      </c>
    </row>
    <row r="407" ht="15.75" customHeight="1">
      <c r="A407" s="30">
        <v>45474.0</v>
      </c>
      <c r="B407" s="20" t="s">
        <v>388</v>
      </c>
      <c r="C407" s="20" t="s">
        <v>16</v>
      </c>
      <c r="D407" s="20" t="s">
        <v>27</v>
      </c>
      <c r="E407" s="21" t="str">
        <f t="shared" si="4"/>
        <v>NSE:ALICON</v>
      </c>
    </row>
    <row r="408" ht="15.75" customHeight="1">
      <c r="A408" s="30">
        <v>45474.0</v>
      </c>
      <c r="B408" s="20" t="s">
        <v>389</v>
      </c>
      <c r="C408" s="20" t="s">
        <v>21</v>
      </c>
      <c r="D408" s="20" t="s">
        <v>29</v>
      </c>
      <c r="E408" s="21" t="str">
        <f t="shared" si="4"/>
        <v>NSE:ZYDUSWELL</v>
      </c>
    </row>
    <row r="409" ht="15.75" customHeight="1">
      <c r="A409" s="30">
        <v>45474.0</v>
      </c>
      <c r="B409" s="20" t="s">
        <v>390</v>
      </c>
      <c r="C409" s="20" t="s">
        <v>16</v>
      </c>
      <c r="D409" s="20" t="s">
        <v>53</v>
      </c>
      <c r="E409" s="21" t="str">
        <f t="shared" si="4"/>
        <v>NSE:AXITA</v>
      </c>
    </row>
    <row r="410" ht="15.75" customHeight="1">
      <c r="A410" s="30">
        <v>45474.0</v>
      </c>
      <c r="B410" s="20" t="s">
        <v>391</v>
      </c>
      <c r="C410" s="20" t="s">
        <v>21</v>
      </c>
      <c r="D410" s="20" t="s">
        <v>29</v>
      </c>
      <c r="E410" s="21" t="str">
        <f t="shared" si="4"/>
        <v>NSE:SHAKTIPUMP</v>
      </c>
    </row>
    <row r="411" ht="15.75" customHeight="1">
      <c r="A411" s="30">
        <v>45474.0</v>
      </c>
      <c r="B411" s="20" t="s">
        <v>392</v>
      </c>
      <c r="C411" s="20" t="s">
        <v>13</v>
      </c>
      <c r="D411" s="20" t="s">
        <v>37</v>
      </c>
      <c r="E411" s="21" t="str">
        <f t="shared" si="4"/>
        <v>NSE:KPITTECH</v>
      </c>
    </row>
    <row r="412" ht="15.75" customHeight="1">
      <c r="A412" s="30">
        <v>45474.0</v>
      </c>
      <c r="B412" s="20" t="s">
        <v>393</v>
      </c>
      <c r="C412" s="20" t="s">
        <v>13</v>
      </c>
      <c r="D412" s="20" t="s">
        <v>29</v>
      </c>
      <c r="E412" s="21" t="str">
        <f t="shared" si="4"/>
        <v>NSE:HATSUN</v>
      </c>
    </row>
    <row r="413" ht="15.75" customHeight="1">
      <c r="A413" s="30">
        <v>45474.0</v>
      </c>
      <c r="B413" s="20" t="s">
        <v>394</v>
      </c>
      <c r="C413" s="20" t="s">
        <v>21</v>
      </c>
      <c r="D413" s="20" t="s">
        <v>14</v>
      </c>
      <c r="E413" s="21" t="str">
        <f t="shared" si="4"/>
        <v>NSE:FDC</v>
      </c>
    </row>
    <row r="414" ht="15.75" customHeight="1">
      <c r="A414" s="30">
        <v>45474.0</v>
      </c>
      <c r="B414" s="20" t="s">
        <v>395</v>
      </c>
      <c r="C414" s="20" t="s">
        <v>16</v>
      </c>
      <c r="D414" s="20" t="s">
        <v>55</v>
      </c>
      <c r="E414" s="21" t="str">
        <f t="shared" si="4"/>
        <v>NSE:DCI</v>
      </c>
    </row>
    <row r="415" ht="15.75" customHeight="1">
      <c r="A415" s="30">
        <v>45474.0</v>
      </c>
      <c r="B415" s="20" t="s">
        <v>396</v>
      </c>
      <c r="C415" s="20" t="s">
        <v>16</v>
      </c>
      <c r="D415" s="20" t="s">
        <v>53</v>
      </c>
      <c r="E415" s="21" t="str">
        <f t="shared" si="4"/>
        <v>NSE:AMBIKCO</v>
      </c>
    </row>
    <row r="416" ht="15.75" customHeight="1">
      <c r="A416" s="30">
        <v>45474.0</v>
      </c>
      <c r="B416" s="20" t="s">
        <v>397</v>
      </c>
      <c r="C416" s="20" t="s">
        <v>21</v>
      </c>
      <c r="D416" s="20" t="s">
        <v>39</v>
      </c>
      <c r="E416" s="21" t="str">
        <f t="shared" si="4"/>
        <v>NSE:UTIAMC</v>
      </c>
    </row>
    <row r="417" ht="15.75" customHeight="1">
      <c r="A417" s="30">
        <v>45474.0</v>
      </c>
      <c r="B417" s="20" t="s">
        <v>398</v>
      </c>
      <c r="C417" s="20" t="s">
        <v>21</v>
      </c>
      <c r="D417" s="20" t="s">
        <v>22</v>
      </c>
      <c r="E417" s="21" t="str">
        <f t="shared" si="4"/>
        <v>NSE:ENGINERSIN</v>
      </c>
    </row>
    <row r="418" ht="15.75" customHeight="1">
      <c r="A418" s="30">
        <v>45474.0</v>
      </c>
      <c r="B418" s="20" t="s">
        <v>399</v>
      </c>
      <c r="C418" s="20" t="s">
        <v>13</v>
      </c>
      <c r="D418" s="20" t="s">
        <v>14</v>
      </c>
      <c r="E418" s="21" t="str">
        <f t="shared" si="4"/>
        <v>NSE:GLENMARK</v>
      </c>
    </row>
    <row r="419" ht="15.75" customHeight="1">
      <c r="A419" s="23">
        <v>45474.0</v>
      </c>
      <c r="B419" s="20" t="s">
        <v>400</v>
      </c>
      <c r="C419" s="20" t="s">
        <v>21</v>
      </c>
      <c r="D419" s="20" t="s">
        <v>55</v>
      </c>
      <c r="E419" s="21" t="str">
        <f t="shared" si="4"/>
        <v>NSE:TCI</v>
      </c>
    </row>
    <row r="420" ht="15.75" customHeight="1">
      <c r="A420" s="23">
        <v>45474.0</v>
      </c>
      <c r="B420" s="20" t="s">
        <v>401</v>
      </c>
      <c r="C420" s="20" t="s">
        <v>16</v>
      </c>
      <c r="D420" s="20" t="s">
        <v>37</v>
      </c>
      <c r="E420" s="21" t="str">
        <f t="shared" si="4"/>
        <v>NSE:RAMCOSYS</v>
      </c>
    </row>
    <row r="421" ht="15.75" customHeight="1">
      <c r="A421" s="23">
        <v>45474.0</v>
      </c>
      <c r="B421" s="20" t="s">
        <v>402</v>
      </c>
      <c r="C421" s="20" t="s">
        <v>21</v>
      </c>
      <c r="D421" s="20" t="s">
        <v>27</v>
      </c>
      <c r="E421" s="21" t="str">
        <f t="shared" si="4"/>
        <v>NSE:STLTECH</v>
      </c>
    </row>
    <row r="422" ht="15.75" customHeight="1">
      <c r="A422" s="23">
        <v>45474.0</v>
      </c>
      <c r="B422" s="20" t="s">
        <v>403</v>
      </c>
      <c r="C422" s="20" t="s">
        <v>16</v>
      </c>
      <c r="D422" s="20" t="s">
        <v>37</v>
      </c>
      <c r="E422" s="21" t="str">
        <f t="shared" si="4"/>
        <v>NSE:MPSLTD</v>
      </c>
    </row>
    <row r="423" ht="15.75" customHeight="1">
      <c r="A423" s="23">
        <v>45474.0</v>
      </c>
      <c r="B423" s="20" t="s">
        <v>404</v>
      </c>
      <c r="C423" s="20" t="s">
        <v>16</v>
      </c>
      <c r="D423" s="20" t="s">
        <v>50</v>
      </c>
      <c r="E423" s="21" t="str">
        <f t="shared" si="4"/>
        <v>NSE:TVTODAY</v>
      </c>
    </row>
    <row r="424" ht="15.75" customHeight="1">
      <c r="A424" s="23">
        <v>45474.0</v>
      </c>
      <c r="B424" s="20" t="s">
        <v>405</v>
      </c>
      <c r="C424" s="20" t="s">
        <v>13</v>
      </c>
      <c r="D424" s="20" t="s">
        <v>17</v>
      </c>
      <c r="E424" s="21" t="str">
        <f t="shared" si="4"/>
        <v>NSE:UNOMINDA</v>
      </c>
    </row>
    <row r="425" ht="15.75" customHeight="1">
      <c r="A425" s="23">
        <v>45474.0</v>
      </c>
      <c r="B425" s="20" t="s">
        <v>406</v>
      </c>
      <c r="C425" s="20" t="s">
        <v>16</v>
      </c>
      <c r="D425" s="20" t="s">
        <v>14</v>
      </c>
      <c r="E425" s="21" t="str">
        <f t="shared" si="4"/>
        <v>NSE:INDOCO</v>
      </c>
    </row>
    <row r="426" ht="15.75" customHeight="1">
      <c r="A426" s="23">
        <v>45474.0</v>
      </c>
      <c r="B426" s="20" t="s">
        <v>407</v>
      </c>
      <c r="C426" s="20" t="s">
        <v>21</v>
      </c>
      <c r="D426" s="20" t="s">
        <v>29</v>
      </c>
      <c r="E426" s="21" t="str">
        <f t="shared" si="4"/>
        <v>NSE:SHOPERSTOP</v>
      </c>
    </row>
    <row r="427" ht="15.75" customHeight="1">
      <c r="A427" s="23">
        <v>45474.0</v>
      </c>
      <c r="B427" s="20" t="s">
        <v>408</v>
      </c>
      <c r="C427" s="20" t="s">
        <v>16</v>
      </c>
      <c r="D427" s="20" t="s">
        <v>17</v>
      </c>
      <c r="E427" s="21" t="str">
        <f t="shared" si="4"/>
        <v>NSE:RML</v>
      </c>
    </row>
    <row r="428" ht="15.75" customHeight="1">
      <c r="A428" s="23">
        <v>45474.0</v>
      </c>
      <c r="B428" s="20" t="s">
        <v>409</v>
      </c>
      <c r="C428" s="20" t="s">
        <v>16</v>
      </c>
      <c r="D428" s="20" t="s">
        <v>55</v>
      </c>
      <c r="E428" s="21" t="str">
        <f t="shared" si="4"/>
        <v>NSE:EKC</v>
      </c>
    </row>
    <row r="429" ht="15.75" customHeight="1">
      <c r="A429" s="23">
        <v>45474.0</v>
      </c>
      <c r="B429" s="20" t="s">
        <v>225</v>
      </c>
      <c r="C429" s="20" t="s">
        <v>21</v>
      </c>
      <c r="D429" s="20" t="s">
        <v>50</v>
      </c>
      <c r="E429" s="21" t="str">
        <f t="shared" si="4"/>
        <v>NSE:PVRINOX</v>
      </c>
    </row>
    <row r="430" ht="15.75" customHeight="1">
      <c r="A430" s="23">
        <v>45474.0</v>
      </c>
      <c r="B430" s="20" t="s">
        <v>410</v>
      </c>
      <c r="C430" s="20" t="s">
        <v>16</v>
      </c>
      <c r="D430" s="20" t="s">
        <v>53</v>
      </c>
      <c r="E430" s="21" t="str">
        <f t="shared" si="4"/>
        <v>NSE:NITINSPIN</v>
      </c>
    </row>
    <row r="431" ht="15.75" customHeight="1">
      <c r="A431" s="23">
        <v>45474.0</v>
      </c>
      <c r="B431" s="20" t="s">
        <v>411</v>
      </c>
      <c r="C431" s="20" t="s">
        <v>13</v>
      </c>
      <c r="D431" s="20" t="s">
        <v>19</v>
      </c>
      <c r="E431" s="21" t="str">
        <f t="shared" si="4"/>
        <v>NSE:SOLARINDS</v>
      </c>
    </row>
    <row r="432" ht="15.75" customHeight="1">
      <c r="A432" s="23">
        <v>45474.0</v>
      </c>
      <c r="B432" s="20" t="s">
        <v>412</v>
      </c>
      <c r="C432" s="20" t="s">
        <v>13</v>
      </c>
      <c r="D432" s="20" t="s">
        <v>50</v>
      </c>
      <c r="E432" s="21" t="str">
        <f t="shared" si="4"/>
        <v>NSE:SUNTV</v>
      </c>
    </row>
    <row r="433" ht="15.75" customHeight="1">
      <c r="A433" s="23">
        <v>45474.0</v>
      </c>
      <c r="B433" s="20" t="s">
        <v>413</v>
      </c>
      <c r="C433" s="20" t="s">
        <v>16</v>
      </c>
      <c r="D433" s="20" t="s">
        <v>50</v>
      </c>
      <c r="E433" s="21" t="str">
        <f t="shared" si="4"/>
        <v>NSE:PFOCUS</v>
      </c>
    </row>
    <row r="434" ht="15.75" customHeight="1">
      <c r="A434" s="23">
        <v>45474.0</v>
      </c>
      <c r="B434" s="20" t="s">
        <v>414</v>
      </c>
      <c r="C434" s="20" t="s">
        <v>13</v>
      </c>
      <c r="D434" s="20" t="s">
        <v>27</v>
      </c>
      <c r="E434" s="21" t="str">
        <f t="shared" si="4"/>
        <v>NSE:CIEINDIA</v>
      </c>
    </row>
    <row r="435" ht="15.75" customHeight="1">
      <c r="A435" s="23">
        <v>45474.0</v>
      </c>
      <c r="B435" s="20" t="s">
        <v>415</v>
      </c>
      <c r="C435" s="20" t="s">
        <v>21</v>
      </c>
      <c r="D435" s="20" t="s">
        <v>29</v>
      </c>
      <c r="E435" s="21" t="str">
        <f t="shared" si="4"/>
        <v>NSE:VOLTAMP</v>
      </c>
    </row>
    <row r="436" ht="15.75" customHeight="1">
      <c r="A436" s="23">
        <v>45474.0</v>
      </c>
      <c r="B436" s="20" t="s">
        <v>416</v>
      </c>
      <c r="C436" s="20" t="s">
        <v>21</v>
      </c>
      <c r="D436" s="20" t="s">
        <v>37</v>
      </c>
      <c r="E436" s="21" t="str">
        <f t="shared" si="4"/>
        <v>NSE:TANLA</v>
      </c>
    </row>
    <row r="437" ht="15.75" customHeight="1">
      <c r="A437" s="23">
        <v>45474.0</v>
      </c>
      <c r="B437" s="20" t="s">
        <v>417</v>
      </c>
      <c r="C437" s="20" t="s">
        <v>16</v>
      </c>
      <c r="D437" s="20" t="s">
        <v>14</v>
      </c>
      <c r="E437" s="21" t="str">
        <f t="shared" si="4"/>
        <v>NSE:SMSPHARMA</v>
      </c>
    </row>
    <row r="438" ht="15.75" customHeight="1">
      <c r="A438" s="23">
        <v>45474.0</v>
      </c>
      <c r="B438" s="20" t="s">
        <v>418</v>
      </c>
      <c r="C438" s="20" t="s">
        <v>16</v>
      </c>
      <c r="D438" s="20" t="s">
        <v>55</v>
      </c>
      <c r="E438" s="21" t="str">
        <f t="shared" si="4"/>
        <v>NSE:REFEX</v>
      </c>
    </row>
    <row r="439" ht="15.75" customHeight="1">
      <c r="A439" s="23">
        <v>45474.0</v>
      </c>
      <c r="B439" s="20" t="s">
        <v>419</v>
      </c>
      <c r="C439" s="20" t="s">
        <v>21</v>
      </c>
      <c r="D439" s="20" t="s">
        <v>39</v>
      </c>
      <c r="E439" s="21" t="str">
        <f t="shared" si="4"/>
        <v>NSE:RELIGARE</v>
      </c>
    </row>
    <row r="440" ht="15.75" customHeight="1">
      <c r="A440" s="23">
        <v>45474.0</v>
      </c>
      <c r="B440" s="20" t="s">
        <v>70</v>
      </c>
      <c r="C440" s="20" t="s">
        <v>21</v>
      </c>
      <c r="D440" s="20" t="s">
        <v>22</v>
      </c>
      <c r="E440" s="21" t="str">
        <f t="shared" si="4"/>
        <v>NSE:JKIL</v>
      </c>
    </row>
    <row r="441" ht="15.75" customHeight="1">
      <c r="A441" s="23">
        <v>45474.0</v>
      </c>
      <c r="B441" s="20" t="s">
        <v>420</v>
      </c>
      <c r="C441" s="20" t="s">
        <v>16</v>
      </c>
      <c r="D441" s="20" t="s">
        <v>39</v>
      </c>
      <c r="E441" s="21" t="str">
        <f t="shared" si="4"/>
        <v>NSE:NAHARCAP</v>
      </c>
    </row>
    <row r="442" ht="15.75" customHeight="1">
      <c r="A442" s="23">
        <v>45474.0</v>
      </c>
      <c r="B442" s="20" t="s">
        <v>189</v>
      </c>
      <c r="C442" s="20" t="s">
        <v>16</v>
      </c>
      <c r="D442" s="20" t="s">
        <v>39</v>
      </c>
      <c r="E442" s="21" t="str">
        <f t="shared" si="4"/>
        <v>NSE:DHANI</v>
      </c>
    </row>
    <row r="443" ht="15.75" customHeight="1">
      <c r="A443" s="23">
        <v>45474.0</v>
      </c>
      <c r="B443" s="20" t="s">
        <v>148</v>
      </c>
      <c r="C443" s="20" t="s">
        <v>16</v>
      </c>
      <c r="D443" s="20" t="s">
        <v>17</v>
      </c>
      <c r="E443" s="21" t="str">
        <f t="shared" si="4"/>
        <v>NSE:RBL</v>
      </c>
    </row>
    <row r="444" ht="15.75" customHeight="1">
      <c r="A444" s="23">
        <v>45474.0</v>
      </c>
      <c r="B444" s="20" t="s">
        <v>421</v>
      </c>
      <c r="C444" s="20" t="s">
        <v>16</v>
      </c>
      <c r="D444" s="20" t="s">
        <v>37</v>
      </c>
      <c r="E444" s="21" t="str">
        <f t="shared" si="4"/>
        <v>NSE:EXPLEOSOL</v>
      </c>
    </row>
    <row r="445" ht="15.75" customHeight="1">
      <c r="A445" s="23">
        <v>45474.0</v>
      </c>
      <c r="B445" s="20" t="s">
        <v>422</v>
      </c>
      <c r="C445" s="20" t="s">
        <v>16</v>
      </c>
      <c r="D445" s="20" t="s">
        <v>27</v>
      </c>
      <c r="E445" s="21" t="str">
        <f t="shared" si="4"/>
        <v>NSE:ASTEC</v>
      </c>
    </row>
    <row r="446" ht="15.75" customHeight="1">
      <c r="A446" s="23">
        <v>45474.0</v>
      </c>
      <c r="B446" s="20" t="s">
        <v>423</v>
      </c>
      <c r="C446" s="20" t="s">
        <v>16</v>
      </c>
      <c r="D446" s="20" t="s">
        <v>55</v>
      </c>
      <c r="E446" s="21" t="str">
        <f t="shared" si="4"/>
        <v>NSE:DLINKINDIA</v>
      </c>
    </row>
    <row r="447" ht="15.75" customHeight="1">
      <c r="A447" s="23">
        <v>45474.0</v>
      </c>
      <c r="B447" s="20" t="s">
        <v>150</v>
      </c>
      <c r="C447" s="20" t="s">
        <v>13</v>
      </c>
      <c r="D447" s="20" t="s">
        <v>107</v>
      </c>
      <c r="E447" s="21" t="str">
        <f t="shared" si="4"/>
        <v>NSE:JUBLFOOD</v>
      </c>
    </row>
    <row r="448" ht="15.75" customHeight="1">
      <c r="A448" s="23">
        <v>45474.0</v>
      </c>
      <c r="B448" s="20" t="s">
        <v>424</v>
      </c>
      <c r="C448" s="20" t="s">
        <v>16</v>
      </c>
      <c r="D448" s="20" t="s">
        <v>29</v>
      </c>
      <c r="E448" s="21" t="str">
        <f t="shared" si="4"/>
        <v>NSE:BAJAJCON</v>
      </c>
    </row>
    <row r="449" ht="15.75" customHeight="1">
      <c r="A449" s="23">
        <v>45474.0</v>
      </c>
      <c r="B449" s="20" t="s">
        <v>425</v>
      </c>
      <c r="C449" s="20" t="s">
        <v>21</v>
      </c>
      <c r="D449" s="20" t="s">
        <v>22</v>
      </c>
      <c r="E449" s="21" t="str">
        <f t="shared" si="4"/>
        <v>NSE:WABAG</v>
      </c>
    </row>
    <row r="450" ht="15.75" customHeight="1">
      <c r="A450" s="23">
        <v>45474.0</v>
      </c>
      <c r="B450" s="20" t="s">
        <v>426</v>
      </c>
      <c r="C450" s="20" t="s">
        <v>16</v>
      </c>
      <c r="D450" s="20" t="s">
        <v>39</v>
      </c>
      <c r="E450" s="21" t="str">
        <f t="shared" si="4"/>
        <v>NSE:BFINVEST</v>
      </c>
    </row>
    <row r="451" ht="15.75" customHeight="1">
      <c r="A451" s="23">
        <v>45474.0</v>
      </c>
      <c r="B451" s="20" t="s">
        <v>427</v>
      </c>
      <c r="C451" s="20" t="s">
        <v>16</v>
      </c>
      <c r="D451" s="20" t="s">
        <v>39</v>
      </c>
      <c r="E451" s="21" t="str">
        <f t="shared" si="4"/>
        <v>NSE:SUMMITSEC</v>
      </c>
    </row>
    <row r="452" ht="15.75" customHeight="1">
      <c r="A452" s="23">
        <v>45474.0</v>
      </c>
      <c r="B452" s="20" t="s">
        <v>428</v>
      </c>
      <c r="C452" s="20" t="s">
        <v>21</v>
      </c>
      <c r="D452" s="20" t="s">
        <v>19</v>
      </c>
      <c r="E452" s="21" t="str">
        <f t="shared" si="4"/>
        <v>NSE:ZENTEC</v>
      </c>
    </row>
    <row r="453" ht="15.75" customHeight="1">
      <c r="A453" s="23">
        <v>45474.0</v>
      </c>
      <c r="B453" s="20" t="s">
        <v>429</v>
      </c>
      <c r="C453" s="20" t="s">
        <v>16</v>
      </c>
      <c r="D453" s="20" t="s">
        <v>39</v>
      </c>
      <c r="E453" s="21" t="str">
        <f t="shared" si="4"/>
        <v>NSE:PFS</v>
      </c>
    </row>
    <row r="454" ht="15.75" customHeight="1">
      <c r="A454" s="23">
        <v>45474.0</v>
      </c>
      <c r="B454" s="20" t="s">
        <v>430</v>
      </c>
      <c r="C454" s="20" t="s">
        <v>13</v>
      </c>
      <c r="D454" s="20" t="s">
        <v>14</v>
      </c>
      <c r="E454" s="21" t="str">
        <f t="shared" si="4"/>
        <v>NSE:APLLTD</v>
      </c>
    </row>
    <row r="455" ht="15.75" customHeight="1">
      <c r="A455" s="23">
        <v>45474.0</v>
      </c>
      <c r="B455" s="20" t="s">
        <v>153</v>
      </c>
      <c r="C455" s="20" t="s">
        <v>16</v>
      </c>
      <c r="D455" s="20" t="s">
        <v>22</v>
      </c>
      <c r="E455" s="21" t="str">
        <f t="shared" si="4"/>
        <v>NSE:GPTINFRA</v>
      </c>
    </row>
    <row r="456" ht="15.75" customHeight="1">
      <c r="A456" s="23">
        <v>45474.0</v>
      </c>
      <c r="B456" s="20" t="s">
        <v>431</v>
      </c>
      <c r="C456" s="20" t="s">
        <v>16</v>
      </c>
      <c r="D456" s="20" t="s">
        <v>27</v>
      </c>
      <c r="E456" s="21" t="str">
        <f t="shared" si="4"/>
        <v>NSE:FAIRCHEMOR</v>
      </c>
    </row>
    <row r="457" ht="15.75" customHeight="1">
      <c r="A457" s="23">
        <v>45474.0</v>
      </c>
      <c r="B457" s="20" t="s">
        <v>154</v>
      </c>
      <c r="C457" s="20" t="s">
        <v>21</v>
      </c>
      <c r="D457" s="20" t="s">
        <v>27</v>
      </c>
      <c r="E457" s="21" t="str">
        <f t="shared" si="4"/>
        <v>NSE:INDIGOPNTS</v>
      </c>
    </row>
    <row r="458" ht="15.75" customHeight="1">
      <c r="A458" s="23">
        <v>45474.0</v>
      </c>
      <c r="B458" s="20" t="s">
        <v>432</v>
      </c>
      <c r="C458" s="20" t="s">
        <v>21</v>
      </c>
      <c r="D458" s="20" t="s">
        <v>39</v>
      </c>
      <c r="E458" s="21" t="str">
        <f t="shared" si="4"/>
        <v>NSE:HOMEFIRST</v>
      </c>
    </row>
    <row r="459" ht="15.75" customHeight="1">
      <c r="A459" s="30">
        <v>45474.0</v>
      </c>
      <c r="B459" s="20" t="s">
        <v>433</v>
      </c>
      <c r="C459" s="20" t="s">
        <v>16</v>
      </c>
      <c r="D459" s="20" t="s">
        <v>29</v>
      </c>
      <c r="E459" s="21" t="str">
        <f t="shared" si="4"/>
        <v>NSE:STOVEKRAFT</v>
      </c>
    </row>
    <row r="460" ht="15.75" customHeight="1">
      <c r="A460" s="30">
        <v>45474.0</v>
      </c>
      <c r="B460" s="20" t="s">
        <v>191</v>
      </c>
      <c r="C460" s="20" t="s">
        <v>21</v>
      </c>
      <c r="D460" s="20" t="s">
        <v>29</v>
      </c>
      <c r="E460" s="21" t="str">
        <f t="shared" si="4"/>
        <v>NSE:VMART</v>
      </c>
    </row>
    <row r="461" ht="15.75" customHeight="1">
      <c r="A461" s="30">
        <v>45474.0</v>
      </c>
      <c r="B461" s="20" t="s">
        <v>434</v>
      </c>
      <c r="C461" s="20" t="s">
        <v>21</v>
      </c>
      <c r="D461" s="20" t="s">
        <v>27</v>
      </c>
      <c r="E461" s="21" t="str">
        <f t="shared" si="4"/>
        <v>NSE:LXCHEM</v>
      </c>
    </row>
    <row r="462" ht="15.75" customHeight="1">
      <c r="A462" s="30">
        <v>45474.0</v>
      </c>
      <c r="B462" s="20" t="s">
        <v>435</v>
      </c>
      <c r="C462" s="20" t="s">
        <v>13</v>
      </c>
      <c r="D462" s="20" t="s">
        <v>25</v>
      </c>
      <c r="E462" s="21" t="str">
        <f t="shared" si="4"/>
        <v>NSE:SHYAMMETL</v>
      </c>
    </row>
    <row r="463" ht="15.75" customHeight="1">
      <c r="A463" s="30">
        <v>45474.0</v>
      </c>
      <c r="B463" s="20" t="s">
        <v>436</v>
      </c>
      <c r="C463" s="20" t="s">
        <v>21</v>
      </c>
      <c r="D463" s="20" t="s">
        <v>29</v>
      </c>
      <c r="E463" s="21" t="str">
        <f t="shared" si="4"/>
        <v>NSE:DODLA</v>
      </c>
    </row>
    <row r="464" ht="15.75" customHeight="1">
      <c r="A464" s="30">
        <v>45474.0</v>
      </c>
      <c r="B464" s="20" t="s">
        <v>159</v>
      </c>
      <c r="C464" s="20" t="s">
        <v>16</v>
      </c>
      <c r="D464" s="20" t="s">
        <v>55</v>
      </c>
      <c r="E464" s="21" t="str">
        <f t="shared" si="4"/>
        <v>NSE:RACE</v>
      </c>
    </row>
    <row r="465" ht="15.75" customHeight="1">
      <c r="A465" s="30">
        <v>45474.0</v>
      </c>
      <c r="B465" s="20" t="s">
        <v>437</v>
      </c>
      <c r="C465" s="20" t="s">
        <v>16</v>
      </c>
      <c r="D465" s="20" t="s">
        <v>14</v>
      </c>
      <c r="E465" s="21" t="str">
        <f t="shared" si="4"/>
        <v>NSE:WINDLAS</v>
      </c>
    </row>
    <row r="466" ht="15.75" customHeight="1">
      <c r="A466" s="30">
        <v>45474.0</v>
      </c>
      <c r="B466" s="20" t="s">
        <v>438</v>
      </c>
      <c r="C466" s="20" t="s">
        <v>21</v>
      </c>
      <c r="D466" s="20" t="s">
        <v>27</v>
      </c>
      <c r="E466" s="21" t="str">
        <f t="shared" si="4"/>
        <v>NSE:EPIGRAL</v>
      </c>
    </row>
    <row r="467" ht="15.75" customHeight="1">
      <c r="A467" s="30">
        <v>45474.0</v>
      </c>
      <c r="B467" s="20" t="s">
        <v>439</v>
      </c>
      <c r="C467" s="20" t="s">
        <v>21</v>
      </c>
      <c r="D467" s="20" t="s">
        <v>27</v>
      </c>
      <c r="E467" s="21" t="str">
        <f t="shared" si="4"/>
        <v>NSE:SHARDACROP</v>
      </c>
    </row>
    <row r="468" ht="15.75" customHeight="1">
      <c r="A468" s="30">
        <v>45474.0</v>
      </c>
      <c r="B468" s="20" t="s">
        <v>440</v>
      </c>
      <c r="C468" s="20" t="s">
        <v>16</v>
      </c>
      <c r="D468" s="20" t="s">
        <v>31</v>
      </c>
      <c r="E468" s="21" t="str">
        <f t="shared" si="4"/>
        <v>NSE:TARSONS</v>
      </c>
    </row>
    <row r="469" ht="15.75" customHeight="1">
      <c r="A469" s="30">
        <v>45474.0</v>
      </c>
      <c r="B469" s="20" t="s">
        <v>441</v>
      </c>
      <c r="C469" s="20" t="s">
        <v>21</v>
      </c>
      <c r="D469" s="20" t="s">
        <v>53</v>
      </c>
      <c r="E469" s="21" t="str">
        <f t="shared" si="4"/>
        <v>NSE:GOCOLORS</v>
      </c>
    </row>
    <row r="470" ht="15.75" customHeight="1">
      <c r="A470" s="31">
        <v>45474.0</v>
      </c>
      <c r="B470" s="20" t="s">
        <v>442</v>
      </c>
      <c r="C470" s="20" t="s">
        <v>21</v>
      </c>
      <c r="D470" s="20" t="s">
        <v>19</v>
      </c>
      <c r="E470" s="21" t="str">
        <f t="shared" si="4"/>
        <v>NSE:DATAPATTNS</v>
      </c>
    </row>
    <row r="471" ht="15.75" customHeight="1">
      <c r="A471" s="31">
        <v>45474.0</v>
      </c>
      <c r="B471" s="20" t="s">
        <v>443</v>
      </c>
      <c r="C471" s="20" t="s">
        <v>21</v>
      </c>
      <c r="D471" s="20" t="s">
        <v>17</v>
      </c>
      <c r="E471" s="21" t="str">
        <f t="shared" si="4"/>
        <v>NSE:MINDACORP</v>
      </c>
    </row>
    <row r="472" ht="15.75" customHeight="1">
      <c r="A472" s="31">
        <v>45474.0</v>
      </c>
      <c r="B472" s="20" t="s">
        <v>444</v>
      </c>
      <c r="C472" s="20" t="s">
        <v>13</v>
      </c>
      <c r="D472" s="20" t="s">
        <v>14</v>
      </c>
      <c r="E472" s="21" t="str">
        <f t="shared" si="4"/>
        <v>NSE:SYNGENE</v>
      </c>
    </row>
    <row r="473" ht="15.75" customHeight="1">
      <c r="A473" s="31">
        <v>45474.0</v>
      </c>
      <c r="B473" s="20" t="s">
        <v>445</v>
      </c>
      <c r="C473" s="20" t="s">
        <v>16</v>
      </c>
      <c r="D473" s="20" t="s">
        <v>29</v>
      </c>
      <c r="E473" s="21" t="str">
        <f t="shared" si="4"/>
        <v>NSE:GOKULAGRO</v>
      </c>
    </row>
    <row r="474" ht="15.75" customHeight="1">
      <c r="A474" s="31">
        <v>45474.0</v>
      </c>
      <c r="B474" s="20" t="s">
        <v>446</v>
      </c>
      <c r="C474" s="20" t="s">
        <v>16</v>
      </c>
      <c r="D474" s="20" t="s">
        <v>14</v>
      </c>
      <c r="E474" s="21" t="str">
        <f t="shared" si="4"/>
        <v>NSE:BAJAJHCARE</v>
      </c>
    </row>
    <row r="475" ht="15.75" customHeight="1">
      <c r="A475" s="31">
        <v>45474.0</v>
      </c>
      <c r="B475" s="20" t="s">
        <v>447</v>
      </c>
      <c r="C475" s="20" t="s">
        <v>21</v>
      </c>
      <c r="D475" s="20" t="s">
        <v>31</v>
      </c>
      <c r="E475" s="21" t="str">
        <f t="shared" si="4"/>
        <v>NSE:QUESS</v>
      </c>
    </row>
    <row r="476" ht="15.75" customHeight="1">
      <c r="A476" s="31">
        <v>45474.0</v>
      </c>
      <c r="B476" s="20" t="s">
        <v>448</v>
      </c>
      <c r="C476" s="20" t="s">
        <v>16</v>
      </c>
      <c r="D476" s="20" t="s">
        <v>39</v>
      </c>
      <c r="E476" s="21" t="str">
        <f t="shared" si="4"/>
        <v>NSE:MAXIND</v>
      </c>
    </row>
    <row r="477" ht="15.75" customHeight="1">
      <c r="A477" s="31">
        <v>45474.0</v>
      </c>
      <c r="B477" s="20" t="s">
        <v>449</v>
      </c>
      <c r="C477" s="20" t="s">
        <v>16</v>
      </c>
      <c r="D477" s="20" t="s">
        <v>17</v>
      </c>
      <c r="E477" s="21" t="str">
        <f t="shared" si="4"/>
        <v>NSE:GNA</v>
      </c>
    </row>
    <row r="478" ht="15.75" customHeight="1">
      <c r="A478" s="31">
        <v>45474.0</v>
      </c>
      <c r="B478" s="20" t="s">
        <v>450</v>
      </c>
      <c r="C478" s="20" t="s">
        <v>13</v>
      </c>
      <c r="D478" s="20" t="s">
        <v>55</v>
      </c>
      <c r="E478" s="21" t="str">
        <f t="shared" si="4"/>
        <v>NSE:ICICIPRULI</v>
      </c>
    </row>
    <row r="479" ht="15.75" customHeight="1">
      <c r="A479" s="31">
        <v>45475.0</v>
      </c>
      <c r="B479" s="20" t="s">
        <v>451</v>
      </c>
      <c r="C479" s="20" t="s">
        <v>21</v>
      </c>
      <c r="D479" s="20" t="s">
        <v>29</v>
      </c>
      <c r="E479" s="21" t="str">
        <f t="shared" si="4"/>
        <v>NSE:BAJAJHIND</v>
      </c>
    </row>
    <row r="480" ht="15.75" customHeight="1">
      <c r="A480" s="31">
        <v>45475.0</v>
      </c>
      <c r="B480" s="20" t="s">
        <v>452</v>
      </c>
      <c r="C480" s="20" t="s">
        <v>16</v>
      </c>
      <c r="D480" s="20" t="s">
        <v>17</v>
      </c>
      <c r="E480" s="21" t="str">
        <f t="shared" si="4"/>
        <v>NSE:IMPAL</v>
      </c>
    </row>
    <row r="481" ht="15.75" customHeight="1">
      <c r="A481" s="31">
        <v>45475.0</v>
      </c>
      <c r="B481" s="20" t="s">
        <v>453</v>
      </c>
      <c r="C481" s="20" t="s">
        <v>16</v>
      </c>
      <c r="D481" s="20" t="s">
        <v>17</v>
      </c>
      <c r="E481" s="21" t="str">
        <f t="shared" si="4"/>
        <v>NSE:WHEELS</v>
      </c>
    </row>
    <row r="482" ht="15.75" customHeight="1">
      <c r="A482" s="31">
        <v>45475.0</v>
      </c>
      <c r="B482" s="20" t="s">
        <v>454</v>
      </c>
      <c r="C482" s="20" t="s">
        <v>16</v>
      </c>
      <c r="D482" s="20" t="s">
        <v>55</v>
      </c>
      <c r="E482" s="21" t="str">
        <f t="shared" si="4"/>
        <v>NSE:UFLEX</v>
      </c>
    </row>
    <row r="483" ht="15.75" customHeight="1">
      <c r="A483" s="31">
        <v>45475.0</v>
      </c>
      <c r="B483" s="20" t="s">
        <v>455</v>
      </c>
      <c r="C483" s="20" t="s">
        <v>16</v>
      </c>
      <c r="D483" s="20" t="s">
        <v>27</v>
      </c>
      <c r="E483" s="21" t="str">
        <f t="shared" si="4"/>
        <v>NSE:IGPL</v>
      </c>
    </row>
    <row r="484" ht="15.75" customHeight="1">
      <c r="A484" s="31">
        <v>45475.0</v>
      </c>
      <c r="B484" s="20" t="s">
        <v>456</v>
      </c>
      <c r="C484" s="20" t="s">
        <v>16</v>
      </c>
      <c r="D484" s="20" t="s">
        <v>29</v>
      </c>
      <c r="E484" s="21" t="str">
        <f t="shared" si="4"/>
        <v>NSE:ATFL</v>
      </c>
    </row>
    <row r="485" ht="15.75" customHeight="1">
      <c r="A485" s="31">
        <v>45475.0</v>
      </c>
      <c r="B485" s="20" t="s">
        <v>457</v>
      </c>
      <c r="C485" s="20" t="s">
        <v>21</v>
      </c>
      <c r="D485" s="20" t="s">
        <v>29</v>
      </c>
      <c r="E485" s="21" t="str">
        <f t="shared" si="4"/>
        <v>NSE:KIRLOSBROS</v>
      </c>
    </row>
    <row r="486" ht="15.75" customHeight="1">
      <c r="A486" s="31">
        <v>45475.0</v>
      </c>
      <c r="B486" s="20" t="s">
        <v>458</v>
      </c>
      <c r="C486" s="20" t="s">
        <v>21</v>
      </c>
      <c r="D486" s="20" t="s">
        <v>31</v>
      </c>
      <c r="E486" s="21" t="str">
        <f t="shared" si="4"/>
        <v>NSE:RAIN</v>
      </c>
    </row>
    <row r="487" ht="15.75" customHeight="1">
      <c r="A487" s="31">
        <v>45475.0</v>
      </c>
      <c r="B487" s="20" t="s">
        <v>459</v>
      </c>
      <c r="C487" s="20" t="s">
        <v>16</v>
      </c>
      <c r="D487" s="20" t="s">
        <v>22</v>
      </c>
      <c r="E487" s="21" t="str">
        <f t="shared" si="4"/>
        <v>NSE:SPMLINFRA</v>
      </c>
    </row>
    <row r="488" ht="15.75" customHeight="1">
      <c r="A488" s="31">
        <v>45475.0</v>
      </c>
      <c r="B488" s="20" t="s">
        <v>460</v>
      </c>
      <c r="C488" s="20" t="s">
        <v>13</v>
      </c>
      <c r="D488" s="20" t="s">
        <v>17</v>
      </c>
      <c r="E488" s="21" t="str">
        <f t="shared" si="4"/>
        <v>NSE:SUNDRMFAST</v>
      </c>
    </row>
    <row r="489" ht="15.75" customHeight="1">
      <c r="A489" s="31">
        <v>45475.0</v>
      </c>
      <c r="B489" s="20" t="s">
        <v>461</v>
      </c>
      <c r="C489" s="20" t="s">
        <v>16</v>
      </c>
      <c r="D489" s="20" t="s">
        <v>27</v>
      </c>
      <c r="E489" s="21" t="str">
        <f t="shared" si="4"/>
        <v>NSE:TIRUMALCHM</v>
      </c>
    </row>
    <row r="490" ht="15.75" customHeight="1">
      <c r="A490" s="31">
        <v>45475.0</v>
      </c>
      <c r="B490" s="20" t="s">
        <v>462</v>
      </c>
      <c r="C490" s="20" t="s">
        <v>21</v>
      </c>
      <c r="D490" s="20" t="s">
        <v>31</v>
      </c>
      <c r="E490" s="21" t="str">
        <f t="shared" si="4"/>
        <v>NSE:THOMASCOOK</v>
      </c>
    </row>
    <row r="491" ht="15.75" customHeight="1">
      <c r="A491" s="31">
        <v>45475.0</v>
      </c>
      <c r="B491" s="20" t="s">
        <v>463</v>
      </c>
      <c r="C491" s="20" t="s">
        <v>13</v>
      </c>
      <c r="D491" s="20" t="s">
        <v>14</v>
      </c>
      <c r="E491" s="21" t="str">
        <f t="shared" si="4"/>
        <v>NSE:TORNTPHARM</v>
      </c>
    </row>
    <row r="492" ht="15.75" customHeight="1">
      <c r="A492" s="31">
        <v>45475.0</v>
      </c>
      <c r="B492" s="20" t="s">
        <v>464</v>
      </c>
      <c r="C492" s="20" t="s">
        <v>16</v>
      </c>
      <c r="D492" s="20" t="s">
        <v>39</v>
      </c>
      <c r="E492" s="21" t="str">
        <f t="shared" si="4"/>
        <v>NSE:VHL</v>
      </c>
    </row>
    <row r="493" ht="15.75" customHeight="1">
      <c r="A493" s="31">
        <v>45475.0</v>
      </c>
      <c r="B493" s="20" t="s">
        <v>465</v>
      </c>
      <c r="C493" s="20" t="s">
        <v>16</v>
      </c>
      <c r="D493" s="20" t="s">
        <v>25</v>
      </c>
      <c r="E493" s="21" t="str">
        <f t="shared" si="4"/>
        <v>NSE:MUKANDLTD</v>
      </c>
    </row>
    <row r="494" ht="15.75" customHeight="1">
      <c r="A494" s="31">
        <v>45475.0</v>
      </c>
      <c r="B494" s="20" t="s">
        <v>466</v>
      </c>
      <c r="C494" s="20" t="s">
        <v>21</v>
      </c>
      <c r="D494" s="20" t="s">
        <v>27</v>
      </c>
      <c r="E494" s="21" t="str">
        <f t="shared" si="4"/>
        <v>NSE:DEEPAKFERT</v>
      </c>
    </row>
    <row r="495" ht="15.75" customHeight="1">
      <c r="A495" s="31">
        <v>45475.0</v>
      </c>
      <c r="B495" s="20" t="s">
        <v>467</v>
      </c>
      <c r="C495" s="20" t="s">
        <v>21</v>
      </c>
      <c r="D495" s="20" t="s">
        <v>27</v>
      </c>
      <c r="E495" s="21" t="str">
        <f t="shared" si="4"/>
        <v>NSE:NOCIL</v>
      </c>
    </row>
    <row r="496" ht="15.75" customHeight="1">
      <c r="A496" s="31">
        <v>45475.0</v>
      </c>
      <c r="B496" s="20" t="s">
        <v>468</v>
      </c>
      <c r="C496" s="20" t="s">
        <v>16</v>
      </c>
      <c r="D496" s="20" t="s">
        <v>29</v>
      </c>
      <c r="E496" s="21" t="str">
        <f t="shared" si="4"/>
        <v>NSE:SHAILY</v>
      </c>
    </row>
    <row r="497" ht="15.75" customHeight="1">
      <c r="A497" s="31">
        <v>45475.0</v>
      </c>
      <c r="B497" s="20" t="s">
        <v>133</v>
      </c>
      <c r="C497" s="20" t="s">
        <v>16</v>
      </c>
      <c r="D497" s="20" t="s">
        <v>27</v>
      </c>
      <c r="E497" s="21" t="str">
        <f t="shared" si="4"/>
        <v>NSE:BOROLTD</v>
      </c>
    </row>
    <row r="498" ht="15.75" customHeight="1">
      <c r="A498" s="31">
        <v>45475.0</v>
      </c>
      <c r="B498" s="20" t="s">
        <v>469</v>
      </c>
      <c r="C498" s="20" t="s">
        <v>16</v>
      </c>
      <c r="D498" s="20" t="s">
        <v>27</v>
      </c>
      <c r="E498" s="21" t="str">
        <f t="shared" si="4"/>
        <v>NSE:ORIENTPPR</v>
      </c>
    </row>
    <row r="499" ht="15.75" customHeight="1">
      <c r="A499" s="31">
        <v>45475.0</v>
      </c>
      <c r="B499" s="20" t="s">
        <v>470</v>
      </c>
      <c r="C499" s="20" t="s">
        <v>16</v>
      </c>
      <c r="D499" s="20" t="s">
        <v>27</v>
      </c>
      <c r="E499" s="21" t="str">
        <f t="shared" si="4"/>
        <v>NSE:SESHAPAPER</v>
      </c>
    </row>
    <row r="500" ht="15.75" customHeight="1">
      <c r="A500" s="31">
        <v>45475.0</v>
      </c>
      <c r="B500" s="20" t="s">
        <v>471</v>
      </c>
      <c r="C500" s="20" t="s">
        <v>16</v>
      </c>
      <c r="D500" s="20" t="s">
        <v>17</v>
      </c>
      <c r="E500" s="21" t="str">
        <f t="shared" si="4"/>
        <v>NSE:AUTOAXLES</v>
      </c>
    </row>
    <row r="501" ht="15.75" customHeight="1">
      <c r="A501" s="31">
        <v>45475.0</v>
      </c>
      <c r="B501" s="20" t="s">
        <v>472</v>
      </c>
      <c r="C501" s="20" t="s">
        <v>16</v>
      </c>
      <c r="D501" s="20" t="s">
        <v>17</v>
      </c>
      <c r="E501" s="21" t="str">
        <f t="shared" si="4"/>
        <v>NSE:TALBROAUTO</v>
      </c>
    </row>
    <row r="502" ht="15.75" customHeight="1">
      <c r="A502" s="31">
        <v>45475.0</v>
      </c>
      <c r="B502" s="20" t="s">
        <v>473</v>
      </c>
      <c r="C502" s="20" t="s">
        <v>16</v>
      </c>
      <c r="D502" s="20" t="s">
        <v>22</v>
      </c>
      <c r="E502" s="21" t="str">
        <f t="shared" si="4"/>
        <v>NSE:ALEMBICLTD</v>
      </c>
    </row>
    <row r="503" ht="15.75" customHeight="1">
      <c r="A503" s="31">
        <v>45475.0</v>
      </c>
      <c r="B503" s="20" t="s">
        <v>201</v>
      </c>
      <c r="C503" s="20" t="s">
        <v>21</v>
      </c>
      <c r="D503" s="20" t="s">
        <v>27</v>
      </c>
      <c r="E503" s="21" t="str">
        <f t="shared" si="4"/>
        <v>NSE:SUDARSCHEM</v>
      </c>
    </row>
    <row r="504" ht="15.75" customHeight="1">
      <c r="A504" s="31">
        <v>45475.0</v>
      </c>
      <c r="B504" s="20" t="s">
        <v>474</v>
      </c>
      <c r="C504" s="20" t="s">
        <v>16</v>
      </c>
      <c r="D504" s="20" t="s">
        <v>55</v>
      </c>
      <c r="E504" s="21" t="str">
        <f t="shared" si="4"/>
        <v>NSE:COSMOFIRST</v>
      </c>
    </row>
    <row r="505" ht="15.75" customHeight="1">
      <c r="A505" s="31">
        <v>45475.0</v>
      </c>
      <c r="B505" s="20" t="s">
        <v>475</v>
      </c>
      <c r="C505" s="20" t="s">
        <v>16</v>
      </c>
      <c r="D505" s="20" t="s">
        <v>14</v>
      </c>
      <c r="E505" s="21" t="str">
        <f t="shared" si="4"/>
        <v>NSE:GUFICBIO</v>
      </c>
    </row>
    <row r="506" ht="15.75" customHeight="1">
      <c r="A506" s="30">
        <v>45475.0</v>
      </c>
      <c r="B506" s="20" t="s">
        <v>476</v>
      </c>
      <c r="C506" s="20" t="s">
        <v>21</v>
      </c>
      <c r="D506" s="20" t="s">
        <v>55</v>
      </c>
      <c r="E506" s="21" t="str">
        <f t="shared" si="4"/>
        <v>NSE:PRUDENT</v>
      </c>
    </row>
    <row r="507" ht="15.75" customHeight="1">
      <c r="A507" s="30">
        <v>45475.0</v>
      </c>
      <c r="B507" s="20" t="s">
        <v>477</v>
      </c>
      <c r="C507" s="20" t="s">
        <v>21</v>
      </c>
      <c r="D507" s="20" t="s">
        <v>29</v>
      </c>
      <c r="E507" s="21" t="str">
        <f t="shared" si="4"/>
        <v>NSE:ETHOSLTD</v>
      </c>
    </row>
    <row r="508" ht="15.75" customHeight="1">
      <c r="A508" s="30">
        <v>45475.0</v>
      </c>
      <c r="B508" s="20" t="s">
        <v>478</v>
      </c>
      <c r="C508" s="20" t="s">
        <v>21</v>
      </c>
      <c r="D508" s="20" t="s">
        <v>22</v>
      </c>
      <c r="E508" s="21" t="str">
        <f t="shared" si="4"/>
        <v>NSE:ANANTRAJ</v>
      </c>
    </row>
    <row r="509" ht="15.75" customHeight="1">
      <c r="A509" s="30">
        <v>45475.0</v>
      </c>
      <c r="B509" s="20" t="s">
        <v>479</v>
      </c>
      <c r="C509" s="20" t="s">
        <v>16</v>
      </c>
      <c r="D509" s="20" t="s">
        <v>17</v>
      </c>
      <c r="E509" s="21" t="str">
        <f t="shared" si="4"/>
        <v>NSE:LUMAXIND</v>
      </c>
    </row>
    <row r="510" ht="15.75" customHeight="1">
      <c r="A510" s="30">
        <v>45475.0</v>
      </c>
      <c r="B510" s="20" t="s">
        <v>480</v>
      </c>
      <c r="C510" s="20" t="s">
        <v>13</v>
      </c>
      <c r="D510" s="20" t="s">
        <v>14</v>
      </c>
      <c r="E510" s="21" t="str">
        <f t="shared" si="4"/>
        <v>NSE:PPLPHARMA</v>
      </c>
    </row>
    <row r="511" ht="15.75" customHeight="1">
      <c r="A511" s="30">
        <v>45475.0</v>
      </c>
      <c r="B511" s="20" t="s">
        <v>481</v>
      </c>
      <c r="C511" s="20" t="s">
        <v>16</v>
      </c>
      <c r="D511" s="20" t="s">
        <v>19</v>
      </c>
      <c r="E511" s="21" t="str">
        <f t="shared" si="4"/>
        <v>NSE:DCXINDIA</v>
      </c>
    </row>
    <row r="512" ht="15.75" customHeight="1">
      <c r="A512" s="30">
        <v>45475.0</v>
      </c>
      <c r="B512" s="20" t="s">
        <v>482</v>
      </c>
      <c r="C512" s="20" t="s">
        <v>21</v>
      </c>
      <c r="D512" s="20" t="s">
        <v>27</v>
      </c>
      <c r="E512" s="21" t="str">
        <f t="shared" si="4"/>
        <v>NSE:ACI</v>
      </c>
    </row>
    <row r="513" ht="15.75" customHeight="1">
      <c r="A513" s="30">
        <v>45475.0</v>
      </c>
      <c r="B513" s="20" t="s">
        <v>483</v>
      </c>
      <c r="C513" s="20" t="s">
        <v>16</v>
      </c>
      <c r="D513" s="20" t="s">
        <v>27</v>
      </c>
      <c r="E513" s="21" t="str">
        <f t="shared" si="4"/>
        <v>NSE:DHARMAJ</v>
      </c>
    </row>
    <row r="514" ht="15.75" customHeight="1">
      <c r="A514" s="30">
        <v>45475.0</v>
      </c>
      <c r="B514" s="20" t="s">
        <v>484</v>
      </c>
      <c r="C514" s="20" t="s">
        <v>16</v>
      </c>
      <c r="D514" s="20" t="s">
        <v>31</v>
      </c>
      <c r="E514" s="21" t="str">
        <f t="shared" si="4"/>
        <v>NSE:RADIANTCMS</v>
      </c>
    </row>
    <row r="515" ht="15.75" customHeight="1">
      <c r="A515" s="30">
        <v>45475.0</v>
      </c>
      <c r="B515" s="20" t="s">
        <v>485</v>
      </c>
      <c r="C515" s="20" t="s">
        <v>16</v>
      </c>
      <c r="D515" s="20" t="s">
        <v>55</v>
      </c>
      <c r="E515" s="21" t="str">
        <f t="shared" si="4"/>
        <v>NSE:KAMOPAINTS</v>
      </c>
    </row>
    <row r="516" ht="15.75" customHeight="1">
      <c r="A516" s="30">
        <v>45475.0</v>
      </c>
      <c r="B516" s="20" t="s">
        <v>486</v>
      </c>
      <c r="C516" s="20" t="s">
        <v>16</v>
      </c>
      <c r="D516" s="20" t="s">
        <v>29</v>
      </c>
      <c r="E516" s="21" t="str">
        <f t="shared" si="4"/>
        <v>NSE:KITEX</v>
      </c>
    </row>
    <row r="517" ht="15.75" customHeight="1">
      <c r="A517" s="30">
        <v>45475.0</v>
      </c>
      <c r="B517" s="20" t="s">
        <v>138</v>
      </c>
      <c r="C517" s="20" t="s">
        <v>16</v>
      </c>
      <c r="D517" s="20" t="s">
        <v>55</v>
      </c>
      <c r="E517" s="21" t="str">
        <f t="shared" si="4"/>
        <v>NSE:EIHAHOTELS</v>
      </c>
    </row>
    <row r="518" ht="15.75" customHeight="1">
      <c r="A518" s="30">
        <v>45475.0</v>
      </c>
      <c r="B518" s="20" t="s">
        <v>487</v>
      </c>
      <c r="C518" s="20" t="s">
        <v>16</v>
      </c>
      <c r="D518" s="20" t="s">
        <v>31</v>
      </c>
      <c r="E518" s="21" t="str">
        <f t="shared" si="4"/>
        <v>NSE:VENKEYS</v>
      </c>
    </row>
    <row r="519" ht="15.75" customHeight="1">
      <c r="A519" s="30">
        <v>45475.0</v>
      </c>
      <c r="B519" s="20" t="s">
        <v>89</v>
      </c>
      <c r="C519" s="20" t="s">
        <v>13</v>
      </c>
      <c r="D519" s="20" t="s">
        <v>31</v>
      </c>
      <c r="E519" s="21" t="str">
        <f t="shared" si="4"/>
        <v>NSE:3MINDIA</v>
      </c>
    </row>
    <row r="520" ht="15.75" customHeight="1">
      <c r="A520" s="30">
        <v>45475.0</v>
      </c>
      <c r="B520" s="20" t="s">
        <v>488</v>
      </c>
      <c r="C520" s="20" t="s">
        <v>16</v>
      </c>
      <c r="D520" s="20" t="s">
        <v>31</v>
      </c>
      <c r="E520" s="21" t="str">
        <f t="shared" si="4"/>
        <v>NSE:DREDGECORP</v>
      </c>
    </row>
    <row r="521" ht="15.75" customHeight="1">
      <c r="A521" s="30">
        <v>45475.0</v>
      </c>
      <c r="B521" s="20" t="s">
        <v>489</v>
      </c>
      <c r="C521" s="20" t="s">
        <v>16</v>
      </c>
      <c r="D521" s="20" t="s">
        <v>27</v>
      </c>
      <c r="E521" s="21" t="str">
        <f t="shared" si="4"/>
        <v>NSE:PLASTIBLEN</v>
      </c>
    </row>
    <row r="522" ht="15.75" customHeight="1">
      <c r="A522" s="30">
        <v>45475.0</v>
      </c>
      <c r="B522" s="20" t="s">
        <v>490</v>
      </c>
      <c r="C522" s="20" t="s">
        <v>16</v>
      </c>
      <c r="D522" s="20" t="s">
        <v>14</v>
      </c>
      <c r="E522" s="21" t="str">
        <f t="shared" si="4"/>
        <v>NSE:IOLCP</v>
      </c>
    </row>
    <row r="523" ht="15.75" customHeight="1">
      <c r="A523" s="30">
        <v>45475.0</v>
      </c>
      <c r="B523" s="20" t="s">
        <v>491</v>
      </c>
      <c r="C523" s="20" t="s">
        <v>16</v>
      </c>
      <c r="D523" s="20" t="s">
        <v>27</v>
      </c>
      <c r="E523" s="21" t="str">
        <f t="shared" si="4"/>
        <v>NSE:INDOBORAX</v>
      </c>
    </row>
    <row r="524" ht="15.75" customHeight="1">
      <c r="A524" s="30">
        <v>45475.0</v>
      </c>
      <c r="B524" s="20" t="s">
        <v>492</v>
      </c>
      <c r="C524" s="20" t="s">
        <v>16</v>
      </c>
      <c r="D524" s="20" t="s">
        <v>14</v>
      </c>
      <c r="E524" s="21" t="str">
        <f t="shared" si="4"/>
        <v>NSE:VIMTALABS</v>
      </c>
    </row>
    <row r="525" ht="15.75" customHeight="1">
      <c r="A525" s="30">
        <v>45475.0</v>
      </c>
      <c r="B525" s="20" t="s">
        <v>493</v>
      </c>
      <c r="C525" s="20" t="s">
        <v>16</v>
      </c>
      <c r="D525" s="20" t="s">
        <v>31</v>
      </c>
      <c r="E525" s="21" t="str">
        <f t="shared" si="4"/>
        <v>NSE:SUKHJITS</v>
      </c>
    </row>
    <row r="526" ht="15.75" customHeight="1">
      <c r="A526" s="30">
        <v>45475.0</v>
      </c>
      <c r="B526" s="20" t="s">
        <v>494</v>
      </c>
      <c r="C526" s="20" t="s">
        <v>16</v>
      </c>
      <c r="D526" s="20" t="s">
        <v>55</v>
      </c>
      <c r="E526" s="21" t="str">
        <f t="shared" si="4"/>
        <v>NSE:PYRAMID</v>
      </c>
    </row>
    <row r="527" ht="15.75" customHeight="1">
      <c r="A527" s="30">
        <v>45475.0</v>
      </c>
      <c r="B527" s="20" t="s">
        <v>495</v>
      </c>
      <c r="C527" s="20" t="s">
        <v>16</v>
      </c>
      <c r="D527" s="20" t="s">
        <v>22</v>
      </c>
      <c r="E527" s="21" t="str">
        <f t="shared" si="4"/>
        <v>NSE:VPRPL</v>
      </c>
    </row>
    <row r="528" ht="15.75" customHeight="1">
      <c r="A528" s="30">
        <v>45475.0</v>
      </c>
      <c r="B528" s="20" t="s">
        <v>496</v>
      </c>
      <c r="C528" s="20" t="s">
        <v>16</v>
      </c>
      <c r="D528" s="20" t="s">
        <v>27</v>
      </c>
      <c r="E528" s="21" t="str">
        <f t="shared" si="4"/>
        <v>NSE:MBAPL</v>
      </c>
    </row>
    <row r="529" ht="15.75" customHeight="1">
      <c r="A529" s="30">
        <v>45475.0</v>
      </c>
      <c r="B529" s="20" t="s">
        <v>497</v>
      </c>
      <c r="C529" s="20" t="s">
        <v>16</v>
      </c>
      <c r="D529" s="20" t="s">
        <v>53</v>
      </c>
      <c r="E529" s="21" t="str">
        <f t="shared" si="4"/>
        <v>NSE:MANOMAY</v>
      </c>
    </row>
    <row r="530" ht="15.75" customHeight="1">
      <c r="A530" s="30">
        <v>45475.0</v>
      </c>
      <c r="B530" s="20" t="s">
        <v>498</v>
      </c>
      <c r="C530" s="20" t="s">
        <v>13</v>
      </c>
      <c r="D530" s="20" t="s">
        <v>55</v>
      </c>
      <c r="E530" s="21" t="str">
        <f t="shared" si="4"/>
        <v>NSE:CELLO</v>
      </c>
    </row>
    <row r="531" ht="15.75" customHeight="1">
      <c r="A531" s="30">
        <v>45475.0</v>
      </c>
      <c r="B531" s="20" t="s">
        <v>499</v>
      </c>
      <c r="C531" s="20" t="s">
        <v>16</v>
      </c>
      <c r="D531" s="20" t="s">
        <v>29</v>
      </c>
      <c r="E531" s="21" t="str">
        <f t="shared" si="4"/>
        <v>NSE:LIBERTSHOE</v>
      </c>
    </row>
    <row r="532" ht="15.75" customHeight="1">
      <c r="A532" s="30">
        <v>45475.0</v>
      </c>
      <c r="B532" s="20" t="s">
        <v>500</v>
      </c>
      <c r="C532" s="20" t="s">
        <v>16</v>
      </c>
      <c r="D532" s="20" t="s">
        <v>29</v>
      </c>
      <c r="E532" s="21" t="str">
        <f t="shared" si="4"/>
        <v>NSE:MIRZAINT</v>
      </c>
    </row>
    <row r="533" ht="15.75" customHeight="1">
      <c r="A533" s="30">
        <v>45475.0</v>
      </c>
      <c r="B533" s="20" t="s">
        <v>501</v>
      </c>
      <c r="C533" s="20" t="s">
        <v>16</v>
      </c>
      <c r="D533" s="20" t="s">
        <v>31</v>
      </c>
      <c r="E533" s="21" t="str">
        <f t="shared" si="4"/>
        <v>NSE:GOLDIAM</v>
      </c>
    </row>
    <row r="534" ht="15.75" customHeight="1">
      <c r="A534" s="30">
        <v>45475.0</v>
      </c>
      <c r="B534" s="20" t="s">
        <v>90</v>
      </c>
      <c r="C534" s="20" t="s">
        <v>16</v>
      </c>
      <c r="D534" s="20" t="s">
        <v>91</v>
      </c>
      <c r="E534" s="21" t="str">
        <f t="shared" si="4"/>
        <v>NSE:GREENPLY</v>
      </c>
    </row>
    <row r="535" ht="15.75" customHeight="1">
      <c r="A535" s="30">
        <v>45475.0</v>
      </c>
      <c r="B535" s="20" t="s">
        <v>502</v>
      </c>
      <c r="C535" s="20" t="s">
        <v>16</v>
      </c>
      <c r="D535" s="20" t="s">
        <v>29</v>
      </c>
      <c r="E535" s="21" t="str">
        <f t="shared" si="4"/>
        <v>NSE:KHADIM</v>
      </c>
    </row>
    <row r="536" ht="15.75" customHeight="1">
      <c r="A536" s="30">
        <v>45475.0</v>
      </c>
      <c r="B536" s="20" t="s">
        <v>503</v>
      </c>
      <c r="C536" s="20" t="s">
        <v>16</v>
      </c>
      <c r="D536" s="20" t="s">
        <v>14</v>
      </c>
      <c r="E536" s="21" t="str">
        <f t="shared" si="4"/>
        <v>NSE:VENUSREM</v>
      </c>
    </row>
    <row r="537" ht="15.75" customHeight="1">
      <c r="A537" s="30">
        <v>45475.0</v>
      </c>
      <c r="B537" s="20" t="s">
        <v>504</v>
      </c>
      <c r="C537" s="20" t="s">
        <v>16</v>
      </c>
      <c r="D537" s="20" t="s">
        <v>55</v>
      </c>
      <c r="E537" s="21" t="str">
        <f t="shared" si="4"/>
        <v>NSE:KOTHARIPRO</v>
      </c>
    </row>
    <row r="538" ht="15.75" customHeight="1">
      <c r="A538" s="30">
        <v>45475.0</v>
      </c>
      <c r="B538" s="20" t="s">
        <v>505</v>
      </c>
      <c r="C538" s="20" t="s">
        <v>16</v>
      </c>
      <c r="D538" s="20" t="s">
        <v>25</v>
      </c>
      <c r="E538" s="21" t="str">
        <f t="shared" si="4"/>
        <v>NSE:MMP</v>
      </c>
    </row>
    <row r="539" ht="15.75" customHeight="1">
      <c r="A539" s="30">
        <v>45475.0</v>
      </c>
      <c r="B539" s="20" t="s">
        <v>506</v>
      </c>
      <c r="C539" s="20" t="s">
        <v>16</v>
      </c>
      <c r="D539" s="20" t="s">
        <v>14</v>
      </c>
      <c r="E539" s="21" t="str">
        <f t="shared" si="4"/>
        <v>NSE:GPTHEALTH</v>
      </c>
    </row>
    <row r="540" ht="15.75" customHeight="1">
      <c r="A540" s="30">
        <v>45475.0</v>
      </c>
      <c r="B540" s="20" t="s">
        <v>507</v>
      </c>
      <c r="C540" s="20" t="s">
        <v>16</v>
      </c>
      <c r="D540" s="20" t="s">
        <v>29</v>
      </c>
      <c r="E540" s="21" t="str">
        <f t="shared" si="4"/>
        <v>NSE:UGARSUGAR</v>
      </c>
    </row>
    <row r="541" ht="15.75" customHeight="1">
      <c r="A541" s="30">
        <v>45475.0</v>
      </c>
      <c r="B541" s="20" t="s">
        <v>508</v>
      </c>
      <c r="C541" s="20" t="s">
        <v>16</v>
      </c>
      <c r="D541" s="20" t="s">
        <v>27</v>
      </c>
      <c r="E541" s="21" t="str">
        <f t="shared" si="4"/>
        <v>NSE:CHEMFAB</v>
      </c>
    </row>
    <row r="542" ht="15.75" customHeight="1">
      <c r="A542" s="30">
        <v>45475.0</v>
      </c>
      <c r="B542" s="20" t="s">
        <v>509</v>
      </c>
      <c r="C542" s="20" t="s">
        <v>16</v>
      </c>
      <c r="D542" s="20" t="s">
        <v>55</v>
      </c>
      <c r="E542" s="21" t="str">
        <f t="shared" si="4"/>
        <v>NSE:SIRCA</v>
      </c>
    </row>
    <row r="543" ht="15.75" customHeight="1">
      <c r="A543" s="30">
        <v>45475.0</v>
      </c>
      <c r="B543" s="20" t="s">
        <v>510</v>
      </c>
      <c r="C543" s="20" t="s">
        <v>16</v>
      </c>
      <c r="D543" s="20" t="s">
        <v>27</v>
      </c>
      <c r="E543" s="21" t="str">
        <f t="shared" si="4"/>
        <v>NSE:STERTOOLS</v>
      </c>
    </row>
    <row r="544" ht="15.75" customHeight="1">
      <c r="A544" s="30">
        <v>45475.0</v>
      </c>
      <c r="B544" s="20" t="s">
        <v>511</v>
      </c>
      <c r="C544" s="20" t="s">
        <v>16</v>
      </c>
      <c r="D544" s="20" t="s">
        <v>29</v>
      </c>
      <c r="E544" s="21" t="str">
        <f t="shared" si="4"/>
        <v>NSE:MARINE</v>
      </c>
    </row>
    <row r="545" ht="15.75" customHeight="1">
      <c r="A545" s="30">
        <v>45475.0</v>
      </c>
      <c r="B545" s="20" t="s">
        <v>61</v>
      </c>
      <c r="C545" s="20" t="s">
        <v>21</v>
      </c>
      <c r="D545" s="20" t="s">
        <v>27</v>
      </c>
      <c r="E545" s="21" t="str">
        <f t="shared" si="4"/>
        <v>NSE:BALAMINES</v>
      </c>
    </row>
    <row r="546" ht="15.75" customHeight="1">
      <c r="A546" s="30">
        <v>45475.0</v>
      </c>
      <c r="B546" s="20" t="s">
        <v>512</v>
      </c>
      <c r="C546" s="20" t="s">
        <v>21</v>
      </c>
      <c r="D546" s="20" t="s">
        <v>27</v>
      </c>
      <c r="E546" s="21" t="str">
        <f t="shared" si="4"/>
        <v>NSE:BALUFORGE</v>
      </c>
    </row>
    <row r="547" ht="15.75" customHeight="1">
      <c r="A547" s="30">
        <v>45475.0</v>
      </c>
      <c r="B547" s="20" t="s">
        <v>513</v>
      </c>
      <c r="C547" s="20" t="s">
        <v>16</v>
      </c>
      <c r="D547" s="20" t="s">
        <v>31</v>
      </c>
      <c r="E547" s="21" t="str">
        <f t="shared" si="4"/>
        <v>NSE:LINC</v>
      </c>
    </row>
    <row r="548" ht="15.75" customHeight="1">
      <c r="A548" s="30">
        <v>45475.0</v>
      </c>
      <c r="B548" s="20" t="s">
        <v>514</v>
      </c>
      <c r="C548" s="20" t="s">
        <v>21</v>
      </c>
      <c r="D548" s="20" t="s">
        <v>29</v>
      </c>
      <c r="E548" s="21" t="str">
        <f t="shared" si="4"/>
        <v>NSE:PRINCEPIPE</v>
      </c>
    </row>
    <row r="549" ht="15.75" customHeight="1">
      <c r="A549" s="30">
        <v>45475.0</v>
      </c>
      <c r="B549" s="20" t="s">
        <v>515</v>
      </c>
      <c r="C549" s="20" t="s">
        <v>16</v>
      </c>
      <c r="D549" s="20" t="s">
        <v>14</v>
      </c>
      <c r="E549" s="21" t="str">
        <f t="shared" si="4"/>
        <v>NSE:ARTEMISMED</v>
      </c>
    </row>
    <row r="550" ht="15.75" customHeight="1">
      <c r="A550" s="30">
        <v>45475.0</v>
      </c>
      <c r="B550" s="20" t="s">
        <v>516</v>
      </c>
      <c r="C550" s="20" t="s">
        <v>13</v>
      </c>
      <c r="D550" s="20" t="s">
        <v>373</v>
      </c>
      <c r="E550" s="21" t="str">
        <f t="shared" si="4"/>
        <v>NSE:CAMS</v>
      </c>
    </row>
    <row r="551" ht="15.75" customHeight="1">
      <c r="A551" s="30">
        <v>45475.0</v>
      </c>
      <c r="B551" s="20" t="s">
        <v>517</v>
      </c>
      <c r="C551" s="20" t="s">
        <v>21</v>
      </c>
      <c r="D551" s="20" t="s">
        <v>27</v>
      </c>
      <c r="E551" s="21" t="str">
        <f t="shared" si="4"/>
        <v>NSE:JKPAPER</v>
      </c>
    </row>
    <row r="552" ht="15.75" customHeight="1">
      <c r="A552" s="30">
        <v>45475.0</v>
      </c>
      <c r="B552" s="20" t="s">
        <v>518</v>
      </c>
      <c r="C552" s="20" t="s">
        <v>16</v>
      </c>
      <c r="D552" s="20" t="s">
        <v>37</v>
      </c>
      <c r="E552" s="21" t="str">
        <f t="shared" si="4"/>
        <v>NSE:ACCELYA</v>
      </c>
    </row>
    <row r="553" ht="15.75" customHeight="1">
      <c r="A553" s="30">
        <v>45475.0</v>
      </c>
      <c r="B553" s="20" t="s">
        <v>519</v>
      </c>
      <c r="C553" s="20" t="s">
        <v>13</v>
      </c>
      <c r="D553" s="20" t="s">
        <v>14</v>
      </c>
      <c r="E553" s="21" t="str">
        <f t="shared" si="4"/>
        <v>NSE:ZYDUSLIFE</v>
      </c>
    </row>
    <row r="554" ht="15.75" customHeight="1">
      <c r="A554" s="30">
        <v>45475.0</v>
      </c>
      <c r="B554" s="20" t="s">
        <v>520</v>
      </c>
      <c r="C554" s="20" t="s">
        <v>16</v>
      </c>
      <c r="D554" s="20" t="s">
        <v>37</v>
      </c>
      <c r="E554" s="21" t="str">
        <f t="shared" si="4"/>
        <v>NSE:SUBEXLTD</v>
      </c>
    </row>
    <row r="555" ht="15.75" customHeight="1">
      <c r="A555" s="30">
        <v>45475.0</v>
      </c>
      <c r="B555" s="20" t="s">
        <v>521</v>
      </c>
      <c r="C555" s="20" t="s">
        <v>21</v>
      </c>
      <c r="D555" s="20" t="s">
        <v>50</v>
      </c>
      <c r="E555" s="21" t="str">
        <f t="shared" si="4"/>
        <v>NSE:TIPSINDLTD</v>
      </c>
    </row>
    <row r="556" ht="15.75" customHeight="1">
      <c r="A556" s="30">
        <v>45475.0</v>
      </c>
      <c r="B556" s="20" t="s">
        <v>522</v>
      </c>
      <c r="C556" s="20" t="s">
        <v>16</v>
      </c>
      <c r="D556" s="20" t="s">
        <v>25</v>
      </c>
      <c r="E556" s="21" t="str">
        <f t="shared" si="4"/>
        <v>NSE:ISMTLTD</v>
      </c>
    </row>
    <row r="557" ht="15.75" customHeight="1">
      <c r="A557" s="30">
        <v>45475.0</v>
      </c>
      <c r="B557" s="20" t="s">
        <v>523</v>
      </c>
      <c r="C557" s="20" t="s">
        <v>16</v>
      </c>
      <c r="D557" s="20" t="s">
        <v>31</v>
      </c>
      <c r="E557" s="21" t="str">
        <f t="shared" si="4"/>
        <v>NSE:POKARNA</v>
      </c>
    </row>
    <row r="558" ht="15.75" customHeight="1">
      <c r="A558" s="30">
        <v>45475.0</v>
      </c>
      <c r="B558" s="20" t="s">
        <v>524</v>
      </c>
      <c r="C558" s="20" t="s">
        <v>21</v>
      </c>
      <c r="D558" s="20" t="s">
        <v>17</v>
      </c>
      <c r="E558" s="21" t="str">
        <f t="shared" si="4"/>
        <v>NSE:SUPRAJIT</v>
      </c>
    </row>
    <row r="559" ht="15.75" customHeight="1">
      <c r="A559" s="30">
        <v>45475.0</v>
      </c>
      <c r="B559" s="20" t="s">
        <v>525</v>
      </c>
      <c r="C559" s="20" t="s">
        <v>16</v>
      </c>
      <c r="D559" s="20" t="s">
        <v>37</v>
      </c>
      <c r="E559" s="21" t="str">
        <f t="shared" si="4"/>
        <v>NSE:TVSELECT</v>
      </c>
    </row>
    <row r="560" ht="15.75" customHeight="1">
      <c r="A560" s="30">
        <v>45475.0</v>
      </c>
      <c r="B560" s="20" t="s">
        <v>526</v>
      </c>
      <c r="C560" s="20" t="s">
        <v>16</v>
      </c>
      <c r="D560" s="20" t="s">
        <v>29</v>
      </c>
      <c r="E560" s="21" t="str">
        <f t="shared" si="4"/>
        <v>NSE:DWARKESH</v>
      </c>
    </row>
    <row r="561" ht="15.75" customHeight="1">
      <c r="A561" s="30">
        <v>45475.0</v>
      </c>
      <c r="B561" s="20" t="s">
        <v>527</v>
      </c>
      <c r="C561" s="20" t="s">
        <v>16</v>
      </c>
      <c r="D561" s="20" t="s">
        <v>25</v>
      </c>
      <c r="E561" s="21" t="str">
        <f t="shared" si="4"/>
        <v>NSE:POCL</v>
      </c>
    </row>
    <row r="562" ht="15.75" customHeight="1">
      <c r="A562" s="30">
        <v>45475.0</v>
      </c>
      <c r="B562" s="20" t="s">
        <v>285</v>
      </c>
      <c r="C562" s="20" t="s">
        <v>13</v>
      </c>
      <c r="D562" s="20" t="s">
        <v>29</v>
      </c>
      <c r="E562" s="21" t="str">
        <f t="shared" si="4"/>
        <v>NSE:KEC</v>
      </c>
    </row>
    <row r="563" ht="15.75" customHeight="1">
      <c r="A563" s="30">
        <v>45475.0</v>
      </c>
      <c r="B563" s="20" t="s">
        <v>226</v>
      </c>
      <c r="C563" s="20" t="s">
        <v>16</v>
      </c>
      <c r="D563" s="20" t="s">
        <v>17</v>
      </c>
      <c r="E563" s="21" t="str">
        <f t="shared" si="4"/>
        <v>NSE:FIEMIND</v>
      </c>
    </row>
    <row r="564" ht="15.75" customHeight="1">
      <c r="A564" s="30">
        <v>45475.0</v>
      </c>
      <c r="B564" s="20" t="s">
        <v>528</v>
      </c>
      <c r="C564" s="20" t="s">
        <v>13</v>
      </c>
      <c r="D564" s="20" t="s">
        <v>37</v>
      </c>
      <c r="E564" s="21" t="str">
        <f t="shared" si="4"/>
        <v>NSE:FSL</v>
      </c>
    </row>
    <row r="565" ht="15.75" customHeight="1">
      <c r="A565" s="30">
        <v>45475.0</v>
      </c>
      <c r="B565" s="20" t="s">
        <v>529</v>
      </c>
      <c r="C565" s="20" t="s">
        <v>16</v>
      </c>
      <c r="D565" s="20" t="s">
        <v>37</v>
      </c>
      <c r="E565" s="21" t="str">
        <f t="shared" si="4"/>
        <v>NSE:HGS</v>
      </c>
    </row>
    <row r="566" ht="15.75" customHeight="1">
      <c r="A566" s="30">
        <v>45475.0</v>
      </c>
      <c r="B566" s="20" t="s">
        <v>530</v>
      </c>
      <c r="C566" s="20" t="s">
        <v>16</v>
      </c>
      <c r="D566" s="20" t="s">
        <v>22</v>
      </c>
      <c r="E566" s="21" t="str">
        <f t="shared" si="4"/>
        <v>NSE:OMAXE</v>
      </c>
    </row>
    <row r="567" ht="15.75" customHeight="1">
      <c r="A567" s="30">
        <v>45475.0</v>
      </c>
      <c r="B567" s="20" t="s">
        <v>531</v>
      </c>
      <c r="C567" s="20" t="s">
        <v>16</v>
      </c>
      <c r="D567" s="20" t="s">
        <v>27</v>
      </c>
      <c r="E567" s="21" t="str">
        <f t="shared" si="4"/>
        <v>NSE:ASIANTILES</v>
      </c>
    </row>
    <row r="568" ht="15.75" customHeight="1">
      <c r="A568" s="30">
        <v>45475.0</v>
      </c>
      <c r="B568" s="20" t="s">
        <v>228</v>
      </c>
      <c r="C568" s="20" t="s">
        <v>13</v>
      </c>
      <c r="D568" s="20" t="s">
        <v>29</v>
      </c>
      <c r="E568" s="21" t="str">
        <f t="shared" si="4"/>
        <v>NSE:VGUARD</v>
      </c>
    </row>
    <row r="569" ht="15.75" customHeight="1">
      <c r="A569" s="30">
        <v>45475.0</v>
      </c>
      <c r="B569" s="20" t="s">
        <v>532</v>
      </c>
      <c r="C569" s="20" t="s">
        <v>16</v>
      </c>
      <c r="D569" s="20" t="s">
        <v>29</v>
      </c>
      <c r="E569" s="21" t="str">
        <f t="shared" si="4"/>
        <v>NSE:GLOBUSSPR</v>
      </c>
    </row>
    <row r="570" ht="15.75" customHeight="1">
      <c r="A570" s="30">
        <v>45475.0</v>
      </c>
      <c r="B570" s="20" t="s">
        <v>533</v>
      </c>
      <c r="C570" s="20" t="s">
        <v>16</v>
      </c>
      <c r="D570" s="20" t="s">
        <v>50</v>
      </c>
      <c r="E570" s="21" t="str">
        <f t="shared" si="4"/>
        <v>NSE:DEN</v>
      </c>
    </row>
    <row r="571" ht="15.75" customHeight="1">
      <c r="A571" s="23">
        <v>45475.0</v>
      </c>
      <c r="B571" s="20" t="s">
        <v>534</v>
      </c>
      <c r="C571" s="20" t="s">
        <v>16</v>
      </c>
      <c r="D571" s="20" t="s">
        <v>156</v>
      </c>
      <c r="E571" s="21" t="str">
        <f t="shared" si="4"/>
        <v>NSE:HATHWAY</v>
      </c>
    </row>
    <row r="572" ht="15.75" customHeight="1">
      <c r="A572" s="23">
        <v>45475.0</v>
      </c>
      <c r="B572" s="20" t="s">
        <v>535</v>
      </c>
      <c r="C572" s="20" t="s">
        <v>16</v>
      </c>
      <c r="D572" s="20" t="s">
        <v>27</v>
      </c>
      <c r="E572" s="21" t="str">
        <f t="shared" si="4"/>
        <v>NSE:EMAMIPAP</v>
      </c>
    </row>
    <row r="573" ht="15.75" customHeight="1">
      <c r="A573" s="23">
        <v>45475.0</v>
      </c>
      <c r="B573" s="20" t="s">
        <v>536</v>
      </c>
      <c r="C573" s="20" t="s">
        <v>21</v>
      </c>
      <c r="D573" s="20" t="s">
        <v>29</v>
      </c>
      <c r="E573" s="21" t="str">
        <f t="shared" si="4"/>
        <v>NSE:TDPOWERSYS</v>
      </c>
    </row>
    <row r="574" ht="15.75" customHeight="1">
      <c r="A574" s="23">
        <v>45475.0</v>
      </c>
      <c r="B574" s="20" t="s">
        <v>537</v>
      </c>
      <c r="C574" s="20" t="s">
        <v>16</v>
      </c>
      <c r="D574" s="20" t="s">
        <v>27</v>
      </c>
      <c r="E574" s="21" t="str">
        <f t="shared" si="4"/>
        <v>NSE:CHEMCON</v>
      </c>
    </row>
    <row r="575" ht="15.75" customHeight="1">
      <c r="A575" s="23">
        <v>45475.0</v>
      </c>
      <c r="B575" s="20" t="s">
        <v>538</v>
      </c>
      <c r="C575" s="20" t="s">
        <v>13</v>
      </c>
      <c r="D575" s="20" t="s">
        <v>22</v>
      </c>
      <c r="E575" s="21" t="str">
        <f t="shared" si="4"/>
        <v>NSE:NBCC</v>
      </c>
    </row>
    <row r="576" ht="15.75" customHeight="1">
      <c r="A576" s="23">
        <v>45475.0</v>
      </c>
      <c r="B576" s="20" t="s">
        <v>539</v>
      </c>
      <c r="C576" s="20" t="s">
        <v>16</v>
      </c>
      <c r="D576" s="20" t="s">
        <v>31</v>
      </c>
      <c r="E576" s="21" t="str">
        <f t="shared" si="4"/>
        <v>NSE:TBZ</v>
      </c>
    </row>
    <row r="577" ht="15.75" customHeight="1">
      <c r="A577" s="23">
        <v>45475.0</v>
      </c>
      <c r="B577" s="20" t="s">
        <v>540</v>
      </c>
      <c r="C577" s="20" t="s">
        <v>21</v>
      </c>
      <c r="D577" s="20" t="s">
        <v>107</v>
      </c>
      <c r="E577" s="21" t="str">
        <f t="shared" si="4"/>
        <v>NSE:RBA</v>
      </c>
    </row>
    <row r="578" ht="15.75" customHeight="1">
      <c r="A578" s="23">
        <v>45475.0</v>
      </c>
      <c r="B578" s="20" t="s">
        <v>541</v>
      </c>
      <c r="C578" s="20" t="s">
        <v>21</v>
      </c>
      <c r="D578" s="20" t="s">
        <v>22</v>
      </c>
      <c r="E578" s="21" t="str">
        <f t="shared" si="4"/>
        <v>NSE:TARC</v>
      </c>
    </row>
    <row r="579" ht="15.75" customHeight="1">
      <c r="A579" s="23">
        <v>45475.0</v>
      </c>
      <c r="B579" s="20" t="s">
        <v>542</v>
      </c>
      <c r="C579" s="20" t="s">
        <v>16</v>
      </c>
      <c r="D579" s="20" t="s">
        <v>27</v>
      </c>
      <c r="E579" s="21" t="str">
        <f t="shared" si="4"/>
        <v>NSE:HERANBA</v>
      </c>
    </row>
    <row r="580" ht="15.75" customHeight="1">
      <c r="A580" s="23">
        <v>45475.0</v>
      </c>
      <c r="B580" s="20" t="s">
        <v>543</v>
      </c>
      <c r="C580" s="20" t="s">
        <v>21</v>
      </c>
      <c r="D580" s="20" t="s">
        <v>19</v>
      </c>
      <c r="E580" s="21" t="str">
        <f t="shared" si="4"/>
        <v>NSE:MTARTECH</v>
      </c>
    </row>
    <row r="581" ht="15.75" customHeight="1">
      <c r="A581" s="23">
        <v>45475.0</v>
      </c>
      <c r="B581" s="20" t="s">
        <v>544</v>
      </c>
      <c r="C581" s="20" t="s">
        <v>21</v>
      </c>
      <c r="D581" s="20" t="s">
        <v>27</v>
      </c>
      <c r="E581" s="21" t="str">
        <f t="shared" si="4"/>
        <v>NSE:CLEAN</v>
      </c>
    </row>
    <row r="582" ht="15.75" customHeight="1">
      <c r="A582" s="23">
        <v>45475.0</v>
      </c>
      <c r="B582" s="20" t="s">
        <v>545</v>
      </c>
      <c r="C582" s="20" t="s">
        <v>16</v>
      </c>
      <c r="D582" s="20" t="s">
        <v>14</v>
      </c>
      <c r="E582" s="21" t="str">
        <f t="shared" si="4"/>
        <v>NSE:KRSNAA</v>
      </c>
    </row>
    <row r="583" ht="15.75" customHeight="1">
      <c r="A583" s="23">
        <v>45475.0</v>
      </c>
      <c r="B583" s="20" t="s">
        <v>546</v>
      </c>
      <c r="C583" s="20" t="s">
        <v>21</v>
      </c>
      <c r="D583" s="20" t="s">
        <v>17</v>
      </c>
      <c r="E583" s="21" t="str">
        <f t="shared" si="4"/>
        <v>NSE:SANSERA</v>
      </c>
    </row>
    <row r="584" ht="15.75" customHeight="1">
      <c r="A584" s="23">
        <v>45475.0</v>
      </c>
      <c r="B584" s="20" t="s">
        <v>547</v>
      </c>
      <c r="C584" s="20" t="s">
        <v>16</v>
      </c>
      <c r="D584" s="20" t="s">
        <v>185</v>
      </c>
      <c r="E584" s="21" t="str">
        <f t="shared" si="4"/>
        <v>NSE:FINOPB</v>
      </c>
    </row>
    <row r="585" ht="15.75" customHeight="1">
      <c r="A585" s="23">
        <v>45475.0</v>
      </c>
      <c r="B585" s="20" t="s">
        <v>548</v>
      </c>
      <c r="C585" s="20" t="s">
        <v>13</v>
      </c>
      <c r="D585" s="20" t="s">
        <v>37</v>
      </c>
      <c r="E585" s="21" t="str">
        <f t="shared" si="4"/>
        <v>NSE:PAYTM</v>
      </c>
    </row>
    <row r="586" ht="15.75" customHeight="1">
      <c r="A586" s="23">
        <v>45475.0</v>
      </c>
      <c r="B586" s="20" t="s">
        <v>549</v>
      </c>
      <c r="C586" s="20" t="s">
        <v>16</v>
      </c>
      <c r="D586" s="20" t="s">
        <v>27</v>
      </c>
      <c r="E586" s="21" t="str">
        <f t="shared" si="4"/>
        <v>NSE:GENUSPAPER</v>
      </c>
    </row>
    <row r="587" ht="15.75" customHeight="1">
      <c r="A587" s="23">
        <v>45475.0</v>
      </c>
      <c r="B587" s="20" t="s">
        <v>550</v>
      </c>
      <c r="C587" s="20" t="s">
        <v>16</v>
      </c>
      <c r="D587" s="20" t="s">
        <v>27</v>
      </c>
      <c r="E587" s="21" t="str">
        <f t="shared" si="4"/>
        <v>NSE:SHIVALIK</v>
      </c>
    </row>
    <row r="588" ht="15.75" customHeight="1">
      <c r="A588" s="23">
        <v>45475.0</v>
      </c>
      <c r="B588" s="20" t="s">
        <v>551</v>
      </c>
      <c r="C588" s="20" t="s">
        <v>16</v>
      </c>
      <c r="D588" s="20" t="s">
        <v>27</v>
      </c>
      <c r="E588" s="21" t="str">
        <f t="shared" si="4"/>
        <v>NSE:SATIA</v>
      </c>
    </row>
    <row r="589" ht="15.75" customHeight="1">
      <c r="A589" s="23">
        <v>45475.0</v>
      </c>
      <c r="B589" s="20" t="s">
        <v>552</v>
      </c>
      <c r="C589" s="20" t="s">
        <v>16</v>
      </c>
      <c r="D589" s="20" t="s">
        <v>27</v>
      </c>
      <c r="E589" s="21" t="str">
        <f t="shared" si="4"/>
        <v>NSE:SHREEPUSHK</v>
      </c>
    </row>
    <row r="590" ht="15.75" customHeight="1">
      <c r="A590" s="23">
        <v>45475.0</v>
      </c>
      <c r="B590" s="20" t="s">
        <v>553</v>
      </c>
      <c r="C590" s="20" t="s">
        <v>16</v>
      </c>
      <c r="D590" s="20" t="s">
        <v>27</v>
      </c>
      <c r="E590" s="21" t="str">
        <f t="shared" si="4"/>
        <v>NSE:PDMJEPAPER</v>
      </c>
    </row>
    <row r="591" ht="15.75" customHeight="1">
      <c r="A591" s="23">
        <v>45475.0</v>
      </c>
      <c r="B591" s="20" t="s">
        <v>554</v>
      </c>
      <c r="C591" s="20" t="s">
        <v>16</v>
      </c>
      <c r="D591" s="20" t="s">
        <v>27</v>
      </c>
      <c r="E591" s="21" t="str">
        <f t="shared" si="4"/>
        <v>NSE:BIGBLOC</v>
      </c>
    </row>
    <row r="592" ht="15.75" customHeight="1">
      <c r="A592" s="23">
        <v>45476.0</v>
      </c>
      <c r="B592" s="20" t="s">
        <v>555</v>
      </c>
      <c r="C592" s="20" t="s">
        <v>21</v>
      </c>
      <c r="D592" s="20" t="s">
        <v>29</v>
      </c>
      <c r="E592" s="21" t="str">
        <f t="shared" si="4"/>
        <v>NSE:BAJAJELEC</v>
      </c>
    </row>
    <row r="593" ht="15.75" customHeight="1">
      <c r="A593" s="23">
        <v>45476.0</v>
      </c>
      <c r="B593" s="20" t="s">
        <v>556</v>
      </c>
      <c r="C593" s="20" t="s">
        <v>13</v>
      </c>
      <c r="D593" s="20" t="s">
        <v>27</v>
      </c>
      <c r="E593" s="21" t="str">
        <f t="shared" si="4"/>
        <v>NSE:BASF</v>
      </c>
    </row>
    <row r="594" ht="15.75" customHeight="1">
      <c r="A594" s="23">
        <v>45476.0</v>
      </c>
      <c r="B594" s="20" t="s">
        <v>557</v>
      </c>
      <c r="C594" s="20" t="s">
        <v>21</v>
      </c>
      <c r="D594" s="20" t="s">
        <v>19</v>
      </c>
      <c r="E594" s="21" t="str">
        <f t="shared" si="4"/>
        <v>NSE:BEML</v>
      </c>
    </row>
    <row r="595" ht="15.75" customHeight="1">
      <c r="A595" s="23">
        <v>45476.0</v>
      </c>
      <c r="B595" s="20" t="s">
        <v>558</v>
      </c>
      <c r="C595" s="20" t="s">
        <v>16</v>
      </c>
      <c r="D595" s="20" t="s">
        <v>64</v>
      </c>
      <c r="E595" s="21" t="str">
        <f t="shared" si="4"/>
        <v>NSE:BEPL</v>
      </c>
    </row>
    <row r="596" ht="15.75" customHeight="1">
      <c r="A596" s="23">
        <v>45476.0</v>
      </c>
      <c r="B596" s="20" t="s">
        <v>559</v>
      </c>
      <c r="C596" s="20" t="s">
        <v>13</v>
      </c>
      <c r="D596" s="20" t="s">
        <v>185</v>
      </c>
      <c r="E596" s="21" t="str">
        <f t="shared" si="4"/>
        <v>NSE:HDFCBANK</v>
      </c>
    </row>
    <row r="597" ht="15.75" customHeight="1">
      <c r="A597" s="23">
        <v>45476.0</v>
      </c>
      <c r="B597" s="20" t="s">
        <v>20</v>
      </c>
      <c r="C597" s="20" t="s">
        <v>21</v>
      </c>
      <c r="D597" s="20" t="s">
        <v>22</v>
      </c>
      <c r="E597" s="21" t="str">
        <f t="shared" si="4"/>
        <v>NSE:HFCL</v>
      </c>
    </row>
    <row r="598" ht="15.75" customHeight="1">
      <c r="A598" s="23">
        <v>45476.0</v>
      </c>
      <c r="B598" s="20" t="s">
        <v>560</v>
      </c>
      <c r="C598" s="20" t="s">
        <v>16</v>
      </c>
      <c r="D598" s="20" t="s">
        <v>64</v>
      </c>
      <c r="E598" s="21" t="str">
        <f t="shared" si="4"/>
        <v>NSE:HINDOILEXP</v>
      </c>
    </row>
    <row r="599" ht="15.75" customHeight="1">
      <c r="A599" s="23">
        <v>45476.0</v>
      </c>
      <c r="B599" s="20" t="s">
        <v>561</v>
      </c>
      <c r="C599" s="20" t="s">
        <v>16</v>
      </c>
      <c r="D599" s="20" t="s">
        <v>53</v>
      </c>
      <c r="E599" s="21" t="str">
        <f t="shared" si="4"/>
        <v>NSE:JINDALPOLY</v>
      </c>
    </row>
    <row r="600" ht="15.75" customHeight="1">
      <c r="A600" s="23">
        <v>45476.0</v>
      </c>
      <c r="B600" s="20" t="s">
        <v>241</v>
      </c>
      <c r="C600" s="20" t="s">
        <v>13</v>
      </c>
      <c r="D600" s="20" t="s">
        <v>25</v>
      </c>
      <c r="E600" s="21" t="str">
        <f t="shared" si="4"/>
        <v>NSE:JSWSTEEL</v>
      </c>
    </row>
    <row r="601" ht="15.75" customHeight="1">
      <c r="A601" s="23">
        <v>45476.0</v>
      </c>
      <c r="B601" s="20" t="s">
        <v>243</v>
      </c>
      <c r="C601" s="20" t="s">
        <v>13</v>
      </c>
      <c r="D601" s="20" t="s">
        <v>39</v>
      </c>
      <c r="E601" s="21" t="str">
        <f t="shared" si="4"/>
        <v>NSE:PEL</v>
      </c>
    </row>
    <row r="602" ht="15.75" customHeight="1">
      <c r="A602" s="23">
        <v>45476.0</v>
      </c>
      <c r="B602" s="20" t="s">
        <v>562</v>
      </c>
      <c r="C602" s="20" t="s">
        <v>16</v>
      </c>
      <c r="D602" s="20" t="s">
        <v>39</v>
      </c>
      <c r="E602" s="21" t="str">
        <f t="shared" si="4"/>
        <v>NSE:PRIMESECU</v>
      </c>
    </row>
    <row r="603" ht="15.75" customHeight="1">
      <c r="A603" s="23">
        <v>45476.0</v>
      </c>
      <c r="B603" s="20" t="s">
        <v>563</v>
      </c>
      <c r="C603" s="20" t="s">
        <v>21</v>
      </c>
      <c r="D603" s="20" t="s">
        <v>27</v>
      </c>
      <c r="E603" s="21" t="str">
        <f t="shared" si="4"/>
        <v>NSE:RALLIS</v>
      </c>
    </row>
    <row r="604" ht="15.75" customHeight="1">
      <c r="A604" s="23">
        <v>45476.0</v>
      </c>
      <c r="B604" s="20" t="s">
        <v>564</v>
      </c>
      <c r="C604" s="20" t="s">
        <v>21</v>
      </c>
      <c r="D604" s="20" t="s">
        <v>64</v>
      </c>
      <c r="E604" s="21" t="str">
        <f t="shared" si="4"/>
        <v>NSE:SPLPETRO</v>
      </c>
    </row>
    <row r="605" ht="15.75" customHeight="1">
      <c r="A605" s="23">
        <v>45476.0</v>
      </c>
      <c r="B605" s="20" t="s">
        <v>565</v>
      </c>
      <c r="C605" s="20" t="s">
        <v>13</v>
      </c>
      <c r="D605" s="20" t="s">
        <v>185</v>
      </c>
      <c r="E605" s="21" t="str">
        <f t="shared" si="4"/>
        <v>NSE:FEDERALBNK</v>
      </c>
    </row>
    <row r="606" ht="15.75" customHeight="1">
      <c r="A606" s="23">
        <v>45476.0</v>
      </c>
      <c r="B606" s="20" t="s">
        <v>316</v>
      </c>
      <c r="C606" s="20" t="s">
        <v>13</v>
      </c>
      <c r="D606" s="20" t="s">
        <v>27</v>
      </c>
      <c r="E606" s="21" t="str">
        <f t="shared" si="4"/>
        <v>NSE:TATACHEM</v>
      </c>
    </row>
    <row r="607" ht="15.75" customHeight="1">
      <c r="A607" s="23">
        <v>45476.0</v>
      </c>
      <c r="B607" s="20" t="s">
        <v>566</v>
      </c>
      <c r="C607" s="20" t="s">
        <v>13</v>
      </c>
      <c r="D607" s="20" t="s">
        <v>22</v>
      </c>
      <c r="E607" s="21" t="str">
        <f t="shared" si="4"/>
        <v>NSE:PHOENIXLTD</v>
      </c>
    </row>
    <row r="608" ht="15.75" customHeight="1">
      <c r="A608" s="23">
        <v>45476.0</v>
      </c>
      <c r="B608" s="20" t="s">
        <v>567</v>
      </c>
      <c r="C608" s="20" t="s">
        <v>16</v>
      </c>
      <c r="D608" s="20" t="s">
        <v>53</v>
      </c>
      <c r="E608" s="21" t="str">
        <f t="shared" si="4"/>
        <v>NSE:RUBYMILLS</v>
      </c>
    </row>
    <row r="609" ht="15.75" customHeight="1">
      <c r="A609" s="30">
        <v>45476.0</v>
      </c>
      <c r="B609" s="20" t="s">
        <v>568</v>
      </c>
      <c r="C609" s="20" t="s">
        <v>16</v>
      </c>
      <c r="D609" s="20" t="s">
        <v>156</v>
      </c>
      <c r="E609" s="21" t="str">
        <f t="shared" si="4"/>
        <v>NSE:NELCO</v>
      </c>
    </row>
    <row r="610" ht="15.75" customHeight="1">
      <c r="A610" s="30">
        <v>45476.0</v>
      </c>
      <c r="B610" s="20" t="s">
        <v>569</v>
      </c>
      <c r="C610" s="20" t="s">
        <v>21</v>
      </c>
      <c r="D610" s="20" t="s">
        <v>25</v>
      </c>
      <c r="E610" s="21" t="str">
        <f t="shared" si="4"/>
        <v>NSE:SARDAEN</v>
      </c>
    </row>
    <row r="611" ht="15.75" customHeight="1">
      <c r="A611" s="30">
        <v>45476.0</v>
      </c>
      <c r="B611" s="20" t="s">
        <v>570</v>
      </c>
      <c r="C611" s="20" t="s">
        <v>16</v>
      </c>
      <c r="D611" s="20" t="s">
        <v>29</v>
      </c>
      <c r="E611" s="21" t="str">
        <f t="shared" si="4"/>
        <v>NSE:HERCULES</v>
      </c>
    </row>
    <row r="612" ht="15.75" customHeight="1">
      <c r="A612" s="30">
        <v>45476.0</v>
      </c>
      <c r="B612" s="20" t="s">
        <v>571</v>
      </c>
      <c r="C612" s="20" t="s">
        <v>16</v>
      </c>
      <c r="D612" s="20" t="s">
        <v>64</v>
      </c>
      <c r="E612" s="21" t="str">
        <f t="shared" si="4"/>
        <v>NSE:KOTHARIPET</v>
      </c>
    </row>
    <row r="613" ht="15.75" customHeight="1">
      <c r="A613" s="30">
        <v>45476.0</v>
      </c>
      <c r="B613" s="20" t="s">
        <v>572</v>
      </c>
      <c r="C613" s="20" t="s">
        <v>16</v>
      </c>
      <c r="D613" s="20" t="s">
        <v>27</v>
      </c>
      <c r="E613" s="21" t="str">
        <f t="shared" si="4"/>
        <v>NSE:KHAICHEM</v>
      </c>
    </row>
    <row r="614" ht="15.75" customHeight="1">
      <c r="A614" s="30">
        <v>45476.0</v>
      </c>
      <c r="B614" s="20" t="s">
        <v>573</v>
      </c>
      <c r="C614" s="20" t="s">
        <v>16</v>
      </c>
      <c r="D614" s="20" t="s">
        <v>27</v>
      </c>
      <c r="E614" s="21" t="str">
        <f t="shared" si="4"/>
        <v>NSE:HIL</v>
      </c>
    </row>
    <row r="615" ht="15.75" customHeight="1">
      <c r="A615" s="30">
        <v>45476.0</v>
      </c>
      <c r="B615" s="20" t="s">
        <v>574</v>
      </c>
      <c r="C615" s="20" t="s">
        <v>16</v>
      </c>
      <c r="D615" s="20" t="s">
        <v>39</v>
      </c>
      <c r="E615" s="21" t="str">
        <f t="shared" si="4"/>
        <v>NSE:GICHSGFIN</v>
      </c>
    </row>
    <row r="616" ht="15.75" customHeight="1">
      <c r="A616" s="30">
        <v>45476.0</v>
      </c>
      <c r="B616" s="20" t="s">
        <v>171</v>
      </c>
      <c r="C616" s="20" t="s">
        <v>16</v>
      </c>
      <c r="D616" s="20" t="s">
        <v>39</v>
      </c>
      <c r="E616" s="21" t="str">
        <f t="shared" si="4"/>
        <v>NSE:MUTHOOTCAP</v>
      </c>
    </row>
    <row r="617" ht="15.75" customHeight="1">
      <c r="A617" s="30">
        <v>45476.0</v>
      </c>
      <c r="B617" s="20" t="s">
        <v>575</v>
      </c>
      <c r="C617" s="20" t="s">
        <v>21</v>
      </c>
      <c r="D617" s="20" t="s">
        <v>22</v>
      </c>
      <c r="E617" s="21" t="str">
        <f t="shared" si="4"/>
        <v>NSE:GMRP&amp;UI</v>
      </c>
    </row>
    <row r="618" ht="15.75" customHeight="1">
      <c r="A618" s="30">
        <v>45476.0</v>
      </c>
      <c r="B618" s="20" t="s">
        <v>576</v>
      </c>
      <c r="C618" s="20" t="s">
        <v>16</v>
      </c>
      <c r="D618" s="20" t="s">
        <v>25</v>
      </c>
      <c r="E618" s="21" t="str">
        <f t="shared" si="4"/>
        <v>NSE:HARIOMPIPE</v>
      </c>
    </row>
    <row r="619" ht="15.75" customHeight="1">
      <c r="A619" s="30">
        <v>45476.0</v>
      </c>
      <c r="B619" s="20" t="s">
        <v>341</v>
      </c>
      <c r="C619" s="20" t="s">
        <v>13</v>
      </c>
      <c r="D619" s="20" t="s">
        <v>27</v>
      </c>
      <c r="E619" s="21" t="str">
        <f t="shared" si="4"/>
        <v>NSE:LLOYDSME</v>
      </c>
    </row>
    <row r="620" ht="15.75" customHeight="1">
      <c r="A620" s="30">
        <v>45476.0</v>
      </c>
      <c r="B620" s="20" t="s">
        <v>577</v>
      </c>
      <c r="C620" s="20" t="s">
        <v>16</v>
      </c>
      <c r="D620" s="20" t="s">
        <v>55</v>
      </c>
      <c r="E620" s="21" t="str">
        <f t="shared" si="4"/>
        <v>NSE:STCINDIA</v>
      </c>
    </row>
    <row r="621" ht="15.75" customHeight="1">
      <c r="A621" s="30">
        <v>45476.0</v>
      </c>
      <c r="B621" s="20" t="s">
        <v>578</v>
      </c>
      <c r="C621" s="20" t="s">
        <v>21</v>
      </c>
      <c r="D621" s="20" t="s">
        <v>55</v>
      </c>
      <c r="E621" s="21" t="str">
        <f t="shared" si="4"/>
        <v>NSE:MMTC</v>
      </c>
    </row>
    <row r="622" ht="15.75" customHeight="1">
      <c r="A622" s="30">
        <v>45476.0</v>
      </c>
      <c r="B622" s="20" t="s">
        <v>275</v>
      </c>
      <c r="C622" s="20" t="s">
        <v>16</v>
      </c>
      <c r="D622" s="20" t="s">
        <v>37</v>
      </c>
      <c r="E622" s="21" t="str">
        <f t="shared" si="4"/>
        <v>NSE:MINDTECK</v>
      </c>
    </row>
    <row r="623" ht="15.75" customHeight="1">
      <c r="A623" s="30">
        <v>45476.0</v>
      </c>
      <c r="B623" s="20" t="s">
        <v>579</v>
      </c>
      <c r="C623" s="20" t="s">
        <v>16</v>
      </c>
      <c r="D623" s="20" t="s">
        <v>37</v>
      </c>
      <c r="E623" s="21" t="str">
        <f t="shared" si="4"/>
        <v>NSE:KELLTONTEC</v>
      </c>
    </row>
    <row r="624" ht="15.75" customHeight="1">
      <c r="A624" s="30">
        <v>45476.0</v>
      </c>
      <c r="B624" s="20" t="s">
        <v>580</v>
      </c>
      <c r="C624" s="20" t="s">
        <v>21</v>
      </c>
      <c r="D624" s="20" t="s">
        <v>17</v>
      </c>
      <c r="E624" s="21" t="str">
        <f t="shared" si="4"/>
        <v>NSE:JAMNAAUTO</v>
      </c>
    </row>
    <row r="625" ht="15.75" customHeight="1">
      <c r="A625" s="30">
        <v>45476.0</v>
      </c>
      <c r="B625" s="20" t="s">
        <v>581</v>
      </c>
      <c r="C625" s="20" t="s">
        <v>16</v>
      </c>
      <c r="D625" s="20" t="s">
        <v>17</v>
      </c>
      <c r="E625" s="21" t="str">
        <f t="shared" si="4"/>
        <v>NSE:ASAL</v>
      </c>
    </row>
    <row r="626" ht="15.75" customHeight="1">
      <c r="A626" s="30">
        <v>45476.0</v>
      </c>
      <c r="B626" s="20" t="s">
        <v>88</v>
      </c>
      <c r="C626" s="20" t="s">
        <v>16</v>
      </c>
      <c r="D626" s="20" t="s">
        <v>22</v>
      </c>
      <c r="E626" s="21" t="str">
        <f t="shared" si="4"/>
        <v>NSE:BLAL</v>
      </c>
    </row>
    <row r="627" ht="15.75" customHeight="1">
      <c r="A627" s="30">
        <v>45476.0</v>
      </c>
      <c r="B627" s="20" t="s">
        <v>582</v>
      </c>
      <c r="C627" s="20" t="s">
        <v>16</v>
      </c>
      <c r="D627" s="20" t="s">
        <v>25</v>
      </c>
      <c r="E627" s="21" t="str">
        <f t="shared" si="4"/>
        <v>NSE:PRECWIRE</v>
      </c>
    </row>
    <row r="628" ht="15.75" customHeight="1">
      <c r="A628" s="30">
        <v>45476.0</v>
      </c>
      <c r="B628" s="20" t="s">
        <v>583</v>
      </c>
      <c r="C628" s="20" t="s">
        <v>16</v>
      </c>
      <c r="D628" s="20" t="s">
        <v>27</v>
      </c>
      <c r="E628" s="21" t="str">
        <f t="shared" si="4"/>
        <v>NSE:APCOTEXIND</v>
      </c>
    </row>
    <row r="629" ht="15.75" customHeight="1">
      <c r="A629" s="30">
        <v>45476.0</v>
      </c>
      <c r="B629" s="20" t="s">
        <v>584</v>
      </c>
      <c r="C629" s="20" t="s">
        <v>16</v>
      </c>
      <c r="D629" s="20" t="s">
        <v>29</v>
      </c>
      <c r="E629" s="21" t="str">
        <f t="shared" si="4"/>
        <v>NSE:EIMCOELECO</v>
      </c>
    </row>
    <row r="630" ht="15.75" customHeight="1">
      <c r="A630" s="30">
        <v>45476.0</v>
      </c>
      <c r="B630" s="20" t="s">
        <v>139</v>
      </c>
      <c r="C630" s="20" t="s">
        <v>16</v>
      </c>
      <c r="D630" s="20" t="s">
        <v>19</v>
      </c>
      <c r="E630" s="21" t="str">
        <f t="shared" si="4"/>
        <v>NSE:IDEAFORGE</v>
      </c>
    </row>
    <row r="631" ht="15.75" customHeight="1">
      <c r="A631" s="30">
        <v>45476.0</v>
      </c>
      <c r="B631" s="20" t="s">
        <v>585</v>
      </c>
      <c r="C631" s="20" t="s">
        <v>16</v>
      </c>
      <c r="D631" s="20" t="s">
        <v>55</v>
      </c>
      <c r="E631" s="21" t="str">
        <f t="shared" si="4"/>
        <v>NSE:POLYPLEX</v>
      </c>
    </row>
    <row r="632" ht="15.75" customHeight="1">
      <c r="A632" s="30">
        <v>45476.0</v>
      </c>
      <c r="B632" s="20" t="s">
        <v>586</v>
      </c>
      <c r="C632" s="20" t="s">
        <v>16</v>
      </c>
      <c r="D632" s="20" t="s">
        <v>14</v>
      </c>
      <c r="E632" s="21" t="str">
        <f t="shared" si="4"/>
        <v>NSE:WANBURY</v>
      </c>
    </row>
    <row r="633" ht="15.75" customHeight="1">
      <c r="A633" s="30">
        <v>45476.0</v>
      </c>
      <c r="B633" s="20" t="s">
        <v>587</v>
      </c>
      <c r="C633" s="20" t="s">
        <v>21</v>
      </c>
      <c r="D633" s="20" t="s">
        <v>27</v>
      </c>
      <c r="E633" s="21" t="str">
        <f t="shared" si="4"/>
        <v>NSE:RCF</v>
      </c>
    </row>
    <row r="634" ht="15.75" customHeight="1">
      <c r="A634" s="30">
        <v>45476.0</v>
      </c>
      <c r="B634" s="20" t="s">
        <v>588</v>
      </c>
      <c r="C634" s="20" t="s">
        <v>16</v>
      </c>
      <c r="D634" s="20" t="s">
        <v>27</v>
      </c>
      <c r="E634" s="21" t="str">
        <f t="shared" si="4"/>
        <v>NSE:JAYAGROGN</v>
      </c>
    </row>
    <row r="635" ht="15.75" customHeight="1">
      <c r="A635" s="30">
        <v>45476.0</v>
      </c>
      <c r="B635" s="20" t="s">
        <v>589</v>
      </c>
      <c r="C635" s="20" t="s">
        <v>21</v>
      </c>
      <c r="D635" s="20" t="s">
        <v>55</v>
      </c>
      <c r="E635" s="21" t="str">
        <f t="shared" si="4"/>
        <v>NSE:TVSSCS</v>
      </c>
    </row>
    <row r="636" ht="15.75" customHeight="1">
      <c r="A636" s="30">
        <v>45476.0</v>
      </c>
      <c r="B636" s="20" t="s">
        <v>590</v>
      </c>
      <c r="C636" s="20" t="s">
        <v>13</v>
      </c>
      <c r="D636" s="20" t="s">
        <v>29</v>
      </c>
      <c r="E636" s="21" t="str">
        <f t="shared" si="4"/>
        <v>NSE:DMART</v>
      </c>
    </row>
    <row r="637" ht="15.75" customHeight="1">
      <c r="A637" s="30">
        <v>45476.0</v>
      </c>
      <c r="B637" s="20" t="s">
        <v>591</v>
      </c>
      <c r="C637" s="20" t="s">
        <v>13</v>
      </c>
      <c r="D637" s="20" t="s">
        <v>39</v>
      </c>
      <c r="E637" s="21" t="str">
        <f t="shared" si="4"/>
        <v>NSE:HUDCO</v>
      </c>
    </row>
    <row r="638" ht="15.75" customHeight="1">
      <c r="A638" s="30">
        <v>45476.0</v>
      </c>
      <c r="B638" s="20" t="s">
        <v>592</v>
      </c>
      <c r="C638" s="20" t="s">
        <v>16</v>
      </c>
      <c r="D638" s="20" t="s">
        <v>29</v>
      </c>
      <c r="E638" s="21" t="str">
        <f t="shared" si="4"/>
        <v>NSE:AVADHSUGAR</v>
      </c>
    </row>
    <row r="639" ht="15.75" customHeight="1">
      <c r="A639" s="30">
        <v>45476.0</v>
      </c>
      <c r="B639" s="20" t="s">
        <v>593</v>
      </c>
      <c r="C639" s="20" t="s">
        <v>16</v>
      </c>
      <c r="D639" s="20" t="s">
        <v>31</v>
      </c>
      <c r="E639" s="21" t="str">
        <f t="shared" si="4"/>
        <v>NSE:APEX</v>
      </c>
    </row>
    <row r="640" ht="15.75" customHeight="1">
      <c r="A640" s="30">
        <v>45476.0</v>
      </c>
      <c r="B640" s="20" t="s">
        <v>594</v>
      </c>
      <c r="C640" s="20" t="s">
        <v>21</v>
      </c>
      <c r="D640" s="20" t="s">
        <v>27</v>
      </c>
      <c r="E640" s="21" t="str">
        <f t="shared" si="4"/>
        <v>NSE:RRKABEL</v>
      </c>
    </row>
    <row r="641" ht="15.75" customHeight="1">
      <c r="A641" s="30">
        <v>45476.0</v>
      </c>
      <c r="B641" s="20" t="s">
        <v>595</v>
      </c>
      <c r="C641" s="20" t="s">
        <v>16</v>
      </c>
      <c r="D641" s="20" t="s">
        <v>14</v>
      </c>
      <c r="E641" s="21" t="str">
        <f t="shared" si="4"/>
        <v>NSE:NGLFINE</v>
      </c>
    </row>
    <row r="642" ht="15.75" customHeight="1">
      <c r="A642" s="30">
        <v>45476.0</v>
      </c>
      <c r="B642" s="20" t="s">
        <v>596</v>
      </c>
      <c r="C642" s="20" t="s">
        <v>16</v>
      </c>
      <c r="D642" s="20" t="s">
        <v>55</v>
      </c>
      <c r="E642" s="21" t="str">
        <f t="shared" si="4"/>
        <v>NSE:ZOTA</v>
      </c>
    </row>
    <row r="643" ht="15.75" customHeight="1">
      <c r="A643" s="30">
        <v>45476.0</v>
      </c>
      <c r="B643" s="20" t="s">
        <v>597</v>
      </c>
      <c r="C643" s="20" t="s">
        <v>21</v>
      </c>
      <c r="D643" s="20" t="s">
        <v>31</v>
      </c>
      <c r="E643" s="21" t="str">
        <f t="shared" si="4"/>
        <v>NSE:MAXESTATES</v>
      </c>
    </row>
    <row r="644" ht="15.75" customHeight="1">
      <c r="A644" s="30">
        <v>45476.0</v>
      </c>
      <c r="B644" s="20" t="s">
        <v>598</v>
      </c>
      <c r="C644" s="20" t="s">
        <v>13</v>
      </c>
      <c r="D644" s="20" t="s">
        <v>55</v>
      </c>
      <c r="E644" s="21" t="str">
        <f t="shared" si="4"/>
        <v>NSE:GICRE</v>
      </c>
    </row>
    <row r="645" ht="15.75" customHeight="1">
      <c r="A645" s="30">
        <v>45476.0</v>
      </c>
      <c r="B645" s="20" t="s">
        <v>599</v>
      </c>
      <c r="C645" s="20" t="s">
        <v>16</v>
      </c>
      <c r="D645" s="20" t="s">
        <v>29</v>
      </c>
      <c r="E645" s="21" t="str">
        <f t="shared" si="4"/>
        <v>NSE:ICEMAKE</v>
      </c>
    </row>
    <row r="646" ht="15.75" customHeight="1">
      <c r="A646" s="30">
        <v>45476.0</v>
      </c>
      <c r="B646" s="20" t="s">
        <v>600</v>
      </c>
      <c r="C646" s="20" t="s">
        <v>21</v>
      </c>
      <c r="D646" s="20" t="s">
        <v>27</v>
      </c>
      <c r="E646" s="21" t="str">
        <f t="shared" si="4"/>
        <v>NSE:GUJALKALI</v>
      </c>
    </row>
    <row r="647" ht="15.75" customHeight="1">
      <c r="A647" s="30">
        <v>45476.0</v>
      </c>
      <c r="B647" s="20" t="s">
        <v>181</v>
      </c>
      <c r="C647" s="20" t="s">
        <v>16</v>
      </c>
      <c r="D647" s="20" t="s">
        <v>55</v>
      </c>
      <c r="E647" s="21" t="str">
        <f t="shared" si="4"/>
        <v>NSE:RPTECH</v>
      </c>
    </row>
    <row r="648" ht="15.75" customHeight="1">
      <c r="A648" s="30">
        <v>45476.0</v>
      </c>
      <c r="B648" s="20" t="s">
        <v>601</v>
      </c>
      <c r="C648" s="20" t="s">
        <v>13</v>
      </c>
      <c r="D648" s="20" t="s">
        <v>185</v>
      </c>
      <c r="E648" s="21" t="str">
        <f t="shared" si="4"/>
        <v>NSE:BANDHANBNK</v>
      </c>
    </row>
    <row r="649" ht="15.75" customHeight="1">
      <c r="A649" s="30">
        <v>45476.0</v>
      </c>
      <c r="B649" s="20" t="s">
        <v>602</v>
      </c>
      <c r="C649" s="20" t="s">
        <v>21</v>
      </c>
      <c r="D649" s="20" t="s">
        <v>29</v>
      </c>
      <c r="E649" s="21" t="str">
        <f t="shared" si="4"/>
        <v>NSE:ENTERO</v>
      </c>
    </row>
    <row r="650" ht="15.75" customHeight="1">
      <c r="A650" s="30">
        <v>45476.0</v>
      </c>
      <c r="B650" s="20" t="s">
        <v>603</v>
      </c>
      <c r="C650" s="20" t="s">
        <v>21</v>
      </c>
      <c r="D650" s="20" t="s">
        <v>19</v>
      </c>
      <c r="E650" s="21" t="str">
        <f t="shared" si="4"/>
        <v>NSE:MIDHANI</v>
      </c>
    </row>
    <row r="651" ht="15.75" customHeight="1">
      <c r="A651" s="30">
        <v>45476.0</v>
      </c>
      <c r="B651" s="20" t="s">
        <v>604</v>
      </c>
      <c r="C651" s="20" t="s">
        <v>16</v>
      </c>
      <c r="D651" s="20" t="s">
        <v>27</v>
      </c>
      <c r="E651" s="21" t="str">
        <f t="shared" si="4"/>
        <v>NSE:ORIENTBELL</v>
      </c>
    </row>
    <row r="652" ht="15.75" customHeight="1">
      <c r="A652" s="30">
        <v>45476.0</v>
      </c>
      <c r="B652" s="20" t="s">
        <v>605</v>
      </c>
      <c r="C652" s="20" t="s">
        <v>16</v>
      </c>
      <c r="D652" s="20" t="s">
        <v>55</v>
      </c>
      <c r="E652" s="21" t="str">
        <f t="shared" si="4"/>
        <v>NSE:PVSL</v>
      </c>
    </row>
    <row r="653" ht="15.75" customHeight="1">
      <c r="A653" s="30">
        <v>45476.0</v>
      </c>
      <c r="B653" s="20" t="s">
        <v>606</v>
      </c>
      <c r="C653" s="20" t="s">
        <v>21</v>
      </c>
      <c r="D653" s="20" t="s">
        <v>14</v>
      </c>
      <c r="E653" s="21" t="str">
        <f t="shared" si="4"/>
        <v>NSE:SHILPAMED</v>
      </c>
    </row>
    <row r="654" ht="15.75" customHeight="1">
      <c r="A654" s="30">
        <v>45476.0</v>
      </c>
      <c r="B654" s="20" t="s">
        <v>252</v>
      </c>
      <c r="C654" s="20" t="s">
        <v>16</v>
      </c>
      <c r="D654" s="20" t="s">
        <v>14</v>
      </c>
      <c r="E654" s="21" t="str">
        <f t="shared" si="4"/>
        <v>NSE:ZIMLAB</v>
      </c>
    </row>
    <row r="655" ht="15.75" customHeight="1">
      <c r="A655" s="30">
        <v>45476.0</v>
      </c>
      <c r="B655" s="20" t="s">
        <v>607</v>
      </c>
      <c r="C655" s="20" t="s">
        <v>16</v>
      </c>
      <c r="D655" s="20" t="s">
        <v>22</v>
      </c>
      <c r="E655" s="21" t="str">
        <f t="shared" si="4"/>
        <v>NSE:OMINFRAL</v>
      </c>
    </row>
    <row r="656" ht="15.75" customHeight="1">
      <c r="A656" s="30">
        <v>45476.0</v>
      </c>
      <c r="B656" s="20" t="s">
        <v>608</v>
      </c>
      <c r="C656" s="20" t="s">
        <v>16</v>
      </c>
      <c r="D656" s="20" t="s">
        <v>29</v>
      </c>
      <c r="E656" s="21" t="str">
        <f t="shared" si="4"/>
        <v>NSE:GRMOVER</v>
      </c>
    </row>
    <row r="657" ht="15.75" customHeight="1">
      <c r="A657" s="30">
        <v>45476.0</v>
      </c>
      <c r="B657" s="20" t="s">
        <v>609</v>
      </c>
      <c r="C657" s="20" t="s">
        <v>16</v>
      </c>
      <c r="D657" s="20" t="s">
        <v>31</v>
      </c>
      <c r="E657" s="21" t="str">
        <f t="shared" si="4"/>
        <v>NSE:EVEREADY</v>
      </c>
    </row>
    <row r="658" ht="15.75" customHeight="1">
      <c r="A658" s="30">
        <v>45476.0</v>
      </c>
      <c r="B658" s="20" t="s">
        <v>610</v>
      </c>
      <c r="C658" s="20" t="s">
        <v>16</v>
      </c>
      <c r="D658" s="20" t="s">
        <v>64</v>
      </c>
      <c r="E658" s="21" t="str">
        <f t="shared" si="4"/>
        <v>NSE:AGARIND</v>
      </c>
    </row>
    <row r="659" ht="15.75" customHeight="1">
      <c r="A659" s="30">
        <v>45476.0</v>
      </c>
      <c r="B659" s="20" t="s">
        <v>611</v>
      </c>
      <c r="C659" s="20" t="s">
        <v>21</v>
      </c>
      <c r="D659" s="20" t="s">
        <v>27</v>
      </c>
      <c r="E659" s="21" t="str">
        <f t="shared" si="4"/>
        <v>NSE:BORORENEW</v>
      </c>
    </row>
    <row r="660" ht="15.75" customHeight="1">
      <c r="A660" s="30">
        <v>45476.0</v>
      </c>
      <c r="B660" s="20" t="s">
        <v>257</v>
      </c>
      <c r="C660" s="20" t="s">
        <v>13</v>
      </c>
      <c r="D660" s="20" t="s">
        <v>27</v>
      </c>
      <c r="E660" s="21" t="str">
        <f t="shared" si="4"/>
        <v>NSE:MAZDOCK</v>
      </c>
    </row>
    <row r="661" ht="15.75" customHeight="1">
      <c r="A661" s="30">
        <v>45476.0</v>
      </c>
      <c r="B661" s="20" t="s">
        <v>612</v>
      </c>
      <c r="C661" s="20" t="s">
        <v>13</v>
      </c>
      <c r="D661" s="20" t="s">
        <v>29</v>
      </c>
      <c r="E661" s="21" t="str">
        <f t="shared" si="4"/>
        <v>NSE:APARINDS</v>
      </c>
    </row>
    <row r="662" ht="15.75" customHeight="1">
      <c r="A662" s="30">
        <v>45476.0</v>
      </c>
      <c r="B662" s="20" t="s">
        <v>613</v>
      </c>
      <c r="C662" s="20" t="s">
        <v>16</v>
      </c>
      <c r="D662" s="20" t="s">
        <v>27</v>
      </c>
      <c r="E662" s="21" t="str">
        <f t="shared" si="4"/>
        <v>NSE:RAMCOIND</v>
      </c>
    </row>
    <row r="663" ht="15.75" customHeight="1">
      <c r="A663" s="30">
        <v>45476.0</v>
      </c>
      <c r="B663" s="20" t="s">
        <v>614</v>
      </c>
      <c r="C663" s="20" t="s">
        <v>21</v>
      </c>
      <c r="D663" s="20" t="s">
        <v>27</v>
      </c>
      <c r="E663" s="21" t="str">
        <f t="shared" si="4"/>
        <v>NSE:NAVINFLUOR</v>
      </c>
    </row>
    <row r="664" ht="15.75" customHeight="1">
      <c r="A664" s="30">
        <v>45476.0</v>
      </c>
      <c r="B664" s="20" t="s">
        <v>615</v>
      </c>
      <c r="C664" s="20" t="s">
        <v>21</v>
      </c>
      <c r="D664" s="20" t="s">
        <v>27</v>
      </c>
      <c r="E664" s="21" t="str">
        <f t="shared" si="4"/>
        <v>NSE:RKFORGE</v>
      </c>
    </row>
    <row r="665" ht="15.75" customHeight="1">
      <c r="A665" s="30">
        <v>45476.0</v>
      </c>
      <c r="B665" s="20" t="s">
        <v>616</v>
      </c>
      <c r="C665" s="20" t="s">
        <v>16</v>
      </c>
      <c r="D665" s="20" t="s">
        <v>37</v>
      </c>
      <c r="E665" s="21" t="str">
        <f t="shared" si="4"/>
        <v>NSE:AURIONPRO</v>
      </c>
    </row>
    <row r="666" ht="15.75" customHeight="1">
      <c r="A666" s="30">
        <v>45476.0</v>
      </c>
      <c r="B666" s="20" t="s">
        <v>147</v>
      </c>
      <c r="C666" s="20" t="s">
        <v>13</v>
      </c>
      <c r="D666" s="20" t="s">
        <v>31</v>
      </c>
      <c r="E666" s="21" t="str">
        <f t="shared" si="4"/>
        <v>NSE:POWERGRID</v>
      </c>
    </row>
    <row r="667" ht="15.75" customHeight="1">
      <c r="A667" s="30">
        <v>45476.0</v>
      </c>
      <c r="B667" s="20" t="s">
        <v>261</v>
      </c>
      <c r="C667" s="20" t="s">
        <v>13</v>
      </c>
      <c r="D667" s="20" t="s">
        <v>27</v>
      </c>
      <c r="E667" s="21" t="str">
        <f t="shared" si="4"/>
        <v>NSE:ADANIPORTS</v>
      </c>
    </row>
    <row r="668" ht="15.75" customHeight="1">
      <c r="A668" s="30">
        <v>45476.0</v>
      </c>
      <c r="B668" s="20" t="s">
        <v>617</v>
      </c>
      <c r="C668" s="20" t="s">
        <v>21</v>
      </c>
      <c r="D668" s="20" t="s">
        <v>22</v>
      </c>
      <c r="E668" s="21" t="str">
        <f t="shared" si="4"/>
        <v>NSE:ISGEC</v>
      </c>
    </row>
    <row r="669" ht="15.75" customHeight="1">
      <c r="A669" s="30">
        <v>45476.0</v>
      </c>
      <c r="B669" s="20" t="s">
        <v>618</v>
      </c>
      <c r="C669" s="20" t="s">
        <v>21</v>
      </c>
      <c r="D669" s="20" t="s">
        <v>22</v>
      </c>
      <c r="E669" s="21" t="str">
        <f t="shared" si="4"/>
        <v>NSE:RAMKY</v>
      </c>
    </row>
    <row r="670" ht="15.75" customHeight="1">
      <c r="A670" s="30">
        <v>45476.0</v>
      </c>
      <c r="B670" s="20" t="s">
        <v>232</v>
      </c>
      <c r="C670" s="20" t="s">
        <v>21</v>
      </c>
      <c r="D670" s="20" t="s">
        <v>29</v>
      </c>
      <c r="E670" s="21" t="str">
        <f t="shared" si="4"/>
        <v>NSE:TRITURBINE</v>
      </c>
    </row>
    <row r="671" ht="15.75" customHeight="1">
      <c r="A671" s="30">
        <v>45476.0</v>
      </c>
      <c r="B671" s="20" t="s">
        <v>290</v>
      </c>
      <c r="C671" s="20" t="s">
        <v>16</v>
      </c>
      <c r="D671" s="20" t="s">
        <v>39</v>
      </c>
      <c r="E671" s="21" t="str">
        <f t="shared" si="4"/>
        <v>NSE:SRGHFL</v>
      </c>
    </row>
    <row r="672" ht="15.75" customHeight="1">
      <c r="A672" s="30">
        <v>45476.0</v>
      </c>
      <c r="B672" s="20" t="s">
        <v>233</v>
      </c>
      <c r="C672" s="20" t="s">
        <v>21</v>
      </c>
      <c r="D672" s="20" t="s">
        <v>22</v>
      </c>
      <c r="E672" s="21" t="str">
        <f t="shared" si="4"/>
        <v>NSE:GRINFRA</v>
      </c>
    </row>
    <row r="673" ht="15.75" customHeight="1">
      <c r="A673" s="30">
        <v>45476.0</v>
      </c>
      <c r="B673" s="20" t="s">
        <v>619</v>
      </c>
      <c r="C673" s="20" t="s">
        <v>21</v>
      </c>
      <c r="D673" s="20" t="s">
        <v>14</v>
      </c>
      <c r="E673" s="21" t="str">
        <f t="shared" si="4"/>
        <v>NSE:AMIORG</v>
      </c>
    </row>
    <row r="674" ht="15.75" customHeight="1">
      <c r="A674" s="30">
        <v>45476.0</v>
      </c>
      <c r="B674" s="20" t="s">
        <v>620</v>
      </c>
      <c r="C674" s="20" t="s">
        <v>16</v>
      </c>
      <c r="D674" s="20" t="s">
        <v>19</v>
      </c>
      <c r="E674" s="21" t="str">
        <f t="shared" si="4"/>
        <v>NSE:PARAS</v>
      </c>
    </row>
    <row r="675" ht="15.75" customHeight="1">
      <c r="A675" s="30">
        <v>45476.0</v>
      </c>
      <c r="B675" s="20" t="s">
        <v>621</v>
      </c>
      <c r="C675" s="20" t="s">
        <v>21</v>
      </c>
      <c r="D675" s="20" t="s">
        <v>107</v>
      </c>
      <c r="E675" s="21" t="str">
        <f t="shared" si="4"/>
        <v>NSE:SAPPHIRE</v>
      </c>
    </row>
    <row r="676" ht="15.75" customHeight="1">
      <c r="A676" s="30">
        <v>45476.0</v>
      </c>
      <c r="B676" s="20" t="s">
        <v>126</v>
      </c>
      <c r="C676" s="20" t="s">
        <v>16</v>
      </c>
      <c r="D676" s="20" t="s">
        <v>53</v>
      </c>
      <c r="E676" s="21" t="str">
        <f t="shared" si="4"/>
        <v>NSE:MONTECARLO</v>
      </c>
    </row>
    <row r="677" ht="15.75" customHeight="1">
      <c r="A677" s="30">
        <v>45476.0</v>
      </c>
      <c r="B677" s="20" t="s">
        <v>622</v>
      </c>
      <c r="C677" s="20" t="s">
        <v>16</v>
      </c>
      <c r="D677" s="20" t="s">
        <v>55</v>
      </c>
      <c r="E677" s="21" t="str">
        <f t="shared" si="4"/>
        <v>NSE:NAVKARCORP</v>
      </c>
    </row>
    <row r="678" ht="15.75" customHeight="1">
      <c r="A678" s="30">
        <v>45476.0</v>
      </c>
      <c r="B678" s="20" t="s">
        <v>623</v>
      </c>
      <c r="C678" s="20" t="s">
        <v>16</v>
      </c>
      <c r="D678" s="20" t="s">
        <v>27</v>
      </c>
      <c r="E678" s="21" t="str">
        <f t="shared" si="4"/>
        <v>NSE:VALIANTORG</v>
      </c>
    </row>
    <row r="679" ht="15.75" customHeight="1">
      <c r="A679" s="30">
        <v>45477.0</v>
      </c>
      <c r="B679" s="20" t="s">
        <v>237</v>
      </c>
      <c r="C679" s="20" t="s">
        <v>13</v>
      </c>
      <c r="D679" s="20" t="s">
        <v>55</v>
      </c>
      <c r="E679" s="21" t="str">
        <f t="shared" si="4"/>
        <v>NSE:AEGISLOG</v>
      </c>
    </row>
    <row r="680" ht="15.75" customHeight="1">
      <c r="A680" s="30">
        <v>45477.0</v>
      </c>
      <c r="B680" s="20" t="s">
        <v>624</v>
      </c>
      <c r="C680" s="20" t="s">
        <v>16</v>
      </c>
      <c r="D680" s="20" t="s">
        <v>27</v>
      </c>
      <c r="E680" s="21" t="str">
        <f t="shared" si="4"/>
        <v>NSE:SPIC</v>
      </c>
    </row>
    <row r="681" ht="15.75" customHeight="1">
      <c r="A681" s="30">
        <v>45477.0</v>
      </c>
      <c r="B681" s="20" t="s">
        <v>625</v>
      </c>
      <c r="C681" s="20" t="s">
        <v>16</v>
      </c>
      <c r="D681" s="20" t="s">
        <v>27</v>
      </c>
      <c r="E681" s="21" t="str">
        <f t="shared" si="4"/>
        <v>NSE:MADRASFERT</v>
      </c>
    </row>
    <row r="682" ht="15.75" customHeight="1">
      <c r="A682" s="30">
        <v>45477.0</v>
      </c>
      <c r="B682" s="20" t="s">
        <v>305</v>
      </c>
      <c r="C682" s="20" t="s">
        <v>13</v>
      </c>
      <c r="D682" s="20" t="s">
        <v>27</v>
      </c>
      <c r="E682" s="21" t="str">
        <f t="shared" si="4"/>
        <v>NSE:KAJARIACER</v>
      </c>
    </row>
    <row r="683" ht="15.75" customHeight="1">
      <c r="A683" s="30">
        <v>45477.0</v>
      </c>
      <c r="B683" s="20" t="s">
        <v>626</v>
      </c>
      <c r="C683" s="20" t="s">
        <v>13</v>
      </c>
      <c r="D683" s="20" t="s">
        <v>185</v>
      </c>
      <c r="E683" s="21" t="str">
        <f t="shared" si="4"/>
        <v>NSE:KOTAKBANK</v>
      </c>
    </row>
    <row r="684" ht="15.75" customHeight="1">
      <c r="A684" s="30">
        <v>45477.0</v>
      </c>
      <c r="B684" s="20" t="s">
        <v>306</v>
      </c>
      <c r="C684" s="20" t="s">
        <v>13</v>
      </c>
      <c r="D684" s="20" t="s">
        <v>29</v>
      </c>
      <c r="E684" s="21" t="str">
        <f t="shared" si="4"/>
        <v>NSE:TRENT</v>
      </c>
    </row>
    <row r="685" ht="15.75" customHeight="1">
      <c r="A685" s="30">
        <v>45477.0</v>
      </c>
      <c r="B685" s="20" t="s">
        <v>627</v>
      </c>
      <c r="C685" s="20" t="s">
        <v>21</v>
      </c>
      <c r="D685" s="20" t="s">
        <v>39</v>
      </c>
      <c r="E685" s="21" t="str">
        <f t="shared" si="4"/>
        <v>NSE:MAHSCOOTER</v>
      </c>
    </row>
    <row r="686" ht="15.75" customHeight="1">
      <c r="A686" s="30">
        <v>45477.0</v>
      </c>
      <c r="B686" s="20" t="s">
        <v>167</v>
      </c>
      <c r="C686" s="20" t="s">
        <v>13</v>
      </c>
      <c r="D686" s="20" t="s">
        <v>17</v>
      </c>
      <c r="E686" s="21" t="str">
        <f t="shared" si="4"/>
        <v>NSE:BOSCHLTD</v>
      </c>
    </row>
    <row r="687" ht="15.75" customHeight="1">
      <c r="A687" s="30">
        <v>45477.0</v>
      </c>
      <c r="B687" s="20" t="s">
        <v>628</v>
      </c>
      <c r="C687" s="20" t="s">
        <v>21</v>
      </c>
      <c r="D687" s="20" t="s">
        <v>27</v>
      </c>
      <c r="E687" s="21" t="str">
        <f t="shared" si="4"/>
        <v>NSE:AKZOINDIA</v>
      </c>
    </row>
    <row r="688" ht="15.75" customHeight="1">
      <c r="A688" s="30">
        <v>45477.0</v>
      </c>
      <c r="B688" s="20" t="s">
        <v>629</v>
      </c>
      <c r="C688" s="20" t="s">
        <v>21</v>
      </c>
      <c r="D688" s="20" t="s">
        <v>27</v>
      </c>
      <c r="E688" s="21" t="str">
        <f t="shared" si="4"/>
        <v>NSE:DHANUKA</v>
      </c>
    </row>
    <row r="689" ht="15.75" customHeight="1">
      <c r="A689" s="30">
        <v>45477.0</v>
      </c>
      <c r="B689" s="20" t="s">
        <v>630</v>
      </c>
      <c r="C689" s="20" t="s">
        <v>13</v>
      </c>
      <c r="D689" s="20" t="s">
        <v>14</v>
      </c>
      <c r="E689" s="21" t="str">
        <f t="shared" si="4"/>
        <v>NSE:APOLLOHOSP</v>
      </c>
    </row>
    <row r="690" ht="15.75" customHeight="1">
      <c r="A690" s="30">
        <v>45477.0</v>
      </c>
      <c r="B690" s="20" t="s">
        <v>631</v>
      </c>
      <c r="C690" s="20" t="s">
        <v>16</v>
      </c>
      <c r="D690" s="20" t="s">
        <v>55</v>
      </c>
      <c r="E690" s="21" t="str">
        <f t="shared" si="4"/>
        <v>NSE:HUHTAMAKI</v>
      </c>
    </row>
    <row r="691" ht="15.75" customHeight="1">
      <c r="A691" s="30">
        <v>45477.0</v>
      </c>
      <c r="B691" s="20" t="s">
        <v>174</v>
      </c>
      <c r="C691" s="20" t="s">
        <v>13</v>
      </c>
      <c r="D691" s="20" t="s">
        <v>29</v>
      </c>
      <c r="E691" s="21" t="str">
        <f t="shared" si="4"/>
        <v>NSE:KAYNES</v>
      </c>
    </row>
    <row r="692" ht="15.75" customHeight="1">
      <c r="A692" s="30">
        <v>45477.0</v>
      </c>
      <c r="B692" s="20" t="s">
        <v>632</v>
      </c>
      <c r="C692" s="20" t="s">
        <v>21</v>
      </c>
      <c r="D692" s="20" t="s">
        <v>29</v>
      </c>
      <c r="E692" s="21" t="str">
        <f t="shared" si="4"/>
        <v>NSE:HNDFDS</v>
      </c>
    </row>
    <row r="693" ht="15.75" customHeight="1">
      <c r="A693" s="30">
        <v>45477.0</v>
      </c>
      <c r="B693" s="20" t="s">
        <v>486</v>
      </c>
      <c r="C693" s="20" t="s">
        <v>16</v>
      </c>
      <c r="D693" s="20" t="s">
        <v>29</v>
      </c>
      <c r="E693" s="21" t="str">
        <f t="shared" si="4"/>
        <v>NSE:KITEX</v>
      </c>
    </row>
    <row r="694" ht="15.75" customHeight="1">
      <c r="A694" s="30">
        <v>45477.0</v>
      </c>
      <c r="B694" s="20" t="s">
        <v>633</v>
      </c>
      <c r="C694" s="20" t="s">
        <v>16</v>
      </c>
      <c r="D694" s="20" t="s">
        <v>29</v>
      </c>
      <c r="E694" s="21" t="str">
        <f t="shared" si="4"/>
        <v>NSE:WINDMACHIN</v>
      </c>
    </row>
    <row r="695" ht="15.75" customHeight="1">
      <c r="A695" s="30">
        <v>45477.0</v>
      </c>
      <c r="B695" s="20" t="s">
        <v>634</v>
      </c>
      <c r="C695" s="20" t="s">
        <v>16</v>
      </c>
      <c r="D695" s="20" t="s">
        <v>29</v>
      </c>
      <c r="E695" s="21" t="str">
        <f t="shared" si="4"/>
        <v>NSE:HONDAPOWER</v>
      </c>
    </row>
    <row r="696" ht="15.75" customHeight="1">
      <c r="A696" s="30">
        <v>45477.0</v>
      </c>
      <c r="B696" s="20" t="s">
        <v>635</v>
      </c>
      <c r="C696" s="20" t="s">
        <v>21</v>
      </c>
      <c r="D696" s="20" t="s">
        <v>27</v>
      </c>
      <c r="E696" s="21" t="str">
        <f t="shared" si="4"/>
        <v>NSE:NFL</v>
      </c>
    </row>
    <row r="697" ht="15.75" customHeight="1">
      <c r="A697" s="30">
        <v>45477.0</v>
      </c>
      <c r="B697" s="20" t="s">
        <v>636</v>
      </c>
      <c r="C697" s="20" t="s">
        <v>16</v>
      </c>
      <c r="D697" s="20" t="s">
        <v>55</v>
      </c>
      <c r="E697" s="21" t="str">
        <f t="shared" si="4"/>
        <v>NSE:VINYLINDIA</v>
      </c>
    </row>
    <row r="698" ht="15.75" customHeight="1">
      <c r="A698" s="30">
        <v>45477.0</v>
      </c>
      <c r="B698" s="20" t="s">
        <v>637</v>
      </c>
      <c r="C698" s="20" t="s">
        <v>13</v>
      </c>
      <c r="D698" s="20" t="s">
        <v>27</v>
      </c>
      <c r="E698" s="21" t="str">
        <f t="shared" si="4"/>
        <v>NSE:VINATIORGA</v>
      </c>
    </row>
    <row r="699" ht="15.75" customHeight="1">
      <c r="A699" s="30">
        <v>45477.0</v>
      </c>
      <c r="B699" s="20" t="s">
        <v>638</v>
      </c>
      <c r="C699" s="20" t="s">
        <v>21</v>
      </c>
      <c r="D699" s="20" t="s">
        <v>14</v>
      </c>
      <c r="E699" s="21" t="str">
        <f t="shared" si="4"/>
        <v>NSE:BLUEJET</v>
      </c>
    </row>
    <row r="700" ht="15.75" customHeight="1">
      <c r="A700" s="30">
        <v>45477.0</v>
      </c>
      <c r="B700" s="20" t="s">
        <v>639</v>
      </c>
      <c r="C700" s="20" t="s">
        <v>16</v>
      </c>
      <c r="D700" s="20" t="s">
        <v>55</v>
      </c>
      <c r="E700" s="21" t="str">
        <f t="shared" si="4"/>
        <v>NSE:TPLPLASTEH</v>
      </c>
    </row>
    <row r="701" ht="15.75" customHeight="1">
      <c r="A701" s="30">
        <v>45477.0</v>
      </c>
      <c r="B701" s="20" t="s">
        <v>640</v>
      </c>
      <c r="C701" s="20" t="s">
        <v>21</v>
      </c>
      <c r="D701" s="20" t="s">
        <v>39</v>
      </c>
      <c r="E701" s="21" t="str">
        <f t="shared" si="4"/>
        <v>NSE:INDIASHLTR</v>
      </c>
    </row>
    <row r="702" ht="15.75" customHeight="1">
      <c r="A702" s="30">
        <v>45477.0</v>
      </c>
      <c r="B702" s="20" t="s">
        <v>641</v>
      </c>
      <c r="C702" s="20" t="s">
        <v>13</v>
      </c>
      <c r="D702" s="20" t="s">
        <v>25</v>
      </c>
      <c r="E702" s="21" t="str">
        <f t="shared" si="4"/>
        <v>NSE:TIINDIA</v>
      </c>
    </row>
    <row r="703" ht="15.75" customHeight="1">
      <c r="A703" s="30">
        <v>45477.0</v>
      </c>
      <c r="B703" s="20" t="s">
        <v>642</v>
      </c>
      <c r="C703" s="20" t="s">
        <v>13</v>
      </c>
      <c r="D703" s="20" t="s">
        <v>55</v>
      </c>
      <c r="E703" s="21" t="str">
        <f t="shared" si="4"/>
        <v>NSE:HDFCLIFE</v>
      </c>
    </row>
    <row r="704" ht="15.75" customHeight="1">
      <c r="A704" s="30">
        <v>45477.0</v>
      </c>
      <c r="B704" s="20" t="s">
        <v>643</v>
      </c>
      <c r="C704" s="20" t="s">
        <v>16</v>
      </c>
      <c r="D704" s="20" t="s">
        <v>14</v>
      </c>
      <c r="E704" s="21" t="str">
        <f t="shared" si="4"/>
        <v>NSE:INNOVACAP</v>
      </c>
    </row>
    <row r="705" ht="15.75" customHeight="1">
      <c r="A705" s="30">
        <v>45477.0</v>
      </c>
      <c r="B705" s="20" t="s">
        <v>213</v>
      </c>
      <c r="C705" s="20" t="s">
        <v>21</v>
      </c>
      <c r="D705" s="20" t="s">
        <v>27</v>
      </c>
      <c r="E705" s="21" t="str">
        <f t="shared" si="4"/>
        <v>NSE:GALAXYSURF</v>
      </c>
    </row>
    <row r="706" ht="15.75" customHeight="1">
      <c r="A706" s="30">
        <v>45477.0</v>
      </c>
      <c r="B706" s="20" t="s">
        <v>644</v>
      </c>
      <c r="C706" s="20" t="s">
        <v>16</v>
      </c>
      <c r="D706" s="20" t="s">
        <v>55</v>
      </c>
      <c r="E706" s="21" t="str">
        <f t="shared" si="4"/>
        <v>NSE:OPTIEMUS</v>
      </c>
    </row>
    <row r="707" ht="15.75" customHeight="1">
      <c r="A707" s="30">
        <v>45477.0</v>
      </c>
      <c r="B707" s="20" t="s">
        <v>645</v>
      </c>
      <c r="C707" s="20" t="s">
        <v>16</v>
      </c>
      <c r="D707" s="20" t="s">
        <v>55</v>
      </c>
      <c r="E707" s="21" t="str">
        <f t="shared" si="4"/>
        <v>NSE:PARKHOTELS</v>
      </c>
    </row>
    <row r="708" ht="15.75" customHeight="1">
      <c r="A708" s="30">
        <v>45477.0</v>
      </c>
      <c r="B708" s="20" t="s">
        <v>646</v>
      </c>
      <c r="C708" s="20" t="s">
        <v>16</v>
      </c>
      <c r="D708" s="20" t="s">
        <v>14</v>
      </c>
      <c r="E708" s="21" t="str">
        <f t="shared" si="4"/>
        <v>NSE:SUVEN</v>
      </c>
    </row>
    <row r="709" ht="15.75" customHeight="1">
      <c r="A709" s="30">
        <v>45477.0</v>
      </c>
      <c r="B709" s="20" t="s">
        <v>647</v>
      </c>
      <c r="C709" s="20" t="s">
        <v>16</v>
      </c>
      <c r="D709" s="20" t="s">
        <v>29</v>
      </c>
      <c r="E709" s="21" t="str">
        <f t="shared" si="4"/>
        <v>NSE:GOPAL</v>
      </c>
    </row>
    <row r="710" ht="15.75" customHeight="1">
      <c r="A710" s="30">
        <v>45477.0</v>
      </c>
      <c r="B710" s="20" t="s">
        <v>648</v>
      </c>
      <c r="C710" s="20" t="s">
        <v>16</v>
      </c>
      <c r="D710" s="20" t="s">
        <v>29</v>
      </c>
      <c r="E710" s="21" t="str">
        <f t="shared" si="4"/>
        <v>NSE:JNKINDIA</v>
      </c>
    </row>
    <row r="711" ht="15.75" customHeight="1">
      <c r="A711" s="30">
        <v>45477.0</v>
      </c>
      <c r="B711" s="20" t="s">
        <v>649</v>
      </c>
      <c r="C711" s="20" t="s">
        <v>16</v>
      </c>
      <c r="D711" s="20" t="s">
        <v>14</v>
      </c>
      <c r="E711" s="21" t="str">
        <f t="shared" si="4"/>
        <v>NSE:PANACEABIO</v>
      </c>
    </row>
    <row r="712" ht="15.75" customHeight="1">
      <c r="A712" s="30">
        <v>45477.0</v>
      </c>
      <c r="B712" s="20" t="s">
        <v>650</v>
      </c>
      <c r="C712" s="20" t="s">
        <v>16</v>
      </c>
      <c r="D712" s="20" t="s">
        <v>37</v>
      </c>
      <c r="E712" s="21" t="str">
        <f t="shared" si="4"/>
        <v>NSE:RPSGVENT</v>
      </c>
    </row>
    <row r="713" ht="15.75" customHeight="1">
      <c r="A713" s="30">
        <v>45477.0</v>
      </c>
      <c r="B713" s="20" t="s">
        <v>219</v>
      </c>
      <c r="C713" s="20" t="s">
        <v>16</v>
      </c>
      <c r="D713" s="20" t="s">
        <v>53</v>
      </c>
      <c r="E713" s="21" t="str">
        <f t="shared" si="4"/>
        <v>NSE:GLOSTERLTD</v>
      </c>
    </row>
    <row r="714" ht="15.75" customHeight="1">
      <c r="A714" s="30">
        <v>45477.0</v>
      </c>
      <c r="B714" s="20" t="s">
        <v>651</v>
      </c>
      <c r="C714" s="20" t="s">
        <v>16</v>
      </c>
      <c r="D714" s="20" t="s">
        <v>27</v>
      </c>
      <c r="E714" s="21" t="str">
        <f t="shared" si="4"/>
        <v>NSE:NEOGEN</v>
      </c>
    </row>
    <row r="715" ht="15.75" customHeight="1">
      <c r="A715" s="30">
        <v>45477.0</v>
      </c>
      <c r="B715" s="20" t="s">
        <v>652</v>
      </c>
      <c r="C715" s="20" t="s">
        <v>16</v>
      </c>
      <c r="D715" s="20" t="s">
        <v>29</v>
      </c>
      <c r="E715" s="21" t="str">
        <f t="shared" si="4"/>
        <v>NSE:PPL</v>
      </c>
    </row>
    <row r="716" ht="15.75" customHeight="1">
      <c r="A716" s="30">
        <v>45477.0</v>
      </c>
      <c r="B716" s="20" t="s">
        <v>653</v>
      </c>
      <c r="C716" s="20" t="s">
        <v>16</v>
      </c>
      <c r="D716" s="20" t="s">
        <v>29</v>
      </c>
      <c r="E716" s="21" t="str">
        <f t="shared" si="4"/>
        <v>NSE:HINDWAREAP</v>
      </c>
    </row>
    <row r="717" ht="15.75" customHeight="1">
      <c r="A717" s="30">
        <v>45477.0</v>
      </c>
      <c r="B717" s="20" t="s">
        <v>184</v>
      </c>
      <c r="C717" s="20" t="s">
        <v>21</v>
      </c>
      <c r="D717" s="20" t="s">
        <v>185</v>
      </c>
      <c r="E717" s="21" t="str">
        <f t="shared" si="4"/>
        <v>NSE:CUB</v>
      </c>
    </row>
    <row r="718" ht="15.75" customHeight="1">
      <c r="A718" s="30">
        <v>45477.0</v>
      </c>
      <c r="B718" s="20" t="s">
        <v>654</v>
      </c>
      <c r="C718" s="20" t="s">
        <v>16</v>
      </c>
      <c r="D718" s="20" t="s">
        <v>22</v>
      </c>
      <c r="E718" s="21" t="str">
        <f t="shared" si="4"/>
        <v>NSE:GEPIL</v>
      </c>
    </row>
    <row r="719" ht="15.75" customHeight="1">
      <c r="A719" s="30">
        <v>45477.0</v>
      </c>
      <c r="B719" s="20" t="s">
        <v>655</v>
      </c>
      <c r="C719" s="20" t="s">
        <v>21</v>
      </c>
      <c r="D719" s="20" t="s">
        <v>14</v>
      </c>
      <c r="E719" s="21" t="str">
        <f t="shared" si="4"/>
        <v>NSE:GRANULES</v>
      </c>
    </row>
    <row r="720" ht="15.75" customHeight="1">
      <c r="A720" s="30">
        <v>45477.0</v>
      </c>
      <c r="B720" s="20" t="s">
        <v>656</v>
      </c>
      <c r="C720" s="20" t="s">
        <v>13</v>
      </c>
      <c r="D720" s="20" t="s">
        <v>29</v>
      </c>
      <c r="E720" s="21" t="str">
        <f t="shared" si="4"/>
        <v>NSE:SUZLON</v>
      </c>
    </row>
    <row r="721" ht="15.75" customHeight="1">
      <c r="A721" s="30">
        <v>45477.0</v>
      </c>
      <c r="B721" s="20" t="s">
        <v>657</v>
      </c>
      <c r="C721" s="20" t="s">
        <v>13</v>
      </c>
      <c r="D721" s="20" t="s">
        <v>27</v>
      </c>
      <c r="E721" s="21" t="str">
        <f t="shared" si="4"/>
        <v>NSE:AIAENG</v>
      </c>
    </row>
    <row r="722" ht="15.75" customHeight="1">
      <c r="A722" s="30">
        <v>45477.0</v>
      </c>
      <c r="B722" s="20" t="s">
        <v>658</v>
      </c>
      <c r="C722" s="20" t="s">
        <v>16</v>
      </c>
      <c r="D722" s="20" t="s">
        <v>22</v>
      </c>
      <c r="E722" s="21" t="str">
        <f t="shared" si="4"/>
        <v>NSE:BLKASHYAP</v>
      </c>
    </row>
    <row r="723" ht="15.75" customHeight="1">
      <c r="A723" s="30">
        <v>45477.0</v>
      </c>
      <c r="B723" s="20" t="s">
        <v>659</v>
      </c>
      <c r="C723" s="20" t="s">
        <v>16</v>
      </c>
      <c r="D723" s="20" t="s">
        <v>17</v>
      </c>
      <c r="E723" s="21" t="str">
        <f t="shared" si="4"/>
        <v>NSE:SHIVAMAUTO</v>
      </c>
    </row>
    <row r="724" ht="15.75" customHeight="1">
      <c r="A724" s="30">
        <v>45477.0</v>
      </c>
      <c r="B724" s="20" t="s">
        <v>660</v>
      </c>
      <c r="C724" s="20" t="s">
        <v>16</v>
      </c>
      <c r="D724" s="20" t="s">
        <v>27</v>
      </c>
      <c r="E724" s="21" t="str">
        <f t="shared" si="4"/>
        <v>NSE:CAMLINFINE</v>
      </c>
    </row>
    <row r="725" ht="15.75" customHeight="1">
      <c r="A725" s="30">
        <v>45477.0</v>
      </c>
      <c r="B725" s="20" t="s">
        <v>661</v>
      </c>
      <c r="C725" s="20" t="s">
        <v>16</v>
      </c>
      <c r="D725" s="20" t="s">
        <v>31</v>
      </c>
      <c r="E725" s="21" t="str">
        <f t="shared" si="4"/>
        <v>NSE:DELTACORP</v>
      </c>
    </row>
    <row r="726" ht="15.75" customHeight="1">
      <c r="A726" s="30">
        <v>45477.0</v>
      </c>
      <c r="B726" s="20" t="s">
        <v>662</v>
      </c>
      <c r="C726" s="20" t="s">
        <v>16</v>
      </c>
      <c r="D726" s="20" t="s">
        <v>27</v>
      </c>
      <c r="E726" s="21" t="str">
        <f t="shared" si="4"/>
        <v>NSE:INSECTICID</v>
      </c>
    </row>
    <row r="727" ht="15.75" customHeight="1">
      <c r="A727" s="30">
        <v>45477.0</v>
      </c>
      <c r="B727" s="20" t="s">
        <v>663</v>
      </c>
      <c r="C727" s="20" t="s">
        <v>16</v>
      </c>
      <c r="D727" s="20" t="s">
        <v>156</v>
      </c>
      <c r="E727" s="21" t="str">
        <f t="shared" si="4"/>
        <v>NSE:ONMOBILE</v>
      </c>
    </row>
    <row r="728" ht="15.75" customHeight="1">
      <c r="A728" s="30">
        <v>45477.0</v>
      </c>
      <c r="B728" s="20" t="s">
        <v>664</v>
      </c>
      <c r="C728" s="20" t="s">
        <v>16</v>
      </c>
      <c r="D728" s="20" t="s">
        <v>55</v>
      </c>
      <c r="E728" s="21" t="str">
        <f t="shared" si="4"/>
        <v>NSE:BIRLAMONEY</v>
      </c>
    </row>
    <row r="729" ht="15.75" customHeight="1">
      <c r="A729" s="30">
        <v>45477.0</v>
      </c>
      <c r="B729" s="20" t="s">
        <v>665</v>
      </c>
      <c r="C729" s="20" t="s">
        <v>16</v>
      </c>
      <c r="D729" s="20" t="s">
        <v>22</v>
      </c>
      <c r="E729" s="21" t="str">
        <f t="shared" si="4"/>
        <v>NSE:MBLINFRA</v>
      </c>
    </row>
    <row r="730" ht="15.75" customHeight="1">
      <c r="A730" s="30">
        <v>45477.0</v>
      </c>
      <c r="B730" s="20" t="s">
        <v>666</v>
      </c>
      <c r="C730" s="20" t="s">
        <v>16</v>
      </c>
      <c r="D730" s="20" t="s">
        <v>55</v>
      </c>
      <c r="E730" s="21" t="str">
        <f t="shared" si="4"/>
        <v>NSE:ESSARSHPNG</v>
      </c>
    </row>
    <row r="731" ht="15.75" customHeight="1">
      <c r="A731" s="30">
        <v>45477.0</v>
      </c>
      <c r="B731" s="20" t="s">
        <v>191</v>
      </c>
      <c r="C731" s="20" t="s">
        <v>21</v>
      </c>
      <c r="D731" s="20" t="s">
        <v>29</v>
      </c>
      <c r="E731" s="21" t="str">
        <f t="shared" si="4"/>
        <v>NSE:VMART</v>
      </c>
    </row>
    <row r="732" ht="15.75" customHeight="1">
      <c r="A732" s="30">
        <v>45477.0</v>
      </c>
      <c r="B732" s="20" t="s">
        <v>667</v>
      </c>
      <c r="C732" s="20" t="s">
        <v>21</v>
      </c>
      <c r="D732" s="20" t="s">
        <v>27</v>
      </c>
      <c r="E732" s="21" t="str">
        <f t="shared" si="4"/>
        <v>NSE:JUBLINGREA</v>
      </c>
    </row>
    <row r="733" ht="15.75" customHeight="1">
      <c r="A733" s="30">
        <v>45477.0</v>
      </c>
      <c r="B733" s="20" t="s">
        <v>436</v>
      </c>
      <c r="C733" s="20" t="s">
        <v>21</v>
      </c>
      <c r="D733" s="20" t="s">
        <v>29</v>
      </c>
      <c r="E733" s="21" t="str">
        <f t="shared" si="4"/>
        <v>NSE:DODLA</v>
      </c>
    </row>
    <row r="734" ht="15.75" customHeight="1">
      <c r="A734" s="30">
        <v>45477.0</v>
      </c>
      <c r="B734" s="20" t="s">
        <v>668</v>
      </c>
      <c r="C734" s="20" t="s">
        <v>16</v>
      </c>
      <c r="D734" s="20" t="s">
        <v>27</v>
      </c>
      <c r="E734" s="21" t="str">
        <f t="shared" si="4"/>
        <v>NSE:TATVA</v>
      </c>
    </row>
    <row r="735" ht="15.75" customHeight="1">
      <c r="A735" s="30">
        <v>45477.0</v>
      </c>
      <c r="B735" s="20" t="s">
        <v>159</v>
      </c>
      <c r="C735" s="20" t="s">
        <v>16</v>
      </c>
      <c r="D735" s="20" t="s">
        <v>55</v>
      </c>
      <c r="E735" s="21" t="str">
        <f t="shared" si="4"/>
        <v>NSE:RACE</v>
      </c>
    </row>
    <row r="736" ht="15.75" customHeight="1">
      <c r="A736" s="30">
        <v>45477.0</v>
      </c>
      <c r="B736" s="20" t="s">
        <v>441</v>
      </c>
      <c r="C736" s="20" t="s">
        <v>21</v>
      </c>
      <c r="D736" s="20" t="s">
        <v>53</v>
      </c>
      <c r="E736" s="21" t="str">
        <f t="shared" si="4"/>
        <v>NSE:GOCOLORS</v>
      </c>
    </row>
    <row r="737" ht="15.75" customHeight="1">
      <c r="A737" s="30">
        <v>45477.0</v>
      </c>
      <c r="B737" s="20" t="s">
        <v>669</v>
      </c>
      <c r="C737" s="20" t="s">
        <v>21</v>
      </c>
      <c r="D737" s="20" t="s">
        <v>37</v>
      </c>
      <c r="E737" s="21" t="str">
        <f t="shared" si="4"/>
        <v>NSE:MAPMYINDIA</v>
      </c>
    </row>
    <row r="738" ht="15.75" customHeight="1">
      <c r="A738" s="30">
        <v>45477.0</v>
      </c>
      <c r="B738" s="20" t="s">
        <v>670</v>
      </c>
      <c r="C738" s="20" t="s">
        <v>13</v>
      </c>
      <c r="D738" s="20" t="s">
        <v>29</v>
      </c>
      <c r="E738" s="21" t="str">
        <f t="shared" si="4"/>
        <v>NSE:METROBRAND</v>
      </c>
    </row>
    <row r="739" ht="15.75" customHeight="1">
      <c r="A739" s="30">
        <v>45477.0</v>
      </c>
      <c r="B739" s="20" t="s">
        <v>671</v>
      </c>
      <c r="C739" s="20" t="s">
        <v>16</v>
      </c>
      <c r="D739" s="20" t="s">
        <v>55</v>
      </c>
      <c r="E739" s="21" t="str">
        <f t="shared" si="4"/>
        <v>NSE:NRL</v>
      </c>
    </row>
    <row r="740" ht="15.75" customHeight="1">
      <c r="A740" s="30">
        <v>45477.0</v>
      </c>
      <c r="B740" s="20" t="s">
        <v>672</v>
      </c>
      <c r="C740" s="20" t="s">
        <v>16</v>
      </c>
      <c r="D740" s="20" t="s">
        <v>14</v>
      </c>
      <c r="E740" s="21" t="str">
        <f t="shared" si="4"/>
        <v>NSE:KAYA</v>
      </c>
    </row>
    <row r="741" ht="15.75" customHeight="1">
      <c r="A741" s="30">
        <v>45477.0</v>
      </c>
      <c r="B741" s="20" t="s">
        <v>161</v>
      </c>
      <c r="C741" s="20" t="s">
        <v>21</v>
      </c>
      <c r="D741" s="20" t="s">
        <v>29</v>
      </c>
      <c r="E741" s="21" t="str">
        <f t="shared" si="4"/>
        <v>NSE:LLOYDSENGG</v>
      </c>
    </row>
    <row r="742" ht="15.75" customHeight="1">
      <c r="A742" s="30">
        <v>45477.0</v>
      </c>
      <c r="B742" s="20" t="s">
        <v>673</v>
      </c>
      <c r="C742" s="20" t="s">
        <v>16</v>
      </c>
      <c r="D742" s="20" t="s">
        <v>14</v>
      </c>
      <c r="E742" s="21" t="str">
        <f t="shared" si="4"/>
        <v>NSE:ADVENZYMES</v>
      </c>
    </row>
    <row r="743" ht="15.75" customHeight="1">
      <c r="A743" s="30">
        <v>45477.0</v>
      </c>
      <c r="B743" s="20" t="s">
        <v>674</v>
      </c>
      <c r="C743" s="20" t="s">
        <v>16</v>
      </c>
      <c r="D743" s="20" t="s">
        <v>53</v>
      </c>
      <c r="E743" s="21" t="str">
        <f t="shared" si="4"/>
        <v>NSE:SPAL</v>
      </c>
    </row>
    <row r="744" ht="15.75" customHeight="1">
      <c r="A744" s="30">
        <v>45478.0</v>
      </c>
      <c r="B744" s="20" t="s">
        <v>675</v>
      </c>
      <c r="C744" s="20" t="s">
        <v>13</v>
      </c>
      <c r="D744" s="20" t="s">
        <v>31</v>
      </c>
      <c r="E744" s="21" t="str">
        <f t="shared" si="4"/>
        <v>NSE:CESC</v>
      </c>
    </row>
    <row r="745" ht="15.75" customHeight="1">
      <c r="A745" s="30">
        <v>45478.0</v>
      </c>
      <c r="B745" s="20" t="s">
        <v>196</v>
      </c>
      <c r="C745" s="20" t="s">
        <v>13</v>
      </c>
      <c r="D745" s="20" t="s">
        <v>185</v>
      </c>
      <c r="E745" s="21" t="str">
        <f t="shared" si="4"/>
        <v>NSE:SBIN</v>
      </c>
    </row>
    <row r="746" ht="15.75" customHeight="1">
      <c r="A746" s="30">
        <v>45478.0</v>
      </c>
      <c r="B746" s="20" t="s">
        <v>676</v>
      </c>
      <c r="C746" s="20" t="s">
        <v>16</v>
      </c>
      <c r="D746" s="20" t="s">
        <v>27</v>
      </c>
      <c r="E746" s="21" t="str">
        <f t="shared" si="4"/>
        <v>NSE:FOSECOIND</v>
      </c>
    </row>
    <row r="747" ht="15.75" customHeight="1">
      <c r="A747" s="30">
        <v>45478.0</v>
      </c>
      <c r="B747" s="20" t="s">
        <v>677</v>
      </c>
      <c r="C747" s="20" t="s">
        <v>21</v>
      </c>
      <c r="D747" s="20" t="s">
        <v>22</v>
      </c>
      <c r="E747" s="21" t="str">
        <f t="shared" si="4"/>
        <v>NSE:HCC</v>
      </c>
    </row>
    <row r="748" ht="15.75" customHeight="1">
      <c r="A748" s="30">
        <v>45478.0</v>
      </c>
      <c r="B748" s="20" t="s">
        <v>303</v>
      </c>
      <c r="C748" s="20" t="s">
        <v>16</v>
      </c>
      <c r="D748" s="20" t="s">
        <v>29</v>
      </c>
      <c r="E748" s="21" t="str">
        <f t="shared" si="4"/>
        <v>NSE:INDIAGLYCO</v>
      </c>
    </row>
    <row r="749" ht="15.75" customHeight="1">
      <c r="A749" s="30">
        <v>45478.0</v>
      </c>
      <c r="B749" s="20" t="s">
        <v>242</v>
      </c>
      <c r="C749" s="20" t="s">
        <v>13</v>
      </c>
      <c r="D749" s="20" t="s">
        <v>29</v>
      </c>
      <c r="E749" s="21" t="str">
        <f t="shared" si="4"/>
        <v>NSE:WHIRLPOOL</v>
      </c>
    </row>
    <row r="750" ht="15.75" customHeight="1">
      <c r="A750" s="30">
        <v>45478.0</v>
      </c>
      <c r="B750" s="20" t="s">
        <v>23</v>
      </c>
      <c r="C750" s="20" t="s">
        <v>16</v>
      </c>
      <c r="D750" s="20" t="s">
        <v>14</v>
      </c>
      <c r="E750" s="21" t="str">
        <f t="shared" si="4"/>
        <v>NSE:MOREPENLAB</v>
      </c>
    </row>
    <row r="751" ht="15.75" customHeight="1">
      <c r="A751" s="30">
        <v>45478.0</v>
      </c>
      <c r="B751" s="20" t="s">
        <v>678</v>
      </c>
      <c r="C751" s="20" t="s">
        <v>21</v>
      </c>
      <c r="D751" s="20" t="s">
        <v>53</v>
      </c>
      <c r="E751" s="21" t="str">
        <f t="shared" si="4"/>
        <v>NSE:RAYMOND</v>
      </c>
    </row>
    <row r="752" ht="15.75" customHeight="1">
      <c r="A752" s="30">
        <v>45478.0</v>
      </c>
      <c r="B752" s="20" t="s">
        <v>679</v>
      </c>
      <c r="C752" s="20" t="s">
        <v>16</v>
      </c>
      <c r="D752" s="20" t="s">
        <v>29</v>
      </c>
      <c r="E752" s="21" t="str">
        <f t="shared" si="4"/>
        <v>NSE:PIXTRANS</v>
      </c>
    </row>
    <row r="753" ht="15.75" customHeight="1">
      <c r="A753" s="30">
        <v>45478.0</v>
      </c>
      <c r="B753" s="20" t="s">
        <v>462</v>
      </c>
      <c r="C753" s="20" t="s">
        <v>21</v>
      </c>
      <c r="D753" s="20" t="s">
        <v>31</v>
      </c>
      <c r="E753" s="21" t="str">
        <f t="shared" si="4"/>
        <v>NSE:THOMASCOOK</v>
      </c>
    </row>
    <row r="754" ht="15.75" customHeight="1">
      <c r="A754" s="30">
        <v>45478.0</v>
      </c>
      <c r="B754" s="20" t="s">
        <v>313</v>
      </c>
      <c r="C754" s="20" t="s">
        <v>16</v>
      </c>
      <c r="D754" s="20" t="s">
        <v>55</v>
      </c>
      <c r="E754" s="21" t="str">
        <f t="shared" si="4"/>
        <v>NSE:UNIENTER</v>
      </c>
    </row>
    <row r="755" ht="15.75" customHeight="1">
      <c r="A755" s="30">
        <v>45478.0</v>
      </c>
      <c r="B755" s="20" t="s">
        <v>680</v>
      </c>
      <c r="C755" s="20" t="s">
        <v>13</v>
      </c>
      <c r="D755" s="20" t="s">
        <v>29</v>
      </c>
      <c r="E755" s="21" t="str">
        <f t="shared" si="4"/>
        <v>NSE:BRITANNIA</v>
      </c>
    </row>
    <row r="756" ht="15.75" customHeight="1">
      <c r="A756" s="30">
        <v>45478.0</v>
      </c>
      <c r="B756" s="20" t="s">
        <v>270</v>
      </c>
      <c r="C756" s="20" t="s">
        <v>16</v>
      </c>
      <c r="D756" s="20" t="s">
        <v>27</v>
      </c>
      <c r="E756" s="21" t="str">
        <f t="shared" si="4"/>
        <v>NSE:SAGCEM</v>
      </c>
    </row>
    <row r="757" ht="15.75" customHeight="1">
      <c r="A757" s="30">
        <v>45478.0</v>
      </c>
      <c r="B757" s="20" t="s">
        <v>198</v>
      </c>
      <c r="C757" s="20" t="s">
        <v>21</v>
      </c>
      <c r="D757" s="20" t="s">
        <v>53</v>
      </c>
      <c r="E757" s="21" t="str">
        <f t="shared" si="4"/>
        <v>NSE:VTL</v>
      </c>
    </row>
    <row r="758" ht="15.75" customHeight="1">
      <c r="A758" s="30">
        <v>45478.0</v>
      </c>
      <c r="B758" s="20" t="s">
        <v>681</v>
      </c>
      <c r="C758" s="20" t="s">
        <v>16</v>
      </c>
      <c r="D758" s="20" t="s">
        <v>22</v>
      </c>
      <c r="E758" s="21" t="str">
        <f t="shared" si="4"/>
        <v>NSE:MARATHON</v>
      </c>
    </row>
    <row r="759" ht="15.75" customHeight="1">
      <c r="A759" s="30">
        <v>45478.0</v>
      </c>
      <c r="B759" s="20" t="s">
        <v>323</v>
      </c>
      <c r="C759" s="20" t="s">
        <v>16</v>
      </c>
      <c r="D759" s="20" t="s">
        <v>53</v>
      </c>
      <c r="E759" s="21" t="str">
        <f t="shared" si="4"/>
        <v>NSE:BANSWRAS</v>
      </c>
    </row>
    <row r="760" ht="15.75" customHeight="1">
      <c r="A760" s="30">
        <v>45478.0</v>
      </c>
      <c r="B760" s="20" t="s">
        <v>245</v>
      </c>
      <c r="C760" s="20" t="s">
        <v>16</v>
      </c>
      <c r="D760" s="20" t="s">
        <v>53</v>
      </c>
      <c r="E760" s="21" t="str">
        <f t="shared" si="4"/>
        <v>NSE:SIYSIL</v>
      </c>
    </row>
    <row r="761" ht="15.75" customHeight="1">
      <c r="A761" s="30">
        <v>45478.0</v>
      </c>
      <c r="B761" s="20" t="s">
        <v>682</v>
      </c>
      <c r="C761" s="20" t="s">
        <v>21</v>
      </c>
      <c r="D761" s="20" t="s">
        <v>107</v>
      </c>
      <c r="E761" s="21" t="str">
        <f t="shared" si="4"/>
        <v>NSE:WESTLIFE</v>
      </c>
    </row>
    <row r="762" ht="15.75" customHeight="1">
      <c r="A762" s="30">
        <v>45478.0</v>
      </c>
      <c r="B762" s="20" t="s">
        <v>683</v>
      </c>
      <c r="C762" s="20" t="s">
        <v>16</v>
      </c>
      <c r="D762" s="20" t="s">
        <v>37</v>
      </c>
      <c r="E762" s="21" t="str">
        <f t="shared" si="4"/>
        <v>NSE:GENESYS</v>
      </c>
    </row>
    <row r="763" ht="15.75" customHeight="1">
      <c r="A763" s="30">
        <v>45478.0</v>
      </c>
      <c r="B763" s="20" t="s">
        <v>684</v>
      </c>
      <c r="C763" s="20" t="s">
        <v>21</v>
      </c>
      <c r="D763" s="20" t="s">
        <v>27</v>
      </c>
      <c r="E763" s="21" t="str">
        <f t="shared" si="4"/>
        <v>NSE:PCBL</v>
      </c>
    </row>
    <row r="764" ht="15.75" customHeight="1">
      <c r="A764" s="30">
        <v>45478.0</v>
      </c>
      <c r="B764" s="20" t="s">
        <v>685</v>
      </c>
      <c r="C764" s="20" t="s">
        <v>13</v>
      </c>
      <c r="D764" s="20" t="s">
        <v>39</v>
      </c>
      <c r="E764" s="21" t="str">
        <f t="shared" si="4"/>
        <v>NSE:CHOLAFIN</v>
      </c>
    </row>
    <row r="765" ht="15.75" customHeight="1">
      <c r="A765" s="30">
        <v>45478.0</v>
      </c>
      <c r="B765" s="20" t="s">
        <v>337</v>
      </c>
      <c r="C765" s="20" t="s">
        <v>16</v>
      </c>
      <c r="D765" s="20" t="s">
        <v>55</v>
      </c>
      <c r="E765" s="21" t="str">
        <f t="shared" si="4"/>
        <v>NSE:MONARCH</v>
      </c>
    </row>
    <row r="766" ht="15.75" customHeight="1">
      <c r="A766" s="30">
        <v>45478.0</v>
      </c>
      <c r="B766" s="20" t="s">
        <v>686</v>
      </c>
      <c r="C766" s="20" t="s">
        <v>16</v>
      </c>
      <c r="D766" s="20" t="s">
        <v>37</v>
      </c>
      <c r="E766" s="21" t="str">
        <f t="shared" si="4"/>
        <v>NSE:AGSTRA</v>
      </c>
    </row>
    <row r="767" ht="15.75" customHeight="1">
      <c r="A767" s="30">
        <v>45478.0</v>
      </c>
      <c r="B767" s="20" t="s">
        <v>687</v>
      </c>
      <c r="C767" s="20" t="s">
        <v>16</v>
      </c>
      <c r="D767" s="20" t="s">
        <v>31</v>
      </c>
      <c r="E767" s="21" t="str">
        <f t="shared" si="4"/>
        <v>NSE:GIPCL</v>
      </c>
    </row>
    <row r="768" ht="15.75" customHeight="1">
      <c r="A768" s="30">
        <v>45478.0</v>
      </c>
      <c r="B768" s="20" t="s">
        <v>688</v>
      </c>
      <c r="C768" s="20" t="s">
        <v>16</v>
      </c>
      <c r="D768" s="20" t="s">
        <v>25</v>
      </c>
      <c r="E768" s="21" t="str">
        <f t="shared" si="4"/>
        <v>NSE:RAJRATAN</v>
      </c>
    </row>
    <row r="769" ht="15.75" customHeight="1">
      <c r="A769" s="30">
        <v>45478.0</v>
      </c>
      <c r="B769" s="20" t="s">
        <v>206</v>
      </c>
      <c r="C769" s="20" t="s">
        <v>16</v>
      </c>
      <c r="D769" s="20" t="s">
        <v>53</v>
      </c>
      <c r="E769" s="21" t="str">
        <f t="shared" si="4"/>
        <v>NSE:NAHARINDUS</v>
      </c>
    </row>
    <row r="770" ht="15.75" customHeight="1">
      <c r="A770" s="30">
        <v>45478.0</v>
      </c>
      <c r="B770" s="20" t="s">
        <v>353</v>
      </c>
      <c r="C770" s="20" t="s">
        <v>16</v>
      </c>
      <c r="D770" s="20" t="s">
        <v>39</v>
      </c>
      <c r="E770" s="21" t="str">
        <f t="shared" si="4"/>
        <v>NSE:AHL</v>
      </c>
    </row>
    <row r="771" ht="15.75" customHeight="1">
      <c r="A771" s="30">
        <v>45478.0</v>
      </c>
      <c r="B771" s="20" t="s">
        <v>484</v>
      </c>
      <c r="C771" s="20" t="s">
        <v>16</v>
      </c>
      <c r="D771" s="20" t="s">
        <v>31</v>
      </c>
      <c r="E771" s="21" t="str">
        <f t="shared" si="4"/>
        <v>NSE:RADIANTCMS</v>
      </c>
    </row>
    <row r="772" ht="15.75" customHeight="1">
      <c r="A772" s="30">
        <v>45478.0</v>
      </c>
      <c r="B772" s="20" t="s">
        <v>689</v>
      </c>
      <c r="C772" s="20" t="s">
        <v>16</v>
      </c>
      <c r="D772" s="20" t="s">
        <v>17</v>
      </c>
      <c r="E772" s="21" t="str">
        <f t="shared" si="4"/>
        <v>NSE:MUNJALAU</v>
      </c>
    </row>
    <row r="773" ht="15.75" customHeight="1">
      <c r="A773" s="30">
        <v>45478.0</v>
      </c>
      <c r="B773" s="20" t="s">
        <v>207</v>
      </c>
      <c r="C773" s="20" t="s">
        <v>16</v>
      </c>
      <c r="D773" s="20" t="s">
        <v>53</v>
      </c>
      <c r="E773" s="21" t="str">
        <f t="shared" si="4"/>
        <v>NSE:GHCLTEXTIL</v>
      </c>
    </row>
    <row r="774" ht="15.75" customHeight="1">
      <c r="A774" s="30">
        <v>45478.0</v>
      </c>
      <c r="B774" s="20" t="s">
        <v>588</v>
      </c>
      <c r="C774" s="20" t="s">
        <v>16</v>
      </c>
      <c r="D774" s="20" t="s">
        <v>27</v>
      </c>
      <c r="E774" s="21" t="str">
        <f t="shared" si="4"/>
        <v>NSE:JAYAGROGN</v>
      </c>
    </row>
    <row r="775" ht="15.75" customHeight="1">
      <c r="A775" s="30">
        <v>45478.0</v>
      </c>
      <c r="B775" s="20" t="s">
        <v>278</v>
      </c>
      <c r="C775" s="20" t="s">
        <v>16</v>
      </c>
      <c r="D775" s="20" t="s">
        <v>37</v>
      </c>
      <c r="E775" s="21" t="str">
        <f t="shared" si="4"/>
        <v>NSE:VLEGOV</v>
      </c>
    </row>
    <row r="776" ht="15.75" customHeight="1">
      <c r="A776" s="30">
        <v>45478.0</v>
      </c>
      <c r="B776" s="20" t="s">
        <v>590</v>
      </c>
      <c r="C776" s="20" t="s">
        <v>13</v>
      </c>
      <c r="D776" s="20" t="s">
        <v>29</v>
      </c>
      <c r="E776" s="21" t="str">
        <f t="shared" si="4"/>
        <v>NSE:DMART</v>
      </c>
    </row>
    <row r="777" ht="15.75" customHeight="1">
      <c r="A777" s="30">
        <v>45478.0</v>
      </c>
      <c r="B777" s="20" t="s">
        <v>690</v>
      </c>
      <c r="C777" s="20" t="s">
        <v>16</v>
      </c>
      <c r="D777" s="20" t="s">
        <v>14</v>
      </c>
      <c r="E777" s="21" t="str">
        <f t="shared" si="4"/>
        <v>NSE:HESTERBIO</v>
      </c>
    </row>
    <row r="778" ht="15.75" customHeight="1">
      <c r="A778" s="30">
        <v>45478.0</v>
      </c>
      <c r="B778" s="20" t="s">
        <v>691</v>
      </c>
      <c r="C778" s="20" t="s">
        <v>16</v>
      </c>
      <c r="D778" s="20" t="s">
        <v>14</v>
      </c>
      <c r="E778" s="21" t="str">
        <f t="shared" si="4"/>
        <v>NSE:HIKAL</v>
      </c>
    </row>
    <row r="779" ht="15.75" customHeight="1">
      <c r="A779" s="30">
        <v>45478.0</v>
      </c>
      <c r="B779" s="20" t="s">
        <v>280</v>
      </c>
      <c r="C779" s="20" t="s">
        <v>21</v>
      </c>
      <c r="D779" s="20" t="s">
        <v>14</v>
      </c>
      <c r="E779" s="21" t="str">
        <f t="shared" si="4"/>
        <v>NSE:JLHL</v>
      </c>
    </row>
    <row r="780" ht="15.75" customHeight="1">
      <c r="A780" s="30">
        <v>45478.0</v>
      </c>
      <c r="B780" s="20" t="s">
        <v>692</v>
      </c>
      <c r="C780" s="20" t="s">
        <v>16</v>
      </c>
      <c r="D780" s="20" t="s">
        <v>27</v>
      </c>
      <c r="E780" s="21" t="str">
        <f t="shared" si="4"/>
        <v>NSE:KRISHANA</v>
      </c>
    </row>
    <row r="781" ht="15.75" customHeight="1">
      <c r="A781" s="30">
        <v>45478.0</v>
      </c>
      <c r="B781" s="20" t="s">
        <v>693</v>
      </c>
      <c r="C781" s="20" t="s">
        <v>16</v>
      </c>
      <c r="D781" s="20" t="s">
        <v>29</v>
      </c>
      <c r="E781" s="21" t="str">
        <f t="shared" si="4"/>
        <v>NSE:KRITI</v>
      </c>
    </row>
    <row r="782" ht="15.75" customHeight="1">
      <c r="A782" s="30">
        <v>45478.0</v>
      </c>
      <c r="B782" s="20" t="s">
        <v>371</v>
      </c>
      <c r="C782" s="20" t="s">
        <v>13</v>
      </c>
      <c r="D782" s="20" t="s">
        <v>55</v>
      </c>
      <c r="E782" s="21" t="str">
        <f t="shared" si="4"/>
        <v>NSE:ICICIGI</v>
      </c>
    </row>
    <row r="783" ht="15.75" customHeight="1">
      <c r="A783" s="30">
        <v>45478.0</v>
      </c>
      <c r="B783" s="20" t="s">
        <v>694</v>
      </c>
      <c r="C783" s="20" t="s">
        <v>16</v>
      </c>
      <c r="D783" s="20" t="s">
        <v>50</v>
      </c>
      <c r="E783" s="21" t="str">
        <f t="shared" si="4"/>
        <v>NSE:SANDESH</v>
      </c>
    </row>
    <row r="784" ht="15.75" customHeight="1">
      <c r="A784" s="30">
        <v>45478.0</v>
      </c>
      <c r="B784" s="20" t="s">
        <v>695</v>
      </c>
      <c r="C784" s="20" t="s">
        <v>16</v>
      </c>
      <c r="D784" s="20" t="s">
        <v>31</v>
      </c>
      <c r="E784" s="21" t="str">
        <f t="shared" si="4"/>
        <v>NSE:SEAMECLTD</v>
      </c>
    </row>
    <row r="785" ht="15.75" customHeight="1">
      <c r="A785" s="30">
        <v>45478.0</v>
      </c>
      <c r="B785" s="20" t="s">
        <v>696</v>
      </c>
      <c r="C785" s="20" t="s">
        <v>16</v>
      </c>
      <c r="D785" s="20" t="s">
        <v>27</v>
      </c>
      <c r="E785" s="21" t="str">
        <f t="shared" si="4"/>
        <v>NSE:NOVAAGRI</v>
      </c>
    </row>
    <row r="786" ht="15.75" customHeight="1">
      <c r="A786" s="30">
        <v>45478.0</v>
      </c>
      <c r="B786" s="20" t="s">
        <v>58</v>
      </c>
      <c r="C786" s="20" t="s">
        <v>16</v>
      </c>
      <c r="D786" s="20" t="s">
        <v>14</v>
      </c>
      <c r="E786" s="21" t="str">
        <f t="shared" si="4"/>
        <v>NSE:THEMISMED</v>
      </c>
    </row>
    <row r="787" ht="15.75" customHeight="1">
      <c r="A787" s="30">
        <v>45478.0</v>
      </c>
      <c r="B787" s="20" t="s">
        <v>94</v>
      </c>
      <c r="C787" s="20" t="s">
        <v>16</v>
      </c>
      <c r="D787" s="20" t="s">
        <v>22</v>
      </c>
      <c r="E787" s="21" t="str">
        <f t="shared" si="4"/>
        <v>NSE:NILAINFRA</v>
      </c>
    </row>
    <row r="788" ht="15.75" customHeight="1">
      <c r="A788" s="30">
        <v>45478.0</v>
      </c>
      <c r="B788" s="20" t="s">
        <v>697</v>
      </c>
      <c r="C788" s="20" t="s">
        <v>16</v>
      </c>
      <c r="D788" s="20" t="s">
        <v>27</v>
      </c>
      <c r="E788" s="21" t="str">
        <f t="shared" si="4"/>
        <v>NSE:BHAGERIA</v>
      </c>
    </row>
    <row r="789" ht="15.75" customHeight="1">
      <c r="A789" s="30">
        <v>45478.0</v>
      </c>
      <c r="B789" s="20" t="s">
        <v>698</v>
      </c>
      <c r="C789" s="20" t="s">
        <v>16</v>
      </c>
      <c r="D789" s="20" t="s">
        <v>31</v>
      </c>
      <c r="E789" s="21" t="str">
        <f t="shared" si="4"/>
        <v>NSE:SKYGOLD</v>
      </c>
    </row>
    <row r="790" ht="15.75" customHeight="1">
      <c r="A790" s="30">
        <v>45478.0</v>
      </c>
      <c r="B790" s="20" t="s">
        <v>217</v>
      </c>
      <c r="C790" s="20" t="s">
        <v>16</v>
      </c>
      <c r="D790" s="20" t="s">
        <v>27</v>
      </c>
      <c r="E790" s="21" t="str">
        <f t="shared" si="4"/>
        <v>NSE:CHEMBOND</v>
      </c>
    </row>
    <row r="791" ht="15.75" customHeight="1">
      <c r="A791" s="30">
        <v>45478.0</v>
      </c>
      <c r="B791" s="20" t="s">
        <v>699</v>
      </c>
      <c r="C791" s="20" t="s">
        <v>21</v>
      </c>
      <c r="D791" s="20" t="s">
        <v>31</v>
      </c>
      <c r="E791" s="21" t="str">
        <f t="shared" si="4"/>
        <v>NSE:INDGN</v>
      </c>
    </row>
    <row r="792" ht="15.75" customHeight="1">
      <c r="A792" s="30">
        <v>45478.0</v>
      </c>
      <c r="B792" s="20" t="s">
        <v>388</v>
      </c>
      <c r="C792" s="20" t="s">
        <v>16</v>
      </c>
      <c r="D792" s="20" t="s">
        <v>27</v>
      </c>
      <c r="E792" s="21" t="str">
        <f t="shared" si="4"/>
        <v>NSE:ALICON</v>
      </c>
    </row>
    <row r="793" ht="15.75" customHeight="1">
      <c r="A793" s="30">
        <v>45478.0</v>
      </c>
      <c r="B793" s="20" t="s">
        <v>283</v>
      </c>
      <c r="C793" s="20" t="s">
        <v>13</v>
      </c>
      <c r="D793" s="20" t="s">
        <v>22</v>
      </c>
      <c r="E793" s="21" t="str">
        <f t="shared" si="4"/>
        <v>NSE:RVNL</v>
      </c>
    </row>
    <row r="794" ht="15.75" customHeight="1">
      <c r="A794" s="30">
        <v>45478.0</v>
      </c>
      <c r="B794" s="20" t="s">
        <v>700</v>
      </c>
      <c r="C794" s="20" t="s">
        <v>13</v>
      </c>
      <c r="D794" s="20" t="s">
        <v>39</v>
      </c>
      <c r="E794" s="21" t="str">
        <f t="shared" si="4"/>
        <v>NSE:SBICARD</v>
      </c>
    </row>
    <row r="795" ht="15.75" customHeight="1">
      <c r="A795" s="30">
        <v>45478.0</v>
      </c>
      <c r="B795" s="20" t="s">
        <v>65</v>
      </c>
      <c r="C795" s="20" t="s">
        <v>13</v>
      </c>
      <c r="D795" s="20" t="s">
        <v>27</v>
      </c>
      <c r="E795" s="21" t="str">
        <f t="shared" si="4"/>
        <v>NSE:GAIL</v>
      </c>
    </row>
    <row r="796" ht="15.75" customHeight="1">
      <c r="A796" s="30">
        <v>45478.0</v>
      </c>
      <c r="B796" s="20" t="s">
        <v>701</v>
      </c>
      <c r="C796" s="20" t="s">
        <v>13</v>
      </c>
      <c r="D796" s="20" t="s">
        <v>185</v>
      </c>
      <c r="E796" s="21" t="str">
        <f t="shared" si="4"/>
        <v>NSE:ICICIBANK</v>
      </c>
    </row>
    <row r="797" ht="15.75" customHeight="1">
      <c r="A797" s="30">
        <v>45478.0</v>
      </c>
      <c r="B797" s="20" t="s">
        <v>702</v>
      </c>
      <c r="C797" s="20" t="s">
        <v>21</v>
      </c>
      <c r="D797" s="20" t="s">
        <v>27</v>
      </c>
      <c r="E797" s="21" t="str">
        <f t="shared" si="4"/>
        <v>NSE:CERA</v>
      </c>
    </row>
    <row r="798" ht="15.75" customHeight="1">
      <c r="A798" s="30">
        <v>45478.0</v>
      </c>
      <c r="B798" s="20" t="s">
        <v>284</v>
      </c>
      <c r="C798" s="20" t="s">
        <v>13</v>
      </c>
      <c r="D798" s="20" t="s">
        <v>27</v>
      </c>
      <c r="E798" s="21" t="str">
        <f t="shared" si="4"/>
        <v>NSE:PETRONET</v>
      </c>
    </row>
    <row r="799" ht="15.75" customHeight="1">
      <c r="A799" s="30">
        <v>45478.0</v>
      </c>
      <c r="B799" s="20" t="s">
        <v>703</v>
      </c>
      <c r="C799" s="20" t="s">
        <v>13</v>
      </c>
      <c r="D799" s="20" t="s">
        <v>31</v>
      </c>
      <c r="E799" s="21" t="str">
        <f t="shared" si="4"/>
        <v>NSE:NTPC</v>
      </c>
    </row>
    <row r="800" ht="15.75" customHeight="1">
      <c r="A800" s="30">
        <v>45478.0</v>
      </c>
      <c r="B800" s="20" t="s">
        <v>408</v>
      </c>
      <c r="C800" s="20" t="s">
        <v>16</v>
      </c>
      <c r="D800" s="20" t="s">
        <v>17</v>
      </c>
      <c r="E800" s="21" t="str">
        <f t="shared" si="4"/>
        <v>NSE:RML</v>
      </c>
    </row>
    <row r="801" ht="15.75" customHeight="1">
      <c r="A801" s="30">
        <v>45478.0</v>
      </c>
      <c r="B801" s="20" t="s">
        <v>704</v>
      </c>
      <c r="C801" s="20" t="s">
        <v>13</v>
      </c>
      <c r="D801" s="20" t="s">
        <v>29</v>
      </c>
      <c r="E801" s="21" t="str">
        <f t="shared" si="4"/>
        <v>NSE:PAGEIND</v>
      </c>
    </row>
    <row r="802" ht="15.75" customHeight="1">
      <c r="A802" s="30">
        <v>45478.0</v>
      </c>
      <c r="B802" s="20" t="s">
        <v>705</v>
      </c>
      <c r="C802" s="20" t="s">
        <v>21</v>
      </c>
      <c r="D802" s="20" t="s">
        <v>31</v>
      </c>
      <c r="E802" s="21" t="str">
        <f t="shared" si="4"/>
        <v>NSE:RPOWER</v>
      </c>
    </row>
    <row r="803" ht="15.75" customHeight="1">
      <c r="A803" s="30">
        <v>45478.0</v>
      </c>
      <c r="B803" s="20" t="s">
        <v>706</v>
      </c>
      <c r="C803" s="20" t="s">
        <v>16</v>
      </c>
      <c r="D803" s="20" t="s">
        <v>22</v>
      </c>
      <c r="E803" s="21" t="str">
        <f t="shared" si="4"/>
        <v>NSE:RPPINFRA</v>
      </c>
    </row>
    <row r="804" ht="15.75" customHeight="1">
      <c r="A804" s="30">
        <v>45478.0</v>
      </c>
      <c r="B804" s="20" t="s">
        <v>152</v>
      </c>
      <c r="C804" s="20" t="s">
        <v>21</v>
      </c>
      <c r="D804" s="20" t="s">
        <v>29</v>
      </c>
      <c r="E804" s="21" t="str">
        <f t="shared" si="4"/>
        <v>NSE:TEXRAIL</v>
      </c>
    </row>
    <row r="805" ht="15.75" customHeight="1">
      <c r="A805" s="30">
        <v>45478.0</v>
      </c>
      <c r="B805" s="20" t="s">
        <v>429</v>
      </c>
      <c r="C805" s="20" t="s">
        <v>16</v>
      </c>
      <c r="D805" s="20" t="s">
        <v>39</v>
      </c>
      <c r="E805" s="21" t="str">
        <f t="shared" si="4"/>
        <v>NSE:PFS</v>
      </c>
    </row>
    <row r="806" ht="15.75" customHeight="1">
      <c r="A806" s="30">
        <v>45478.0</v>
      </c>
      <c r="B806" s="20" t="s">
        <v>707</v>
      </c>
      <c r="C806" s="20" t="s">
        <v>13</v>
      </c>
      <c r="D806" s="20" t="s">
        <v>39</v>
      </c>
      <c r="E806" s="21" t="str">
        <f t="shared" si="4"/>
        <v>NSE:MUTHOOTFIN</v>
      </c>
    </row>
    <row r="807" ht="15.75" customHeight="1">
      <c r="A807" s="30">
        <v>45478.0</v>
      </c>
      <c r="B807" s="20" t="s">
        <v>708</v>
      </c>
      <c r="C807" s="20" t="s">
        <v>16</v>
      </c>
      <c r="D807" s="20" t="s">
        <v>31</v>
      </c>
      <c r="E807" s="21" t="str">
        <f t="shared" si="4"/>
        <v>NSE:AWHCL</v>
      </c>
    </row>
    <row r="808" ht="15.75" customHeight="1">
      <c r="A808" s="30">
        <v>45478.0</v>
      </c>
      <c r="B808" s="20" t="s">
        <v>154</v>
      </c>
      <c r="C808" s="20" t="s">
        <v>21</v>
      </c>
      <c r="D808" s="20" t="s">
        <v>27</v>
      </c>
      <c r="E808" s="21" t="str">
        <f t="shared" si="4"/>
        <v>NSE:INDIGOPNTS</v>
      </c>
    </row>
    <row r="809" ht="15.75" customHeight="1">
      <c r="A809" s="30">
        <v>45478.0</v>
      </c>
      <c r="B809" s="20" t="s">
        <v>192</v>
      </c>
      <c r="C809" s="20" t="s">
        <v>16</v>
      </c>
      <c r="D809" s="20" t="s">
        <v>39</v>
      </c>
      <c r="E809" s="21" t="str">
        <f t="shared" si="4"/>
        <v>NSE:REPCOHOME</v>
      </c>
    </row>
    <row r="810" ht="15.75" customHeight="1">
      <c r="A810" s="30">
        <v>45478.0</v>
      </c>
      <c r="B810" s="20" t="s">
        <v>293</v>
      </c>
      <c r="C810" s="20" t="s">
        <v>21</v>
      </c>
      <c r="D810" s="20" t="s">
        <v>27</v>
      </c>
      <c r="E810" s="21" t="str">
        <f t="shared" si="4"/>
        <v>NSE:NUVOCO</v>
      </c>
    </row>
    <row r="811" ht="15.75" customHeight="1">
      <c r="A811" s="30">
        <v>45478.0</v>
      </c>
      <c r="B811" s="20" t="s">
        <v>709</v>
      </c>
      <c r="C811" s="20" t="s">
        <v>13</v>
      </c>
      <c r="D811" s="20" t="s">
        <v>37</v>
      </c>
      <c r="E811" s="21" t="str">
        <f t="shared" si="4"/>
        <v>NSE:NYKAA</v>
      </c>
    </row>
    <row r="812" ht="15.75" customHeight="1">
      <c r="A812" s="30">
        <v>45478.0</v>
      </c>
      <c r="B812" s="20" t="s">
        <v>547</v>
      </c>
      <c r="C812" s="20" t="s">
        <v>16</v>
      </c>
      <c r="D812" s="20" t="s">
        <v>185</v>
      </c>
      <c r="E812" s="21" t="str">
        <f t="shared" si="4"/>
        <v>NSE:FINOPB</v>
      </c>
    </row>
    <row r="813" ht="15.75" customHeight="1">
      <c r="A813" s="30">
        <v>45478.0</v>
      </c>
      <c r="B813" s="20" t="s">
        <v>127</v>
      </c>
      <c r="C813" s="20" t="s">
        <v>16</v>
      </c>
      <c r="D813" s="20" t="s">
        <v>37</v>
      </c>
      <c r="E813" s="21" t="str">
        <f t="shared" si="4"/>
        <v>NSE:AURUM</v>
      </c>
    </row>
    <row r="814" ht="15.75" customHeight="1">
      <c r="A814" s="30">
        <v>45478.0</v>
      </c>
      <c r="B814" s="20" t="s">
        <v>622</v>
      </c>
      <c r="C814" s="20" t="s">
        <v>16</v>
      </c>
      <c r="D814" s="20" t="s">
        <v>55</v>
      </c>
      <c r="E814" s="21" t="str">
        <f t="shared" si="4"/>
        <v>NSE:NAVKARCORP</v>
      </c>
    </row>
    <row r="815" ht="15.75" customHeight="1">
      <c r="A815" s="30">
        <v>45478.0</v>
      </c>
      <c r="B815" s="20" t="s">
        <v>108</v>
      </c>
      <c r="C815" s="20" t="s">
        <v>21</v>
      </c>
      <c r="D815" s="20" t="s">
        <v>31</v>
      </c>
      <c r="E815" s="21" t="str">
        <f t="shared" si="4"/>
        <v>NSE:TEAMLEASE</v>
      </c>
    </row>
    <row r="816" ht="15.75" customHeight="1">
      <c r="A816" s="30">
        <v>45481.0</v>
      </c>
      <c r="B816" s="20" t="s">
        <v>710</v>
      </c>
      <c r="C816" s="20" t="s">
        <v>13</v>
      </c>
      <c r="D816" s="20" t="s">
        <v>27</v>
      </c>
      <c r="E816" s="21" t="str">
        <f t="shared" si="4"/>
        <v>NSE:FACT</v>
      </c>
    </row>
    <row r="817" ht="15.75" customHeight="1">
      <c r="A817" s="30">
        <v>45481.0</v>
      </c>
      <c r="B817" s="20" t="s">
        <v>109</v>
      </c>
      <c r="C817" s="20" t="s">
        <v>13</v>
      </c>
      <c r="D817" s="20" t="s">
        <v>27</v>
      </c>
      <c r="E817" s="21" t="str">
        <f t="shared" si="4"/>
        <v>NSE:CHAMBLFERT</v>
      </c>
    </row>
    <row r="818" ht="15.75" customHeight="1">
      <c r="A818" s="30">
        <v>45481.0</v>
      </c>
      <c r="B818" s="20" t="s">
        <v>711</v>
      </c>
      <c r="C818" s="20" t="s">
        <v>13</v>
      </c>
      <c r="D818" s="20" t="s">
        <v>29</v>
      </c>
      <c r="E818" s="21" t="str">
        <f t="shared" si="4"/>
        <v>NSE:DABUR</v>
      </c>
    </row>
    <row r="819" ht="15.75" customHeight="1">
      <c r="A819" s="30">
        <v>45481.0</v>
      </c>
      <c r="B819" s="20" t="s">
        <v>712</v>
      </c>
      <c r="C819" s="20" t="s">
        <v>16</v>
      </c>
      <c r="D819" s="20" t="s">
        <v>156</v>
      </c>
      <c r="E819" s="21" t="str">
        <f t="shared" si="4"/>
        <v>NSE:MTNL</v>
      </c>
    </row>
    <row r="820" ht="15.75" customHeight="1">
      <c r="A820" s="30">
        <v>45481.0</v>
      </c>
      <c r="B820" s="20" t="s">
        <v>713</v>
      </c>
      <c r="C820" s="20" t="s">
        <v>21</v>
      </c>
      <c r="D820" s="20" t="s">
        <v>29</v>
      </c>
      <c r="E820" s="21" t="str">
        <f t="shared" si="4"/>
        <v>NSE:EIDPARRY</v>
      </c>
    </row>
    <row r="821" ht="15.75" customHeight="1">
      <c r="A821" s="30">
        <v>45481.0</v>
      </c>
      <c r="B821" s="20" t="s">
        <v>714</v>
      </c>
      <c r="C821" s="20" t="s">
        <v>13</v>
      </c>
      <c r="D821" s="20" t="s">
        <v>27</v>
      </c>
      <c r="E821" s="21" t="str">
        <f t="shared" si="4"/>
        <v>NSE:KANSAINER</v>
      </c>
    </row>
    <row r="822" ht="15.75" customHeight="1">
      <c r="A822" s="30">
        <v>45481.0</v>
      </c>
      <c r="B822" s="20" t="s">
        <v>715</v>
      </c>
      <c r="C822" s="20" t="s">
        <v>21</v>
      </c>
      <c r="D822" s="20" t="s">
        <v>27</v>
      </c>
      <c r="E822" s="21" t="str">
        <f t="shared" si="4"/>
        <v>NSE:HMT</v>
      </c>
    </row>
    <row r="823" ht="15.75" customHeight="1">
      <c r="A823" s="30">
        <v>45481.0</v>
      </c>
      <c r="B823" s="20" t="s">
        <v>716</v>
      </c>
      <c r="C823" s="20" t="s">
        <v>16</v>
      </c>
      <c r="D823" s="20" t="s">
        <v>27</v>
      </c>
      <c r="E823" s="21" t="str">
        <f t="shared" si="4"/>
        <v>NSE:KANORICHEM</v>
      </c>
    </row>
    <row r="824" ht="15.75" customHeight="1">
      <c r="A824" s="30">
        <v>45481.0</v>
      </c>
      <c r="B824" s="20" t="s">
        <v>717</v>
      </c>
      <c r="C824" s="20" t="s">
        <v>16</v>
      </c>
      <c r="D824" s="20" t="s">
        <v>27</v>
      </c>
      <c r="E824" s="21" t="str">
        <f t="shared" si="4"/>
        <v>NSE:SADHNANIQ</v>
      </c>
    </row>
    <row r="825" ht="15.75" customHeight="1">
      <c r="A825" s="30">
        <v>45481.0</v>
      </c>
      <c r="B825" s="20" t="s">
        <v>247</v>
      </c>
      <c r="C825" s="20" t="s">
        <v>16</v>
      </c>
      <c r="D825" s="20" t="s">
        <v>17</v>
      </c>
      <c r="E825" s="21" t="str">
        <f t="shared" si="4"/>
        <v>NSE:HINDCOMPOS</v>
      </c>
    </row>
    <row r="826" ht="15.75" customHeight="1">
      <c r="A826" s="30">
        <v>45481.0</v>
      </c>
      <c r="B826" s="20" t="s">
        <v>718</v>
      </c>
      <c r="C826" s="20" t="s">
        <v>21</v>
      </c>
      <c r="D826" s="20" t="s">
        <v>27</v>
      </c>
      <c r="E826" s="21" t="str">
        <f t="shared" si="4"/>
        <v>NSE:PARADEEP</v>
      </c>
    </row>
    <row r="827" ht="15.75" customHeight="1">
      <c r="A827" s="30">
        <v>45481.0</v>
      </c>
      <c r="B827" s="20" t="s">
        <v>348</v>
      </c>
      <c r="C827" s="20" t="s">
        <v>21</v>
      </c>
      <c r="D827" s="20" t="s">
        <v>17</v>
      </c>
      <c r="E827" s="21" t="str">
        <f t="shared" si="4"/>
        <v>NSE:PRICOLLTD</v>
      </c>
    </row>
    <row r="828" ht="15.75" customHeight="1">
      <c r="A828" s="30">
        <v>45481.0</v>
      </c>
      <c r="B828" s="20" t="s">
        <v>354</v>
      </c>
      <c r="C828" s="20" t="s">
        <v>16</v>
      </c>
      <c r="D828" s="20" t="s">
        <v>17</v>
      </c>
      <c r="E828" s="21" t="str">
        <f t="shared" si="4"/>
        <v>NSE:MUNJALSHOW</v>
      </c>
    </row>
    <row r="829" ht="15.75" customHeight="1">
      <c r="A829" s="30">
        <v>45481.0</v>
      </c>
      <c r="B829" s="20" t="s">
        <v>85</v>
      </c>
      <c r="C829" s="20" t="s">
        <v>16</v>
      </c>
      <c r="D829" s="20" t="s">
        <v>29</v>
      </c>
      <c r="E829" s="21" t="str">
        <f t="shared" si="4"/>
        <v>NSE:SHANTIGEAR</v>
      </c>
    </row>
    <row r="830" ht="15.75" customHeight="1">
      <c r="A830" s="30">
        <v>45481.0</v>
      </c>
      <c r="B830" s="20" t="s">
        <v>719</v>
      </c>
      <c r="C830" s="20" t="s">
        <v>16</v>
      </c>
      <c r="D830" s="20" t="s">
        <v>29</v>
      </c>
      <c r="E830" s="21" t="str">
        <f t="shared" si="4"/>
        <v>NSE:IKIO</v>
      </c>
    </row>
    <row r="831" ht="15.75" customHeight="1">
      <c r="A831" s="30">
        <v>45481.0</v>
      </c>
      <c r="B831" s="20" t="s">
        <v>720</v>
      </c>
      <c r="C831" s="20" t="s">
        <v>16</v>
      </c>
      <c r="D831" s="20" t="s">
        <v>27</v>
      </c>
      <c r="E831" s="21" t="str">
        <f t="shared" si="4"/>
        <v>NSE:BODALCHEM</v>
      </c>
    </row>
    <row r="832" ht="15.75" customHeight="1">
      <c r="A832" s="30">
        <v>45481.0</v>
      </c>
      <c r="B832" s="20" t="s">
        <v>721</v>
      </c>
      <c r="C832" s="20" t="s">
        <v>21</v>
      </c>
      <c r="D832" s="20" t="s">
        <v>14</v>
      </c>
      <c r="E832" s="21" t="str">
        <f t="shared" si="4"/>
        <v>NSE:ORCHPHARMA</v>
      </c>
    </row>
    <row r="833" ht="15.75" customHeight="1">
      <c r="A833" s="30">
        <v>45481.0</v>
      </c>
      <c r="B833" s="20" t="s">
        <v>722</v>
      </c>
      <c r="C833" s="20" t="s">
        <v>16</v>
      </c>
      <c r="D833" s="20" t="s">
        <v>22</v>
      </c>
      <c r="E833" s="21" t="str">
        <f t="shared" si="4"/>
        <v>NSE:PSPPROJECT</v>
      </c>
    </row>
    <row r="834" ht="15.75" customHeight="1">
      <c r="A834" s="30">
        <v>45481.0</v>
      </c>
      <c r="B834" s="20" t="s">
        <v>723</v>
      </c>
      <c r="C834" s="20" t="s">
        <v>16</v>
      </c>
      <c r="D834" s="20" t="s">
        <v>29</v>
      </c>
      <c r="E834" s="21" t="str">
        <f t="shared" si="4"/>
        <v>NSE:SERVOTECH</v>
      </c>
    </row>
    <row r="835" ht="15.75" customHeight="1">
      <c r="A835" s="30">
        <v>45481.0</v>
      </c>
      <c r="B835" s="20" t="s">
        <v>724</v>
      </c>
      <c r="C835" s="20" t="s">
        <v>16</v>
      </c>
      <c r="D835" s="20" t="s">
        <v>39</v>
      </c>
      <c r="E835" s="21" t="str">
        <f t="shared" si="4"/>
        <v>NSE:MUTHOOTMF</v>
      </c>
    </row>
    <row r="836" ht="15.75" customHeight="1">
      <c r="A836" s="30">
        <v>45481.0</v>
      </c>
      <c r="B836" s="20" t="s">
        <v>210</v>
      </c>
      <c r="C836" s="20" t="s">
        <v>16</v>
      </c>
      <c r="D836" s="20" t="s">
        <v>91</v>
      </c>
      <c r="E836" s="21" t="str">
        <f t="shared" si="4"/>
        <v>NSE:STYLAMIND</v>
      </c>
    </row>
    <row r="837" ht="15.75" customHeight="1">
      <c r="A837" s="30">
        <v>45481.0</v>
      </c>
      <c r="B837" s="20" t="s">
        <v>600</v>
      </c>
      <c r="C837" s="20" t="s">
        <v>21</v>
      </c>
      <c r="D837" s="20" t="s">
        <v>27</v>
      </c>
      <c r="E837" s="21" t="str">
        <f t="shared" si="4"/>
        <v>NSE:GUJALKALI</v>
      </c>
    </row>
    <row r="838" ht="15.75" customHeight="1">
      <c r="A838" s="30">
        <v>45481.0</v>
      </c>
      <c r="B838" s="20" t="s">
        <v>725</v>
      </c>
      <c r="C838" s="20" t="s">
        <v>16</v>
      </c>
      <c r="D838" s="20" t="s">
        <v>27</v>
      </c>
      <c r="E838" s="21" t="str">
        <f t="shared" si="4"/>
        <v>NSE:MANGCHEFER</v>
      </c>
    </row>
    <row r="839" ht="15.75" customHeight="1">
      <c r="A839" s="30">
        <v>45481.0</v>
      </c>
      <c r="B839" s="20" t="s">
        <v>282</v>
      </c>
      <c r="C839" s="20" t="s">
        <v>16</v>
      </c>
      <c r="D839" s="20" t="s">
        <v>185</v>
      </c>
      <c r="E839" s="21" t="str">
        <f t="shared" si="4"/>
        <v>NSE:CAPITALSFB</v>
      </c>
    </row>
    <row r="840" ht="15.75" customHeight="1">
      <c r="A840" s="30">
        <v>45481.0</v>
      </c>
      <c r="B840" s="20" t="s">
        <v>508</v>
      </c>
      <c r="C840" s="20" t="s">
        <v>16</v>
      </c>
      <c r="D840" s="20" t="s">
        <v>27</v>
      </c>
      <c r="E840" s="21" t="str">
        <f t="shared" si="4"/>
        <v>NSE:CHEMFAB</v>
      </c>
    </row>
    <row r="841" ht="15.75" customHeight="1">
      <c r="A841" s="30">
        <v>45481.0</v>
      </c>
      <c r="B841" s="20" t="s">
        <v>726</v>
      </c>
      <c r="C841" s="20" t="s">
        <v>16</v>
      </c>
      <c r="D841" s="20" t="s">
        <v>31</v>
      </c>
      <c r="E841" s="21" t="str">
        <f t="shared" si="4"/>
        <v>NSE:MUKKA</v>
      </c>
    </row>
    <row r="842" ht="15.75" customHeight="1">
      <c r="A842" s="30">
        <v>45481.0</v>
      </c>
      <c r="B842" s="20" t="s">
        <v>383</v>
      </c>
      <c r="C842" s="20" t="s">
        <v>13</v>
      </c>
      <c r="D842" s="20" t="s">
        <v>29</v>
      </c>
      <c r="E842" s="21" t="str">
        <f t="shared" si="4"/>
        <v>NSE:RELAXO</v>
      </c>
    </row>
    <row r="843" ht="15.75" customHeight="1">
      <c r="A843" s="30">
        <v>45481.0</v>
      </c>
      <c r="B843" s="20" t="s">
        <v>727</v>
      </c>
      <c r="C843" s="20" t="s">
        <v>16</v>
      </c>
      <c r="D843" s="20" t="s">
        <v>22</v>
      </c>
      <c r="E843" s="21" t="str">
        <f t="shared" si="4"/>
        <v>NSE:SRM</v>
      </c>
    </row>
    <row r="844" ht="15.75" customHeight="1">
      <c r="A844" s="30">
        <v>45481.0</v>
      </c>
      <c r="B844" s="20" t="s">
        <v>607</v>
      </c>
      <c r="C844" s="20" t="s">
        <v>16</v>
      </c>
      <c r="D844" s="20" t="s">
        <v>22</v>
      </c>
      <c r="E844" s="21" t="str">
        <f t="shared" si="4"/>
        <v>NSE:OMINFRAL</v>
      </c>
    </row>
    <row r="845" ht="15.75" customHeight="1">
      <c r="A845" s="30">
        <v>45481.0</v>
      </c>
      <c r="B845" s="20" t="s">
        <v>728</v>
      </c>
      <c r="C845" s="20" t="s">
        <v>21</v>
      </c>
      <c r="D845" s="20" t="s">
        <v>29</v>
      </c>
      <c r="E845" s="21" t="str">
        <f t="shared" si="4"/>
        <v>NSE:TRIVENI</v>
      </c>
    </row>
    <row r="846" ht="15.75" customHeight="1">
      <c r="A846" s="30">
        <v>45481.0</v>
      </c>
      <c r="B846" s="20" t="s">
        <v>729</v>
      </c>
      <c r="C846" s="20" t="s">
        <v>13</v>
      </c>
      <c r="D846" s="20" t="s">
        <v>29</v>
      </c>
      <c r="E846" s="21" t="str">
        <f t="shared" si="4"/>
        <v>NSE:GODREJCP</v>
      </c>
    </row>
    <row r="847" ht="15.75" customHeight="1">
      <c r="A847" s="30">
        <v>45481.0</v>
      </c>
      <c r="B847" s="20" t="s">
        <v>730</v>
      </c>
      <c r="C847" s="20" t="s">
        <v>13</v>
      </c>
      <c r="D847" s="20" t="s">
        <v>22</v>
      </c>
      <c r="E847" s="21" t="str">
        <f t="shared" si="4"/>
        <v>NSE:GMRINFRA</v>
      </c>
    </row>
    <row r="848" ht="15.75" customHeight="1">
      <c r="A848" s="30">
        <v>45481.0</v>
      </c>
      <c r="B848" s="20" t="s">
        <v>731</v>
      </c>
      <c r="C848" s="20" t="s">
        <v>21</v>
      </c>
      <c r="D848" s="20" t="s">
        <v>29</v>
      </c>
      <c r="E848" s="21" t="str">
        <f t="shared" si="4"/>
        <v>NSE:LTFOODS</v>
      </c>
    </row>
    <row r="849" ht="15.75" customHeight="1">
      <c r="A849" s="30">
        <v>45481.0</v>
      </c>
      <c r="B849" s="20" t="s">
        <v>662</v>
      </c>
      <c r="C849" s="20" t="s">
        <v>16</v>
      </c>
      <c r="D849" s="20" t="s">
        <v>27</v>
      </c>
      <c r="E849" s="21" t="str">
        <f t="shared" si="4"/>
        <v>NSE:INSECTICID</v>
      </c>
    </row>
    <row r="850" ht="15.75" customHeight="1">
      <c r="A850" s="30">
        <v>45481.0</v>
      </c>
      <c r="B850" s="20" t="s">
        <v>530</v>
      </c>
      <c r="C850" s="20" t="s">
        <v>16</v>
      </c>
      <c r="D850" s="20" t="s">
        <v>22</v>
      </c>
      <c r="E850" s="21" t="str">
        <f t="shared" si="4"/>
        <v>NSE:OMAXE</v>
      </c>
    </row>
    <row r="851" ht="15.75" customHeight="1">
      <c r="A851" s="30">
        <v>45481.0</v>
      </c>
      <c r="B851" s="20" t="s">
        <v>732</v>
      </c>
      <c r="C851" s="20" t="s">
        <v>16</v>
      </c>
      <c r="D851" s="20" t="s">
        <v>14</v>
      </c>
      <c r="E851" s="21" t="str">
        <f t="shared" si="4"/>
        <v>NSE:RPGLIFE</v>
      </c>
    </row>
    <row r="852" ht="15.75" customHeight="1">
      <c r="A852" s="30">
        <v>45481.0</v>
      </c>
      <c r="B852" s="20" t="s">
        <v>148</v>
      </c>
      <c r="C852" s="20" t="s">
        <v>16</v>
      </c>
      <c r="D852" s="20" t="s">
        <v>17</v>
      </c>
      <c r="E852" s="21" t="str">
        <f t="shared" si="4"/>
        <v>NSE:RBL</v>
      </c>
    </row>
    <row r="853" ht="15.75" customHeight="1">
      <c r="A853" s="30">
        <v>45481.0</v>
      </c>
      <c r="B853" s="20" t="s">
        <v>289</v>
      </c>
      <c r="C853" s="20" t="s">
        <v>13</v>
      </c>
      <c r="D853" s="20" t="s">
        <v>64</v>
      </c>
      <c r="E853" s="21" t="str">
        <f t="shared" si="4"/>
        <v>NSE:OIL</v>
      </c>
    </row>
    <row r="854" ht="15.75" customHeight="1">
      <c r="A854" s="30">
        <v>45481.0</v>
      </c>
      <c r="B854" s="20" t="s">
        <v>733</v>
      </c>
      <c r="C854" s="20" t="s">
        <v>16</v>
      </c>
      <c r="D854" s="20" t="s">
        <v>55</v>
      </c>
      <c r="E854" s="21" t="str">
        <f t="shared" si="4"/>
        <v>NSE:CAREERP</v>
      </c>
    </row>
    <row r="855" ht="15.75" customHeight="1">
      <c r="A855" s="30">
        <v>45481.0</v>
      </c>
      <c r="B855" s="20" t="s">
        <v>734</v>
      </c>
      <c r="C855" s="20" t="s">
        <v>16</v>
      </c>
      <c r="D855" s="20" t="s">
        <v>91</v>
      </c>
      <c r="E855" s="21" t="str">
        <f t="shared" si="4"/>
        <v>NSE:RUSHIL</v>
      </c>
    </row>
    <row r="856" ht="15.75" customHeight="1">
      <c r="A856" s="30">
        <v>45481.0</v>
      </c>
      <c r="B856" s="20" t="s">
        <v>735</v>
      </c>
      <c r="C856" s="20" t="s">
        <v>16</v>
      </c>
      <c r="D856" s="20" t="s">
        <v>27</v>
      </c>
      <c r="E856" s="21" t="str">
        <f t="shared" si="4"/>
        <v>NSE:ZUARI</v>
      </c>
    </row>
    <row r="857" ht="15.75" customHeight="1">
      <c r="A857" s="30">
        <v>45481.0</v>
      </c>
      <c r="B857" s="20" t="s">
        <v>439</v>
      </c>
      <c r="C857" s="20" t="s">
        <v>21</v>
      </c>
      <c r="D857" s="20" t="s">
        <v>27</v>
      </c>
      <c r="E857" s="21" t="str">
        <f t="shared" si="4"/>
        <v>NSE:SHARDACROP</v>
      </c>
    </row>
    <row r="858" ht="15.75" customHeight="1">
      <c r="A858" s="30">
        <v>45481.0</v>
      </c>
      <c r="B858" s="20" t="s">
        <v>670</v>
      </c>
      <c r="C858" s="20" t="s">
        <v>13</v>
      </c>
      <c r="D858" s="20" t="s">
        <v>29</v>
      </c>
      <c r="E858" s="21" t="str">
        <f t="shared" si="4"/>
        <v>NSE:METROBRAND</v>
      </c>
    </row>
    <row r="859" ht="15.75" customHeight="1">
      <c r="A859" s="30">
        <v>45481.0</v>
      </c>
      <c r="B859" s="20" t="s">
        <v>235</v>
      </c>
      <c r="C859" s="20" t="s">
        <v>13</v>
      </c>
      <c r="D859" s="20" t="s">
        <v>27</v>
      </c>
      <c r="E859" s="21" t="str">
        <f t="shared" si="4"/>
        <v>NSE:GUJGASLTD</v>
      </c>
    </row>
    <row r="860" ht="15.75" customHeight="1">
      <c r="A860" s="30">
        <v>45481.0</v>
      </c>
      <c r="B860" s="20" t="s">
        <v>446</v>
      </c>
      <c r="C860" s="20" t="s">
        <v>16</v>
      </c>
      <c r="D860" s="20" t="s">
        <v>14</v>
      </c>
      <c r="E860" s="21" t="str">
        <f t="shared" si="4"/>
        <v>NSE:BAJAJHCARE</v>
      </c>
    </row>
    <row r="861" ht="15.75" customHeight="1">
      <c r="A861" s="30">
        <v>45482.0</v>
      </c>
      <c r="B861" s="20" t="s">
        <v>451</v>
      </c>
      <c r="C861" s="20" t="s">
        <v>21</v>
      </c>
      <c r="D861" s="20" t="s">
        <v>29</v>
      </c>
      <c r="E861" s="21" t="str">
        <f t="shared" si="4"/>
        <v>NSE:BAJAJHIND</v>
      </c>
    </row>
    <row r="862" ht="15.75" customHeight="1">
      <c r="A862" s="30">
        <v>45482.0</v>
      </c>
      <c r="B862" s="20" t="s">
        <v>736</v>
      </c>
      <c r="C862" s="20" t="s">
        <v>21</v>
      </c>
      <c r="D862" s="20" t="s">
        <v>29</v>
      </c>
      <c r="E862" s="21" t="str">
        <f t="shared" si="4"/>
        <v>NSE:BALRAMCHIN</v>
      </c>
    </row>
    <row r="863" ht="15.75" customHeight="1">
      <c r="A863" s="30">
        <v>45482.0</v>
      </c>
      <c r="B863" s="20" t="s">
        <v>129</v>
      </c>
      <c r="C863" s="20" t="s">
        <v>16</v>
      </c>
      <c r="D863" s="20" t="s">
        <v>29</v>
      </c>
      <c r="E863" s="21" t="str">
        <f t="shared" si="4"/>
        <v>NSE:BANARISUG</v>
      </c>
    </row>
    <row r="864" ht="15.75" customHeight="1">
      <c r="A864" s="30">
        <v>45482.0</v>
      </c>
      <c r="B864" s="20" t="s">
        <v>130</v>
      </c>
      <c r="C864" s="20" t="s">
        <v>16</v>
      </c>
      <c r="D864" s="20" t="s">
        <v>27</v>
      </c>
      <c r="E864" s="21" t="str">
        <f t="shared" si="4"/>
        <v>NSE:ANDHRSUGAR</v>
      </c>
    </row>
    <row r="865" ht="15.75" customHeight="1">
      <c r="A865" s="30">
        <v>45482.0</v>
      </c>
      <c r="B865" s="20" t="s">
        <v>303</v>
      </c>
      <c r="C865" s="20" t="s">
        <v>16</v>
      </c>
      <c r="D865" s="20" t="s">
        <v>29</v>
      </c>
      <c r="E865" s="21" t="str">
        <f t="shared" si="4"/>
        <v>NSE:INDIAGLYCO</v>
      </c>
    </row>
    <row r="866" ht="15.75" customHeight="1">
      <c r="A866" s="30">
        <v>45482.0</v>
      </c>
      <c r="B866" s="20" t="s">
        <v>737</v>
      </c>
      <c r="C866" s="20" t="s">
        <v>16</v>
      </c>
      <c r="D866" s="20" t="s">
        <v>64</v>
      </c>
      <c r="E866" s="21" t="str">
        <f t="shared" si="4"/>
        <v>NSE:MANALIPETC</v>
      </c>
    </row>
    <row r="867" ht="15.75" customHeight="1">
      <c r="A867" s="30">
        <v>45482.0</v>
      </c>
      <c r="B867" s="20" t="s">
        <v>307</v>
      </c>
      <c r="C867" s="20" t="s">
        <v>13</v>
      </c>
      <c r="D867" s="20" t="s">
        <v>39</v>
      </c>
      <c r="E867" s="21" t="str">
        <f t="shared" si="4"/>
        <v>NSE:MFSL</v>
      </c>
    </row>
    <row r="868" ht="15.75" customHeight="1">
      <c r="A868" s="30">
        <v>45482.0</v>
      </c>
      <c r="B868" s="20" t="s">
        <v>458</v>
      </c>
      <c r="C868" s="20" t="s">
        <v>21</v>
      </c>
      <c r="D868" s="20" t="s">
        <v>31</v>
      </c>
      <c r="E868" s="21" t="str">
        <f t="shared" si="4"/>
        <v>NSE:RAIN</v>
      </c>
    </row>
    <row r="869" ht="15.75" customHeight="1">
      <c r="A869" s="30">
        <v>45482.0</v>
      </c>
      <c r="B869" s="20" t="s">
        <v>244</v>
      </c>
      <c r="C869" s="20" t="s">
        <v>13</v>
      </c>
      <c r="D869" s="20" t="s">
        <v>27</v>
      </c>
      <c r="E869" s="21" t="str">
        <f t="shared" si="4"/>
        <v>NSE:SHREECEM</v>
      </c>
    </row>
    <row r="870" ht="15.75" customHeight="1">
      <c r="A870" s="30">
        <v>45482.0</v>
      </c>
      <c r="B870" s="20" t="s">
        <v>464</v>
      </c>
      <c r="C870" s="20" t="s">
        <v>16</v>
      </c>
      <c r="D870" s="20" t="s">
        <v>39</v>
      </c>
      <c r="E870" s="21" t="str">
        <f t="shared" si="4"/>
        <v>NSE:VHL</v>
      </c>
    </row>
    <row r="871" ht="15.75" customHeight="1">
      <c r="A871" s="30">
        <v>45482.0</v>
      </c>
      <c r="B871" s="20" t="s">
        <v>317</v>
      </c>
      <c r="C871" s="20" t="s">
        <v>21</v>
      </c>
      <c r="D871" s="20" t="s">
        <v>17</v>
      </c>
      <c r="E871" s="21" t="str">
        <f t="shared" si="4"/>
        <v>NSE:BBTC</v>
      </c>
    </row>
    <row r="872" ht="15.75" customHeight="1">
      <c r="A872" s="30">
        <v>45482.0</v>
      </c>
      <c r="B872" s="20" t="s">
        <v>326</v>
      </c>
      <c r="C872" s="20" t="s">
        <v>16</v>
      </c>
      <c r="D872" s="20" t="s">
        <v>22</v>
      </c>
      <c r="E872" s="21" t="str">
        <f t="shared" si="4"/>
        <v>NSE:INDIANHUME</v>
      </c>
    </row>
    <row r="873" ht="15.75" customHeight="1">
      <c r="A873" s="30">
        <v>45482.0</v>
      </c>
      <c r="B873" s="20" t="s">
        <v>738</v>
      </c>
      <c r="C873" s="20" t="s">
        <v>21</v>
      </c>
      <c r="D873" s="20" t="s">
        <v>17</v>
      </c>
      <c r="E873" s="21" t="str">
        <f t="shared" si="4"/>
        <v>NSE:GABRIEL</v>
      </c>
    </row>
    <row r="874" ht="15.75" customHeight="1">
      <c r="A874" s="30">
        <v>45482.0</v>
      </c>
      <c r="B874" s="20" t="s">
        <v>739</v>
      </c>
      <c r="C874" s="20" t="s">
        <v>16</v>
      </c>
      <c r="D874" s="20" t="s">
        <v>14</v>
      </c>
      <c r="E874" s="21" t="str">
        <f t="shared" si="4"/>
        <v>NSE:JAGSNPHARM</v>
      </c>
    </row>
    <row r="875" ht="15.75" customHeight="1">
      <c r="A875" s="30">
        <v>45482.0</v>
      </c>
      <c r="B875" s="20" t="s">
        <v>336</v>
      </c>
      <c r="C875" s="20" t="s">
        <v>16</v>
      </c>
      <c r="D875" s="20" t="s">
        <v>39</v>
      </c>
      <c r="E875" s="21" t="str">
        <f t="shared" si="4"/>
        <v>NSE:VLSFINANCE</v>
      </c>
    </row>
    <row r="876" ht="15.75" customHeight="1">
      <c r="A876" s="30">
        <v>45482.0</v>
      </c>
      <c r="B876" s="20" t="s">
        <v>740</v>
      </c>
      <c r="C876" s="20" t="s">
        <v>21</v>
      </c>
      <c r="D876" s="20" t="s">
        <v>31</v>
      </c>
      <c r="E876" s="21" t="str">
        <f t="shared" si="4"/>
        <v>NSE:NAVA</v>
      </c>
    </row>
    <row r="877" ht="15.75" customHeight="1">
      <c r="A877" s="30">
        <v>45482.0</v>
      </c>
      <c r="B877" s="20" t="s">
        <v>476</v>
      </c>
      <c r="C877" s="20" t="s">
        <v>21</v>
      </c>
      <c r="D877" s="20" t="s">
        <v>55</v>
      </c>
      <c r="E877" s="21" t="str">
        <f t="shared" si="4"/>
        <v>NSE:PRUDENT</v>
      </c>
    </row>
    <row r="878" ht="15.75" customHeight="1">
      <c r="A878" s="30">
        <v>45482.0</v>
      </c>
      <c r="B878" s="20" t="s">
        <v>172</v>
      </c>
      <c r="C878" s="20" t="s">
        <v>16</v>
      </c>
      <c r="D878" s="20" t="s">
        <v>25</v>
      </c>
      <c r="E878" s="21" t="str">
        <f t="shared" si="4"/>
        <v>NSE:SBCL</v>
      </c>
    </row>
    <row r="879" ht="15.75" customHeight="1">
      <c r="A879" s="30">
        <v>45482.0</v>
      </c>
      <c r="B879" s="20" t="s">
        <v>741</v>
      </c>
      <c r="C879" s="20" t="s">
        <v>21</v>
      </c>
      <c r="D879" s="20" t="s">
        <v>53</v>
      </c>
      <c r="E879" s="21" t="str">
        <f t="shared" si="4"/>
        <v>NSE:WELSPUNLIV</v>
      </c>
    </row>
    <row r="880" ht="15.75" customHeight="1">
      <c r="A880" s="30">
        <v>45482.0</v>
      </c>
      <c r="B880" s="20" t="s">
        <v>742</v>
      </c>
      <c r="C880" s="20" t="s">
        <v>21</v>
      </c>
      <c r="D880" s="20" t="s">
        <v>373</v>
      </c>
      <c r="E880" s="21" t="str">
        <f t="shared" si="4"/>
        <v>NSE:KFINTECH</v>
      </c>
    </row>
    <row r="881" ht="15.75" customHeight="1">
      <c r="A881" s="30">
        <v>45482.0</v>
      </c>
      <c r="B881" s="20" t="s">
        <v>743</v>
      </c>
      <c r="C881" s="20" t="s">
        <v>21</v>
      </c>
      <c r="D881" s="20" t="s">
        <v>29</v>
      </c>
      <c r="E881" s="21" t="str">
        <f t="shared" si="4"/>
        <v>NSE:CCL</v>
      </c>
    </row>
    <row r="882" ht="15.75" customHeight="1">
      <c r="A882" s="30">
        <v>45482.0</v>
      </c>
      <c r="B882" s="20" t="s">
        <v>744</v>
      </c>
      <c r="C882" s="20" t="s">
        <v>16</v>
      </c>
      <c r="D882" s="20" t="s">
        <v>55</v>
      </c>
      <c r="E882" s="21" t="str">
        <f t="shared" si="4"/>
        <v>NSE:TCPLPACK</v>
      </c>
    </row>
    <row r="883" ht="15.75" customHeight="1">
      <c r="A883" s="30">
        <v>45482.0</v>
      </c>
      <c r="B883" s="20" t="s">
        <v>89</v>
      </c>
      <c r="C883" s="20" t="s">
        <v>13</v>
      </c>
      <c r="D883" s="20" t="s">
        <v>31</v>
      </c>
      <c r="E883" s="21" t="str">
        <f t="shared" si="4"/>
        <v>NSE:3MINDIA</v>
      </c>
    </row>
    <row r="884" ht="15.75" customHeight="1">
      <c r="A884" s="30">
        <v>45482.0</v>
      </c>
      <c r="B884" s="20" t="s">
        <v>249</v>
      </c>
      <c r="C884" s="20" t="s">
        <v>13</v>
      </c>
      <c r="D884" s="20" t="s">
        <v>27</v>
      </c>
      <c r="E884" s="21" t="str">
        <f t="shared" si="4"/>
        <v>NSE:PIIND</v>
      </c>
    </row>
    <row r="885" ht="15.75" customHeight="1">
      <c r="A885" s="30">
        <v>45482.0</v>
      </c>
      <c r="B885" s="20" t="s">
        <v>583</v>
      </c>
      <c r="C885" s="20" t="s">
        <v>16</v>
      </c>
      <c r="D885" s="20" t="s">
        <v>27</v>
      </c>
      <c r="E885" s="21" t="str">
        <f t="shared" si="4"/>
        <v>NSE:APCOTEXIND</v>
      </c>
    </row>
    <row r="886" ht="15.75" customHeight="1">
      <c r="A886" s="30">
        <v>45482.0</v>
      </c>
      <c r="B886" s="20" t="s">
        <v>176</v>
      </c>
      <c r="C886" s="20" t="s">
        <v>13</v>
      </c>
      <c r="D886" s="20" t="s">
        <v>177</v>
      </c>
      <c r="E886" s="21" t="str">
        <f t="shared" si="4"/>
        <v>NSE:NIFTY</v>
      </c>
    </row>
    <row r="887" ht="15.75" customHeight="1">
      <c r="A887" s="30">
        <v>45482.0</v>
      </c>
      <c r="B887" s="20" t="s">
        <v>745</v>
      </c>
      <c r="C887" s="20" t="s">
        <v>16</v>
      </c>
      <c r="D887" s="20" t="s">
        <v>29</v>
      </c>
      <c r="E887" s="21" t="str">
        <f t="shared" si="4"/>
        <v>NSE:MAGADSUGAR</v>
      </c>
    </row>
    <row r="888" ht="15.75" customHeight="1">
      <c r="A888" s="30">
        <v>45482.0</v>
      </c>
      <c r="B888" s="20" t="s">
        <v>497</v>
      </c>
      <c r="C888" s="20" t="s">
        <v>16</v>
      </c>
      <c r="D888" s="20" t="s">
        <v>53</v>
      </c>
      <c r="E888" s="21" t="str">
        <f t="shared" si="4"/>
        <v>NSE:MANOMAY</v>
      </c>
    </row>
    <row r="889" ht="15.75" customHeight="1">
      <c r="A889" s="30">
        <v>45482.0</v>
      </c>
      <c r="B889" s="20" t="s">
        <v>142</v>
      </c>
      <c r="C889" s="20" t="s">
        <v>13</v>
      </c>
      <c r="D889" s="20" t="s">
        <v>37</v>
      </c>
      <c r="E889" s="21" t="str">
        <f t="shared" si="4"/>
        <v>NSE:TATATECH</v>
      </c>
    </row>
    <row r="890" ht="15.75" customHeight="1">
      <c r="A890" s="30">
        <v>45482.0</v>
      </c>
      <c r="B890" s="20" t="s">
        <v>382</v>
      </c>
      <c r="C890" s="20" t="s">
        <v>21</v>
      </c>
      <c r="D890" s="20" t="s">
        <v>29</v>
      </c>
      <c r="E890" s="21" t="str">
        <f t="shared" si="4"/>
        <v>NSE:GENUSPOWER</v>
      </c>
    </row>
    <row r="891" ht="15.75" customHeight="1">
      <c r="A891" s="30">
        <v>45482.0</v>
      </c>
      <c r="B891" s="20" t="s">
        <v>507</v>
      </c>
      <c r="C891" s="20" t="s">
        <v>16</v>
      </c>
      <c r="D891" s="20" t="s">
        <v>29</v>
      </c>
      <c r="E891" s="21" t="str">
        <f t="shared" si="4"/>
        <v>NSE:UGARSUGAR</v>
      </c>
    </row>
    <row r="892" ht="15.75" customHeight="1">
      <c r="A892" s="30">
        <v>45482.0</v>
      </c>
      <c r="B892" s="20" t="s">
        <v>385</v>
      </c>
      <c r="C892" s="20" t="s">
        <v>16</v>
      </c>
      <c r="D892" s="20" t="s">
        <v>53</v>
      </c>
      <c r="E892" s="21" t="str">
        <f t="shared" si="4"/>
        <v>NSE:RAJRILTD</v>
      </c>
    </row>
    <row r="893" ht="15.75" customHeight="1">
      <c r="A893" s="30">
        <v>45482.0</v>
      </c>
      <c r="B893" s="20" t="s">
        <v>386</v>
      </c>
      <c r="C893" s="20" t="s">
        <v>21</v>
      </c>
      <c r="D893" s="20" t="s">
        <v>29</v>
      </c>
      <c r="E893" s="21" t="str">
        <f t="shared" si="4"/>
        <v>NSE:KRBL</v>
      </c>
    </row>
    <row r="894" ht="15.75" customHeight="1">
      <c r="A894" s="30">
        <v>45482.0</v>
      </c>
      <c r="B894" s="20" t="s">
        <v>746</v>
      </c>
      <c r="C894" s="20" t="s">
        <v>13</v>
      </c>
      <c r="D894" s="20" t="s">
        <v>37</v>
      </c>
      <c r="E894" s="21" t="str">
        <f t="shared" si="4"/>
        <v>NSE:AFFLE</v>
      </c>
    </row>
    <row r="895" ht="15.75" customHeight="1">
      <c r="A895" s="30">
        <v>45482.0</v>
      </c>
      <c r="B895" s="20" t="s">
        <v>220</v>
      </c>
      <c r="C895" s="20" t="s">
        <v>13</v>
      </c>
      <c r="D895" s="20" t="s">
        <v>39</v>
      </c>
      <c r="E895" s="21" t="str">
        <f t="shared" si="4"/>
        <v>NSE:360ONE</v>
      </c>
    </row>
    <row r="896" ht="15.75" customHeight="1">
      <c r="A896" s="30">
        <v>45482.0</v>
      </c>
      <c r="B896" s="20" t="s">
        <v>516</v>
      </c>
      <c r="C896" s="20" t="s">
        <v>13</v>
      </c>
      <c r="D896" s="20" t="s">
        <v>373</v>
      </c>
      <c r="E896" s="21" t="str">
        <f t="shared" si="4"/>
        <v>NSE:CAMS</v>
      </c>
    </row>
    <row r="897" ht="15.75" customHeight="1">
      <c r="A897" s="30">
        <v>45482.0</v>
      </c>
      <c r="B897" s="20" t="s">
        <v>526</v>
      </c>
      <c r="C897" s="20" t="s">
        <v>16</v>
      </c>
      <c r="D897" s="20" t="s">
        <v>29</v>
      </c>
      <c r="E897" s="21" t="str">
        <f t="shared" si="4"/>
        <v>NSE:DWARKESH</v>
      </c>
    </row>
    <row r="898" ht="15.75" customHeight="1">
      <c r="A898" s="30">
        <v>45482.0</v>
      </c>
      <c r="B898" s="20" t="s">
        <v>747</v>
      </c>
      <c r="C898" s="20" t="s">
        <v>21</v>
      </c>
      <c r="D898" s="20" t="s">
        <v>29</v>
      </c>
      <c r="E898" s="21" t="str">
        <f t="shared" si="4"/>
        <v>NSE:RENUKA</v>
      </c>
    </row>
    <row r="899" ht="15.75" customHeight="1">
      <c r="A899" s="30">
        <v>45482.0</v>
      </c>
      <c r="B899" s="20" t="s">
        <v>657</v>
      </c>
      <c r="C899" s="20" t="s">
        <v>13</v>
      </c>
      <c r="D899" s="20" t="s">
        <v>27</v>
      </c>
      <c r="E899" s="21" t="str">
        <f t="shared" si="4"/>
        <v>NSE:AIAENG</v>
      </c>
    </row>
    <row r="900" ht="15.75" customHeight="1">
      <c r="A900" s="30">
        <v>45482.0</v>
      </c>
      <c r="B900" s="20" t="s">
        <v>748</v>
      </c>
      <c r="C900" s="20" t="s">
        <v>13</v>
      </c>
      <c r="D900" s="20" t="s">
        <v>39</v>
      </c>
      <c r="E900" s="21" t="str">
        <f t="shared" si="4"/>
        <v>NSE:M&amp;MFIN</v>
      </c>
    </row>
    <row r="901" ht="15.75" customHeight="1">
      <c r="A901" s="30">
        <v>45482.0</v>
      </c>
      <c r="B901" s="20" t="s">
        <v>412</v>
      </c>
      <c r="C901" s="20" t="s">
        <v>13</v>
      </c>
      <c r="D901" s="20" t="s">
        <v>50</v>
      </c>
      <c r="E901" s="21" t="str">
        <f t="shared" si="4"/>
        <v>NSE:SUNTV</v>
      </c>
    </row>
    <row r="902" ht="15.75" customHeight="1">
      <c r="A902" s="30">
        <v>45482.0</v>
      </c>
      <c r="B902" s="20" t="s">
        <v>749</v>
      </c>
      <c r="C902" s="20" t="s">
        <v>13</v>
      </c>
      <c r="D902" s="20" t="s">
        <v>37</v>
      </c>
      <c r="E902" s="21" t="str">
        <f t="shared" si="4"/>
        <v>NSE:NAUKRI</v>
      </c>
    </row>
    <row r="903" ht="15.75" customHeight="1">
      <c r="A903" s="30">
        <v>45482.0</v>
      </c>
      <c r="B903" s="20" t="s">
        <v>750</v>
      </c>
      <c r="C903" s="20" t="s">
        <v>13</v>
      </c>
      <c r="D903" s="20" t="s">
        <v>185</v>
      </c>
      <c r="E903" s="21" t="str">
        <f t="shared" si="4"/>
        <v>NSE:INDIANB</v>
      </c>
    </row>
    <row r="904" ht="15.75" customHeight="1">
      <c r="A904" s="30">
        <v>45482.0</v>
      </c>
      <c r="B904" s="20" t="s">
        <v>533</v>
      </c>
      <c r="C904" s="20" t="s">
        <v>16</v>
      </c>
      <c r="D904" s="20" t="s">
        <v>50</v>
      </c>
      <c r="E904" s="21" t="str">
        <f t="shared" si="4"/>
        <v>NSE:DEN</v>
      </c>
    </row>
    <row r="905" ht="15.75" customHeight="1">
      <c r="A905" s="30">
        <v>45482.0</v>
      </c>
      <c r="B905" s="20" t="s">
        <v>423</v>
      </c>
      <c r="C905" s="20" t="s">
        <v>16</v>
      </c>
      <c r="D905" s="20" t="s">
        <v>55</v>
      </c>
      <c r="E905" s="21" t="str">
        <f t="shared" si="4"/>
        <v>NSE:DLINKINDIA</v>
      </c>
    </row>
    <row r="906" ht="15.75" customHeight="1">
      <c r="A906" s="30">
        <v>45482.0</v>
      </c>
      <c r="B906" s="20" t="s">
        <v>751</v>
      </c>
      <c r="C906" s="20" t="s">
        <v>16</v>
      </c>
      <c r="D906" s="20" t="s">
        <v>31</v>
      </c>
      <c r="E906" s="21" t="str">
        <f t="shared" si="4"/>
        <v>NSE:THANGAMAYL</v>
      </c>
    </row>
    <row r="907" ht="15.75" customHeight="1">
      <c r="A907" s="30">
        <v>45482.0</v>
      </c>
      <c r="B907" s="20" t="s">
        <v>534</v>
      </c>
      <c r="C907" s="20" t="s">
        <v>16</v>
      </c>
      <c r="D907" s="20" t="s">
        <v>156</v>
      </c>
      <c r="E907" s="21" t="str">
        <f t="shared" si="4"/>
        <v>NSE:HATHWAY</v>
      </c>
    </row>
    <row r="908" ht="15.75" customHeight="1">
      <c r="A908" s="30">
        <v>45482.0</v>
      </c>
      <c r="B908" s="20" t="s">
        <v>151</v>
      </c>
      <c r="C908" s="20" t="s">
        <v>16</v>
      </c>
      <c r="D908" s="20" t="s">
        <v>19</v>
      </c>
      <c r="E908" s="21" t="str">
        <f t="shared" si="4"/>
        <v>NSE:ROSSELLIND</v>
      </c>
    </row>
    <row r="909" ht="15.75" customHeight="1">
      <c r="A909" s="30">
        <v>45482.0</v>
      </c>
      <c r="B909" s="20" t="s">
        <v>752</v>
      </c>
      <c r="C909" s="20" t="s">
        <v>16</v>
      </c>
      <c r="D909" s="20" t="s">
        <v>29</v>
      </c>
      <c r="E909" s="21" t="str">
        <f t="shared" si="4"/>
        <v>NSE:KCPSUGIND</v>
      </c>
    </row>
    <row r="910" ht="15.75" customHeight="1">
      <c r="A910" s="30">
        <v>45482.0</v>
      </c>
      <c r="B910" s="20" t="s">
        <v>706</v>
      </c>
      <c r="C910" s="20" t="s">
        <v>16</v>
      </c>
      <c r="D910" s="20" t="s">
        <v>22</v>
      </c>
      <c r="E910" s="21" t="str">
        <f t="shared" si="4"/>
        <v>NSE:RPPINFRA</v>
      </c>
    </row>
    <row r="911" ht="15.75" customHeight="1">
      <c r="A911" s="30">
        <v>45482.0</v>
      </c>
      <c r="B911" s="20" t="s">
        <v>230</v>
      </c>
      <c r="C911" s="20" t="s">
        <v>16</v>
      </c>
      <c r="D911" s="20" t="s">
        <v>29</v>
      </c>
      <c r="E911" s="21" t="str">
        <f t="shared" si="4"/>
        <v>NSE:RUPA</v>
      </c>
    </row>
    <row r="912" ht="15.75" customHeight="1">
      <c r="A912" s="30">
        <v>45482.0</v>
      </c>
      <c r="B912" s="20" t="s">
        <v>231</v>
      </c>
      <c r="C912" s="20" t="s">
        <v>21</v>
      </c>
      <c r="D912" s="20" t="s">
        <v>29</v>
      </c>
      <c r="E912" s="21" t="str">
        <f t="shared" si="4"/>
        <v>NSE:PGEL</v>
      </c>
    </row>
    <row r="913" ht="15.75" customHeight="1">
      <c r="A913" s="30">
        <v>45482.0</v>
      </c>
      <c r="B913" s="20" t="s">
        <v>539</v>
      </c>
      <c r="C913" s="20" t="s">
        <v>16</v>
      </c>
      <c r="D913" s="20" t="s">
        <v>31</v>
      </c>
      <c r="E913" s="21" t="str">
        <f t="shared" si="4"/>
        <v>NSE:TBZ</v>
      </c>
    </row>
    <row r="914" ht="15.75" customHeight="1">
      <c r="A914" s="30">
        <v>45482.0</v>
      </c>
      <c r="B914" s="20" t="s">
        <v>753</v>
      </c>
      <c r="C914" s="20" t="s">
        <v>21</v>
      </c>
      <c r="D914" s="20" t="s">
        <v>22</v>
      </c>
      <c r="E914" s="21" t="str">
        <f t="shared" si="4"/>
        <v>NSE:POWERMECH</v>
      </c>
    </row>
    <row r="915" ht="15.75" customHeight="1">
      <c r="A915" s="30">
        <v>45483.0</v>
      </c>
      <c r="B915" s="20" t="s">
        <v>265</v>
      </c>
      <c r="C915" s="20" t="s">
        <v>13</v>
      </c>
      <c r="D915" s="20" t="s">
        <v>29</v>
      </c>
      <c r="E915" s="21" t="str">
        <f t="shared" si="4"/>
        <v>NSE:BATAINDIA</v>
      </c>
    </row>
    <row r="916" ht="15.75" customHeight="1">
      <c r="A916" s="30">
        <v>45483.0</v>
      </c>
      <c r="B916" s="20" t="s">
        <v>298</v>
      </c>
      <c r="C916" s="20" t="s">
        <v>16</v>
      </c>
      <c r="D916" s="20" t="s">
        <v>37</v>
      </c>
      <c r="E916" s="21" t="str">
        <f t="shared" si="4"/>
        <v>NSE:SAKSOFT</v>
      </c>
    </row>
    <row r="917" ht="15.75" customHeight="1">
      <c r="A917" s="30">
        <v>45483.0</v>
      </c>
      <c r="B917" s="20" t="s">
        <v>754</v>
      </c>
      <c r="C917" s="20" t="s">
        <v>21</v>
      </c>
      <c r="D917" s="20" t="s">
        <v>29</v>
      </c>
      <c r="E917" s="21" t="str">
        <f t="shared" si="4"/>
        <v>NSE:ESABINDIA</v>
      </c>
    </row>
    <row r="918" ht="15.75" customHeight="1">
      <c r="A918" s="30">
        <v>45483.0</v>
      </c>
      <c r="B918" s="20" t="s">
        <v>755</v>
      </c>
      <c r="C918" s="20" t="s">
        <v>13</v>
      </c>
      <c r="D918" s="20" t="s">
        <v>53</v>
      </c>
      <c r="E918" s="21" t="str">
        <f t="shared" si="4"/>
        <v>NSE:GRASIM</v>
      </c>
    </row>
    <row r="919" ht="15.75" customHeight="1">
      <c r="A919" s="30">
        <v>45483.0</v>
      </c>
      <c r="B919" s="20" t="s">
        <v>269</v>
      </c>
      <c r="C919" s="20" t="s">
        <v>13</v>
      </c>
      <c r="D919" s="20" t="s">
        <v>27</v>
      </c>
      <c r="E919" s="21" t="str">
        <f t="shared" si="4"/>
        <v>NSE:ASIANPAINT</v>
      </c>
    </row>
    <row r="920" ht="15.75" customHeight="1">
      <c r="A920" s="30">
        <v>45483.0</v>
      </c>
      <c r="B920" s="20" t="s">
        <v>198</v>
      </c>
      <c r="C920" s="20" t="s">
        <v>21</v>
      </c>
      <c r="D920" s="20" t="s">
        <v>53</v>
      </c>
      <c r="E920" s="21" t="str">
        <f t="shared" si="4"/>
        <v>NSE:VTL</v>
      </c>
    </row>
    <row r="921" ht="15.75" customHeight="1">
      <c r="A921" s="30">
        <v>45483.0</v>
      </c>
      <c r="B921" s="20" t="s">
        <v>324</v>
      </c>
      <c r="C921" s="20" t="s">
        <v>13</v>
      </c>
      <c r="D921" s="20" t="s">
        <v>27</v>
      </c>
      <c r="E921" s="21" t="str">
        <f t="shared" si="4"/>
        <v>NSE:SRF</v>
      </c>
    </row>
    <row r="922" ht="15.75" customHeight="1">
      <c r="A922" s="30">
        <v>45483.0</v>
      </c>
      <c r="B922" s="20" t="s">
        <v>756</v>
      </c>
      <c r="C922" s="20" t="s">
        <v>16</v>
      </c>
      <c r="D922" s="20" t="s">
        <v>27</v>
      </c>
      <c r="E922" s="21" t="str">
        <f t="shared" si="4"/>
        <v>NSE:UNIVCABLES</v>
      </c>
    </row>
    <row r="923" ht="15.75" customHeight="1">
      <c r="A923" s="30">
        <v>45483.0</v>
      </c>
      <c r="B923" s="20" t="s">
        <v>472</v>
      </c>
      <c r="C923" s="20" t="s">
        <v>16</v>
      </c>
      <c r="D923" s="20" t="s">
        <v>17</v>
      </c>
      <c r="E923" s="21" t="str">
        <f t="shared" si="4"/>
        <v>NSE:TALBROAUTO</v>
      </c>
    </row>
    <row r="924" ht="15.75" customHeight="1">
      <c r="A924" s="30">
        <v>45483.0</v>
      </c>
      <c r="B924" s="20" t="s">
        <v>682</v>
      </c>
      <c r="C924" s="20" t="s">
        <v>21</v>
      </c>
      <c r="D924" s="20" t="s">
        <v>107</v>
      </c>
      <c r="E924" s="21" t="str">
        <f t="shared" si="4"/>
        <v>NSE:WESTLIFE</v>
      </c>
    </row>
    <row r="925" ht="15.75" customHeight="1">
      <c r="A925" s="30">
        <v>45483.0</v>
      </c>
      <c r="B925" s="20" t="s">
        <v>34</v>
      </c>
      <c r="C925" s="20" t="s">
        <v>13</v>
      </c>
      <c r="D925" s="20" t="s">
        <v>27</v>
      </c>
      <c r="E925" s="21" t="str">
        <f t="shared" si="4"/>
        <v>NSE:DEEPAKNTR</v>
      </c>
    </row>
    <row r="926" ht="15.75" customHeight="1">
      <c r="A926" s="30">
        <v>45483.0</v>
      </c>
      <c r="B926" s="20" t="s">
        <v>335</v>
      </c>
      <c r="C926" s="20" t="s">
        <v>13</v>
      </c>
      <c r="D926" s="20" t="s">
        <v>27</v>
      </c>
      <c r="E926" s="21" t="str">
        <f t="shared" si="4"/>
        <v>NSE:BERGEPAINT</v>
      </c>
    </row>
    <row r="927" ht="15.75" customHeight="1">
      <c r="A927" s="30">
        <v>45483.0</v>
      </c>
      <c r="B927" s="20" t="s">
        <v>477</v>
      </c>
      <c r="C927" s="20" t="s">
        <v>21</v>
      </c>
      <c r="D927" s="20" t="s">
        <v>29</v>
      </c>
      <c r="E927" s="21" t="str">
        <f t="shared" si="4"/>
        <v>NSE:ETHOSLTD</v>
      </c>
    </row>
    <row r="928" ht="15.75" customHeight="1">
      <c r="A928" s="30">
        <v>45483.0</v>
      </c>
      <c r="B928" s="20" t="s">
        <v>345</v>
      </c>
      <c r="C928" s="20" t="s">
        <v>21</v>
      </c>
      <c r="D928" s="20" t="s">
        <v>37</v>
      </c>
      <c r="E928" s="21" t="str">
        <f t="shared" si="4"/>
        <v>NSE:EMUDHRA</v>
      </c>
    </row>
    <row r="929" ht="15.75" customHeight="1">
      <c r="A929" s="30">
        <v>45483.0</v>
      </c>
      <c r="B929" s="20" t="s">
        <v>757</v>
      </c>
      <c r="C929" s="20" t="s">
        <v>16</v>
      </c>
      <c r="D929" s="20" t="s">
        <v>53</v>
      </c>
      <c r="E929" s="21" t="str">
        <f t="shared" si="4"/>
        <v>NSE:GANECOS</v>
      </c>
    </row>
    <row r="930" ht="15.75" customHeight="1">
      <c r="A930" s="30">
        <v>45483.0</v>
      </c>
      <c r="B930" s="20" t="s">
        <v>580</v>
      </c>
      <c r="C930" s="20" t="s">
        <v>21</v>
      </c>
      <c r="D930" s="20" t="s">
        <v>17</v>
      </c>
      <c r="E930" s="21" t="str">
        <f t="shared" si="4"/>
        <v>NSE:JAMNAAUTO</v>
      </c>
    </row>
    <row r="931" ht="15.75" customHeight="1">
      <c r="A931" s="30">
        <v>45483.0</v>
      </c>
      <c r="B931" s="20" t="s">
        <v>758</v>
      </c>
      <c r="C931" s="20" t="s">
        <v>13</v>
      </c>
      <c r="D931" s="20" t="s">
        <v>25</v>
      </c>
      <c r="E931" s="21" t="str">
        <f t="shared" si="4"/>
        <v>NSE:RATNAMANI</v>
      </c>
    </row>
    <row r="932" ht="15.75" customHeight="1">
      <c r="A932" s="30">
        <v>45483.0</v>
      </c>
      <c r="B932" s="20" t="s">
        <v>759</v>
      </c>
      <c r="C932" s="20" t="s">
        <v>16</v>
      </c>
      <c r="D932" s="20" t="s">
        <v>27</v>
      </c>
      <c r="E932" s="21" t="str">
        <f t="shared" si="4"/>
        <v>NSE:MENONBE</v>
      </c>
    </row>
    <row r="933" ht="15.75" customHeight="1">
      <c r="A933" s="30">
        <v>45483.0</v>
      </c>
      <c r="B933" s="20" t="s">
        <v>586</v>
      </c>
      <c r="C933" s="20" t="s">
        <v>16</v>
      </c>
      <c r="D933" s="20" t="s">
        <v>14</v>
      </c>
      <c r="E933" s="21" t="str">
        <f t="shared" si="4"/>
        <v>NSE:WANBURY</v>
      </c>
    </row>
    <row r="934" ht="15.75" customHeight="1">
      <c r="A934" s="30">
        <v>45483.0</v>
      </c>
      <c r="B934" s="20" t="s">
        <v>280</v>
      </c>
      <c r="C934" s="20" t="s">
        <v>21</v>
      </c>
      <c r="D934" s="20" t="s">
        <v>14</v>
      </c>
      <c r="E934" s="21" t="str">
        <f t="shared" si="4"/>
        <v>NSE:JLHL</v>
      </c>
    </row>
    <row r="935" ht="15.75" customHeight="1">
      <c r="A935" s="30">
        <v>45483.0</v>
      </c>
      <c r="B935" s="20" t="s">
        <v>597</v>
      </c>
      <c r="C935" s="20" t="s">
        <v>21</v>
      </c>
      <c r="D935" s="20" t="s">
        <v>31</v>
      </c>
      <c r="E935" s="21" t="str">
        <f t="shared" si="4"/>
        <v>NSE:MAXESTATES</v>
      </c>
    </row>
    <row r="936" ht="15.75" customHeight="1">
      <c r="A936" s="30">
        <v>45483.0</v>
      </c>
      <c r="B936" s="20" t="s">
        <v>760</v>
      </c>
      <c r="C936" s="20" t="s">
        <v>13</v>
      </c>
      <c r="D936" s="20" t="s">
        <v>55</v>
      </c>
      <c r="E936" s="21" t="str">
        <f t="shared" si="4"/>
        <v>NSE:SBILIFE</v>
      </c>
    </row>
    <row r="937" ht="15.75" customHeight="1">
      <c r="A937" s="30">
        <v>45483.0</v>
      </c>
      <c r="B937" s="20" t="s">
        <v>374</v>
      </c>
      <c r="C937" s="20" t="s">
        <v>16</v>
      </c>
      <c r="D937" s="20" t="s">
        <v>29</v>
      </c>
      <c r="E937" s="21" t="str">
        <f t="shared" si="4"/>
        <v>NSE:MUFTI</v>
      </c>
    </row>
    <row r="938" ht="15.75" customHeight="1">
      <c r="A938" s="30">
        <v>45483.0</v>
      </c>
      <c r="B938" s="20" t="s">
        <v>379</v>
      </c>
      <c r="C938" s="20" t="s">
        <v>16</v>
      </c>
      <c r="D938" s="20" t="s">
        <v>53</v>
      </c>
      <c r="E938" s="21" t="str">
        <f t="shared" si="4"/>
        <v>NSE:FAZE3Q</v>
      </c>
    </row>
    <row r="939" ht="15.75" customHeight="1">
      <c r="A939" s="30">
        <v>45483.0</v>
      </c>
      <c r="B939" s="20" t="s">
        <v>509</v>
      </c>
      <c r="C939" s="20" t="s">
        <v>16</v>
      </c>
      <c r="D939" s="20" t="s">
        <v>55</v>
      </c>
      <c r="E939" s="21" t="str">
        <f t="shared" si="4"/>
        <v>NSE:SIRCA</v>
      </c>
    </row>
    <row r="940" ht="15.75" customHeight="1">
      <c r="A940" s="30">
        <v>45483.0</v>
      </c>
      <c r="B940" s="20" t="s">
        <v>761</v>
      </c>
      <c r="C940" s="20" t="s">
        <v>16</v>
      </c>
      <c r="D940" s="20" t="s">
        <v>31</v>
      </c>
      <c r="E940" s="21" t="str">
        <f t="shared" si="4"/>
        <v>NSE:AWFIS</v>
      </c>
    </row>
    <row r="941" ht="15.75" customHeight="1">
      <c r="A941" s="30">
        <v>45483.0</v>
      </c>
      <c r="B941" s="20" t="s">
        <v>389</v>
      </c>
      <c r="C941" s="20" t="s">
        <v>21</v>
      </c>
      <c r="D941" s="20" t="s">
        <v>29</v>
      </c>
      <c r="E941" s="21" t="str">
        <f t="shared" si="4"/>
        <v>NSE:ZYDUSWELL</v>
      </c>
    </row>
    <row r="942" ht="15.75" customHeight="1">
      <c r="A942" s="30">
        <v>45483.0</v>
      </c>
      <c r="B942" s="20" t="s">
        <v>762</v>
      </c>
      <c r="C942" s="20" t="s">
        <v>21</v>
      </c>
      <c r="D942" s="20" t="s">
        <v>31</v>
      </c>
      <c r="E942" s="21" t="str">
        <f t="shared" si="4"/>
        <v>NSE:RAJESHEXPO</v>
      </c>
    </row>
    <row r="943" ht="15.75" customHeight="1">
      <c r="A943" s="30">
        <v>45483.0</v>
      </c>
      <c r="B943" s="20" t="s">
        <v>763</v>
      </c>
      <c r="C943" s="20" t="s">
        <v>21</v>
      </c>
      <c r="D943" s="20" t="s">
        <v>37</v>
      </c>
      <c r="E943" s="21" t="str">
        <f t="shared" si="4"/>
        <v>NSE:INDIAMART</v>
      </c>
    </row>
    <row r="944" ht="15.75" customHeight="1">
      <c r="A944" s="30">
        <v>45483.0</v>
      </c>
      <c r="B944" s="20" t="s">
        <v>404</v>
      </c>
      <c r="C944" s="20" t="s">
        <v>16</v>
      </c>
      <c r="D944" s="20" t="s">
        <v>50</v>
      </c>
      <c r="E944" s="21" t="str">
        <f t="shared" si="4"/>
        <v>NSE:TVTODAY</v>
      </c>
    </row>
    <row r="945" ht="15.75" customHeight="1">
      <c r="A945" s="30">
        <v>45483.0</v>
      </c>
      <c r="B945" s="20" t="s">
        <v>407</v>
      </c>
      <c r="C945" s="20" t="s">
        <v>21</v>
      </c>
      <c r="D945" s="20" t="s">
        <v>29</v>
      </c>
      <c r="E945" s="21" t="str">
        <f t="shared" si="4"/>
        <v>NSE:SHOPERSTOP</v>
      </c>
    </row>
    <row r="946" ht="15.75" customHeight="1">
      <c r="A946" s="30">
        <v>45483.0</v>
      </c>
      <c r="B946" s="20" t="s">
        <v>764</v>
      </c>
      <c r="C946" s="20" t="s">
        <v>16</v>
      </c>
      <c r="D946" s="20" t="s">
        <v>25</v>
      </c>
      <c r="E946" s="21" t="str">
        <f t="shared" si="4"/>
        <v>NSE:MAANALU</v>
      </c>
    </row>
    <row r="947" ht="15.75" customHeight="1">
      <c r="A947" s="30">
        <v>45483.0</v>
      </c>
      <c r="B947" s="20" t="s">
        <v>765</v>
      </c>
      <c r="C947" s="20" t="s">
        <v>13</v>
      </c>
      <c r="D947" s="20" t="s">
        <v>39</v>
      </c>
      <c r="E947" s="21" t="str">
        <f t="shared" si="4"/>
        <v>NSE:BAJAJFINSV</v>
      </c>
    </row>
    <row r="948" ht="15.75" customHeight="1">
      <c r="A948" s="30">
        <v>45483.0</v>
      </c>
      <c r="B948" s="20" t="s">
        <v>150</v>
      </c>
      <c r="C948" s="20" t="s">
        <v>13</v>
      </c>
      <c r="D948" s="20" t="s">
        <v>107</v>
      </c>
      <c r="E948" s="21" t="str">
        <f t="shared" si="4"/>
        <v>NSE:JUBLFOOD</v>
      </c>
    </row>
    <row r="949" ht="15.75" customHeight="1">
      <c r="A949" s="30">
        <v>45483.0</v>
      </c>
      <c r="B949" s="20" t="s">
        <v>707</v>
      </c>
      <c r="C949" s="20" t="s">
        <v>13</v>
      </c>
      <c r="D949" s="20" t="s">
        <v>39</v>
      </c>
      <c r="E949" s="21" t="str">
        <f t="shared" si="4"/>
        <v>NSE:MUTHOOTFIN</v>
      </c>
    </row>
    <row r="950" ht="15.75" customHeight="1">
      <c r="A950" s="30">
        <v>45483.0</v>
      </c>
      <c r="B950" s="20" t="s">
        <v>154</v>
      </c>
      <c r="C950" s="20" t="s">
        <v>21</v>
      </c>
      <c r="D950" s="20" t="s">
        <v>27</v>
      </c>
      <c r="E950" s="21" t="str">
        <f t="shared" si="4"/>
        <v>NSE:INDIGOPNTS</v>
      </c>
    </row>
    <row r="951" ht="15.75" customHeight="1">
      <c r="A951" s="30">
        <v>45483.0</v>
      </c>
      <c r="B951" s="20" t="s">
        <v>547</v>
      </c>
      <c r="C951" s="20" t="s">
        <v>16</v>
      </c>
      <c r="D951" s="20" t="s">
        <v>185</v>
      </c>
      <c r="E951" s="21" t="str">
        <f t="shared" si="4"/>
        <v>NSE:FINOPB</v>
      </c>
    </row>
    <row r="952" ht="15.75" customHeight="1">
      <c r="A952" s="30">
        <v>45483.0</v>
      </c>
      <c r="B952" s="20" t="s">
        <v>766</v>
      </c>
      <c r="C952" s="20" t="s">
        <v>16</v>
      </c>
      <c r="D952" s="20" t="s">
        <v>55</v>
      </c>
      <c r="E952" s="21" t="str">
        <f t="shared" si="4"/>
        <v>NSE:VRLLOG</v>
      </c>
    </row>
    <row r="953" ht="15.75" customHeight="1">
      <c r="A953" s="30">
        <v>45483.0</v>
      </c>
      <c r="B953" s="20" t="s">
        <v>160</v>
      </c>
      <c r="C953" s="20" t="s">
        <v>21</v>
      </c>
      <c r="D953" s="20" t="s">
        <v>39</v>
      </c>
      <c r="E953" s="21" t="str">
        <f t="shared" si="4"/>
        <v>NSE:AIIL</v>
      </c>
    </row>
    <row r="954" ht="15.75" customHeight="1">
      <c r="A954" s="30">
        <v>45483.0</v>
      </c>
      <c r="B954" s="20" t="s">
        <v>234</v>
      </c>
      <c r="C954" s="20" t="s">
        <v>16</v>
      </c>
      <c r="D954" s="20" t="s">
        <v>53</v>
      </c>
      <c r="E954" s="21" t="str">
        <f t="shared" si="4"/>
        <v>NSE:SPORTKING</v>
      </c>
    </row>
    <row r="955" ht="15.75" customHeight="1">
      <c r="A955" s="30">
        <v>45483.0</v>
      </c>
      <c r="B955" s="20" t="s">
        <v>444</v>
      </c>
      <c r="C955" s="20" t="s">
        <v>13</v>
      </c>
      <c r="D955" s="20" t="s">
        <v>14</v>
      </c>
      <c r="E955" s="21" t="str">
        <f t="shared" si="4"/>
        <v>NSE:SYNGENE</v>
      </c>
    </row>
    <row r="956" ht="15.75" customHeight="1">
      <c r="A956" s="30">
        <v>45483.0</v>
      </c>
      <c r="B956" s="20" t="s">
        <v>448</v>
      </c>
      <c r="C956" s="20" t="s">
        <v>16</v>
      </c>
      <c r="D956" s="20" t="s">
        <v>39</v>
      </c>
      <c r="E956" s="21" t="str">
        <f t="shared" si="4"/>
        <v>NSE:MAXIND</v>
      </c>
    </row>
    <row r="957" ht="15.75" customHeight="1">
      <c r="A957" s="30">
        <v>45483.0</v>
      </c>
      <c r="B957" s="20" t="s">
        <v>767</v>
      </c>
      <c r="C957" s="20" t="s">
        <v>13</v>
      </c>
      <c r="D957" s="20" t="s">
        <v>39</v>
      </c>
      <c r="E957" s="21" t="str">
        <f t="shared" si="4"/>
        <v>NSE:PNBHOUSING</v>
      </c>
    </row>
    <row r="958" ht="15.75" customHeight="1">
      <c r="A958" s="30">
        <v>45484.0</v>
      </c>
      <c r="B958" s="20" t="s">
        <v>15</v>
      </c>
      <c r="C958" s="20" t="s">
        <v>21</v>
      </c>
      <c r="D958" s="20" t="s">
        <v>17</v>
      </c>
      <c r="E958" s="21" t="str">
        <f t="shared" si="4"/>
        <v>NSE:BANCOINDIA</v>
      </c>
    </row>
    <row r="959" ht="15.75" customHeight="1">
      <c r="A959" s="30">
        <v>45484.0</v>
      </c>
      <c r="B959" s="20" t="s">
        <v>129</v>
      </c>
      <c r="C959" s="20" t="s">
        <v>16</v>
      </c>
      <c r="D959" s="20" t="s">
        <v>29</v>
      </c>
      <c r="E959" s="21" t="str">
        <f t="shared" si="4"/>
        <v>NSE:BANARISUG</v>
      </c>
    </row>
    <row r="960" ht="15.75" customHeight="1">
      <c r="A960" s="30">
        <v>45484.0</v>
      </c>
      <c r="B960" s="20" t="s">
        <v>768</v>
      </c>
      <c r="C960" s="20" t="s">
        <v>16</v>
      </c>
      <c r="D960" s="20" t="s">
        <v>29</v>
      </c>
      <c r="E960" s="21" t="str">
        <f t="shared" si="4"/>
        <v>NSE:BPL</v>
      </c>
    </row>
    <row r="961" ht="15.75" customHeight="1">
      <c r="A961" s="30">
        <v>45484.0</v>
      </c>
      <c r="B961" s="20" t="s">
        <v>560</v>
      </c>
      <c r="C961" s="20" t="s">
        <v>16</v>
      </c>
      <c r="D961" s="20" t="s">
        <v>64</v>
      </c>
      <c r="E961" s="21" t="str">
        <f t="shared" si="4"/>
        <v>NSE:HINDOILEXP</v>
      </c>
    </row>
    <row r="962" ht="15.75" customHeight="1">
      <c r="A962" s="30">
        <v>45484.0</v>
      </c>
      <c r="B962" s="20" t="s">
        <v>303</v>
      </c>
      <c r="C962" s="20" t="s">
        <v>16</v>
      </c>
      <c r="D962" s="20" t="s">
        <v>29</v>
      </c>
      <c r="E962" s="21" t="str">
        <f t="shared" si="4"/>
        <v>NSE:INDIAGLYCO</v>
      </c>
    </row>
    <row r="963" ht="15.75" customHeight="1">
      <c r="A963" s="30">
        <v>45484.0</v>
      </c>
      <c r="B963" s="20" t="s">
        <v>769</v>
      </c>
      <c r="C963" s="20" t="s">
        <v>21</v>
      </c>
      <c r="D963" s="20" t="s">
        <v>29</v>
      </c>
      <c r="E963" s="21" t="str">
        <f t="shared" si="4"/>
        <v>NSE:IONEXCHANG</v>
      </c>
    </row>
    <row r="964" ht="15.75" customHeight="1">
      <c r="A964" s="30">
        <v>45484.0</v>
      </c>
      <c r="B964" s="20" t="s">
        <v>770</v>
      </c>
      <c r="C964" s="20" t="s">
        <v>16</v>
      </c>
      <c r="D964" s="20" t="s">
        <v>27</v>
      </c>
      <c r="E964" s="21" t="str">
        <f t="shared" si="4"/>
        <v>NSE:TNPETRO</v>
      </c>
    </row>
    <row r="965" ht="15.75" customHeight="1">
      <c r="A965" s="30">
        <v>45484.0</v>
      </c>
      <c r="B965" s="20" t="s">
        <v>326</v>
      </c>
      <c r="C965" s="20" t="s">
        <v>16</v>
      </c>
      <c r="D965" s="20" t="s">
        <v>22</v>
      </c>
      <c r="E965" s="21" t="str">
        <f t="shared" si="4"/>
        <v>NSE:INDIANHUME</v>
      </c>
    </row>
    <row r="966" ht="15.75" customHeight="1">
      <c r="A966" s="30">
        <v>45484.0</v>
      </c>
      <c r="B966" s="20" t="s">
        <v>684</v>
      </c>
      <c r="C966" s="20" t="s">
        <v>21</v>
      </c>
      <c r="D966" s="20" t="s">
        <v>27</v>
      </c>
      <c r="E966" s="21" t="str">
        <f t="shared" si="4"/>
        <v>NSE:PCBL</v>
      </c>
    </row>
    <row r="967" ht="15.75" customHeight="1">
      <c r="A967" s="30">
        <v>45484.0</v>
      </c>
      <c r="B967" s="20" t="s">
        <v>576</v>
      </c>
      <c r="C967" s="20" t="s">
        <v>16</v>
      </c>
      <c r="D967" s="20" t="s">
        <v>25</v>
      </c>
      <c r="E967" s="21" t="str">
        <f t="shared" si="4"/>
        <v>NSE:HARIOMPIPE</v>
      </c>
    </row>
    <row r="968" ht="15.75" customHeight="1">
      <c r="A968" s="30">
        <v>45484.0</v>
      </c>
      <c r="B968" s="20" t="s">
        <v>342</v>
      </c>
      <c r="C968" s="20" t="s">
        <v>16</v>
      </c>
      <c r="D968" s="20" t="s">
        <v>14</v>
      </c>
      <c r="E968" s="21" t="str">
        <f t="shared" si="4"/>
        <v>NSE:SEQUENT</v>
      </c>
    </row>
    <row r="969" ht="15.75" customHeight="1">
      <c r="A969" s="30">
        <v>45484.0</v>
      </c>
      <c r="B969" s="20" t="s">
        <v>578</v>
      </c>
      <c r="C969" s="20" t="s">
        <v>21</v>
      </c>
      <c r="D969" s="20" t="s">
        <v>55</v>
      </c>
      <c r="E969" s="21" t="str">
        <f t="shared" si="4"/>
        <v>NSE:MMTC</v>
      </c>
    </row>
    <row r="970" ht="15.75" customHeight="1">
      <c r="A970" s="30">
        <v>45484.0</v>
      </c>
      <c r="B970" s="20" t="s">
        <v>275</v>
      </c>
      <c r="C970" s="20" t="s">
        <v>16</v>
      </c>
      <c r="D970" s="20" t="s">
        <v>37</v>
      </c>
      <c r="E970" s="21" t="str">
        <f t="shared" si="4"/>
        <v>NSE:MINDTECK</v>
      </c>
    </row>
    <row r="971" ht="15.75" customHeight="1">
      <c r="A971" s="30">
        <v>45484.0</v>
      </c>
      <c r="B971" s="20" t="s">
        <v>771</v>
      </c>
      <c r="C971" s="20" t="s">
        <v>16</v>
      </c>
      <c r="D971" s="20" t="s">
        <v>29</v>
      </c>
      <c r="E971" s="21" t="str">
        <f t="shared" si="4"/>
        <v>NSE:ELIN</v>
      </c>
    </row>
    <row r="972" ht="15.75" customHeight="1">
      <c r="A972" s="30">
        <v>45484.0</v>
      </c>
      <c r="B972" s="20" t="s">
        <v>772</v>
      </c>
      <c r="C972" s="20" t="s">
        <v>16</v>
      </c>
      <c r="D972" s="20" t="s">
        <v>55</v>
      </c>
      <c r="E972" s="21" t="str">
        <f t="shared" si="4"/>
        <v>NSE:SHREYAS</v>
      </c>
    </row>
    <row r="973" ht="15.75" customHeight="1">
      <c r="A973" s="30">
        <v>45484.0</v>
      </c>
      <c r="B973" s="20" t="s">
        <v>773</v>
      </c>
      <c r="C973" s="20" t="s">
        <v>16</v>
      </c>
      <c r="D973" s="20" t="s">
        <v>27</v>
      </c>
      <c r="E973" s="21" t="str">
        <f t="shared" si="4"/>
        <v>NSE:MMFL</v>
      </c>
    </row>
    <row r="974" ht="15.75" customHeight="1">
      <c r="A974" s="30">
        <v>45484.0</v>
      </c>
      <c r="B974" s="20" t="s">
        <v>357</v>
      </c>
      <c r="C974" s="20" t="s">
        <v>16</v>
      </c>
      <c r="D974" s="20" t="s">
        <v>31</v>
      </c>
      <c r="E974" s="21" t="str">
        <f t="shared" si="4"/>
        <v>NSE:KOKUYOCMLN</v>
      </c>
    </row>
    <row r="975" ht="15.75" customHeight="1">
      <c r="A975" s="30">
        <v>45484.0</v>
      </c>
      <c r="B975" s="20" t="s">
        <v>489</v>
      </c>
      <c r="C975" s="20" t="s">
        <v>16</v>
      </c>
      <c r="D975" s="20" t="s">
        <v>27</v>
      </c>
      <c r="E975" s="21" t="str">
        <f t="shared" si="4"/>
        <v>NSE:PLASTIBLEN</v>
      </c>
    </row>
    <row r="976" ht="15.75" customHeight="1">
      <c r="A976" s="30">
        <v>45484.0</v>
      </c>
      <c r="B976" s="20" t="s">
        <v>139</v>
      </c>
      <c r="C976" s="20" t="s">
        <v>16</v>
      </c>
      <c r="D976" s="20" t="s">
        <v>19</v>
      </c>
      <c r="E976" s="21" t="str">
        <f t="shared" si="4"/>
        <v>NSE:IDEAFORGE</v>
      </c>
    </row>
    <row r="977" ht="15.75" customHeight="1">
      <c r="A977" s="30">
        <v>45484.0</v>
      </c>
      <c r="B977" s="20" t="s">
        <v>175</v>
      </c>
      <c r="C977" s="20" t="s">
        <v>16</v>
      </c>
      <c r="D977" s="20" t="s">
        <v>29</v>
      </c>
      <c r="E977" s="21" t="str">
        <f t="shared" si="4"/>
        <v>NSE:KABRAEXTRU</v>
      </c>
    </row>
    <row r="978" ht="15.75" customHeight="1">
      <c r="A978" s="30">
        <v>45484.0</v>
      </c>
      <c r="B978" s="20" t="s">
        <v>591</v>
      </c>
      <c r="C978" s="20" t="s">
        <v>13</v>
      </c>
      <c r="D978" s="20" t="s">
        <v>39</v>
      </c>
      <c r="E978" s="21" t="str">
        <f t="shared" si="4"/>
        <v>NSE:HUDCO</v>
      </c>
    </row>
    <row r="979" ht="15.75" customHeight="1">
      <c r="A979" s="30">
        <v>45484.0</v>
      </c>
      <c r="B979" s="20" t="s">
        <v>279</v>
      </c>
      <c r="C979" s="20" t="s">
        <v>13</v>
      </c>
      <c r="D979" s="20" t="s">
        <v>31</v>
      </c>
      <c r="E979" s="21" t="str">
        <f t="shared" si="4"/>
        <v>NSE:CDSL</v>
      </c>
    </row>
    <row r="980" ht="15.75" customHeight="1">
      <c r="A980" s="30">
        <v>45484.0</v>
      </c>
      <c r="B980" s="20" t="s">
        <v>722</v>
      </c>
      <c r="C980" s="20" t="s">
        <v>16</v>
      </c>
      <c r="D980" s="20" t="s">
        <v>22</v>
      </c>
      <c r="E980" s="21" t="str">
        <f t="shared" si="4"/>
        <v>NSE:PSPPROJECT</v>
      </c>
    </row>
    <row r="981" ht="15.75" customHeight="1">
      <c r="A981" s="30">
        <v>45484.0</v>
      </c>
      <c r="B981" s="20" t="s">
        <v>592</v>
      </c>
      <c r="C981" s="20" t="s">
        <v>16</v>
      </c>
      <c r="D981" s="20" t="s">
        <v>29</v>
      </c>
      <c r="E981" s="21" t="str">
        <f t="shared" si="4"/>
        <v>NSE:AVADHSUGAR</v>
      </c>
    </row>
    <row r="982" ht="15.75" customHeight="1">
      <c r="A982" s="30">
        <v>45484.0</v>
      </c>
      <c r="B982" s="20" t="s">
        <v>774</v>
      </c>
      <c r="C982" s="20" t="s">
        <v>16</v>
      </c>
      <c r="D982" s="20" t="s">
        <v>14</v>
      </c>
      <c r="E982" s="21" t="str">
        <f t="shared" si="4"/>
        <v>NSE:VALIANTLAB</v>
      </c>
    </row>
    <row r="983" ht="15.75" customHeight="1">
      <c r="A983" s="30">
        <v>45484.0</v>
      </c>
      <c r="B983" s="20" t="s">
        <v>693</v>
      </c>
      <c r="C983" s="20" t="s">
        <v>16</v>
      </c>
      <c r="D983" s="20" t="s">
        <v>29</v>
      </c>
      <c r="E983" s="21" t="str">
        <f t="shared" si="4"/>
        <v>NSE:KRITI</v>
      </c>
    </row>
    <row r="984" ht="15.75" customHeight="1">
      <c r="A984" s="30">
        <v>45484.0</v>
      </c>
      <c r="B984" s="20" t="s">
        <v>497</v>
      </c>
      <c r="C984" s="20" t="s">
        <v>16</v>
      </c>
      <c r="D984" s="20" t="s">
        <v>53</v>
      </c>
      <c r="E984" s="21" t="str">
        <f t="shared" si="4"/>
        <v>NSE:MANOMAY</v>
      </c>
    </row>
    <row r="985" ht="15.75" customHeight="1">
      <c r="A985" s="30">
        <v>45484.0</v>
      </c>
      <c r="B985" s="20" t="s">
        <v>639</v>
      </c>
      <c r="C985" s="20" t="s">
        <v>16</v>
      </c>
      <c r="D985" s="20" t="s">
        <v>55</v>
      </c>
      <c r="E985" s="21" t="str">
        <f t="shared" si="4"/>
        <v>NSE:TPLPLASTEH</v>
      </c>
    </row>
    <row r="986" ht="15.75" customHeight="1">
      <c r="A986" s="30">
        <v>45484.0</v>
      </c>
      <c r="B986" s="20" t="s">
        <v>368</v>
      </c>
      <c r="C986" s="20" t="s">
        <v>13</v>
      </c>
      <c r="D986" s="20" t="s">
        <v>39</v>
      </c>
      <c r="E986" s="21" t="str">
        <f t="shared" si="4"/>
        <v>NSE:IREDA</v>
      </c>
    </row>
    <row r="987" ht="15.75" customHeight="1">
      <c r="A987" s="30">
        <v>45484.0</v>
      </c>
      <c r="B987" s="20" t="s">
        <v>499</v>
      </c>
      <c r="C987" s="20" t="s">
        <v>16</v>
      </c>
      <c r="D987" s="20" t="s">
        <v>29</v>
      </c>
      <c r="E987" s="21" t="str">
        <f t="shared" si="4"/>
        <v>NSE:LIBERTSHOE</v>
      </c>
    </row>
    <row r="988" ht="15.75" customHeight="1">
      <c r="A988" s="30">
        <v>45484.0</v>
      </c>
      <c r="B988" s="20" t="s">
        <v>500</v>
      </c>
      <c r="C988" s="20" t="s">
        <v>16</v>
      </c>
      <c r="D988" s="20" t="s">
        <v>29</v>
      </c>
      <c r="E988" s="21" t="str">
        <f t="shared" si="4"/>
        <v>NSE:MIRZAINT</v>
      </c>
    </row>
    <row r="989" ht="15.75" customHeight="1">
      <c r="A989" s="30">
        <v>45484.0</v>
      </c>
      <c r="B989" s="20" t="s">
        <v>178</v>
      </c>
      <c r="C989" s="20" t="s">
        <v>16</v>
      </c>
      <c r="D989" s="20" t="s">
        <v>29</v>
      </c>
      <c r="E989" s="21" t="str">
        <f t="shared" si="4"/>
        <v>NSE:BIL</v>
      </c>
    </row>
    <row r="990" ht="15.75" customHeight="1">
      <c r="A990" s="30">
        <v>45484.0</v>
      </c>
      <c r="B990" s="20" t="s">
        <v>695</v>
      </c>
      <c r="C990" s="20" t="s">
        <v>16</v>
      </c>
      <c r="D990" s="20" t="s">
        <v>31</v>
      </c>
      <c r="E990" s="21" t="str">
        <f t="shared" si="4"/>
        <v>NSE:SEAMECLTD</v>
      </c>
    </row>
    <row r="991" ht="15.75" customHeight="1">
      <c r="A991" s="30">
        <v>45484.0</v>
      </c>
      <c r="B991" s="20" t="s">
        <v>281</v>
      </c>
      <c r="C991" s="20" t="s">
        <v>16</v>
      </c>
      <c r="D991" s="20" t="s">
        <v>55</v>
      </c>
      <c r="E991" s="21" t="str">
        <f t="shared" si="4"/>
        <v>NSE:MAHLOG</v>
      </c>
    </row>
    <row r="992" ht="15.75" customHeight="1">
      <c r="A992" s="30">
        <v>45484.0</v>
      </c>
      <c r="B992" s="20" t="s">
        <v>211</v>
      </c>
      <c r="C992" s="20" t="s">
        <v>21</v>
      </c>
      <c r="D992" s="20" t="s">
        <v>27</v>
      </c>
      <c r="E992" s="21" t="str">
        <f t="shared" si="4"/>
        <v>NSE:INDIACEM</v>
      </c>
    </row>
    <row r="993" ht="15.75" customHeight="1">
      <c r="A993" s="30">
        <v>45484.0</v>
      </c>
      <c r="B993" s="20" t="s">
        <v>251</v>
      </c>
      <c r="C993" s="20" t="s">
        <v>16</v>
      </c>
      <c r="D993" s="20" t="s">
        <v>31</v>
      </c>
      <c r="E993" s="21" t="str">
        <f t="shared" si="4"/>
        <v>NSE:SIGNPOST</v>
      </c>
    </row>
    <row r="994" ht="15.75" customHeight="1">
      <c r="A994" s="30">
        <v>45484.0</v>
      </c>
      <c r="B994" s="20" t="s">
        <v>381</v>
      </c>
      <c r="C994" s="20" t="s">
        <v>16</v>
      </c>
      <c r="D994" s="20" t="s">
        <v>17</v>
      </c>
      <c r="E994" s="21" t="str">
        <f t="shared" si="4"/>
        <v>NSE:SANDHAR</v>
      </c>
    </row>
    <row r="995" ht="15.75" customHeight="1">
      <c r="A995" s="30">
        <v>45484.0</v>
      </c>
      <c r="B995" s="20" t="s">
        <v>507</v>
      </c>
      <c r="C995" s="20" t="s">
        <v>16</v>
      </c>
      <c r="D995" s="20" t="s">
        <v>29</v>
      </c>
      <c r="E995" s="21" t="str">
        <f t="shared" si="4"/>
        <v>NSE:UGARSUGAR</v>
      </c>
    </row>
    <row r="996" ht="15.75" customHeight="1">
      <c r="A996" s="30">
        <v>45484.0</v>
      </c>
      <c r="B996" s="20" t="s">
        <v>94</v>
      </c>
      <c r="C996" s="20" t="s">
        <v>16</v>
      </c>
      <c r="D996" s="20" t="s">
        <v>22</v>
      </c>
      <c r="E996" s="21" t="str">
        <f t="shared" si="4"/>
        <v>NSE:NILAINFRA</v>
      </c>
    </row>
    <row r="997" ht="15.75" customHeight="1">
      <c r="A997" s="30">
        <v>45484.0</v>
      </c>
      <c r="B997" s="20" t="s">
        <v>775</v>
      </c>
      <c r="C997" s="20" t="s">
        <v>16</v>
      </c>
      <c r="D997" s="20" t="s">
        <v>31</v>
      </c>
      <c r="E997" s="21" t="str">
        <f t="shared" si="4"/>
        <v>NSE:RKSWAMY</v>
      </c>
    </row>
    <row r="998" ht="15.75" customHeight="1">
      <c r="A998" s="30">
        <v>45484.0</v>
      </c>
      <c r="B998" s="20" t="s">
        <v>512</v>
      </c>
      <c r="C998" s="20" t="s">
        <v>21</v>
      </c>
      <c r="D998" s="20" t="s">
        <v>27</v>
      </c>
      <c r="E998" s="21" t="str">
        <f t="shared" si="4"/>
        <v>NSE:BALUFORGE</v>
      </c>
    </row>
    <row r="999" ht="15.75" customHeight="1">
      <c r="A999" s="30">
        <v>45484.0</v>
      </c>
      <c r="B999" s="20" t="s">
        <v>776</v>
      </c>
      <c r="C999" s="20" t="s">
        <v>21</v>
      </c>
      <c r="D999" s="20" t="s">
        <v>39</v>
      </c>
      <c r="E999" s="21" t="str">
        <f t="shared" si="4"/>
        <v>NSE:MANAPPURAM</v>
      </c>
    </row>
    <row r="1000" ht="15.75" customHeight="1">
      <c r="A1000" s="30">
        <v>45484.0</v>
      </c>
      <c r="B1000" s="20" t="s">
        <v>253</v>
      </c>
      <c r="C1000" s="20" t="s">
        <v>13</v>
      </c>
      <c r="D1000" s="20" t="s">
        <v>14</v>
      </c>
      <c r="E1000" s="21" t="str">
        <f t="shared" si="4"/>
        <v>NSE:SUVENPHAR</v>
      </c>
    </row>
    <row r="1001" ht="15.75" customHeight="1">
      <c r="A1001" s="30">
        <v>45484.0</v>
      </c>
      <c r="B1001" s="20" t="s">
        <v>396</v>
      </c>
      <c r="C1001" s="20" t="s">
        <v>16</v>
      </c>
      <c r="D1001" s="20" t="s">
        <v>53</v>
      </c>
      <c r="E1001" s="21" t="str">
        <f t="shared" si="4"/>
        <v>NSE:AMBIKCO</v>
      </c>
    </row>
    <row r="1002" ht="15.75" customHeight="1">
      <c r="A1002" s="30">
        <v>45484.0</v>
      </c>
      <c r="B1002" s="20" t="s">
        <v>777</v>
      </c>
      <c r="C1002" s="20" t="s">
        <v>16</v>
      </c>
      <c r="D1002" s="20" t="s">
        <v>53</v>
      </c>
      <c r="E1002" s="21" t="str">
        <f t="shared" si="4"/>
        <v>NSE:FILATFASH</v>
      </c>
    </row>
    <row r="1003" ht="15.75" customHeight="1">
      <c r="A1003" s="30">
        <v>45484.0</v>
      </c>
      <c r="B1003" s="20" t="s">
        <v>398</v>
      </c>
      <c r="C1003" s="20" t="s">
        <v>21</v>
      </c>
      <c r="D1003" s="20" t="s">
        <v>22</v>
      </c>
      <c r="E1003" s="21" t="str">
        <f t="shared" si="4"/>
        <v>NSE:ENGINERSIN</v>
      </c>
    </row>
    <row r="1004" ht="15.75" customHeight="1">
      <c r="A1004" s="30">
        <v>45484.0</v>
      </c>
      <c r="B1004" s="20" t="s">
        <v>284</v>
      </c>
      <c r="C1004" s="20" t="s">
        <v>13</v>
      </c>
      <c r="D1004" s="20" t="s">
        <v>27</v>
      </c>
      <c r="E1004" s="21" t="str">
        <f t="shared" si="4"/>
        <v>NSE:PETRONET</v>
      </c>
    </row>
    <row r="1005" ht="15.75" customHeight="1">
      <c r="A1005" s="30">
        <v>45484.0</v>
      </c>
      <c r="B1005" s="20" t="s">
        <v>526</v>
      </c>
      <c r="C1005" s="20" t="s">
        <v>16</v>
      </c>
      <c r="D1005" s="20" t="s">
        <v>29</v>
      </c>
      <c r="E1005" s="21" t="str">
        <f t="shared" si="4"/>
        <v>NSE:DWARKESH</v>
      </c>
    </row>
    <row r="1006" ht="15.75" customHeight="1">
      <c r="A1006" s="30">
        <v>45484.0</v>
      </c>
      <c r="B1006" s="20" t="s">
        <v>778</v>
      </c>
      <c r="C1006" s="20" t="s">
        <v>16</v>
      </c>
      <c r="D1006" s="20" t="s">
        <v>53</v>
      </c>
      <c r="E1006" s="21" t="str">
        <f t="shared" si="4"/>
        <v>NSE:NDL</v>
      </c>
    </row>
    <row r="1007" ht="15.75" customHeight="1">
      <c r="A1007" s="30">
        <v>45484.0</v>
      </c>
      <c r="B1007" s="20" t="s">
        <v>408</v>
      </c>
      <c r="C1007" s="20" t="s">
        <v>16</v>
      </c>
      <c r="D1007" s="20" t="s">
        <v>17</v>
      </c>
      <c r="E1007" s="21" t="str">
        <f t="shared" si="4"/>
        <v>NSE:RML</v>
      </c>
    </row>
    <row r="1008" ht="15.75" customHeight="1">
      <c r="A1008" s="30">
        <v>45484.0</v>
      </c>
      <c r="B1008" s="20" t="s">
        <v>412</v>
      </c>
      <c r="C1008" s="20" t="s">
        <v>13</v>
      </c>
      <c r="D1008" s="20" t="s">
        <v>50</v>
      </c>
      <c r="E1008" s="21" t="str">
        <f t="shared" si="4"/>
        <v>NSE:SUNTV</v>
      </c>
    </row>
    <row r="1009" ht="15.75" customHeight="1">
      <c r="A1009" s="30">
        <v>45484.0</v>
      </c>
      <c r="B1009" s="20" t="s">
        <v>660</v>
      </c>
      <c r="C1009" s="20" t="s">
        <v>16</v>
      </c>
      <c r="D1009" s="20" t="s">
        <v>27</v>
      </c>
      <c r="E1009" s="21" t="str">
        <f t="shared" si="4"/>
        <v>NSE:CAMLINFINE</v>
      </c>
    </row>
    <row r="1010" ht="15.75" customHeight="1">
      <c r="A1010" s="30">
        <v>45484.0</v>
      </c>
      <c r="B1010" s="20" t="s">
        <v>418</v>
      </c>
      <c r="C1010" s="20" t="s">
        <v>16</v>
      </c>
      <c r="D1010" s="20" t="s">
        <v>55</v>
      </c>
      <c r="E1010" s="21" t="str">
        <f t="shared" si="4"/>
        <v>NSE:REFEX</v>
      </c>
    </row>
    <row r="1011" ht="15.75" customHeight="1">
      <c r="A1011" s="30">
        <v>45484.0</v>
      </c>
      <c r="B1011" s="20" t="s">
        <v>419</v>
      </c>
      <c r="C1011" s="20" t="s">
        <v>21</v>
      </c>
      <c r="D1011" s="20" t="s">
        <v>39</v>
      </c>
      <c r="E1011" s="21" t="str">
        <f t="shared" si="4"/>
        <v>NSE:RELIGARE</v>
      </c>
    </row>
    <row r="1012" ht="15.75" customHeight="1">
      <c r="A1012" s="30">
        <v>45484.0</v>
      </c>
      <c r="B1012" s="20" t="s">
        <v>779</v>
      </c>
      <c r="C1012" s="20" t="s">
        <v>16</v>
      </c>
      <c r="D1012" s="20" t="s">
        <v>29</v>
      </c>
      <c r="E1012" s="21" t="str">
        <f t="shared" si="4"/>
        <v>NSE:KECL</v>
      </c>
    </row>
    <row r="1013" ht="15.75" customHeight="1">
      <c r="A1013" s="30">
        <v>45484.0</v>
      </c>
      <c r="B1013" s="20" t="s">
        <v>618</v>
      </c>
      <c r="C1013" s="20" t="s">
        <v>21</v>
      </c>
      <c r="D1013" s="20" t="s">
        <v>22</v>
      </c>
      <c r="E1013" s="21" t="str">
        <f t="shared" si="4"/>
        <v>NSE:RAMKY</v>
      </c>
    </row>
    <row r="1014" ht="15.75" customHeight="1">
      <c r="A1014" s="30">
        <v>45484.0</v>
      </c>
      <c r="B1014" s="20" t="s">
        <v>537</v>
      </c>
      <c r="C1014" s="20" t="s">
        <v>16</v>
      </c>
      <c r="D1014" s="20" t="s">
        <v>27</v>
      </c>
      <c r="E1014" s="21" t="str">
        <f t="shared" si="4"/>
        <v>NSE:CHEMCON</v>
      </c>
    </row>
    <row r="1015" ht="15.75" customHeight="1">
      <c r="A1015" s="30">
        <v>45484.0</v>
      </c>
      <c r="B1015" s="20" t="s">
        <v>666</v>
      </c>
      <c r="C1015" s="20" t="s">
        <v>16</v>
      </c>
      <c r="D1015" s="20" t="s">
        <v>55</v>
      </c>
      <c r="E1015" s="21" t="str">
        <f t="shared" si="4"/>
        <v>NSE:ESSARSHPNG</v>
      </c>
    </row>
    <row r="1016" ht="15.75" customHeight="1">
      <c r="A1016" s="30">
        <v>45484.0</v>
      </c>
      <c r="B1016" s="20" t="s">
        <v>539</v>
      </c>
      <c r="C1016" s="20" t="s">
        <v>16</v>
      </c>
      <c r="D1016" s="20" t="s">
        <v>31</v>
      </c>
      <c r="E1016" s="21" t="str">
        <f t="shared" si="4"/>
        <v>NSE:TBZ</v>
      </c>
    </row>
    <row r="1017" ht="15.75" customHeight="1">
      <c r="A1017" s="30">
        <v>45484.0</v>
      </c>
      <c r="B1017" s="20" t="s">
        <v>543</v>
      </c>
      <c r="C1017" s="20" t="s">
        <v>21</v>
      </c>
      <c r="D1017" s="20" t="s">
        <v>19</v>
      </c>
      <c r="E1017" s="21" t="str">
        <f t="shared" si="4"/>
        <v>NSE:MTARTECH</v>
      </c>
    </row>
    <row r="1018" ht="15.75" customHeight="1">
      <c r="A1018" s="30">
        <v>45484.0</v>
      </c>
      <c r="B1018" s="20" t="s">
        <v>709</v>
      </c>
      <c r="C1018" s="20" t="s">
        <v>13</v>
      </c>
      <c r="D1018" s="20" t="s">
        <v>37</v>
      </c>
      <c r="E1018" s="21" t="str">
        <f t="shared" si="4"/>
        <v>NSE:NYKAA</v>
      </c>
    </row>
    <row r="1019" ht="15.75" customHeight="1">
      <c r="A1019" s="30">
        <v>45484.0</v>
      </c>
      <c r="B1019" s="20" t="s">
        <v>262</v>
      </c>
      <c r="C1019" s="20" t="s">
        <v>13</v>
      </c>
      <c r="D1019" s="20" t="s">
        <v>37</v>
      </c>
      <c r="E1019" s="21" t="str">
        <f t="shared" si="4"/>
        <v>NSE:POLICYBZR</v>
      </c>
    </row>
    <row r="1020" ht="15.75" customHeight="1">
      <c r="A1020" s="30">
        <v>45484.0</v>
      </c>
      <c r="B1020" s="20" t="s">
        <v>441</v>
      </c>
      <c r="C1020" s="20" t="s">
        <v>21</v>
      </c>
      <c r="D1020" s="20" t="s">
        <v>53</v>
      </c>
      <c r="E1020" s="21" t="str">
        <f t="shared" si="4"/>
        <v>NSE:GOCOLORS</v>
      </c>
    </row>
    <row r="1021" ht="15.75" customHeight="1">
      <c r="A1021" s="30">
        <v>45484.0</v>
      </c>
      <c r="B1021" s="20" t="s">
        <v>194</v>
      </c>
      <c r="C1021" s="20" t="s">
        <v>21</v>
      </c>
      <c r="D1021" s="20" t="s">
        <v>31</v>
      </c>
      <c r="E1021" s="21" t="str">
        <f t="shared" si="4"/>
        <v>NSE:CMSINFO</v>
      </c>
    </row>
    <row r="1022" ht="15.75" customHeight="1">
      <c r="A1022" s="30">
        <v>45484.0</v>
      </c>
      <c r="B1022" s="20" t="s">
        <v>549</v>
      </c>
      <c r="C1022" s="20" t="s">
        <v>16</v>
      </c>
      <c r="D1022" s="20" t="s">
        <v>27</v>
      </c>
      <c r="E1022" s="21" t="str">
        <f t="shared" si="4"/>
        <v>NSE:GENUSPAPER</v>
      </c>
    </row>
    <row r="1023" ht="15.75" customHeight="1">
      <c r="A1023" s="30">
        <v>45484.0</v>
      </c>
      <c r="B1023" s="20" t="s">
        <v>264</v>
      </c>
      <c r="C1023" s="20" t="s">
        <v>16</v>
      </c>
      <c r="D1023" s="20" t="s">
        <v>53</v>
      </c>
      <c r="E1023" s="21" t="str">
        <f t="shared" si="4"/>
        <v>NSE:MALLCOM</v>
      </c>
    </row>
    <row r="1024" ht="15.75" customHeight="1">
      <c r="A1024" s="30">
        <v>45484.0</v>
      </c>
      <c r="B1024" s="20" t="s">
        <v>780</v>
      </c>
      <c r="C1024" s="20" t="s">
        <v>16</v>
      </c>
      <c r="D1024" s="20" t="s">
        <v>14</v>
      </c>
      <c r="E1024" s="21" t="str">
        <f t="shared" si="4"/>
        <v>NSE:THYROCARE</v>
      </c>
    </row>
    <row r="1025" ht="15.75" customHeight="1">
      <c r="A1025" s="30">
        <v>45484.0</v>
      </c>
      <c r="B1025" s="20" t="s">
        <v>449</v>
      </c>
      <c r="C1025" s="20" t="s">
        <v>16</v>
      </c>
      <c r="D1025" s="20" t="s">
        <v>17</v>
      </c>
      <c r="E1025" s="21" t="str">
        <f t="shared" si="4"/>
        <v>NSE:GNA</v>
      </c>
    </row>
    <row r="1026" ht="15.75" customHeight="1">
      <c r="A1026" s="30">
        <v>45485.0</v>
      </c>
      <c r="B1026" s="20" t="s">
        <v>296</v>
      </c>
      <c r="C1026" s="20" t="s">
        <v>13</v>
      </c>
      <c r="D1026" s="20" t="s">
        <v>27</v>
      </c>
      <c r="E1026" s="21" t="str">
        <f t="shared" si="4"/>
        <v>NSE:ATUL</v>
      </c>
    </row>
    <row r="1027" ht="15.75" customHeight="1">
      <c r="A1027" s="30">
        <v>45485.0</v>
      </c>
      <c r="B1027" s="20" t="s">
        <v>781</v>
      </c>
      <c r="C1027" s="20" t="s">
        <v>13</v>
      </c>
      <c r="D1027" s="20" t="s">
        <v>39</v>
      </c>
      <c r="E1027" s="21" t="str">
        <f t="shared" si="4"/>
        <v>NSE:IFCI</v>
      </c>
    </row>
    <row r="1028" ht="15.75" customHeight="1">
      <c r="A1028" s="30">
        <v>45485.0</v>
      </c>
      <c r="B1028" s="20" t="s">
        <v>196</v>
      </c>
      <c r="C1028" s="20" t="s">
        <v>13</v>
      </c>
      <c r="D1028" s="20" t="s">
        <v>185</v>
      </c>
      <c r="E1028" s="21" t="str">
        <f t="shared" si="4"/>
        <v>NSE:SBIN</v>
      </c>
    </row>
    <row r="1029" ht="15.75" customHeight="1">
      <c r="A1029" s="30">
        <v>45485.0</v>
      </c>
      <c r="B1029" s="20" t="s">
        <v>782</v>
      </c>
      <c r="C1029" s="20" t="s">
        <v>13</v>
      </c>
      <c r="D1029" s="20" t="s">
        <v>14</v>
      </c>
      <c r="E1029" s="21" t="str">
        <f t="shared" si="4"/>
        <v>NSE:DRREDDY</v>
      </c>
    </row>
    <row r="1030" ht="15.75" customHeight="1">
      <c r="A1030" s="30">
        <v>45485.0</v>
      </c>
      <c r="B1030" s="20" t="s">
        <v>783</v>
      </c>
      <c r="C1030" s="20" t="s">
        <v>21</v>
      </c>
      <c r="D1030" s="20" t="s">
        <v>27</v>
      </c>
      <c r="E1030" s="21" t="str">
        <f t="shared" si="4"/>
        <v>NSE:GHCL</v>
      </c>
    </row>
    <row r="1031" ht="15.75" customHeight="1">
      <c r="A1031" s="30">
        <v>45485.0</v>
      </c>
      <c r="B1031" s="20" t="s">
        <v>784</v>
      </c>
      <c r="C1031" s="20" t="s">
        <v>13</v>
      </c>
      <c r="D1031" s="20" t="s">
        <v>37</v>
      </c>
      <c r="E1031" s="21" t="str">
        <f t="shared" si="4"/>
        <v>NSE:INFY</v>
      </c>
    </row>
    <row r="1032" ht="15.75" customHeight="1">
      <c r="A1032" s="30">
        <v>45485.0</v>
      </c>
      <c r="B1032" s="20" t="s">
        <v>306</v>
      </c>
      <c r="C1032" s="20" t="s">
        <v>13</v>
      </c>
      <c r="D1032" s="20" t="s">
        <v>29</v>
      </c>
      <c r="E1032" s="21" t="str">
        <f t="shared" si="4"/>
        <v>NSE:TRENT</v>
      </c>
    </row>
    <row r="1033" ht="15.75" customHeight="1">
      <c r="A1033" s="30">
        <v>45485.0</v>
      </c>
      <c r="B1033" s="20" t="s">
        <v>243</v>
      </c>
      <c r="C1033" s="20" t="s">
        <v>13</v>
      </c>
      <c r="D1033" s="20" t="s">
        <v>39</v>
      </c>
      <c r="E1033" s="21" t="str">
        <f t="shared" si="4"/>
        <v>NSE:PEL</v>
      </c>
    </row>
    <row r="1034" ht="15.75" customHeight="1">
      <c r="A1034" s="30">
        <v>45485.0</v>
      </c>
      <c r="B1034" s="20" t="s">
        <v>678</v>
      </c>
      <c r="C1034" s="20" t="s">
        <v>21</v>
      </c>
      <c r="D1034" s="20" t="s">
        <v>53</v>
      </c>
      <c r="E1034" s="21" t="str">
        <f t="shared" si="4"/>
        <v>NSE:RAYMOND</v>
      </c>
    </row>
    <row r="1035" ht="15.75" customHeight="1">
      <c r="A1035" s="30">
        <v>45485.0</v>
      </c>
      <c r="B1035" s="20" t="s">
        <v>679</v>
      </c>
      <c r="C1035" s="20" t="s">
        <v>16</v>
      </c>
      <c r="D1035" s="20" t="s">
        <v>29</v>
      </c>
      <c r="E1035" s="21" t="str">
        <f t="shared" si="4"/>
        <v>NSE:PIXTRANS</v>
      </c>
    </row>
    <row r="1036" ht="15.75" customHeight="1">
      <c r="A1036" s="30">
        <v>45485.0</v>
      </c>
      <c r="B1036" s="20" t="s">
        <v>563</v>
      </c>
      <c r="C1036" s="20" t="s">
        <v>21</v>
      </c>
      <c r="D1036" s="20" t="s">
        <v>27</v>
      </c>
      <c r="E1036" s="21" t="str">
        <f t="shared" si="4"/>
        <v>NSE:RALLIS</v>
      </c>
    </row>
    <row r="1037" ht="15.75" customHeight="1">
      <c r="A1037" s="30">
        <v>45485.0</v>
      </c>
      <c r="B1037" s="20" t="s">
        <v>313</v>
      </c>
      <c r="C1037" s="20" t="s">
        <v>16</v>
      </c>
      <c r="D1037" s="20" t="s">
        <v>55</v>
      </c>
      <c r="E1037" s="21" t="str">
        <f t="shared" si="4"/>
        <v>NSE:UNIENTER</v>
      </c>
    </row>
    <row r="1038" ht="15.75" customHeight="1">
      <c r="A1038" s="30">
        <v>45485.0</v>
      </c>
      <c r="B1038" s="20" t="s">
        <v>470</v>
      </c>
      <c r="C1038" s="20" t="s">
        <v>16</v>
      </c>
      <c r="D1038" s="20" t="s">
        <v>27</v>
      </c>
      <c r="E1038" s="21" t="str">
        <f t="shared" si="4"/>
        <v>NSE:SESHAPAPER</v>
      </c>
    </row>
    <row r="1039" ht="15.75" customHeight="1">
      <c r="A1039" s="30">
        <v>45485.0</v>
      </c>
      <c r="B1039" s="20" t="s">
        <v>785</v>
      </c>
      <c r="C1039" s="20" t="s">
        <v>21</v>
      </c>
      <c r="D1039" s="20" t="s">
        <v>37</v>
      </c>
      <c r="E1039" s="21" t="str">
        <f t="shared" si="4"/>
        <v>NSE:ZENSARTECH</v>
      </c>
    </row>
    <row r="1040" ht="15.75" customHeight="1">
      <c r="A1040" s="30">
        <v>45485.0</v>
      </c>
      <c r="B1040" s="20" t="s">
        <v>327</v>
      </c>
      <c r="C1040" s="20" t="s">
        <v>21</v>
      </c>
      <c r="D1040" s="20" t="s">
        <v>29</v>
      </c>
      <c r="E1040" s="21" t="str">
        <f t="shared" si="4"/>
        <v>NSE:GMMPFAUDLR</v>
      </c>
    </row>
    <row r="1041" ht="15.75" customHeight="1">
      <c r="A1041" s="30">
        <v>45485.0</v>
      </c>
      <c r="B1041" s="20" t="s">
        <v>36</v>
      </c>
      <c r="C1041" s="20" t="s">
        <v>13</v>
      </c>
      <c r="D1041" s="20" t="s">
        <v>37</v>
      </c>
      <c r="E1041" s="21" t="str">
        <f t="shared" si="4"/>
        <v>NSE:WIPRO</v>
      </c>
    </row>
    <row r="1042" ht="15.75" customHeight="1">
      <c r="A1042" s="30">
        <v>45485.0</v>
      </c>
      <c r="B1042" s="20" t="s">
        <v>573</v>
      </c>
      <c r="C1042" s="20" t="s">
        <v>16</v>
      </c>
      <c r="D1042" s="20" t="s">
        <v>27</v>
      </c>
      <c r="E1042" s="21" t="str">
        <f t="shared" si="4"/>
        <v>NSE:HIL</v>
      </c>
    </row>
    <row r="1043" ht="15.75" customHeight="1">
      <c r="A1043" s="30">
        <v>45485.0</v>
      </c>
      <c r="B1043" s="20" t="s">
        <v>631</v>
      </c>
      <c r="C1043" s="20" t="s">
        <v>16</v>
      </c>
      <c r="D1043" s="20" t="s">
        <v>55</v>
      </c>
      <c r="E1043" s="21" t="str">
        <f t="shared" si="4"/>
        <v>NSE:HUHTAMAKI</v>
      </c>
    </row>
    <row r="1044" ht="15.75" customHeight="1">
      <c r="A1044" s="30">
        <v>45485.0</v>
      </c>
      <c r="B1044" s="20" t="s">
        <v>577</v>
      </c>
      <c r="C1044" s="20" t="s">
        <v>16</v>
      </c>
      <c r="D1044" s="20" t="s">
        <v>55</v>
      </c>
      <c r="E1044" s="21" t="str">
        <f t="shared" si="4"/>
        <v>NSE:STCINDIA</v>
      </c>
    </row>
    <row r="1045" ht="15.75" customHeight="1">
      <c r="A1045" s="30">
        <v>45485.0</v>
      </c>
      <c r="B1045" s="20" t="s">
        <v>740</v>
      </c>
      <c r="C1045" s="20" t="s">
        <v>21</v>
      </c>
      <c r="D1045" s="20" t="s">
        <v>31</v>
      </c>
      <c r="E1045" s="21" t="str">
        <f t="shared" si="4"/>
        <v>NSE:NAVA</v>
      </c>
    </row>
    <row r="1046" ht="15.75" customHeight="1">
      <c r="A1046" s="30">
        <v>45485.0</v>
      </c>
      <c r="B1046" s="20" t="s">
        <v>172</v>
      </c>
      <c r="C1046" s="20" t="s">
        <v>16</v>
      </c>
      <c r="D1046" s="20" t="s">
        <v>25</v>
      </c>
      <c r="E1046" s="21" t="str">
        <f t="shared" si="4"/>
        <v>NSE:SBCL</v>
      </c>
    </row>
    <row r="1047" ht="15.75" customHeight="1">
      <c r="A1047" s="30">
        <v>45485.0</v>
      </c>
      <c r="B1047" s="20" t="s">
        <v>485</v>
      </c>
      <c r="C1047" s="20" t="s">
        <v>16</v>
      </c>
      <c r="D1047" s="20" t="s">
        <v>55</v>
      </c>
      <c r="E1047" s="21" t="str">
        <f t="shared" si="4"/>
        <v>NSE:KAMOPAINTS</v>
      </c>
    </row>
    <row r="1048" ht="15.75" customHeight="1">
      <c r="A1048" s="30">
        <v>45485.0</v>
      </c>
      <c r="B1048" s="20" t="s">
        <v>88</v>
      </c>
      <c r="C1048" s="20" t="s">
        <v>16</v>
      </c>
      <c r="D1048" s="20" t="s">
        <v>22</v>
      </c>
      <c r="E1048" s="21" t="str">
        <f t="shared" si="4"/>
        <v>NSE:BLAL</v>
      </c>
    </row>
    <row r="1049" ht="15.75" customHeight="1">
      <c r="A1049" s="30">
        <v>45485.0</v>
      </c>
      <c r="B1049" s="20" t="s">
        <v>635</v>
      </c>
      <c r="C1049" s="20" t="s">
        <v>21</v>
      </c>
      <c r="D1049" s="20" t="s">
        <v>27</v>
      </c>
      <c r="E1049" s="21" t="str">
        <f t="shared" si="4"/>
        <v>NSE:NFL</v>
      </c>
    </row>
    <row r="1050" ht="15.75" customHeight="1">
      <c r="A1050" s="30">
        <v>45485.0</v>
      </c>
      <c r="B1050" s="20" t="s">
        <v>584</v>
      </c>
      <c r="C1050" s="20" t="s">
        <v>16</v>
      </c>
      <c r="D1050" s="20" t="s">
        <v>29</v>
      </c>
      <c r="E1050" s="21" t="str">
        <f t="shared" si="4"/>
        <v>NSE:EIMCOELECO</v>
      </c>
    </row>
    <row r="1051" ht="15.75" customHeight="1">
      <c r="A1051" s="30">
        <v>45485.0</v>
      </c>
      <c r="B1051" s="20" t="s">
        <v>719</v>
      </c>
      <c r="C1051" s="20" t="s">
        <v>16</v>
      </c>
      <c r="D1051" s="20" t="s">
        <v>29</v>
      </c>
      <c r="E1051" s="21" t="str">
        <f t="shared" si="4"/>
        <v>NSE:IKIO</v>
      </c>
    </row>
    <row r="1052" ht="15.75" customHeight="1">
      <c r="A1052" s="30">
        <v>45485.0</v>
      </c>
      <c r="B1052" s="20" t="s">
        <v>786</v>
      </c>
      <c r="C1052" s="20" t="s">
        <v>16</v>
      </c>
      <c r="D1052" s="20" t="s">
        <v>55</v>
      </c>
      <c r="E1052" s="21" t="str">
        <f t="shared" si="4"/>
        <v>NSE:DVL</v>
      </c>
    </row>
    <row r="1053" ht="15.75" customHeight="1">
      <c r="A1053" s="30">
        <v>45485.0</v>
      </c>
      <c r="B1053" s="20" t="s">
        <v>250</v>
      </c>
      <c r="C1053" s="20" t="s">
        <v>16</v>
      </c>
      <c r="D1053" s="20" t="s">
        <v>29</v>
      </c>
      <c r="E1053" s="21" t="str">
        <f t="shared" si="4"/>
        <v>NSE:RISHABH</v>
      </c>
    </row>
    <row r="1054" ht="15.75" customHeight="1">
      <c r="A1054" s="30">
        <v>45485.0</v>
      </c>
      <c r="B1054" s="20" t="s">
        <v>595</v>
      </c>
      <c r="C1054" s="20" t="s">
        <v>16</v>
      </c>
      <c r="D1054" s="20" t="s">
        <v>14</v>
      </c>
      <c r="E1054" s="21" t="str">
        <f t="shared" si="4"/>
        <v>NSE:NGLFINE</v>
      </c>
    </row>
    <row r="1055" ht="15.75" customHeight="1">
      <c r="A1055" s="30">
        <v>45485.0</v>
      </c>
      <c r="B1055" s="20" t="s">
        <v>787</v>
      </c>
      <c r="C1055" s="20" t="s">
        <v>13</v>
      </c>
      <c r="D1055" s="20" t="s">
        <v>37</v>
      </c>
      <c r="E1055" s="21" t="str">
        <f t="shared" si="4"/>
        <v>NSE:MPHASIS</v>
      </c>
    </row>
    <row r="1056" ht="15.75" customHeight="1">
      <c r="A1056" s="30">
        <v>45485.0</v>
      </c>
      <c r="B1056" s="20" t="s">
        <v>724</v>
      </c>
      <c r="C1056" s="20" t="s">
        <v>16</v>
      </c>
      <c r="D1056" s="20" t="s">
        <v>39</v>
      </c>
      <c r="E1056" s="21" t="str">
        <f t="shared" si="4"/>
        <v>NSE:MUTHOOTMF</v>
      </c>
    </row>
    <row r="1057" ht="15.75" customHeight="1">
      <c r="A1057" s="30">
        <v>45485.0</v>
      </c>
      <c r="B1057" s="20" t="s">
        <v>643</v>
      </c>
      <c r="C1057" s="20" t="s">
        <v>16</v>
      </c>
      <c r="D1057" s="20" t="s">
        <v>14</v>
      </c>
      <c r="E1057" s="21" t="str">
        <f t="shared" si="4"/>
        <v>NSE:INNOVACAP</v>
      </c>
    </row>
    <row r="1058" ht="15.75" customHeight="1">
      <c r="A1058" s="30">
        <v>45485.0</v>
      </c>
      <c r="B1058" s="20" t="s">
        <v>602</v>
      </c>
      <c r="C1058" s="20" t="s">
        <v>21</v>
      </c>
      <c r="D1058" s="20" t="s">
        <v>29</v>
      </c>
      <c r="E1058" s="21" t="str">
        <f t="shared" si="4"/>
        <v>NSE:ENTERO</v>
      </c>
    </row>
    <row r="1059" ht="15.75" customHeight="1">
      <c r="A1059" s="30">
        <v>45485.0</v>
      </c>
      <c r="B1059" s="20" t="s">
        <v>508</v>
      </c>
      <c r="C1059" s="20" t="s">
        <v>16</v>
      </c>
      <c r="D1059" s="20" t="s">
        <v>27</v>
      </c>
      <c r="E1059" s="21" t="str">
        <f t="shared" si="4"/>
        <v>NSE:CHEMFAB</v>
      </c>
    </row>
    <row r="1060" ht="15.75" customHeight="1">
      <c r="A1060" s="30">
        <v>45485.0</v>
      </c>
      <c r="B1060" s="20" t="s">
        <v>726</v>
      </c>
      <c r="C1060" s="20" t="s">
        <v>16</v>
      </c>
      <c r="D1060" s="20" t="s">
        <v>31</v>
      </c>
      <c r="E1060" s="21" t="str">
        <f t="shared" si="4"/>
        <v>NSE:MUKKA</v>
      </c>
    </row>
    <row r="1061" ht="15.75" customHeight="1">
      <c r="A1061" s="30">
        <v>45485.0</v>
      </c>
      <c r="B1061" s="20" t="s">
        <v>607</v>
      </c>
      <c r="C1061" s="20" t="s">
        <v>16</v>
      </c>
      <c r="D1061" s="20" t="s">
        <v>22</v>
      </c>
      <c r="E1061" s="21" t="str">
        <f t="shared" si="4"/>
        <v>NSE:OMINFRAL</v>
      </c>
    </row>
    <row r="1062" ht="15.75" customHeight="1">
      <c r="A1062" s="30">
        <v>45485.0</v>
      </c>
      <c r="B1062" s="20" t="s">
        <v>788</v>
      </c>
      <c r="C1062" s="20" t="s">
        <v>16</v>
      </c>
      <c r="D1062" s="20" t="s">
        <v>37</v>
      </c>
      <c r="E1062" s="21" t="str">
        <f t="shared" si="4"/>
        <v>NSE:NUCLEUS</v>
      </c>
    </row>
    <row r="1063" ht="15.75" customHeight="1">
      <c r="A1063" s="30">
        <v>45485.0</v>
      </c>
      <c r="B1063" s="20" t="s">
        <v>392</v>
      </c>
      <c r="C1063" s="20" t="s">
        <v>13</v>
      </c>
      <c r="D1063" s="20" t="s">
        <v>37</v>
      </c>
      <c r="E1063" s="21" t="str">
        <f t="shared" si="4"/>
        <v>NSE:KPITTECH</v>
      </c>
    </row>
    <row r="1064" ht="15.75" customHeight="1">
      <c r="A1064" s="30">
        <v>45485.0</v>
      </c>
      <c r="B1064" s="20" t="s">
        <v>66</v>
      </c>
      <c r="C1064" s="20" t="s">
        <v>16</v>
      </c>
      <c r="D1064" s="20" t="s">
        <v>37</v>
      </c>
      <c r="E1064" s="21" t="str">
        <f t="shared" si="4"/>
        <v>NSE:CYBERTECH</v>
      </c>
    </row>
    <row r="1065" ht="15.75" customHeight="1">
      <c r="A1065" s="30">
        <v>45485.0</v>
      </c>
      <c r="B1065" s="20" t="s">
        <v>397</v>
      </c>
      <c r="C1065" s="20" t="s">
        <v>21</v>
      </c>
      <c r="D1065" s="20" t="s">
        <v>39</v>
      </c>
      <c r="E1065" s="21" t="str">
        <f t="shared" si="4"/>
        <v>NSE:UTIAMC</v>
      </c>
    </row>
    <row r="1066" ht="15.75" customHeight="1">
      <c r="A1066" s="30">
        <v>45485.0</v>
      </c>
      <c r="B1066" s="20" t="s">
        <v>518</v>
      </c>
      <c r="C1066" s="20" t="s">
        <v>16</v>
      </c>
      <c r="D1066" s="20" t="s">
        <v>37</v>
      </c>
      <c r="E1066" s="21" t="str">
        <f t="shared" si="4"/>
        <v>NSE:ACCELYA</v>
      </c>
    </row>
    <row r="1067" ht="15.75" customHeight="1">
      <c r="A1067" s="30">
        <v>45485.0</v>
      </c>
      <c r="B1067" s="20" t="s">
        <v>402</v>
      </c>
      <c r="C1067" s="20" t="s">
        <v>21</v>
      </c>
      <c r="D1067" s="20" t="s">
        <v>27</v>
      </c>
      <c r="E1067" s="21" t="str">
        <f t="shared" si="4"/>
        <v>NSE:STLTECH</v>
      </c>
    </row>
    <row r="1068" ht="15.75" customHeight="1">
      <c r="A1068" s="30">
        <v>45485.0</v>
      </c>
      <c r="B1068" s="20" t="s">
        <v>789</v>
      </c>
      <c r="C1068" s="20" t="s">
        <v>13</v>
      </c>
      <c r="D1068" s="20" t="s">
        <v>37</v>
      </c>
      <c r="E1068" s="21" t="str">
        <f t="shared" si="4"/>
        <v>NSE:TCS</v>
      </c>
    </row>
    <row r="1069" ht="15.75" customHeight="1">
      <c r="A1069" s="30">
        <v>45485.0</v>
      </c>
      <c r="B1069" s="20" t="s">
        <v>527</v>
      </c>
      <c r="C1069" s="20" t="s">
        <v>16</v>
      </c>
      <c r="D1069" s="20" t="s">
        <v>25</v>
      </c>
      <c r="E1069" s="21" t="str">
        <f t="shared" si="4"/>
        <v>NSE:POCL</v>
      </c>
    </row>
    <row r="1070" ht="15.75" customHeight="1">
      <c r="A1070" s="30">
        <v>45485.0</v>
      </c>
      <c r="B1070" s="20" t="s">
        <v>225</v>
      </c>
      <c r="C1070" s="20" t="s">
        <v>21</v>
      </c>
      <c r="D1070" s="20" t="s">
        <v>50</v>
      </c>
      <c r="E1070" s="21" t="str">
        <f t="shared" si="4"/>
        <v>NSE:PVRINOX</v>
      </c>
    </row>
    <row r="1071" ht="15.75" customHeight="1">
      <c r="A1071" s="30">
        <v>45485.0</v>
      </c>
      <c r="B1071" s="20" t="s">
        <v>790</v>
      </c>
      <c r="C1071" s="20" t="s">
        <v>13</v>
      </c>
      <c r="D1071" s="20" t="s">
        <v>37</v>
      </c>
      <c r="E1071" s="21" t="str">
        <f t="shared" si="4"/>
        <v>NSE:TECHM</v>
      </c>
    </row>
    <row r="1072" ht="15.75" customHeight="1">
      <c r="A1072" s="30">
        <v>45485.0</v>
      </c>
      <c r="B1072" s="20" t="s">
        <v>416</v>
      </c>
      <c r="C1072" s="20" t="s">
        <v>21</v>
      </c>
      <c r="D1072" s="20" t="s">
        <v>37</v>
      </c>
      <c r="E1072" s="21" t="str">
        <f t="shared" si="4"/>
        <v>NSE:TANLA</v>
      </c>
    </row>
    <row r="1073" ht="15.75" customHeight="1">
      <c r="A1073" s="30">
        <v>45485.0</v>
      </c>
      <c r="B1073" s="20" t="s">
        <v>791</v>
      </c>
      <c r="C1073" s="20" t="s">
        <v>21</v>
      </c>
      <c r="D1073" s="20" t="s">
        <v>29</v>
      </c>
      <c r="E1073" s="21" t="str">
        <f t="shared" si="4"/>
        <v>NSE:TIMETECHNO</v>
      </c>
    </row>
    <row r="1074" ht="15.75" customHeight="1">
      <c r="A1074" s="30">
        <v>45485.0</v>
      </c>
      <c r="B1074" s="20" t="s">
        <v>69</v>
      </c>
      <c r="C1074" s="20" t="s">
        <v>16</v>
      </c>
      <c r="D1074" s="20" t="s">
        <v>29</v>
      </c>
      <c r="E1074" s="21" t="str">
        <f t="shared" si="4"/>
        <v>NSE:V2RETAIL</v>
      </c>
    </row>
    <row r="1075" ht="15.75" customHeight="1">
      <c r="A1075" s="30">
        <v>45485.0</v>
      </c>
      <c r="B1075" s="20" t="s">
        <v>663</v>
      </c>
      <c r="C1075" s="20" t="s">
        <v>16</v>
      </c>
      <c r="D1075" s="20" t="s">
        <v>156</v>
      </c>
      <c r="E1075" s="21" t="str">
        <f t="shared" si="4"/>
        <v>NSE:ONMOBILE</v>
      </c>
    </row>
    <row r="1076" ht="15.75" customHeight="1">
      <c r="A1076" s="30">
        <v>45485.0</v>
      </c>
      <c r="B1076" s="20" t="s">
        <v>189</v>
      </c>
      <c r="C1076" s="20" t="s">
        <v>16</v>
      </c>
      <c r="D1076" s="20" t="s">
        <v>39</v>
      </c>
      <c r="E1076" s="21" t="str">
        <f t="shared" si="4"/>
        <v>NSE:DHANI</v>
      </c>
    </row>
    <row r="1077" ht="15.75" customHeight="1">
      <c r="A1077" s="30">
        <v>45485.0</v>
      </c>
      <c r="B1077" s="20" t="s">
        <v>148</v>
      </c>
      <c r="C1077" s="20" t="s">
        <v>16</v>
      </c>
      <c r="D1077" s="20" t="s">
        <v>17</v>
      </c>
      <c r="E1077" s="21" t="str">
        <f t="shared" si="4"/>
        <v>NSE:RBL</v>
      </c>
    </row>
    <row r="1078" ht="15.75" customHeight="1">
      <c r="A1078" s="30">
        <v>45485.0</v>
      </c>
      <c r="B1078" s="20" t="s">
        <v>421</v>
      </c>
      <c r="C1078" s="20" t="s">
        <v>16</v>
      </c>
      <c r="D1078" s="20" t="s">
        <v>37</v>
      </c>
      <c r="E1078" s="21" t="str">
        <f t="shared" si="4"/>
        <v>NSE:EXPLEOSOL</v>
      </c>
    </row>
    <row r="1079" ht="15.75" customHeight="1">
      <c r="A1079" s="30">
        <v>45485.0</v>
      </c>
      <c r="B1079" s="20" t="s">
        <v>124</v>
      </c>
      <c r="C1079" s="20" t="s">
        <v>16</v>
      </c>
      <c r="D1079" s="20" t="s">
        <v>53</v>
      </c>
      <c r="E1079" s="21" t="str">
        <f t="shared" si="4"/>
        <v>NSE:CANTABIL</v>
      </c>
    </row>
    <row r="1080" ht="15.75" customHeight="1">
      <c r="A1080" s="30">
        <v>45485.0</v>
      </c>
      <c r="B1080" s="20" t="s">
        <v>792</v>
      </c>
      <c r="C1080" s="20" t="s">
        <v>13</v>
      </c>
      <c r="D1080" s="20" t="s">
        <v>31</v>
      </c>
      <c r="E1080" s="21" t="str">
        <f t="shared" si="4"/>
        <v>NSE:KALYANKJIL</v>
      </c>
    </row>
    <row r="1081" ht="15.75" customHeight="1">
      <c r="A1081" s="30">
        <v>45485.0</v>
      </c>
      <c r="B1081" s="20" t="s">
        <v>440</v>
      </c>
      <c r="C1081" s="20" t="s">
        <v>16</v>
      </c>
      <c r="D1081" s="20" t="s">
        <v>31</v>
      </c>
      <c r="E1081" s="21" t="str">
        <f t="shared" si="4"/>
        <v>NSE:TARSONS</v>
      </c>
    </row>
    <row r="1082" ht="15.75" customHeight="1">
      <c r="A1082" s="30">
        <v>45485.0</v>
      </c>
      <c r="B1082" s="20" t="s">
        <v>236</v>
      </c>
      <c r="C1082" s="20" t="s">
        <v>13</v>
      </c>
      <c r="D1082" s="20" t="s">
        <v>37</v>
      </c>
      <c r="E1082" s="21" t="str">
        <f t="shared" si="4"/>
        <v>NSE:LTIM</v>
      </c>
    </row>
    <row r="1083" ht="15.75" customHeight="1">
      <c r="A1083" s="30">
        <v>45488.0</v>
      </c>
      <c r="B1083" s="20" t="s">
        <v>299</v>
      </c>
      <c r="C1083" s="20" t="s">
        <v>16</v>
      </c>
      <c r="D1083" s="20" t="s">
        <v>27</v>
      </c>
      <c r="E1083" s="21" t="str">
        <f t="shared" si="4"/>
        <v>NSE:BIRLACABLE</v>
      </c>
    </row>
    <row r="1084" ht="15.75" customHeight="1">
      <c r="A1084" s="30">
        <v>45488.0</v>
      </c>
      <c r="B1084" s="20" t="s">
        <v>456</v>
      </c>
      <c r="C1084" s="20" t="s">
        <v>16</v>
      </c>
      <c r="D1084" s="20" t="s">
        <v>29</v>
      </c>
      <c r="E1084" s="21" t="str">
        <f t="shared" si="4"/>
        <v>NSE:ATFL</v>
      </c>
    </row>
    <row r="1085" ht="15.75" customHeight="1">
      <c r="A1085" s="30">
        <v>45488.0</v>
      </c>
      <c r="B1085" s="20" t="s">
        <v>464</v>
      </c>
      <c r="C1085" s="20" t="s">
        <v>16</v>
      </c>
      <c r="D1085" s="20" t="s">
        <v>39</v>
      </c>
      <c r="E1085" s="21" t="str">
        <f t="shared" si="4"/>
        <v>NSE:VHL</v>
      </c>
    </row>
    <row r="1086" ht="15.75" customHeight="1">
      <c r="A1086" s="30">
        <v>45488.0</v>
      </c>
      <c r="B1086" s="20" t="s">
        <v>465</v>
      </c>
      <c r="C1086" s="20" t="s">
        <v>16</v>
      </c>
      <c r="D1086" s="20" t="s">
        <v>25</v>
      </c>
      <c r="E1086" s="21" t="str">
        <f t="shared" si="4"/>
        <v>NSE:MUKANDLTD</v>
      </c>
    </row>
    <row r="1087" ht="15.75" customHeight="1">
      <c r="A1087" s="30">
        <v>45488.0</v>
      </c>
      <c r="B1087" s="20" t="s">
        <v>793</v>
      </c>
      <c r="C1087" s="20" t="s">
        <v>13</v>
      </c>
      <c r="D1087" s="20" t="s">
        <v>29</v>
      </c>
      <c r="E1087" s="21" t="str">
        <f t="shared" si="4"/>
        <v>NSE:COLPAL</v>
      </c>
    </row>
    <row r="1088" ht="15.75" customHeight="1">
      <c r="A1088" s="30">
        <v>45488.0</v>
      </c>
      <c r="B1088" s="20" t="s">
        <v>26</v>
      </c>
      <c r="C1088" s="20" t="s">
        <v>13</v>
      </c>
      <c r="D1088" s="20" t="s">
        <v>27</v>
      </c>
      <c r="E1088" s="21" t="str">
        <f t="shared" si="4"/>
        <v>NSE:CASTROLIND</v>
      </c>
    </row>
    <row r="1089" ht="15.75" customHeight="1">
      <c r="A1089" s="30">
        <v>45488.0</v>
      </c>
      <c r="B1089" s="20" t="s">
        <v>794</v>
      </c>
      <c r="C1089" s="20" t="s">
        <v>13</v>
      </c>
      <c r="D1089" s="20" t="s">
        <v>17</v>
      </c>
      <c r="E1089" s="21" t="str">
        <f t="shared" si="4"/>
        <v>NSE:APOLLOTYRE</v>
      </c>
    </row>
    <row r="1090" ht="15.75" customHeight="1">
      <c r="A1090" s="30">
        <v>45488.0</v>
      </c>
      <c r="B1090" s="20" t="s">
        <v>198</v>
      </c>
      <c r="C1090" s="20" t="s">
        <v>21</v>
      </c>
      <c r="D1090" s="20" t="s">
        <v>53</v>
      </c>
      <c r="E1090" s="21" t="str">
        <f t="shared" si="4"/>
        <v>NSE:VTL</v>
      </c>
    </row>
    <row r="1091" ht="15.75" customHeight="1">
      <c r="A1091" s="30">
        <v>45488.0</v>
      </c>
      <c r="B1091" s="20" t="s">
        <v>325</v>
      </c>
      <c r="C1091" s="20" t="s">
        <v>16</v>
      </c>
      <c r="D1091" s="20" t="s">
        <v>22</v>
      </c>
      <c r="E1091" s="21" t="str">
        <f t="shared" si="4"/>
        <v>NSE:WSI</v>
      </c>
    </row>
    <row r="1092" ht="15.75" customHeight="1">
      <c r="A1092" s="30">
        <v>45488.0</v>
      </c>
      <c r="B1092" s="20" t="s">
        <v>476</v>
      </c>
      <c r="C1092" s="20" t="s">
        <v>21</v>
      </c>
      <c r="D1092" s="20" t="s">
        <v>55</v>
      </c>
      <c r="E1092" s="21" t="str">
        <f t="shared" si="4"/>
        <v>NSE:PRUDENT</v>
      </c>
    </row>
    <row r="1093" ht="15.75" customHeight="1">
      <c r="A1093" s="30">
        <v>45488.0</v>
      </c>
      <c r="B1093" s="20" t="s">
        <v>632</v>
      </c>
      <c r="C1093" s="20" t="s">
        <v>21</v>
      </c>
      <c r="D1093" s="20" t="s">
        <v>29</v>
      </c>
      <c r="E1093" s="21" t="str">
        <f t="shared" si="4"/>
        <v>NSE:HNDFDS</v>
      </c>
    </row>
    <row r="1094" ht="15.75" customHeight="1">
      <c r="A1094" s="30">
        <v>45488.0</v>
      </c>
      <c r="B1094" s="20" t="s">
        <v>486</v>
      </c>
      <c r="C1094" s="20" t="s">
        <v>16</v>
      </c>
      <c r="D1094" s="20" t="s">
        <v>29</v>
      </c>
      <c r="E1094" s="21" t="str">
        <f t="shared" si="4"/>
        <v>NSE:KITEX</v>
      </c>
    </row>
    <row r="1095" ht="15.75" customHeight="1">
      <c r="A1095" s="30">
        <v>45488.0</v>
      </c>
      <c r="B1095" s="20" t="s">
        <v>583</v>
      </c>
      <c r="C1095" s="20" t="s">
        <v>16</v>
      </c>
      <c r="D1095" s="20" t="s">
        <v>27</v>
      </c>
      <c r="E1095" s="21" t="str">
        <f t="shared" si="4"/>
        <v>NSE:APCOTEXIND</v>
      </c>
    </row>
    <row r="1096" ht="15.75" customHeight="1">
      <c r="A1096" s="30">
        <v>45488.0</v>
      </c>
      <c r="B1096" s="20" t="s">
        <v>361</v>
      </c>
      <c r="C1096" s="20" t="s">
        <v>16</v>
      </c>
      <c r="D1096" s="20" t="s">
        <v>53</v>
      </c>
      <c r="E1096" s="21" t="str">
        <f t="shared" si="4"/>
        <v>NSE:VARDHACRLC</v>
      </c>
    </row>
    <row r="1097" ht="15.75" customHeight="1">
      <c r="A1097" s="30">
        <v>45488.0</v>
      </c>
      <c r="B1097" s="20" t="s">
        <v>176</v>
      </c>
      <c r="C1097" s="20" t="s">
        <v>13</v>
      </c>
      <c r="D1097" s="20" t="s">
        <v>177</v>
      </c>
      <c r="E1097" s="21" t="str">
        <f t="shared" si="4"/>
        <v>NSE:NIFTY</v>
      </c>
    </row>
    <row r="1098" ht="15.75" customHeight="1">
      <c r="A1098" s="30">
        <v>45488.0</v>
      </c>
      <c r="B1098" s="20" t="s">
        <v>795</v>
      </c>
      <c r="C1098" s="20" t="s">
        <v>16</v>
      </c>
      <c r="D1098" s="20" t="s">
        <v>25</v>
      </c>
      <c r="E1098" s="21" t="str">
        <f t="shared" si="4"/>
        <v>NSE:RATNAVEER</v>
      </c>
    </row>
    <row r="1099" ht="15.75" customHeight="1">
      <c r="A1099" s="30">
        <v>45488.0</v>
      </c>
      <c r="B1099" s="20" t="s">
        <v>363</v>
      </c>
      <c r="C1099" s="20" t="s">
        <v>13</v>
      </c>
      <c r="D1099" s="20" t="s">
        <v>14</v>
      </c>
      <c r="E1099" s="21" t="str">
        <f t="shared" si="4"/>
        <v>NSE:AUROPHARMA</v>
      </c>
    </row>
    <row r="1100" ht="15.75" customHeight="1">
      <c r="A1100" s="30">
        <v>45488.0</v>
      </c>
      <c r="B1100" s="20" t="s">
        <v>179</v>
      </c>
      <c r="C1100" s="20" t="s">
        <v>21</v>
      </c>
      <c r="D1100" s="20" t="s">
        <v>31</v>
      </c>
      <c r="E1100" s="21" t="str">
        <f t="shared" si="4"/>
        <v>NSE:GODREJAGRO</v>
      </c>
    </row>
    <row r="1101" ht="15.75" customHeight="1">
      <c r="A1101" s="30">
        <v>45488.0</v>
      </c>
      <c r="B1101" s="20" t="s">
        <v>796</v>
      </c>
      <c r="C1101" s="20" t="s">
        <v>16</v>
      </c>
      <c r="D1101" s="20" t="s">
        <v>37</v>
      </c>
      <c r="E1101" s="21" t="str">
        <f t="shared" si="4"/>
        <v>NSE:IRIS</v>
      </c>
    </row>
    <row r="1102" ht="15.75" customHeight="1">
      <c r="A1102" s="30">
        <v>45488.0</v>
      </c>
      <c r="B1102" s="20" t="s">
        <v>647</v>
      </c>
      <c r="C1102" s="20" t="s">
        <v>16</v>
      </c>
      <c r="D1102" s="20" t="s">
        <v>29</v>
      </c>
      <c r="E1102" s="21" t="str">
        <f t="shared" si="4"/>
        <v>NSE:GOPAL</v>
      </c>
    </row>
    <row r="1103" ht="15.75" customHeight="1">
      <c r="A1103" s="30">
        <v>45488.0</v>
      </c>
      <c r="B1103" s="20" t="s">
        <v>797</v>
      </c>
      <c r="C1103" s="20" t="s">
        <v>21</v>
      </c>
      <c r="D1103" s="20" t="s">
        <v>53</v>
      </c>
      <c r="E1103" s="21" t="str">
        <f t="shared" si="4"/>
        <v>NSE:JINDWORLD</v>
      </c>
    </row>
    <row r="1104" ht="15.75" customHeight="1">
      <c r="A1104" s="30">
        <v>45488.0</v>
      </c>
      <c r="B1104" s="20" t="s">
        <v>255</v>
      </c>
      <c r="C1104" s="20" t="s">
        <v>21</v>
      </c>
      <c r="D1104" s="20" t="s">
        <v>37</v>
      </c>
      <c r="E1104" s="21" t="str">
        <f t="shared" si="4"/>
        <v>NSE:ROUTE</v>
      </c>
    </row>
    <row r="1105" ht="15.75" customHeight="1">
      <c r="A1105" s="30">
        <v>45488.0</v>
      </c>
      <c r="B1105" s="20" t="s">
        <v>798</v>
      </c>
      <c r="C1105" s="20" t="s">
        <v>13</v>
      </c>
      <c r="D1105" s="20" t="s">
        <v>37</v>
      </c>
      <c r="E1105" s="21" t="str">
        <f t="shared" si="4"/>
        <v>NSE:HCLTECH</v>
      </c>
    </row>
    <row r="1106" ht="15.75" customHeight="1">
      <c r="A1106" s="30">
        <v>45488.0</v>
      </c>
      <c r="B1106" s="20" t="s">
        <v>399</v>
      </c>
      <c r="C1106" s="20" t="s">
        <v>13</v>
      </c>
      <c r="D1106" s="20" t="s">
        <v>14</v>
      </c>
      <c r="E1106" s="21" t="str">
        <f t="shared" si="4"/>
        <v>NSE:GLENMARK</v>
      </c>
    </row>
    <row r="1107" ht="15.75" customHeight="1">
      <c r="A1107" s="30">
        <v>45488.0</v>
      </c>
      <c r="B1107" s="20" t="s">
        <v>186</v>
      </c>
      <c r="C1107" s="20" t="s">
        <v>16</v>
      </c>
      <c r="D1107" s="20" t="s">
        <v>14</v>
      </c>
      <c r="E1107" s="21" t="str">
        <f t="shared" si="4"/>
        <v>NSE:INDSWFTLAB</v>
      </c>
    </row>
    <row r="1108" ht="15.75" customHeight="1">
      <c r="A1108" s="30">
        <v>45488.0</v>
      </c>
      <c r="B1108" s="20" t="s">
        <v>520</v>
      </c>
      <c r="C1108" s="20" t="s">
        <v>16</v>
      </c>
      <c r="D1108" s="20" t="s">
        <v>37</v>
      </c>
      <c r="E1108" s="21" t="str">
        <f t="shared" si="4"/>
        <v>NSE:SUBEXLTD</v>
      </c>
    </row>
    <row r="1109" ht="15.75" customHeight="1">
      <c r="A1109" s="30">
        <v>45488.0</v>
      </c>
      <c r="B1109" s="20" t="s">
        <v>401</v>
      </c>
      <c r="C1109" s="20" t="s">
        <v>16</v>
      </c>
      <c r="D1109" s="20" t="s">
        <v>37</v>
      </c>
      <c r="E1109" s="21" t="str">
        <f t="shared" si="4"/>
        <v>NSE:RAMCOSYS</v>
      </c>
    </row>
    <row r="1110" ht="15.75" customHeight="1">
      <c r="A1110" s="30">
        <v>45488.0</v>
      </c>
      <c r="B1110" s="20" t="s">
        <v>284</v>
      </c>
      <c r="C1110" s="20" t="s">
        <v>13</v>
      </c>
      <c r="D1110" s="20" t="s">
        <v>27</v>
      </c>
      <c r="E1110" s="21" t="str">
        <f t="shared" si="4"/>
        <v>NSE:PETRONET</v>
      </c>
    </row>
    <row r="1111" ht="15.75" customHeight="1">
      <c r="A1111" s="30">
        <v>45488.0</v>
      </c>
      <c r="B1111" s="20" t="s">
        <v>799</v>
      </c>
      <c r="C1111" s="20" t="s">
        <v>13</v>
      </c>
      <c r="D1111" s="20" t="s">
        <v>37</v>
      </c>
      <c r="E1111" s="21" t="str">
        <f t="shared" si="4"/>
        <v>NSE:COFORGE</v>
      </c>
    </row>
    <row r="1112" ht="15.75" customHeight="1">
      <c r="A1112" s="30">
        <v>45488.0</v>
      </c>
      <c r="B1112" s="20" t="s">
        <v>410</v>
      </c>
      <c r="C1112" s="20" t="s">
        <v>16</v>
      </c>
      <c r="D1112" s="20" t="s">
        <v>53</v>
      </c>
      <c r="E1112" s="21" t="str">
        <f t="shared" si="4"/>
        <v>NSE:NITINSPIN</v>
      </c>
    </row>
    <row r="1113" ht="15.75" customHeight="1">
      <c r="A1113" s="30">
        <v>45488.0</v>
      </c>
      <c r="B1113" s="20" t="s">
        <v>658</v>
      </c>
      <c r="C1113" s="20" t="s">
        <v>16</v>
      </c>
      <c r="D1113" s="20" t="s">
        <v>22</v>
      </c>
      <c r="E1113" s="21" t="str">
        <f t="shared" si="4"/>
        <v>NSE:BLKASHYAP</v>
      </c>
    </row>
    <row r="1114" ht="15.75" customHeight="1">
      <c r="A1114" s="30">
        <v>45488.0</v>
      </c>
      <c r="B1114" s="20" t="s">
        <v>800</v>
      </c>
      <c r="C1114" s="20" t="s">
        <v>16</v>
      </c>
      <c r="D1114" s="20" t="s">
        <v>29</v>
      </c>
      <c r="E1114" s="21" t="str">
        <f t="shared" si="4"/>
        <v>NSE:PGIL</v>
      </c>
    </row>
    <row r="1115" ht="15.75" customHeight="1">
      <c r="A1115" s="30">
        <v>45488.0</v>
      </c>
      <c r="B1115" s="20" t="s">
        <v>145</v>
      </c>
      <c r="C1115" s="20" t="s">
        <v>16</v>
      </c>
      <c r="D1115" s="20" t="s">
        <v>37</v>
      </c>
      <c r="E1115" s="21" t="str">
        <f t="shared" si="4"/>
        <v>NSE:ADSL</v>
      </c>
    </row>
    <row r="1116" ht="15.75" customHeight="1">
      <c r="A1116" s="30">
        <v>45488.0</v>
      </c>
      <c r="B1116" s="20" t="s">
        <v>732</v>
      </c>
      <c r="C1116" s="20" t="s">
        <v>16</v>
      </c>
      <c r="D1116" s="20" t="s">
        <v>14</v>
      </c>
      <c r="E1116" s="21" t="str">
        <f t="shared" si="4"/>
        <v>NSE:RPGLIFE</v>
      </c>
    </row>
    <row r="1117" ht="15.75" customHeight="1">
      <c r="A1117" s="30">
        <v>45488.0</v>
      </c>
      <c r="B1117" s="20" t="s">
        <v>534</v>
      </c>
      <c r="C1117" s="20" t="s">
        <v>16</v>
      </c>
      <c r="D1117" s="20" t="s">
        <v>156</v>
      </c>
      <c r="E1117" s="21" t="str">
        <f t="shared" si="4"/>
        <v>NSE:HATHWAY</v>
      </c>
    </row>
    <row r="1118" ht="15.75" customHeight="1">
      <c r="A1118" s="30">
        <v>45488.0</v>
      </c>
      <c r="B1118" s="20" t="s">
        <v>424</v>
      </c>
      <c r="C1118" s="20" t="s">
        <v>16</v>
      </c>
      <c r="D1118" s="20" t="s">
        <v>29</v>
      </c>
      <c r="E1118" s="21" t="str">
        <f t="shared" si="4"/>
        <v>NSE:BAJAJCON</v>
      </c>
    </row>
    <row r="1119" ht="15.75" customHeight="1">
      <c r="A1119" s="30">
        <v>45488.0</v>
      </c>
      <c r="B1119" s="20" t="s">
        <v>432</v>
      </c>
      <c r="C1119" s="20" t="s">
        <v>21</v>
      </c>
      <c r="D1119" s="20" t="s">
        <v>39</v>
      </c>
      <c r="E1119" s="21" t="str">
        <f t="shared" si="4"/>
        <v>NSE:HOMEFIRST</v>
      </c>
    </row>
    <row r="1120" ht="15.75" customHeight="1">
      <c r="A1120" s="30">
        <v>45488.0</v>
      </c>
      <c r="B1120" s="20" t="s">
        <v>436</v>
      </c>
      <c r="C1120" s="20" t="s">
        <v>21</v>
      </c>
      <c r="D1120" s="20" t="s">
        <v>29</v>
      </c>
      <c r="E1120" s="21" t="str">
        <f t="shared" si="4"/>
        <v>NSE:DODLA</v>
      </c>
    </row>
    <row r="1121" ht="15.75" customHeight="1">
      <c r="A1121" s="30">
        <v>45488.0</v>
      </c>
      <c r="B1121" s="20" t="s">
        <v>801</v>
      </c>
      <c r="C1121" s="20" t="s">
        <v>13</v>
      </c>
      <c r="D1121" s="20" t="s">
        <v>107</v>
      </c>
      <c r="E1121" s="21" t="str">
        <f t="shared" si="4"/>
        <v>NSE:DEVYANI</v>
      </c>
    </row>
    <row r="1122" ht="15.75" customHeight="1">
      <c r="A1122" s="30">
        <v>45488.0</v>
      </c>
      <c r="B1122" s="20" t="s">
        <v>802</v>
      </c>
      <c r="C1122" s="20" t="s">
        <v>13</v>
      </c>
      <c r="D1122" s="20" t="s">
        <v>31</v>
      </c>
      <c r="E1122" s="21" t="str">
        <f t="shared" si="4"/>
        <v>NSE:ADANIENSOL</v>
      </c>
    </row>
    <row r="1123" ht="15.75" customHeight="1">
      <c r="A1123" s="30">
        <v>45488.0</v>
      </c>
      <c r="B1123" s="20" t="s">
        <v>803</v>
      </c>
      <c r="C1123" s="20" t="s">
        <v>13</v>
      </c>
      <c r="D1123" s="20" t="s">
        <v>14</v>
      </c>
      <c r="E1123" s="21" t="str">
        <f t="shared" si="4"/>
        <v>NSE:ALKEM</v>
      </c>
    </row>
    <row r="1124" ht="15.75" customHeight="1">
      <c r="A1124" s="30">
        <v>45488.0</v>
      </c>
      <c r="B1124" s="20" t="s">
        <v>804</v>
      </c>
      <c r="C1124" s="20" t="s">
        <v>13</v>
      </c>
      <c r="D1124" s="20" t="s">
        <v>14</v>
      </c>
      <c r="E1124" s="21" t="str">
        <f t="shared" si="4"/>
        <v>NSE:LALPATHLAB</v>
      </c>
    </row>
    <row r="1125" ht="15.75" customHeight="1">
      <c r="A1125" s="30">
        <v>45488.0</v>
      </c>
      <c r="B1125" s="20" t="s">
        <v>805</v>
      </c>
      <c r="C1125" s="20" t="s">
        <v>21</v>
      </c>
      <c r="D1125" s="20" t="s">
        <v>39</v>
      </c>
      <c r="E1125" s="21" t="str">
        <f t="shared" si="4"/>
        <v>NSE:PILANIINVS</v>
      </c>
    </row>
    <row r="1126" ht="15.75" customHeight="1">
      <c r="A1126" s="30">
        <v>45488.0</v>
      </c>
      <c r="B1126" s="20" t="s">
        <v>806</v>
      </c>
      <c r="C1126" s="20" t="s">
        <v>21</v>
      </c>
      <c r="D1126" s="20" t="s">
        <v>27</v>
      </c>
      <c r="E1126" s="21" t="str">
        <f t="shared" si="4"/>
        <v>NSE:MGL</v>
      </c>
    </row>
    <row r="1127" ht="15.75" customHeight="1">
      <c r="A1127" s="30">
        <v>45488.0</v>
      </c>
      <c r="B1127" s="20" t="s">
        <v>674</v>
      </c>
      <c r="C1127" s="20" t="s">
        <v>16</v>
      </c>
      <c r="D1127" s="20" t="s">
        <v>53</v>
      </c>
      <c r="E1127" s="21" t="str">
        <f t="shared" si="4"/>
        <v>NSE:SPAL</v>
      </c>
    </row>
    <row r="1128" ht="15.75" customHeight="1">
      <c r="A1128" s="30">
        <v>45489.0</v>
      </c>
      <c r="B1128" s="20" t="s">
        <v>266</v>
      </c>
      <c r="C1128" s="20" t="s">
        <v>21</v>
      </c>
      <c r="D1128" s="20" t="s">
        <v>14</v>
      </c>
      <c r="E1128" s="21" t="str">
        <f t="shared" si="4"/>
        <v>NSE:PGHL</v>
      </c>
    </row>
    <row r="1129" ht="15.75" customHeight="1">
      <c r="A1129" s="30">
        <v>45489.0</v>
      </c>
      <c r="B1129" s="20" t="s">
        <v>807</v>
      </c>
      <c r="C1129" s="20" t="s">
        <v>16</v>
      </c>
      <c r="D1129" s="20" t="s">
        <v>17</v>
      </c>
      <c r="E1129" s="21" t="str">
        <f t="shared" si="4"/>
        <v>NSE:LGBBROSLTD</v>
      </c>
    </row>
    <row r="1130" ht="15.75" customHeight="1">
      <c r="A1130" s="30">
        <v>45489.0</v>
      </c>
      <c r="B1130" s="20" t="s">
        <v>463</v>
      </c>
      <c r="C1130" s="20" t="s">
        <v>13</v>
      </c>
      <c r="D1130" s="20" t="s">
        <v>14</v>
      </c>
      <c r="E1130" s="21" t="str">
        <f t="shared" si="4"/>
        <v>NSE:TORNTPHARM</v>
      </c>
    </row>
    <row r="1131" ht="15.75" customHeight="1">
      <c r="A1131" s="30">
        <v>45489.0</v>
      </c>
      <c r="B1131" s="20" t="s">
        <v>808</v>
      </c>
      <c r="C1131" s="20" t="s">
        <v>13</v>
      </c>
      <c r="D1131" s="20" t="s">
        <v>14</v>
      </c>
      <c r="E1131" s="21" t="str">
        <f t="shared" si="4"/>
        <v>NSE:PFIZER</v>
      </c>
    </row>
    <row r="1132" ht="15.75" customHeight="1">
      <c r="A1132" s="30">
        <v>45489.0</v>
      </c>
      <c r="B1132" s="20" t="s">
        <v>770</v>
      </c>
      <c r="C1132" s="20" t="s">
        <v>16</v>
      </c>
      <c r="D1132" s="20" t="s">
        <v>27</v>
      </c>
      <c r="E1132" s="21" t="str">
        <f t="shared" si="4"/>
        <v>NSE:TNPETRO</v>
      </c>
    </row>
    <row r="1133" ht="15.75" customHeight="1">
      <c r="A1133" s="30">
        <v>45489.0</v>
      </c>
      <c r="B1133" s="20" t="s">
        <v>133</v>
      </c>
      <c r="C1133" s="20" t="s">
        <v>16</v>
      </c>
      <c r="D1133" s="20" t="s">
        <v>27</v>
      </c>
      <c r="E1133" s="21" t="str">
        <f t="shared" si="4"/>
        <v>NSE:BOROLTD</v>
      </c>
    </row>
    <row r="1134" ht="15.75" customHeight="1">
      <c r="A1134" s="30">
        <v>45489.0</v>
      </c>
      <c r="B1134" s="20" t="s">
        <v>566</v>
      </c>
      <c r="C1134" s="20" t="s">
        <v>13</v>
      </c>
      <c r="D1134" s="20" t="s">
        <v>22</v>
      </c>
      <c r="E1134" s="21" t="str">
        <f t="shared" si="4"/>
        <v>NSE:PHOENIXLTD</v>
      </c>
    </row>
    <row r="1135" ht="15.75" customHeight="1">
      <c r="A1135" s="30">
        <v>45489.0</v>
      </c>
      <c r="B1135" s="20" t="s">
        <v>271</v>
      </c>
      <c r="C1135" s="20" t="s">
        <v>13</v>
      </c>
      <c r="D1135" s="20" t="s">
        <v>39</v>
      </c>
      <c r="E1135" s="21" t="str">
        <f t="shared" si="4"/>
        <v>NSE:CHOLAHLDNG</v>
      </c>
    </row>
    <row r="1136" ht="15.75" customHeight="1">
      <c r="A1136" s="30">
        <v>45489.0</v>
      </c>
      <c r="B1136" s="20" t="s">
        <v>273</v>
      </c>
      <c r="C1136" s="20" t="s">
        <v>16</v>
      </c>
      <c r="D1136" s="20" t="s">
        <v>64</v>
      </c>
      <c r="E1136" s="21" t="str">
        <f t="shared" si="4"/>
        <v>NSE:STYRENIX</v>
      </c>
    </row>
    <row r="1137" ht="15.75" customHeight="1">
      <c r="A1137" s="30">
        <v>45489.0</v>
      </c>
      <c r="B1137" s="20" t="s">
        <v>809</v>
      </c>
      <c r="C1137" s="20" t="s">
        <v>16</v>
      </c>
      <c r="D1137" s="20" t="s">
        <v>27</v>
      </c>
      <c r="E1137" s="21" t="str">
        <f t="shared" si="4"/>
        <v>NSE:HEUBACHIND</v>
      </c>
    </row>
    <row r="1138" ht="15.75" customHeight="1">
      <c r="A1138" s="30">
        <v>45489.0</v>
      </c>
      <c r="B1138" s="20" t="s">
        <v>338</v>
      </c>
      <c r="C1138" s="20" t="s">
        <v>16</v>
      </c>
      <c r="D1138" s="20" t="s">
        <v>55</v>
      </c>
      <c r="E1138" s="21" t="str">
        <f t="shared" si="4"/>
        <v>NSE:ARIHANTCAP</v>
      </c>
    </row>
    <row r="1139" ht="15.75" customHeight="1">
      <c r="A1139" s="30">
        <v>45489.0</v>
      </c>
      <c r="B1139" s="20" t="s">
        <v>718</v>
      </c>
      <c r="C1139" s="20" t="s">
        <v>21</v>
      </c>
      <c r="D1139" s="20" t="s">
        <v>27</v>
      </c>
      <c r="E1139" s="21" t="str">
        <f t="shared" si="4"/>
        <v>NSE:PARADEEP</v>
      </c>
    </row>
    <row r="1140" ht="15.75" customHeight="1">
      <c r="A1140" s="30">
        <v>45489.0</v>
      </c>
      <c r="B1140" s="20" t="s">
        <v>349</v>
      </c>
      <c r="C1140" s="20" t="s">
        <v>16</v>
      </c>
      <c r="D1140" s="20" t="s">
        <v>22</v>
      </c>
      <c r="E1140" s="21" t="str">
        <f t="shared" si="4"/>
        <v>NSE:VINDHYATEL</v>
      </c>
    </row>
    <row r="1141" ht="15.75" customHeight="1">
      <c r="A1141" s="30">
        <v>45489.0</v>
      </c>
      <c r="B1141" s="20" t="s">
        <v>810</v>
      </c>
      <c r="C1141" s="20" t="s">
        <v>16</v>
      </c>
      <c r="D1141" s="20" t="s">
        <v>29</v>
      </c>
      <c r="E1141" s="21" t="str">
        <f t="shared" si="4"/>
        <v>NSE:BUTTERFLY</v>
      </c>
    </row>
    <row r="1142" ht="15.75" customHeight="1">
      <c r="A1142" s="30">
        <v>45489.0</v>
      </c>
      <c r="B1142" s="20" t="s">
        <v>772</v>
      </c>
      <c r="C1142" s="20" t="s">
        <v>16</v>
      </c>
      <c r="D1142" s="20" t="s">
        <v>55</v>
      </c>
      <c r="E1142" s="21" t="str">
        <f t="shared" si="4"/>
        <v>NSE:SHREYAS</v>
      </c>
    </row>
    <row r="1143" ht="15.75" customHeight="1">
      <c r="A1143" s="30">
        <v>45489.0</v>
      </c>
      <c r="B1143" s="20" t="s">
        <v>811</v>
      </c>
      <c r="C1143" s="20" t="s">
        <v>21</v>
      </c>
      <c r="D1143" s="20" t="s">
        <v>39</v>
      </c>
      <c r="E1143" s="21" t="str">
        <f t="shared" si="4"/>
        <v>NSE:JMFINANCIL</v>
      </c>
    </row>
    <row r="1144" ht="15.75" customHeight="1">
      <c r="A1144" s="30">
        <v>45489.0</v>
      </c>
      <c r="B1144" s="20" t="s">
        <v>491</v>
      </c>
      <c r="C1144" s="20" t="s">
        <v>16</v>
      </c>
      <c r="D1144" s="20" t="s">
        <v>27</v>
      </c>
      <c r="E1144" s="21" t="str">
        <f t="shared" si="4"/>
        <v>NSE:INDOBORAX</v>
      </c>
    </row>
    <row r="1145" ht="15.75" customHeight="1">
      <c r="A1145" s="30">
        <v>45489.0</v>
      </c>
      <c r="B1145" s="20" t="s">
        <v>492</v>
      </c>
      <c r="C1145" s="20" t="s">
        <v>16</v>
      </c>
      <c r="D1145" s="20" t="s">
        <v>14</v>
      </c>
      <c r="E1145" s="21" t="str">
        <f t="shared" si="4"/>
        <v>NSE:VIMTALABS</v>
      </c>
    </row>
    <row r="1146" ht="15.75" customHeight="1">
      <c r="A1146" s="30">
        <v>45489.0</v>
      </c>
      <c r="B1146" s="20" t="s">
        <v>493</v>
      </c>
      <c r="C1146" s="20" t="s">
        <v>16</v>
      </c>
      <c r="D1146" s="20" t="s">
        <v>31</v>
      </c>
      <c r="E1146" s="21" t="str">
        <f t="shared" si="4"/>
        <v>NSE:SUKHJITS</v>
      </c>
    </row>
    <row r="1147" ht="15.75" customHeight="1">
      <c r="A1147" s="30">
        <v>45489.0</v>
      </c>
      <c r="B1147" s="20" t="s">
        <v>589</v>
      </c>
      <c r="C1147" s="20" t="s">
        <v>21</v>
      </c>
      <c r="D1147" s="20" t="s">
        <v>55</v>
      </c>
      <c r="E1147" s="21" t="str">
        <f t="shared" si="4"/>
        <v>NSE:TVSSCS</v>
      </c>
    </row>
    <row r="1148" ht="15.75" customHeight="1">
      <c r="A1148" s="30">
        <v>45489.0</v>
      </c>
      <c r="B1148" s="20" t="s">
        <v>812</v>
      </c>
      <c r="C1148" s="20" t="s">
        <v>16</v>
      </c>
      <c r="D1148" s="20" t="s">
        <v>27</v>
      </c>
      <c r="E1148" s="21" t="str">
        <f t="shared" si="4"/>
        <v>NSE:INDOAMIN</v>
      </c>
    </row>
    <row r="1149" ht="15.75" customHeight="1">
      <c r="A1149" s="30">
        <v>45489.0</v>
      </c>
      <c r="B1149" s="20" t="s">
        <v>597</v>
      </c>
      <c r="C1149" s="20" t="s">
        <v>21</v>
      </c>
      <c r="D1149" s="20" t="s">
        <v>31</v>
      </c>
      <c r="E1149" s="21" t="str">
        <f t="shared" si="4"/>
        <v>NSE:MAXESTATES</v>
      </c>
    </row>
    <row r="1150" ht="15.75" customHeight="1">
      <c r="A1150" s="30">
        <v>45489.0</v>
      </c>
      <c r="B1150" s="20" t="s">
        <v>498</v>
      </c>
      <c r="C1150" s="20" t="s">
        <v>13</v>
      </c>
      <c r="D1150" s="20" t="s">
        <v>55</v>
      </c>
      <c r="E1150" s="21" t="str">
        <f t="shared" si="4"/>
        <v>NSE:CELLO</v>
      </c>
    </row>
    <row r="1151" ht="15.75" customHeight="1">
      <c r="A1151" s="30">
        <v>45489.0</v>
      </c>
      <c r="B1151" s="20" t="s">
        <v>509</v>
      </c>
      <c r="C1151" s="20" t="s">
        <v>16</v>
      </c>
      <c r="D1151" s="20" t="s">
        <v>55</v>
      </c>
      <c r="E1151" s="21" t="str">
        <f t="shared" si="4"/>
        <v>NSE:SIRCA</v>
      </c>
    </row>
    <row r="1152" ht="15.75" customHeight="1">
      <c r="A1152" s="30">
        <v>45489.0</v>
      </c>
      <c r="B1152" s="20" t="s">
        <v>253</v>
      </c>
      <c r="C1152" s="20" t="s">
        <v>13</v>
      </c>
      <c r="D1152" s="20" t="s">
        <v>14</v>
      </c>
      <c r="E1152" s="21" t="str">
        <f t="shared" si="4"/>
        <v>NSE:SUVENPHAR</v>
      </c>
    </row>
    <row r="1153" ht="15.75" customHeight="1">
      <c r="A1153" s="30">
        <v>45489.0</v>
      </c>
      <c r="B1153" s="20" t="s">
        <v>516</v>
      </c>
      <c r="C1153" s="20" t="s">
        <v>13</v>
      </c>
      <c r="D1153" s="20" t="s">
        <v>373</v>
      </c>
      <c r="E1153" s="21" t="str">
        <f t="shared" si="4"/>
        <v>NSE:CAMS</v>
      </c>
    </row>
    <row r="1154" ht="15.75" customHeight="1">
      <c r="A1154" s="30">
        <v>45489.0</v>
      </c>
      <c r="B1154" s="20" t="s">
        <v>258</v>
      </c>
      <c r="C1154" s="20" t="s">
        <v>13</v>
      </c>
      <c r="D1154" s="20" t="s">
        <v>27</v>
      </c>
      <c r="E1154" s="21" t="str">
        <f t="shared" si="4"/>
        <v>NSE:IGL</v>
      </c>
    </row>
    <row r="1155" ht="15.75" customHeight="1">
      <c r="A1155" s="30">
        <v>45489.0</v>
      </c>
      <c r="B1155" s="20" t="s">
        <v>813</v>
      </c>
      <c r="C1155" s="20" t="s">
        <v>16</v>
      </c>
      <c r="D1155" s="20" t="s">
        <v>37</v>
      </c>
      <c r="E1155" s="21" t="str">
        <f t="shared" si="4"/>
        <v>NSE:DATAMATICS</v>
      </c>
    </row>
    <row r="1156" ht="15.75" customHeight="1">
      <c r="A1156" s="30">
        <v>45489.0</v>
      </c>
      <c r="B1156" s="20" t="s">
        <v>409</v>
      </c>
      <c r="C1156" s="20" t="s">
        <v>16</v>
      </c>
      <c r="D1156" s="20" t="s">
        <v>55</v>
      </c>
      <c r="E1156" s="21" t="str">
        <f t="shared" si="4"/>
        <v>NSE:EKC</v>
      </c>
    </row>
    <row r="1157" ht="15.75" customHeight="1">
      <c r="A1157" s="30">
        <v>45489.0</v>
      </c>
      <c r="B1157" s="20" t="s">
        <v>287</v>
      </c>
      <c r="C1157" s="20" t="s">
        <v>16</v>
      </c>
      <c r="D1157" s="20" t="s">
        <v>53</v>
      </c>
      <c r="E1157" s="21" t="str">
        <f t="shared" si="4"/>
        <v>NSE:SUTLEJTEX</v>
      </c>
    </row>
    <row r="1158" ht="15.75" customHeight="1">
      <c r="A1158" s="30">
        <v>45489.0</v>
      </c>
      <c r="B1158" s="20" t="s">
        <v>814</v>
      </c>
      <c r="C1158" s="20" t="s">
        <v>16</v>
      </c>
      <c r="D1158" s="20" t="s">
        <v>22</v>
      </c>
      <c r="E1158" s="21" t="str">
        <f t="shared" si="4"/>
        <v>NSE:HUBTOWN</v>
      </c>
    </row>
    <row r="1159" ht="15.75" customHeight="1">
      <c r="A1159" s="30">
        <v>45489.0</v>
      </c>
      <c r="B1159" s="20" t="s">
        <v>815</v>
      </c>
      <c r="C1159" s="20" t="s">
        <v>16</v>
      </c>
      <c r="D1159" s="20" t="s">
        <v>29</v>
      </c>
      <c r="E1159" s="21" t="str">
        <f t="shared" si="4"/>
        <v>NSE:MICEL</v>
      </c>
    </row>
    <row r="1160" ht="15.75" customHeight="1">
      <c r="A1160" s="30">
        <v>45489.0</v>
      </c>
      <c r="B1160" s="20" t="s">
        <v>662</v>
      </c>
      <c r="C1160" s="20" t="s">
        <v>16</v>
      </c>
      <c r="D1160" s="20" t="s">
        <v>27</v>
      </c>
      <c r="E1160" s="21" t="str">
        <f t="shared" si="4"/>
        <v>NSE:INSECTICID</v>
      </c>
    </row>
    <row r="1161" ht="15.75" customHeight="1">
      <c r="A1161" s="30">
        <v>45489.0</v>
      </c>
      <c r="B1161" s="20" t="s">
        <v>420</v>
      </c>
      <c r="C1161" s="20" t="s">
        <v>16</v>
      </c>
      <c r="D1161" s="20" t="s">
        <v>39</v>
      </c>
      <c r="E1161" s="21" t="str">
        <f t="shared" si="4"/>
        <v>NSE:NAHARCAP</v>
      </c>
    </row>
    <row r="1162" ht="15.75" customHeight="1">
      <c r="A1162" s="30">
        <v>45489.0</v>
      </c>
      <c r="B1162" s="20" t="s">
        <v>149</v>
      </c>
      <c r="C1162" s="20" t="s">
        <v>13</v>
      </c>
      <c r="D1162" s="20" t="s">
        <v>22</v>
      </c>
      <c r="E1162" s="21" t="str">
        <f t="shared" si="4"/>
        <v>NSE:GODREJPROP</v>
      </c>
    </row>
    <row r="1163" ht="15.75" customHeight="1">
      <c r="A1163" s="30">
        <v>45489.0</v>
      </c>
      <c r="B1163" s="20" t="s">
        <v>779</v>
      </c>
      <c r="C1163" s="20" t="s">
        <v>16</v>
      </c>
      <c r="D1163" s="20" t="s">
        <v>29</v>
      </c>
      <c r="E1163" s="21" t="str">
        <f t="shared" si="4"/>
        <v>NSE:KECL</v>
      </c>
    </row>
    <row r="1164" ht="15.75" customHeight="1">
      <c r="A1164" s="30">
        <v>45489.0</v>
      </c>
      <c r="B1164" s="20" t="s">
        <v>430</v>
      </c>
      <c r="C1164" s="20" t="s">
        <v>13</v>
      </c>
      <c r="D1164" s="20" t="s">
        <v>14</v>
      </c>
      <c r="E1164" s="21" t="str">
        <f t="shared" si="4"/>
        <v>NSE:APLLTD</v>
      </c>
    </row>
    <row r="1165" ht="15.75" customHeight="1">
      <c r="A1165" s="30">
        <v>45489.0</v>
      </c>
      <c r="B1165" s="20" t="s">
        <v>708</v>
      </c>
      <c r="C1165" s="20" t="s">
        <v>16</v>
      </c>
      <c r="D1165" s="20" t="s">
        <v>31</v>
      </c>
      <c r="E1165" s="21" t="str">
        <f t="shared" si="4"/>
        <v>NSE:AWHCL</v>
      </c>
    </row>
    <row r="1166" ht="15.75" customHeight="1">
      <c r="A1166" s="30">
        <v>45489.0</v>
      </c>
      <c r="B1166" s="20" t="s">
        <v>155</v>
      </c>
      <c r="C1166" s="20" t="s">
        <v>13</v>
      </c>
      <c r="D1166" s="20" t="s">
        <v>156</v>
      </c>
      <c r="E1166" s="21" t="str">
        <f t="shared" si="4"/>
        <v>NSE:INDUSTOWER</v>
      </c>
    </row>
    <row r="1167" ht="15.75" customHeight="1">
      <c r="A1167" s="30">
        <v>45489.0</v>
      </c>
      <c r="B1167" s="20" t="s">
        <v>668</v>
      </c>
      <c r="C1167" s="20" t="s">
        <v>16</v>
      </c>
      <c r="D1167" s="20" t="s">
        <v>27</v>
      </c>
      <c r="E1167" s="21" t="str">
        <f t="shared" si="4"/>
        <v>NSE:TATVA</v>
      </c>
    </row>
    <row r="1168" ht="15.75" customHeight="1">
      <c r="A1168" s="30">
        <v>45489.0</v>
      </c>
      <c r="B1168" s="20" t="s">
        <v>263</v>
      </c>
      <c r="C1168" s="20" t="s">
        <v>13</v>
      </c>
      <c r="D1168" s="20" t="s">
        <v>55</v>
      </c>
      <c r="E1168" s="21" t="str">
        <f t="shared" si="4"/>
        <v>NSE:STARHEALTH</v>
      </c>
    </row>
    <row r="1169" ht="15.75" customHeight="1">
      <c r="A1169" s="30">
        <v>45489.0</v>
      </c>
      <c r="B1169" s="20" t="s">
        <v>444</v>
      </c>
      <c r="C1169" s="20" t="s">
        <v>13</v>
      </c>
      <c r="D1169" s="20" t="s">
        <v>14</v>
      </c>
      <c r="E1169" s="21" t="str">
        <f t="shared" si="4"/>
        <v>NSE:SYNGENE</v>
      </c>
    </row>
    <row r="1170" ht="15.75" customHeight="1">
      <c r="A1170" s="30">
        <v>45491.0</v>
      </c>
      <c r="B1170" s="20" t="s">
        <v>301</v>
      </c>
      <c r="C1170" s="20" t="s">
        <v>16</v>
      </c>
      <c r="D1170" s="20" t="s">
        <v>27</v>
      </c>
      <c r="E1170" s="21" t="str">
        <f t="shared" si="4"/>
        <v>NSE:OAL</v>
      </c>
    </row>
    <row r="1171" ht="15.75" customHeight="1">
      <c r="A1171" s="30">
        <v>45491.0</v>
      </c>
      <c r="B1171" s="20" t="s">
        <v>816</v>
      </c>
      <c r="C1171" s="20" t="s">
        <v>13</v>
      </c>
      <c r="D1171" s="20" t="s">
        <v>29</v>
      </c>
      <c r="E1171" s="21" t="str">
        <f t="shared" si="4"/>
        <v>NSE:PGHH</v>
      </c>
    </row>
    <row r="1172" ht="15.75" customHeight="1">
      <c r="A1172" s="30">
        <v>45491.0</v>
      </c>
      <c r="B1172" s="20" t="s">
        <v>817</v>
      </c>
      <c r="C1172" s="20" t="s">
        <v>16</v>
      </c>
      <c r="D1172" s="20" t="s">
        <v>29</v>
      </c>
      <c r="E1172" s="21" t="str">
        <f t="shared" si="4"/>
        <v>NSE:MODISONLTD</v>
      </c>
    </row>
    <row r="1173" ht="15.75" customHeight="1">
      <c r="A1173" s="30">
        <v>45491.0</v>
      </c>
      <c r="B1173" s="20" t="s">
        <v>742</v>
      </c>
      <c r="C1173" s="20" t="s">
        <v>21</v>
      </c>
      <c r="D1173" s="20" t="s">
        <v>373</v>
      </c>
      <c r="E1173" s="21" t="str">
        <f t="shared" si="4"/>
        <v>NSE:KFINTECH</v>
      </c>
    </row>
    <row r="1174" ht="15.75" customHeight="1">
      <c r="A1174" s="30">
        <v>45491.0</v>
      </c>
      <c r="B1174" s="20" t="s">
        <v>249</v>
      </c>
      <c r="C1174" s="20" t="s">
        <v>13</v>
      </c>
      <c r="D1174" s="20" t="s">
        <v>27</v>
      </c>
      <c r="E1174" s="21" t="str">
        <f t="shared" si="4"/>
        <v>NSE:PIIND</v>
      </c>
    </row>
    <row r="1175" ht="15.75" customHeight="1">
      <c r="A1175" s="30">
        <v>45491.0</v>
      </c>
      <c r="B1175" s="20" t="s">
        <v>818</v>
      </c>
      <c r="C1175" s="20" t="s">
        <v>16</v>
      </c>
      <c r="D1175" s="20" t="s">
        <v>29</v>
      </c>
      <c r="E1175" s="21" t="str">
        <f t="shared" si="4"/>
        <v>NSE:KINGFA</v>
      </c>
    </row>
    <row r="1176" ht="15.75" customHeight="1">
      <c r="A1176" s="30">
        <v>45491.0</v>
      </c>
      <c r="B1176" s="20" t="s">
        <v>721</v>
      </c>
      <c r="C1176" s="20" t="s">
        <v>21</v>
      </c>
      <c r="D1176" s="20" t="s">
        <v>14</v>
      </c>
      <c r="E1176" s="21" t="str">
        <f t="shared" si="4"/>
        <v>NSE:ORCHPHARMA</v>
      </c>
    </row>
    <row r="1177" ht="15.75" customHeight="1">
      <c r="A1177" s="30">
        <v>45491.0</v>
      </c>
      <c r="B1177" s="20" t="s">
        <v>593</v>
      </c>
      <c r="C1177" s="20" t="s">
        <v>16</v>
      </c>
      <c r="D1177" s="20" t="s">
        <v>31</v>
      </c>
      <c r="E1177" s="21" t="str">
        <f t="shared" si="4"/>
        <v>NSE:APEX</v>
      </c>
    </row>
    <row r="1178" ht="15.75" customHeight="1">
      <c r="A1178" s="30">
        <v>45491.0</v>
      </c>
      <c r="B1178" s="20" t="s">
        <v>371</v>
      </c>
      <c r="C1178" s="20" t="s">
        <v>13</v>
      </c>
      <c r="D1178" s="20" t="s">
        <v>55</v>
      </c>
      <c r="E1178" s="21" t="str">
        <f t="shared" si="4"/>
        <v>NSE:ICICIGI</v>
      </c>
    </row>
    <row r="1179" ht="15.75" customHeight="1">
      <c r="A1179" s="30">
        <v>45491.0</v>
      </c>
      <c r="B1179" s="20" t="s">
        <v>696</v>
      </c>
      <c r="C1179" s="20" t="s">
        <v>16</v>
      </c>
      <c r="D1179" s="20" t="s">
        <v>27</v>
      </c>
      <c r="E1179" s="21" t="str">
        <f t="shared" si="4"/>
        <v>NSE:NOVAAGRI</v>
      </c>
    </row>
    <row r="1180" ht="15.75" customHeight="1">
      <c r="A1180" s="30">
        <v>45491.0</v>
      </c>
      <c r="B1180" s="20" t="s">
        <v>506</v>
      </c>
      <c r="C1180" s="20" t="s">
        <v>16</v>
      </c>
      <c r="D1180" s="20" t="s">
        <v>14</v>
      </c>
      <c r="E1180" s="21" t="str">
        <f t="shared" si="4"/>
        <v>NSE:GPTHEALTH</v>
      </c>
    </row>
    <row r="1181" ht="15.75" customHeight="1">
      <c r="A1181" s="30">
        <v>45491.0</v>
      </c>
      <c r="B1181" s="20" t="s">
        <v>819</v>
      </c>
      <c r="C1181" s="20" t="s">
        <v>13</v>
      </c>
      <c r="D1181" s="20" t="s">
        <v>29</v>
      </c>
      <c r="E1181" s="21" t="str">
        <f t="shared" si="4"/>
        <v>NSE:EMAMILTD</v>
      </c>
    </row>
    <row r="1182" ht="15.75" customHeight="1">
      <c r="A1182" s="30">
        <v>45491.0</v>
      </c>
      <c r="B1182" s="20" t="s">
        <v>701</v>
      </c>
      <c r="C1182" s="20" t="s">
        <v>13</v>
      </c>
      <c r="D1182" s="20" t="s">
        <v>185</v>
      </c>
      <c r="E1182" s="21" t="str">
        <f t="shared" si="4"/>
        <v>NSE:ICICIBANK</v>
      </c>
    </row>
    <row r="1183" ht="15.75" customHeight="1">
      <c r="A1183" s="30">
        <v>45491.0</v>
      </c>
      <c r="B1183" s="20" t="s">
        <v>799</v>
      </c>
      <c r="C1183" s="20" t="s">
        <v>13</v>
      </c>
      <c r="D1183" s="20" t="s">
        <v>37</v>
      </c>
      <c r="E1183" s="21" t="str">
        <f t="shared" si="4"/>
        <v>NSE:COFORGE</v>
      </c>
    </row>
    <row r="1184" ht="15.75" customHeight="1">
      <c r="A1184" s="30">
        <v>45491.0</v>
      </c>
      <c r="B1184" s="20" t="s">
        <v>778</v>
      </c>
      <c r="C1184" s="20" t="s">
        <v>16</v>
      </c>
      <c r="D1184" s="20" t="s">
        <v>53</v>
      </c>
      <c r="E1184" s="21" t="str">
        <f t="shared" si="4"/>
        <v>NSE:NDL</v>
      </c>
    </row>
    <row r="1185" ht="15.75" customHeight="1">
      <c r="A1185" s="30">
        <v>45491.0</v>
      </c>
      <c r="B1185" s="20" t="s">
        <v>749</v>
      </c>
      <c r="C1185" s="20" t="s">
        <v>13</v>
      </c>
      <c r="D1185" s="20" t="s">
        <v>37</v>
      </c>
      <c r="E1185" s="21" t="str">
        <f t="shared" si="4"/>
        <v>NSE:NAUKRI</v>
      </c>
    </row>
    <row r="1186" ht="15.75" customHeight="1">
      <c r="A1186" s="30">
        <v>45491.0</v>
      </c>
      <c r="B1186" s="20" t="s">
        <v>820</v>
      </c>
      <c r="C1186" s="20" t="s">
        <v>16</v>
      </c>
      <c r="D1186" s="20" t="s">
        <v>17</v>
      </c>
      <c r="E1186" s="21" t="str">
        <f t="shared" si="4"/>
        <v>NSE:AUTOIND</v>
      </c>
    </row>
    <row r="1187" ht="15.75" customHeight="1">
      <c r="A1187" s="30">
        <v>45491.0</v>
      </c>
      <c r="B1187" s="20" t="s">
        <v>821</v>
      </c>
      <c r="C1187" s="20" t="s">
        <v>13</v>
      </c>
      <c r="D1187" s="20" t="s">
        <v>37</v>
      </c>
      <c r="E1187" s="21" t="str">
        <f t="shared" si="4"/>
        <v>NSE:PERSISTENT</v>
      </c>
    </row>
    <row r="1188" ht="15.75" customHeight="1">
      <c r="A1188" s="30">
        <v>45491.0</v>
      </c>
      <c r="B1188" s="20" t="s">
        <v>428</v>
      </c>
      <c r="C1188" s="20" t="s">
        <v>21</v>
      </c>
      <c r="D1188" s="20" t="s">
        <v>19</v>
      </c>
      <c r="E1188" s="21" t="str">
        <f t="shared" si="4"/>
        <v>NSE:ZENTEC</v>
      </c>
    </row>
    <row r="1189" ht="15.75" customHeight="1">
      <c r="A1189" s="30">
        <v>45491.0</v>
      </c>
      <c r="B1189" s="20" t="s">
        <v>707</v>
      </c>
      <c r="C1189" s="20" t="s">
        <v>13</v>
      </c>
      <c r="D1189" s="20" t="s">
        <v>39</v>
      </c>
      <c r="E1189" s="21" t="str">
        <f t="shared" si="4"/>
        <v>NSE:MUTHOOTFIN</v>
      </c>
    </row>
    <row r="1190" ht="15.75" customHeight="1">
      <c r="A1190" s="30">
        <v>45491.0</v>
      </c>
      <c r="B1190" s="20" t="s">
        <v>822</v>
      </c>
      <c r="C1190" s="20" t="s">
        <v>21</v>
      </c>
      <c r="D1190" s="20" t="s">
        <v>27</v>
      </c>
      <c r="E1190" s="21" t="str">
        <f t="shared" si="4"/>
        <v>NSE:ORIENTCEM</v>
      </c>
    </row>
    <row r="1191" ht="15.75" customHeight="1">
      <c r="A1191" s="30">
        <v>45491.0</v>
      </c>
      <c r="B1191" s="20" t="s">
        <v>158</v>
      </c>
      <c r="C1191" s="20" t="s">
        <v>16</v>
      </c>
      <c r="D1191" s="20" t="s">
        <v>39</v>
      </c>
      <c r="E1191" s="21" t="str">
        <f t="shared" si="4"/>
        <v>NSE:JPOLYINVST</v>
      </c>
    </row>
    <row r="1192" ht="15.75" customHeight="1">
      <c r="A1192" s="30">
        <v>45492.0</v>
      </c>
      <c r="B1192" s="20" t="s">
        <v>823</v>
      </c>
      <c r="C1192" s="20" t="s">
        <v>13</v>
      </c>
      <c r="D1192" s="20" t="s">
        <v>29</v>
      </c>
      <c r="E1192" s="21" t="str">
        <f t="shared" si="4"/>
        <v>NSE:PATANJALI</v>
      </c>
    </row>
    <row r="1193" ht="15.75" customHeight="1">
      <c r="A1193" s="30">
        <v>45492.0</v>
      </c>
      <c r="B1193" s="20" t="s">
        <v>824</v>
      </c>
      <c r="C1193" s="20" t="s">
        <v>21</v>
      </c>
      <c r="D1193" s="20" t="s">
        <v>29</v>
      </c>
      <c r="E1193" s="21" t="str">
        <f t="shared" si="4"/>
        <v>NSE:VSTIND</v>
      </c>
    </row>
    <row r="1194" ht="15.75" customHeight="1">
      <c r="A1194" s="30">
        <v>45492.0</v>
      </c>
      <c r="B1194" s="20" t="s">
        <v>350</v>
      </c>
      <c r="C1194" s="20" t="s">
        <v>16</v>
      </c>
      <c r="D1194" s="20" t="s">
        <v>17</v>
      </c>
      <c r="E1194" s="21" t="str">
        <f t="shared" si="4"/>
        <v>NSE:SUBROS</v>
      </c>
    </row>
    <row r="1195" ht="15.75" customHeight="1">
      <c r="A1195" s="30">
        <v>45492.0</v>
      </c>
      <c r="B1195" s="20" t="s">
        <v>825</v>
      </c>
      <c r="C1195" s="20" t="s">
        <v>21</v>
      </c>
      <c r="D1195" s="20" t="s">
        <v>22</v>
      </c>
      <c r="E1195" s="21" t="str">
        <f t="shared" si="4"/>
        <v>NSE:RUSTOMJEE</v>
      </c>
    </row>
    <row r="1196" ht="15.75" customHeight="1">
      <c r="A1196" s="30">
        <v>45492.0</v>
      </c>
      <c r="B1196" s="20" t="s">
        <v>278</v>
      </c>
      <c r="C1196" s="20" t="s">
        <v>16</v>
      </c>
      <c r="D1196" s="20" t="s">
        <v>37</v>
      </c>
      <c r="E1196" s="21" t="str">
        <f t="shared" si="4"/>
        <v>NSE:VLEGOV</v>
      </c>
    </row>
    <row r="1197" ht="15.75" customHeight="1">
      <c r="A1197" s="30">
        <v>45492.0</v>
      </c>
      <c r="B1197" s="20" t="s">
        <v>826</v>
      </c>
      <c r="C1197" s="20" t="s">
        <v>16</v>
      </c>
      <c r="D1197" s="20" t="s">
        <v>55</v>
      </c>
      <c r="E1197" s="21" t="str">
        <f t="shared" si="4"/>
        <v>NSE:WEALTH</v>
      </c>
    </row>
    <row r="1198" ht="15.75" customHeight="1">
      <c r="A1198" s="30">
        <v>45492.0</v>
      </c>
      <c r="B1198" s="20" t="s">
        <v>212</v>
      </c>
      <c r="C1198" s="20" t="s">
        <v>16</v>
      </c>
      <c r="D1198" s="20" t="s">
        <v>29</v>
      </c>
      <c r="E1198" s="21" t="str">
        <f t="shared" si="4"/>
        <v>NSE:EPACK</v>
      </c>
    </row>
    <row r="1199" ht="15.75" customHeight="1">
      <c r="A1199" s="30">
        <v>45492.0</v>
      </c>
      <c r="B1199" s="20" t="s">
        <v>657</v>
      </c>
      <c r="C1199" s="20" t="s">
        <v>13</v>
      </c>
      <c r="D1199" s="20" t="s">
        <v>27</v>
      </c>
      <c r="E1199" s="21" t="str">
        <f t="shared" si="4"/>
        <v>NSE:AIAENG</v>
      </c>
    </row>
    <row r="1200" ht="15.75" customHeight="1">
      <c r="A1200" s="30">
        <v>45492.0</v>
      </c>
      <c r="B1200" s="20" t="s">
        <v>622</v>
      </c>
      <c r="C1200" s="20" t="s">
        <v>16</v>
      </c>
      <c r="D1200" s="20" t="s">
        <v>55</v>
      </c>
      <c r="E1200" s="21" t="str">
        <f t="shared" si="4"/>
        <v>NSE:NAVKARCORP</v>
      </c>
    </row>
    <row r="1201" ht="15.75" customHeight="1">
      <c r="A1201" s="30">
        <v>45492.0</v>
      </c>
      <c r="B1201" s="20" t="s">
        <v>108</v>
      </c>
      <c r="C1201" s="20" t="s">
        <v>21</v>
      </c>
      <c r="D1201" s="20" t="s">
        <v>31</v>
      </c>
      <c r="E1201" s="21" t="str">
        <f t="shared" si="4"/>
        <v>NSE:TEAMLEASE</v>
      </c>
    </row>
    <row r="1202" ht="15.75" customHeight="1">
      <c r="A1202" s="30">
        <v>45495.0</v>
      </c>
      <c r="B1202" s="20" t="s">
        <v>265</v>
      </c>
      <c r="C1202" s="20" t="s">
        <v>13</v>
      </c>
      <c r="D1202" s="20" t="s">
        <v>29</v>
      </c>
      <c r="E1202" s="21" t="str">
        <f t="shared" si="4"/>
        <v>NSE:BATAINDIA</v>
      </c>
    </row>
    <row r="1203" ht="15.75" customHeight="1">
      <c r="A1203" s="30">
        <v>45495.0</v>
      </c>
      <c r="B1203" s="20" t="s">
        <v>309</v>
      </c>
      <c r="C1203" s="20" t="s">
        <v>16</v>
      </c>
      <c r="D1203" s="20" t="s">
        <v>53</v>
      </c>
      <c r="E1203" s="21" t="str">
        <f t="shared" si="4"/>
        <v>NSE:NAHARSPING</v>
      </c>
    </row>
    <row r="1204" ht="15.75" customHeight="1">
      <c r="A1204" s="30">
        <v>45495.0</v>
      </c>
      <c r="B1204" s="20" t="s">
        <v>311</v>
      </c>
      <c r="C1204" s="20" t="s">
        <v>16</v>
      </c>
      <c r="D1204" s="20" t="s">
        <v>53</v>
      </c>
      <c r="E1204" s="21" t="str">
        <f t="shared" si="4"/>
        <v>NSE:RSWM</v>
      </c>
    </row>
    <row r="1205" ht="15.75" customHeight="1">
      <c r="A1205" s="30">
        <v>45495.0</v>
      </c>
      <c r="B1205" s="20" t="s">
        <v>827</v>
      </c>
      <c r="C1205" s="20" t="s">
        <v>16</v>
      </c>
      <c r="D1205" s="20" t="s">
        <v>29</v>
      </c>
      <c r="E1205" s="21" t="str">
        <f t="shared" si="4"/>
        <v>NSE:ASALCBR</v>
      </c>
    </row>
    <row r="1206" ht="15.75" customHeight="1">
      <c r="A1206" s="30">
        <v>45495.0</v>
      </c>
      <c r="B1206" s="20" t="s">
        <v>334</v>
      </c>
      <c r="C1206" s="20" t="s">
        <v>16</v>
      </c>
      <c r="D1206" s="20" t="s">
        <v>29</v>
      </c>
      <c r="E1206" s="21" t="str">
        <f t="shared" si="4"/>
        <v>NSE:FOODSIN</v>
      </c>
    </row>
    <row r="1207" ht="15.75" customHeight="1">
      <c r="A1207" s="30">
        <v>45495.0</v>
      </c>
      <c r="B1207" s="20" t="s">
        <v>335</v>
      </c>
      <c r="C1207" s="20" t="s">
        <v>13</v>
      </c>
      <c r="D1207" s="20" t="s">
        <v>27</v>
      </c>
      <c r="E1207" s="21" t="str">
        <f t="shared" si="4"/>
        <v>NSE:BERGEPAINT</v>
      </c>
    </row>
    <row r="1208" ht="15.75" customHeight="1">
      <c r="A1208" s="30">
        <v>45495.0</v>
      </c>
      <c r="B1208" s="20" t="s">
        <v>171</v>
      </c>
      <c r="C1208" s="20" t="s">
        <v>16</v>
      </c>
      <c r="D1208" s="20" t="s">
        <v>39</v>
      </c>
      <c r="E1208" s="21" t="str">
        <f t="shared" si="4"/>
        <v>NSE:MUTHOOTCAP</v>
      </c>
    </row>
    <row r="1209" ht="15.75" customHeight="1">
      <c r="A1209" s="30">
        <v>45495.0</v>
      </c>
      <c r="B1209" s="20" t="s">
        <v>828</v>
      </c>
      <c r="C1209" s="20" t="s">
        <v>16</v>
      </c>
      <c r="D1209" s="20" t="s">
        <v>29</v>
      </c>
      <c r="E1209" s="21" t="str">
        <f t="shared" si="4"/>
        <v>NSE:ARROWGREEN</v>
      </c>
    </row>
    <row r="1210" ht="15.75" customHeight="1">
      <c r="A1210" s="30">
        <v>45495.0</v>
      </c>
      <c r="B1210" s="20" t="s">
        <v>136</v>
      </c>
      <c r="C1210" s="20" t="s">
        <v>16</v>
      </c>
      <c r="D1210" s="20" t="s">
        <v>29</v>
      </c>
      <c r="E1210" s="21" t="str">
        <f t="shared" si="4"/>
        <v>NSE:IGARASHI</v>
      </c>
    </row>
    <row r="1211" ht="15.75" customHeight="1">
      <c r="A1211" s="30">
        <v>45495.0</v>
      </c>
      <c r="B1211" s="20" t="s">
        <v>480</v>
      </c>
      <c r="C1211" s="20" t="s">
        <v>13</v>
      </c>
      <c r="D1211" s="20" t="s">
        <v>14</v>
      </c>
      <c r="E1211" s="21" t="str">
        <f t="shared" si="4"/>
        <v>NSE:PPLPHARMA</v>
      </c>
    </row>
    <row r="1212" ht="15.75" customHeight="1">
      <c r="A1212" s="30">
        <v>45495.0</v>
      </c>
      <c r="B1212" s="20" t="s">
        <v>351</v>
      </c>
      <c r="C1212" s="20" t="s">
        <v>16</v>
      </c>
      <c r="D1212" s="20" t="s">
        <v>29</v>
      </c>
      <c r="E1212" s="21" t="str">
        <f t="shared" si="4"/>
        <v>NSE:ROTO</v>
      </c>
    </row>
    <row r="1213" ht="15.75" customHeight="1">
      <c r="A1213" s="30">
        <v>45495.0</v>
      </c>
      <c r="B1213" s="20" t="s">
        <v>482</v>
      </c>
      <c r="C1213" s="20" t="s">
        <v>21</v>
      </c>
      <c r="D1213" s="20" t="s">
        <v>27</v>
      </c>
      <c r="E1213" s="21" t="str">
        <f t="shared" si="4"/>
        <v>NSE:ACI</v>
      </c>
    </row>
    <row r="1214" ht="15.75" customHeight="1">
      <c r="A1214" s="30">
        <v>45495.0</v>
      </c>
      <c r="B1214" s="20" t="s">
        <v>206</v>
      </c>
      <c r="C1214" s="20" t="s">
        <v>16</v>
      </c>
      <c r="D1214" s="20" t="s">
        <v>53</v>
      </c>
      <c r="E1214" s="21" t="str">
        <f t="shared" si="4"/>
        <v>NSE:NAHARINDUS</v>
      </c>
    </row>
    <row r="1215" ht="15.75" customHeight="1">
      <c r="A1215" s="30">
        <v>45495.0</v>
      </c>
      <c r="B1215" s="20" t="s">
        <v>483</v>
      </c>
      <c r="C1215" s="20" t="s">
        <v>16</v>
      </c>
      <c r="D1215" s="20" t="s">
        <v>27</v>
      </c>
      <c r="E1215" s="21" t="str">
        <f t="shared" si="4"/>
        <v>NSE:DHARMAJ</v>
      </c>
    </row>
    <row r="1216" ht="15.75" customHeight="1">
      <c r="A1216" s="30">
        <v>45495.0</v>
      </c>
      <c r="B1216" s="20" t="s">
        <v>829</v>
      </c>
      <c r="C1216" s="20" t="s">
        <v>21</v>
      </c>
      <c r="D1216" s="20" t="s">
        <v>31</v>
      </c>
      <c r="E1216" s="21" t="str">
        <f t="shared" si="4"/>
        <v>NSE:DCMSHRIRAM</v>
      </c>
    </row>
    <row r="1217" ht="15.75" customHeight="1">
      <c r="A1217" s="30">
        <v>45495.0</v>
      </c>
      <c r="B1217" s="20" t="s">
        <v>249</v>
      </c>
      <c r="C1217" s="20" t="s">
        <v>13</v>
      </c>
      <c r="D1217" s="20" t="s">
        <v>27</v>
      </c>
      <c r="E1217" s="21" t="str">
        <f t="shared" si="4"/>
        <v>NSE:PIIND</v>
      </c>
    </row>
    <row r="1218" ht="15.75" customHeight="1">
      <c r="A1218" s="30">
        <v>45495.0</v>
      </c>
      <c r="B1218" s="20" t="s">
        <v>830</v>
      </c>
      <c r="C1218" s="20" t="s">
        <v>16</v>
      </c>
      <c r="D1218" s="20" t="s">
        <v>22</v>
      </c>
      <c r="E1218" s="21" t="str">
        <f t="shared" si="4"/>
        <v>NSE:EMSLIMITED</v>
      </c>
    </row>
    <row r="1219" ht="15.75" customHeight="1">
      <c r="A1219" s="30">
        <v>45495.0</v>
      </c>
      <c r="B1219" s="20" t="s">
        <v>638</v>
      </c>
      <c r="C1219" s="20" t="s">
        <v>21</v>
      </c>
      <c r="D1219" s="20" t="s">
        <v>14</v>
      </c>
      <c r="E1219" s="21" t="str">
        <f t="shared" si="4"/>
        <v>NSE:BLUEJET</v>
      </c>
    </row>
    <row r="1220" ht="15.75" customHeight="1">
      <c r="A1220" s="30">
        <v>45495.0</v>
      </c>
      <c r="B1220" s="20" t="s">
        <v>831</v>
      </c>
      <c r="C1220" s="20" t="s">
        <v>16</v>
      </c>
      <c r="D1220" s="20" t="s">
        <v>22</v>
      </c>
      <c r="E1220" s="21" t="str">
        <f t="shared" si="4"/>
        <v>NSE:CAPACITE</v>
      </c>
    </row>
    <row r="1221" ht="15.75" customHeight="1">
      <c r="A1221" s="30">
        <v>45495.0</v>
      </c>
      <c r="B1221" s="20" t="s">
        <v>600</v>
      </c>
      <c r="C1221" s="20" t="s">
        <v>21</v>
      </c>
      <c r="D1221" s="20" t="s">
        <v>27</v>
      </c>
      <c r="E1221" s="21" t="str">
        <f t="shared" si="4"/>
        <v>NSE:GUJALKALI</v>
      </c>
    </row>
    <row r="1222" ht="15.75" customHeight="1">
      <c r="A1222" s="30">
        <v>45495.0</v>
      </c>
      <c r="B1222" s="20" t="s">
        <v>252</v>
      </c>
      <c r="C1222" s="20" t="s">
        <v>16</v>
      </c>
      <c r="D1222" s="20" t="s">
        <v>14</v>
      </c>
      <c r="E1222" s="21" t="str">
        <f t="shared" si="4"/>
        <v>NSE:ZIMLAB</v>
      </c>
    </row>
    <row r="1223" ht="15.75" customHeight="1">
      <c r="A1223" s="30">
        <v>45495.0</v>
      </c>
      <c r="B1223" s="20" t="s">
        <v>389</v>
      </c>
      <c r="C1223" s="20" t="s">
        <v>21</v>
      </c>
      <c r="D1223" s="20" t="s">
        <v>29</v>
      </c>
      <c r="E1223" s="21" t="str">
        <f t="shared" si="4"/>
        <v>NSE:ZYDUSWELL</v>
      </c>
    </row>
    <row r="1224" ht="15.75" customHeight="1">
      <c r="A1224" s="30">
        <v>45495.0</v>
      </c>
      <c r="B1224" s="20" t="s">
        <v>729</v>
      </c>
      <c r="C1224" s="20" t="s">
        <v>13</v>
      </c>
      <c r="D1224" s="20" t="s">
        <v>29</v>
      </c>
      <c r="E1224" s="21" t="str">
        <f t="shared" si="4"/>
        <v>NSE:GODREJCP</v>
      </c>
    </row>
    <row r="1225" ht="15.75" customHeight="1">
      <c r="A1225" s="30">
        <v>45495.0</v>
      </c>
      <c r="B1225" s="20" t="s">
        <v>832</v>
      </c>
      <c r="C1225" s="20" t="s">
        <v>13</v>
      </c>
      <c r="D1225" s="20" t="s">
        <v>29</v>
      </c>
      <c r="E1225" s="21" t="str">
        <f t="shared" si="4"/>
        <v>NSE:UNITDSPR</v>
      </c>
    </row>
    <row r="1226" ht="15.75" customHeight="1">
      <c r="A1226" s="30">
        <v>45495.0</v>
      </c>
      <c r="B1226" s="20" t="s">
        <v>749</v>
      </c>
      <c r="C1226" s="20" t="s">
        <v>13</v>
      </c>
      <c r="D1226" s="20" t="s">
        <v>37</v>
      </c>
      <c r="E1226" s="21" t="str">
        <f t="shared" si="4"/>
        <v>NSE:NAUKRI</v>
      </c>
    </row>
    <row r="1227" ht="15.75" customHeight="1">
      <c r="A1227" s="30">
        <v>45495.0</v>
      </c>
      <c r="B1227" s="20" t="s">
        <v>417</v>
      </c>
      <c r="C1227" s="20" t="s">
        <v>16</v>
      </c>
      <c r="D1227" s="20" t="s">
        <v>14</v>
      </c>
      <c r="E1227" s="21" t="str">
        <f t="shared" si="4"/>
        <v>NSE:SMSPHARMA</v>
      </c>
    </row>
    <row r="1228" ht="15.75" customHeight="1">
      <c r="A1228" s="30">
        <v>45495.0</v>
      </c>
      <c r="B1228" s="20" t="s">
        <v>833</v>
      </c>
      <c r="C1228" s="20" t="s">
        <v>13</v>
      </c>
      <c r="D1228" s="20" t="s">
        <v>14</v>
      </c>
      <c r="E1228" s="21" t="str">
        <f t="shared" si="4"/>
        <v>NSE:FORTIS</v>
      </c>
    </row>
    <row r="1229" ht="15.75" customHeight="1">
      <c r="A1229" s="30">
        <v>45495.0</v>
      </c>
      <c r="B1229" s="20" t="s">
        <v>420</v>
      </c>
      <c r="C1229" s="20" t="s">
        <v>16</v>
      </c>
      <c r="D1229" s="20" t="s">
        <v>39</v>
      </c>
      <c r="E1229" s="21" t="str">
        <f t="shared" si="4"/>
        <v>NSE:NAHARCAP</v>
      </c>
    </row>
    <row r="1230" ht="15.75" customHeight="1">
      <c r="A1230" s="30">
        <v>45495.0</v>
      </c>
      <c r="B1230" s="20" t="s">
        <v>834</v>
      </c>
      <c r="C1230" s="20" t="s">
        <v>21</v>
      </c>
      <c r="D1230" s="20" t="s">
        <v>25</v>
      </c>
      <c r="E1230" s="21" t="str">
        <f t="shared" si="4"/>
        <v>NSE:GRAVITA</v>
      </c>
    </row>
    <row r="1231" ht="15.75" customHeight="1">
      <c r="A1231" s="30">
        <v>45495.0</v>
      </c>
      <c r="B1231" s="20" t="s">
        <v>708</v>
      </c>
      <c r="C1231" s="20" t="s">
        <v>16</v>
      </c>
      <c r="D1231" s="20" t="s">
        <v>31</v>
      </c>
      <c r="E1231" s="21" t="str">
        <f t="shared" si="4"/>
        <v>NSE:AWHCL</v>
      </c>
    </row>
    <row r="1232" ht="15.75" customHeight="1">
      <c r="A1232" s="30">
        <v>45495.0</v>
      </c>
      <c r="B1232" s="20" t="s">
        <v>542</v>
      </c>
      <c r="C1232" s="20" t="s">
        <v>16</v>
      </c>
      <c r="D1232" s="20" t="s">
        <v>27</v>
      </c>
      <c r="E1232" s="21" t="str">
        <f t="shared" si="4"/>
        <v>NSE:HERANBA</v>
      </c>
    </row>
    <row r="1233" ht="15.75" customHeight="1">
      <c r="A1233" s="30">
        <v>45495.0</v>
      </c>
      <c r="B1233" s="20" t="s">
        <v>436</v>
      </c>
      <c r="C1233" s="20" t="s">
        <v>21</v>
      </c>
      <c r="D1233" s="20" t="s">
        <v>29</v>
      </c>
      <c r="E1233" s="21" t="str">
        <f t="shared" si="4"/>
        <v>NSE:DODLA</v>
      </c>
    </row>
    <row r="1234" ht="15.75" customHeight="1">
      <c r="A1234" s="30">
        <v>45495.0</v>
      </c>
      <c r="B1234" s="20" t="s">
        <v>438</v>
      </c>
      <c r="C1234" s="20" t="s">
        <v>21</v>
      </c>
      <c r="D1234" s="20" t="s">
        <v>27</v>
      </c>
      <c r="E1234" s="21" t="str">
        <f t="shared" si="4"/>
        <v>NSE:EPIGRAL</v>
      </c>
    </row>
    <row r="1235" ht="15.75" customHeight="1">
      <c r="A1235" s="30">
        <v>45495.0</v>
      </c>
      <c r="B1235" s="20" t="s">
        <v>262</v>
      </c>
      <c r="C1235" s="20" t="s">
        <v>13</v>
      </c>
      <c r="D1235" s="20" t="s">
        <v>37</v>
      </c>
      <c r="E1235" s="21" t="str">
        <f t="shared" si="4"/>
        <v>NSE:POLICYBZR</v>
      </c>
    </row>
    <row r="1236" ht="15.75" customHeight="1">
      <c r="A1236" s="30">
        <v>45495.0</v>
      </c>
      <c r="B1236" s="20" t="s">
        <v>194</v>
      </c>
      <c r="C1236" s="20" t="s">
        <v>21</v>
      </c>
      <c r="D1236" s="20" t="s">
        <v>31</v>
      </c>
      <c r="E1236" s="21" t="str">
        <f t="shared" si="4"/>
        <v>NSE:CMSINFO</v>
      </c>
    </row>
    <row r="1237" ht="15.75" customHeight="1">
      <c r="A1237" s="30">
        <v>45495.0</v>
      </c>
      <c r="B1237" s="20" t="s">
        <v>234</v>
      </c>
      <c r="C1237" s="20" t="s">
        <v>16</v>
      </c>
      <c r="D1237" s="20" t="s">
        <v>53</v>
      </c>
      <c r="E1237" s="21" t="str">
        <f t="shared" si="4"/>
        <v>NSE:SPORTKING</v>
      </c>
    </row>
    <row r="1238" ht="15.75" customHeight="1">
      <c r="A1238" s="30">
        <v>45495.0</v>
      </c>
      <c r="B1238" s="20" t="s">
        <v>835</v>
      </c>
      <c r="C1238" s="20" t="s">
        <v>16</v>
      </c>
      <c r="D1238" s="20" t="s">
        <v>39</v>
      </c>
      <c r="E1238" s="21" t="str">
        <f t="shared" si="4"/>
        <v>NSE:OSWALGREEN</v>
      </c>
    </row>
    <row r="1239" ht="15.75" customHeight="1">
      <c r="A1239" s="30">
        <v>45495.0</v>
      </c>
      <c r="B1239" s="20" t="s">
        <v>804</v>
      </c>
      <c r="C1239" s="20" t="s">
        <v>13</v>
      </c>
      <c r="D1239" s="20" t="s">
        <v>14</v>
      </c>
      <c r="E1239" s="21" t="str">
        <f t="shared" si="4"/>
        <v>NSE:LALPATHLAB</v>
      </c>
    </row>
    <row r="1240" ht="15.75" customHeight="1">
      <c r="A1240" s="30">
        <v>45495.0</v>
      </c>
      <c r="B1240" s="20" t="s">
        <v>780</v>
      </c>
      <c r="C1240" s="20" t="s">
        <v>16</v>
      </c>
      <c r="D1240" s="20" t="s">
        <v>14</v>
      </c>
      <c r="E1240" s="21" t="str">
        <f t="shared" si="4"/>
        <v>NSE:THYROCARE</v>
      </c>
    </row>
    <row r="1241" ht="15.75" customHeight="1">
      <c r="A1241" s="30">
        <v>45495.0</v>
      </c>
      <c r="B1241" s="20" t="s">
        <v>673</v>
      </c>
      <c r="C1241" s="20" t="s">
        <v>16</v>
      </c>
      <c r="D1241" s="20" t="s">
        <v>14</v>
      </c>
      <c r="E1241" s="21" t="str">
        <f t="shared" si="4"/>
        <v>NSE:ADVENZYMES</v>
      </c>
    </row>
    <row r="1242" ht="15.75" customHeight="1">
      <c r="A1242" s="30">
        <v>45496.0</v>
      </c>
      <c r="B1242" s="20" t="s">
        <v>836</v>
      </c>
      <c r="C1242" s="20" t="s">
        <v>16</v>
      </c>
      <c r="D1242" s="20" t="s">
        <v>53</v>
      </c>
      <c r="E1242" s="21" t="str">
        <f t="shared" si="4"/>
        <v>NSE:BOMDYEING</v>
      </c>
    </row>
    <row r="1243" ht="15.75" customHeight="1">
      <c r="A1243" s="30">
        <v>45496.0</v>
      </c>
      <c r="B1243" s="20" t="s">
        <v>711</v>
      </c>
      <c r="C1243" s="20" t="s">
        <v>13</v>
      </c>
      <c r="D1243" s="20" t="s">
        <v>29</v>
      </c>
      <c r="E1243" s="21" t="str">
        <f t="shared" si="4"/>
        <v>NSE:DABUR</v>
      </c>
    </row>
    <row r="1244" ht="15.75" customHeight="1">
      <c r="A1244" s="30">
        <v>45496.0</v>
      </c>
      <c r="B1244" s="20" t="s">
        <v>837</v>
      </c>
      <c r="C1244" s="20" t="s">
        <v>16</v>
      </c>
      <c r="D1244" s="20" t="s">
        <v>64</v>
      </c>
      <c r="E1244" s="21" t="str">
        <f t="shared" si="4"/>
        <v>NSE:DCW</v>
      </c>
    </row>
    <row r="1245" ht="15.75" customHeight="1">
      <c r="A1245" s="30">
        <v>45496.0</v>
      </c>
      <c r="B1245" s="20" t="s">
        <v>782</v>
      </c>
      <c r="C1245" s="20" t="s">
        <v>13</v>
      </c>
      <c r="D1245" s="20" t="s">
        <v>14</v>
      </c>
      <c r="E1245" s="21" t="str">
        <f t="shared" si="4"/>
        <v>NSE:DRREDDY</v>
      </c>
    </row>
    <row r="1246" ht="15.75" customHeight="1">
      <c r="A1246" s="30">
        <v>45496.0</v>
      </c>
      <c r="B1246" s="20" t="s">
        <v>266</v>
      </c>
      <c r="C1246" s="20" t="s">
        <v>21</v>
      </c>
      <c r="D1246" s="20" t="s">
        <v>14</v>
      </c>
      <c r="E1246" s="21" t="str">
        <f t="shared" si="4"/>
        <v>NSE:PGHL</v>
      </c>
    </row>
    <row r="1247" ht="15.75" customHeight="1">
      <c r="A1247" s="30">
        <v>45496.0</v>
      </c>
      <c r="B1247" s="20" t="s">
        <v>838</v>
      </c>
      <c r="C1247" s="20" t="s">
        <v>21</v>
      </c>
      <c r="D1247" s="20" t="s">
        <v>27</v>
      </c>
      <c r="E1247" s="21" t="str">
        <f t="shared" si="4"/>
        <v>NSE:RAMCOCEM</v>
      </c>
    </row>
    <row r="1248" ht="15.75" customHeight="1">
      <c r="A1248" s="30">
        <v>45496.0</v>
      </c>
      <c r="B1248" s="20" t="s">
        <v>310</v>
      </c>
      <c r="C1248" s="20" t="s">
        <v>16</v>
      </c>
      <c r="D1248" s="20" t="s">
        <v>37</v>
      </c>
      <c r="E1248" s="21" t="str">
        <f t="shared" si="4"/>
        <v>NSE:NIITLTD</v>
      </c>
    </row>
    <row r="1249" ht="15.75" customHeight="1">
      <c r="A1249" s="30">
        <v>45496.0</v>
      </c>
      <c r="B1249" s="20" t="s">
        <v>679</v>
      </c>
      <c r="C1249" s="20" t="s">
        <v>16</v>
      </c>
      <c r="D1249" s="20" t="s">
        <v>29</v>
      </c>
      <c r="E1249" s="21" t="str">
        <f t="shared" si="4"/>
        <v>NSE:PIXTRANS</v>
      </c>
    </row>
    <row r="1250" ht="15.75" customHeight="1">
      <c r="A1250" s="30">
        <v>45496.0</v>
      </c>
      <c r="B1250" s="20" t="s">
        <v>461</v>
      </c>
      <c r="C1250" s="20" t="s">
        <v>16</v>
      </c>
      <c r="D1250" s="20" t="s">
        <v>27</v>
      </c>
      <c r="E1250" s="21" t="str">
        <f t="shared" si="4"/>
        <v>NSE:TIRUMALCHM</v>
      </c>
    </row>
    <row r="1251" ht="15.75" customHeight="1">
      <c r="A1251" s="30">
        <v>45496.0</v>
      </c>
      <c r="B1251" s="20" t="s">
        <v>463</v>
      </c>
      <c r="C1251" s="20" t="s">
        <v>13</v>
      </c>
      <c r="D1251" s="20" t="s">
        <v>14</v>
      </c>
      <c r="E1251" s="21" t="str">
        <f t="shared" si="4"/>
        <v>NSE:TORNTPHARM</v>
      </c>
    </row>
    <row r="1252" ht="15.75" customHeight="1">
      <c r="A1252" s="30">
        <v>45496.0</v>
      </c>
      <c r="B1252" s="20" t="s">
        <v>466</v>
      </c>
      <c r="C1252" s="20" t="s">
        <v>21</v>
      </c>
      <c r="D1252" s="20" t="s">
        <v>27</v>
      </c>
      <c r="E1252" s="21" t="str">
        <f t="shared" si="4"/>
        <v>NSE:DEEPAKFERT</v>
      </c>
    </row>
    <row r="1253" ht="15.75" customHeight="1">
      <c r="A1253" s="30">
        <v>45496.0</v>
      </c>
      <c r="B1253" s="20" t="s">
        <v>808</v>
      </c>
      <c r="C1253" s="20" t="s">
        <v>13</v>
      </c>
      <c r="D1253" s="20" t="s">
        <v>14</v>
      </c>
      <c r="E1253" s="21" t="str">
        <f t="shared" si="4"/>
        <v>NSE:PFIZER</v>
      </c>
    </row>
    <row r="1254" ht="15.75" customHeight="1">
      <c r="A1254" s="30">
        <v>45496.0</v>
      </c>
      <c r="B1254" s="20" t="s">
        <v>680</v>
      </c>
      <c r="C1254" s="20" t="s">
        <v>13</v>
      </c>
      <c r="D1254" s="20" t="s">
        <v>29</v>
      </c>
      <c r="E1254" s="21" t="str">
        <f t="shared" si="4"/>
        <v>NSE:BRITANNIA</v>
      </c>
    </row>
    <row r="1255" ht="15.75" customHeight="1">
      <c r="A1255" s="30">
        <v>45496.0</v>
      </c>
      <c r="B1255" s="20" t="s">
        <v>839</v>
      </c>
      <c r="C1255" s="20" t="s">
        <v>16</v>
      </c>
      <c r="D1255" s="20" t="s">
        <v>39</v>
      </c>
      <c r="E1255" s="21" t="str">
        <f t="shared" si="4"/>
        <v>NSE:CENTRUM</v>
      </c>
    </row>
    <row r="1256" ht="15.75" customHeight="1">
      <c r="A1256" s="30">
        <v>45496.0</v>
      </c>
      <c r="B1256" s="20" t="s">
        <v>326</v>
      </c>
      <c r="C1256" s="20" t="s">
        <v>16</v>
      </c>
      <c r="D1256" s="20" t="s">
        <v>22</v>
      </c>
      <c r="E1256" s="21" t="str">
        <f t="shared" si="4"/>
        <v>NSE:INDIANHUME</v>
      </c>
    </row>
    <row r="1257" ht="15.75" customHeight="1">
      <c r="A1257" s="30">
        <v>45496.0</v>
      </c>
      <c r="B1257" s="20" t="s">
        <v>683</v>
      </c>
      <c r="C1257" s="20" t="s">
        <v>16</v>
      </c>
      <c r="D1257" s="20" t="s">
        <v>37</v>
      </c>
      <c r="E1257" s="21" t="str">
        <f t="shared" si="4"/>
        <v>NSE:GENESYS</v>
      </c>
    </row>
    <row r="1258" ht="15.75" customHeight="1">
      <c r="A1258" s="30">
        <v>45496.0</v>
      </c>
      <c r="B1258" s="20" t="s">
        <v>686</v>
      </c>
      <c r="C1258" s="20" t="s">
        <v>16</v>
      </c>
      <c r="D1258" s="20" t="s">
        <v>37</v>
      </c>
      <c r="E1258" s="21" t="str">
        <f t="shared" si="4"/>
        <v>NSE:AGSTRA</v>
      </c>
    </row>
    <row r="1259" ht="15.75" customHeight="1">
      <c r="A1259" s="30">
        <v>45496.0</v>
      </c>
      <c r="B1259" s="20" t="s">
        <v>477</v>
      </c>
      <c r="C1259" s="20" t="s">
        <v>21</v>
      </c>
      <c r="D1259" s="20" t="s">
        <v>29</v>
      </c>
      <c r="E1259" s="21" t="str">
        <f t="shared" si="4"/>
        <v>NSE:ETHOSLTD</v>
      </c>
    </row>
    <row r="1260" ht="15.75" customHeight="1">
      <c r="A1260" s="30">
        <v>45496.0</v>
      </c>
      <c r="B1260" s="20" t="s">
        <v>810</v>
      </c>
      <c r="C1260" s="20" t="s">
        <v>16</v>
      </c>
      <c r="D1260" s="20" t="s">
        <v>29</v>
      </c>
      <c r="E1260" s="21" t="str">
        <f t="shared" si="4"/>
        <v>NSE:BUTTERFLY</v>
      </c>
    </row>
    <row r="1261" ht="15.75" customHeight="1">
      <c r="A1261" s="30">
        <v>45496.0</v>
      </c>
      <c r="B1261" s="20" t="s">
        <v>352</v>
      </c>
      <c r="C1261" s="20" t="s">
        <v>21</v>
      </c>
      <c r="D1261" s="20" t="s">
        <v>29</v>
      </c>
      <c r="E1261" s="21" t="str">
        <f t="shared" si="4"/>
        <v>NSE:TTKPRESTIG</v>
      </c>
    </row>
    <row r="1262" ht="15.75" customHeight="1">
      <c r="A1262" s="30">
        <v>45496.0</v>
      </c>
      <c r="B1262" s="20" t="s">
        <v>484</v>
      </c>
      <c r="C1262" s="20" t="s">
        <v>16</v>
      </c>
      <c r="D1262" s="20" t="s">
        <v>31</v>
      </c>
      <c r="E1262" s="21" t="str">
        <f t="shared" si="4"/>
        <v>NSE:RADIANTCMS</v>
      </c>
    </row>
    <row r="1263" ht="15.75" customHeight="1">
      <c r="A1263" s="30">
        <v>45496.0</v>
      </c>
      <c r="B1263" s="20" t="s">
        <v>840</v>
      </c>
      <c r="C1263" s="20" t="s">
        <v>21</v>
      </c>
      <c r="D1263" s="20" t="s">
        <v>29</v>
      </c>
      <c r="E1263" s="21" t="str">
        <f t="shared" si="4"/>
        <v>NSE:JCHAC</v>
      </c>
    </row>
    <row r="1264" ht="15.75" customHeight="1">
      <c r="A1264" s="30">
        <v>45496.0</v>
      </c>
      <c r="B1264" s="20" t="s">
        <v>841</v>
      </c>
      <c r="C1264" s="20" t="s">
        <v>16</v>
      </c>
      <c r="D1264" s="20" t="s">
        <v>25</v>
      </c>
      <c r="E1264" s="21" t="str">
        <f t="shared" si="4"/>
        <v>NSE:AEROFLEX</v>
      </c>
    </row>
    <row r="1265" ht="15.75" customHeight="1">
      <c r="A1265" s="30">
        <v>45496.0</v>
      </c>
      <c r="B1265" s="20" t="s">
        <v>722</v>
      </c>
      <c r="C1265" s="20" t="s">
        <v>16</v>
      </c>
      <c r="D1265" s="20" t="s">
        <v>22</v>
      </c>
      <c r="E1265" s="21" t="str">
        <f t="shared" si="4"/>
        <v>NSE:PSPPROJECT</v>
      </c>
    </row>
    <row r="1266" ht="15.75" customHeight="1">
      <c r="A1266" s="30">
        <v>45496.0</v>
      </c>
      <c r="B1266" s="20" t="s">
        <v>495</v>
      </c>
      <c r="C1266" s="20" t="s">
        <v>16</v>
      </c>
      <c r="D1266" s="20" t="s">
        <v>22</v>
      </c>
      <c r="E1266" s="21" t="str">
        <f t="shared" si="4"/>
        <v>NSE:VPRPL</v>
      </c>
    </row>
    <row r="1267" ht="15.75" customHeight="1">
      <c r="A1267" s="30">
        <v>45496.0</v>
      </c>
      <c r="B1267" s="20" t="s">
        <v>842</v>
      </c>
      <c r="C1267" s="20" t="s">
        <v>16</v>
      </c>
      <c r="D1267" s="20" t="s">
        <v>37</v>
      </c>
      <c r="E1267" s="21" t="str">
        <f t="shared" si="4"/>
        <v>NSE:YATRA</v>
      </c>
    </row>
    <row r="1268" ht="15.75" customHeight="1">
      <c r="A1268" s="30">
        <v>45496.0</v>
      </c>
      <c r="B1268" s="20" t="s">
        <v>500</v>
      </c>
      <c r="C1268" s="20" t="s">
        <v>16</v>
      </c>
      <c r="D1268" s="20" t="s">
        <v>29</v>
      </c>
      <c r="E1268" s="21" t="str">
        <f t="shared" si="4"/>
        <v>NSE:MIRZAINT</v>
      </c>
    </row>
    <row r="1269" ht="15.75" customHeight="1">
      <c r="A1269" s="30">
        <v>45496.0</v>
      </c>
      <c r="B1269" s="20" t="s">
        <v>501</v>
      </c>
      <c r="C1269" s="20" t="s">
        <v>16</v>
      </c>
      <c r="D1269" s="20" t="s">
        <v>31</v>
      </c>
      <c r="E1269" s="21" t="str">
        <f t="shared" si="4"/>
        <v>NSE:GOLDIAM</v>
      </c>
    </row>
    <row r="1270" ht="15.75" customHeight="1">
      <c r="A1270" s="30">
        <v>45496.0</v>
      </c>
      <c r="B1270" s="20" t="s">
        <v>56</v>
      </c>
      <c r="C1270" s="20" t="s">
        <v>16</v>
      </c>
      <c r="D1270" s="20" t="s">
        <v>29</v>
      </c>
      <c r="E1270" s="21" t="str">
        <f t="shared" si="4"/>
        <v>NSE:JASH</v>
      </c>
    </row>
    <row r="1271" ht="15.75" customHeight="1">
      <c r="A1271" s="30">
        <v>45496.0</v>
      </c>
      <c r="B1271" s="20" t="s">
        <v>502</v>
      </c>
      <c r="C1271" s="20" t="s">
        <v>16</v>
      </c>
      <c r="D1271" s="20" t="s">
        <v>29</v>
      </c>
      <c r="E1271" s="21" t="str">
        <f t="shared" si="4"/>
        <v>NSE:KHADIM</v>
      </c>
    </row>
    <row r="1272" ht="15.75" customHeight="1">
      <c r="A1272" s="30">
        <v>45496.0</v>
      </c>
      <c r="B1272" s="20" t="s">
        <v>376</v>
      </c>
      <c r="C1272" s="20" t="s">
        <v>16</v>
      </c>
      <c r="D1272" s="20" t="s">
        <v>27</v>
      </c>
      <c r="E1272" s="21" t="str">
        <f t="shared" si="4"/>
        <v>NSE:SUNCLAY</v>
      </c>
    </row>
    <row r="1273" ht="15.75" customHeight="1">
      <c r="A1273" s="30">
        <v>45496.0</v>
      </c>
      <c r="B1273" s="20" t="s">
        <v>645</v>
      </c>
      <c r="C1273" s="20" t="s">
        <v>16</v>
      </c>
      <c r="D1273" s="20" t="s">
        <v>55</v>
      </c>
      <c r="E1273" s="21" t="str">
        <f t="shared" si="4"/>
        <v>NSE:PARKHOTELS</v>
      </c>
    </row>
    <row r="1274" ht="15.75" customHeight="1">
      <c r="A1274" s="30">
        <v>45496.0</v>
      </c>
      <c r="B1274" s="20" t="s">
        <v>58</v>
      </c>
      <c r="C1274" s="20" t="s">
        <v>16</v>
      </c>
      <c r="D1274" s="20" t="s">
        <v>14</v>
      </c>
      <c r="E1274" s="21" t="str">
        <f t="shared" si="4"/>
        <v>NSE:THEMISMED</v>
      </c>
    </row>
    <row r="1275" ht="15.75" customHeight="1">
      <c r="A1275" s="30">
        <v>45496.0</v>
      </c>
      <c r="B1275" s="20" t="s">
        <v>215</v>
      </c>
      <c r="C1275" s="20" t="s">
        <v>16</v>
      </c>
      <c r="D1275" s="20" t="s">
        <v>25</v>
      </c>
      <c r="E1275" s="21" t="str">
        <f t="shared" si="4"/>
        <v>NSE:VSTL</v>
      </c>
    </row>
    <row r="1276" ht="15.75" customHeight="1">
      <c r="A1276" s="30">
        <v>45496.0</v>
      </c>
      <c r="B1276" s="20" t="s">
        <v>382</v>
      </c>
      <c r="C1276" s="20" t="s">
        <v>21</v>
      </c>
      <c r="D1276" s="20" t="s">
        <v>29</v>
      </c>
      <c r="E1276" s="21" t="str">
        <f t="shared" si="4"/>
        <v>NSE:GENUSPOWER</v>
      </c>
    </row>
    <row r="1277" ht="15.75" customHeight="1">
      <c r="A1277" s="30">
        <v>45496.0</v>
      </c>
      <c r="B1277" s="20" t="s">
        <v>775</v>
      </c>
      <c r="C1277" s="20" t="s">
        <v>16</v>
      </c>
      <c r="D1277" s="20" t="s">
        <v>31</v>
      </c>
      <c r="E1277" s="21" t="str">
        <f t="shared" si="4"/>
        <v>NSE:RKSWAMY</v>
      </c>
    </row>
    <row r="1278" ht="15.75" customHeight="1">
      <c r="A1278" s="30">
        <v>45496.0</v>
      </c>
      <c r="B1278" s="20" t="s">
        <v>383</v>
      </c>
      <c r="C1278" s="20" t="s">
        <v>13</v>
      </c>
      <c r="D1278" s="20" t="s">
        <v>29</v>
      </c>
      <c r="E1278" s="21" t="str">
        <f t="shared" si="4"/>
        <v>NSE:RELAXO</v>
      </c>
    </row>
    <row r="1279" ht="15.75" customHeight="1">
      <c r="A1279" s="30">
        <v>45496.0</v>
      </c>
      <c r="B1279" s="20" t="s">
        <v>843</v>
      </c>
      <c r="C1279" s="20" t="s">
        <v>16</v>
      </c>
      <c r="D1279" s="20" t="s">
        <v>14</v>
      </c>
      <c r="E1279" s="21" t="str">
        <f t="shared" si="4"/>
        <v>NSE:SOLARA</v>
      </c>
    </row>
    <row r="1280" ht="15.75" customHeight="1">
      <c r="A1280" s="30">
        <v>45496.0</v>
      </c>
      <c r="B1280" s="20" t="s">
        <v>727</v>
      </c>
      <c r="C1280" s="20" t="s">
        <v>16</v>
      </c>
      <c r="D1280" s="20" t="s">
        <v>22</v>
      </c>
      <c r="E1280" s="21" t="str">
        <f t="shared" si="4"/>
        <v>NSE:SRM</v>
      </c>
    </row>
    <row r="1281" ht="15.75" customHeight="1">
      <c r="A1281" s="30">
        <v>45496.0</v>
      </c>
      <c r="B1281" s="20" t="s">
        <v>607</v>
      </c>
      <c r="C1281" s="20" t="s">
        <v>16</v>
      </c>
      <c r="D1281" s="20" t="s">
        <v>22</v>
      </c>
      <c r="E1281" s="21" t="str">
        <f t="shared" si="4"/>
        <v>NSE:OMINFRAL</v>
      </c>
    </row>
    <row r="1282" ht="15.75" customHeight="1">
      <c r="A1282" s="30">
        <v>45496.0</v>
      </c>
      <c r="B1282" s="20" t="s">
        <v>390</v>
      </c>
      <c r="C1282" s="20" t="s">
        <v>16</v>
      </c>
      <c r="D1282" s="20" t="s">
        <v>53</v>
      </c>
      <c r="E1282" s="21" t="str">
        <f t="shared" si="4"/>
        <v>NSE:AXITA</v>
      </c>
    </row>
    <row r="1283" ht="15.75" customHeight="1">
      <c r="A1283" s="30">
        <v>45496.0</v>
      </c>
      <c r="B1283" s="20" t="s">
        <v>394</v>
      </c>
      <c r="C1283" s="20" t="s">
        <v>21</v>
      </c>
      <c r="D1283" s="20" t="s">
        <v>14</v>
      </c>
      <c r="E1283" s="21" t="str">
        <f t="shared" si="4"/>
        <v>NSE:FDC</v>
      </c>
    </row>
    <row r="1284" ht="15.75" customHeight="1">
      <c r="A1284" s="30">
        <v>45496.0</v>
      </c>
      <c r="B1284" s="20" t="s">
        <v>220</v>
      </c>
      <c r="C1284" s="20" t="s">
        <v>13</v>
      </c>
      <c r="D1284" s="20" t="s">
        <v>39</v>
      </c>
      <c r="E1284" s="21" t="str">
        <f t="shared" si="4"/>
        <v>NSE:360ONE</v>
      </c>
    </row>
    <row r="1285" ht="15.75" customHeight="1">
      <c r="A1285" s="30">
        <v>45496.0</v>
      </c>
      <c r="B1285" s="20" t="s">
        <v>611</v>
      </c>
      <c r="C1285" s="20" t="s">
        <v>21</v>
      </c>
      <c r="D1285" s="20" t="s">
        <v>27</v>
      </c>
      <c r="E1285" s="21" t="str">
        <f t="shared" si="4"/>
        <v>NSE:BORORENEW</v>
      </c>
    </row>
    <row r="1286" ht="15.75" customHeight="1">
      <c r="A1286" s="30">
        <v>45496.0</v>
      </c>
      <c r="B1286" s="20" t="s">
        <v>396</v>
      </c>
      <c r="C1286" s="20" t="s">
        <v>16</v>
      </c>
      <c r="D1286" s="20" t="s">
        <v>53</v>
      </c>
      <c r="E1286" s="21" t="str">
        <f t="shared" si="4"/>
        <v>NSE:AMBIKCO</v>
      </c>
    </row>
    <row r="1287" ht="15.75" customHeight="1">
      <c r="A1287" s="30">
        <v>45496.0</v>
      </c>
      <c r="B1287" s="20" t="s">
        <v>520</v>
      </c>
      <c r="C1287" s="20" t="s">
        <v>16</v>
      </c>
      <c r="D1287" s="20" t="s">
        <v>37</v>
      </c>
      <c r="E1287" s="21" t="str">
        <f t="shared" si="4"/>
        <v>NSE:SUBEXLTD</v>
      </c>
    </row>
    <row r="1288" ht="15.75" customHeight="1">
      <c r="A1288" s="30">
        <v>45496.0</v>
      </c>
      <c r="B1288" s="20" t="s">
        <v>844</v>
      </c>
      <c r="C1288" s="20" t="s">
        <v>16</v>
      </c>
      <c r="D1288" s="20" t="s">
        <v>37</v>
      </c>
      <c r="E1288" s="21" t="str">
        <f t="shared" si="4"/>
        <v>NSE:APTECHT</v>
      </c>
    </row>
    <row r="1289" ht="15.75" customHeight="1">
      <c r="A1289" s="30">
        <v>45496.0</v>
      </c>
      <c r="B1289" s="20" t="s">
        <v>655</v>
      </c>
      <c r="C1289" s="20" t="s">
        <v>21</v>
      </c>
      <c r="D1289" s="20" t="s">
        <v>14</v>
      </c>
      <c r="E1289" s="21" t="str">
        <f t="shared" si="4"/>
        <v>NSE:GRANULES</v>
      </c>
    </row>
    <row r="1290" ht="15.75" customHeight="1">
      <c r="A1290" s="30">
        <v>45496.0</v>
      </c>
      <c r="B1290" s="20" t="s">
        <v>703</v>
      </c>
      <c r="C1290" s="20" t="s">
        <v>13</v>
      </c>
      <c r="D1290" s="20" t="s">
        <v>31</v>
      </c>
      <c r="E1290" s="21" t="str">
        <f t="shared" si="4"/>
        <v>NSE:NTPC</v>
      </c>
    </row>
    <row r="1291" ht="15.75" customHeight="1">
      <c r="A1291" s="30">
        <v>45496.0</v>
      </c>
      <c r="B1291" s="20" t="s">
        <v>527</v>
      </c>
      <c r="C1291" s="20" t="s">
        <v>16</v>
      </c>
      <c r="D1291" s="20" t="s">
        <v>25</v>
      </c>
      <c r="E1291" s="21" t="str">
        <f t="shared" si="4"/>
        <v>NSE:POCL</v>
      </c>
    </row>
    <row r="1292" ht="15.75" customHeight="1">
      <c r="A1292" s="30">
        <v>45496.0</v>
      </c>
      <c r="B1292" s="20" t="s">
        <v>845</v>
      </c>
      <c r="C1292" s="20" t="s">
        <v>21</v>
      </c>
      <c r="D1292" s="20" t="s">
        <v>29</v>
      </c>
      <c r="E1292" s="21" t="str">
        <f t="shared" si="4"/>
        <v>NSE:GOKEX</v>
      </c>
    </row>
    <row r="1293" ht="15.75" customHeight="1">
      <c r="A1293" s="30">
        <v>45496.0</v>
      </c>
      <c r="B1293" s="20" t="s">
        <v>656</v>
      </c>
      <c r="C1293" s="20" t="s">
        <v>13</v>
      </c>
      <c r="D1293" s="20" t="s">
        <v>29</v>
      </c>
      <c r="E1293" s="21" t="str">
        <f t="shared" si="4"/>
        <v>NSE:SUZLON</v>
      </c>
    </row>
    <row r="1294" ht="15.75" customHeight="1">
      <c r="A1294" s="30">
        <v>45496.0</v>
      </c>
      <c r="B1294" s="20" t="s">
        <v>225</v>
      </c>
      <c r="C1294" s="20" t="s">
        <v>21</v>
      </c>
      <c r="D1294" s="20" t="s">
        <v>50</v>
      </c>
      <c r="E1294" s="21" t="str">
        <f t="shared" si="4"/>
        <v>NSE:PVRINOX</v>
      </c>
    </row>
    <row r="1295" ht="15.75" customHeight="1">
      <c r="A1295" s="30">
        <v>45496.0</v>
      </c>
      <c r="B1295" s="20" t="s">
        <v>659</v>
      </c>
      <c r="C1295" s="20" t="s">
        <v>16</v>
      </c>
      <c r="D1295" s="20" t="s">
        <v>17</v>
      </c>
      <c r="E1295" s="21" t="str">
        <f t="shared" si="4"/>
        <v>NSE:SHIVAMAUTO</v>
      </c>
    </row>
    <row r="1296" ht="15.75" customHeight="1">
      <c r="A1296" s="30">
        <v>45496.0</v>
      </c>
      <c r="B1296" s="20" t="s">
        <v>288</v>
      </c>
      <c r="C1296" s="20" t="s">
        <v>16</v>
      </c>
      <c r="D1296" s="20" t="s">
        <v>27</v>
      </c>
      <c r="E1296" s="21" t="str">
        <f t="shared" si="4"/>
        <v>NSE:SRHHYPOLTD</v>
      </c>
    </row>
    <row r="1297" ht="15.75" customHeight="1">
      <c r="A1297" s="30">
        <v>45496.0</v>
      </c>
      <c r="B1297" s="20" t="s">
        <v>530</v>
      </c>
      <c r="C1297" s="20" t="s">
        <v>16</v>
      </c>
      <c r="D1297" s="20" t="s">
        <v>22</v>
      </c>
      <c r="E1297" s="21" t="str">
        <f t="shared" si="4"/>
        <v>NSE:OMAXE</v>
      </c>
    </row>
    <row r="1298" ht="15.75" customHeight="1">
      <c r="A1298" s="30">
        <v>45496.0</v>
      </c>
      <c r="B1298" s="20" t="s">
        <v>846</v>
      </c>
      <c r="C1298" s="20" t="s">
        <v>21</v>
      </c>
      <c r="D1298" s="20" t="s">
        <v>31</v>
      </c>
      <c r="E1298" s="21" t="str">
        <f t="shared" si="4"/>
        <v>NSE:KSCL</v>
      </c>
    </row>
    <row r="1299" ht="15.75" customHeight="1">
      <c r="A1299" s="30">
        <v>45496.0</v>
      </c>
      <c r="B1299" s="20" t="s">
        <v>261</v>
      </c>
      <c r="C1299" s="20" t="s">
        <v>13</v>
      </c>
      <c r="D1299" s="20" t="s">
        <v>27</v>
      </c>
      <c r="E1299" s="21" t="str">
        <f t="shared" si="4"/>
        <v>NSE:ADANIPORTS</v>
      </c>
    </row>
    <row r="1300" ht="15.75" customHeight="1">
      <c r="A1300" s="30">
        <v>45496.0</v>
      </c>
      <c r="B1300" s="20" t="s">
        <v>121</v>
      </c>
      <c r="C1300" s="20" t="s">
        <v>21</v>
      </c>
      <c r="D1300" s="20" t="s">
        <v>29</v>
      </c>
      <c r="E1300" s="21" t="str">
        <f t="shared" si="4"/>
        <v>NSE:JYOTHYLAB</v>
      </c>
    </row>
    <row r="1301" ht="15.75" customHeight="1">
      <c r="A1301" s="30">
        <v>45496.0</v>
      </c>
      <c r="B1301" s="20" t="s">
        <v>847</v>
      </c>
      <c r="C1301" s="20" t="s">
        <v>16</v>
      </c>
      <c r="D1301" s="20" t="s">
        <v>27</v>
      </c>
      <c r="E1301" s="21" t="str">
        <f t="shared" si="4"/>
        <v>NSE:20MICRONS</v>
      </c>
    </row>
    <row r="1302" ht="15.75" customHeight="1">
      <c r="A1302" s="30">
        <v>45496.0</v>
      </c>
      <c r="B1302" s="20" t="s">
        <v>848</v>
      </c>
      <c r="C1302" s="20" t="s">
        <v>21</v>
      </c>
      <c r="D1302" s="20" t="s">
        <v>55</v>
      </c>
      <c r="E1302" s="21" t="str">
        <f t="shared" si="4"/>
        <v>NSE:MHRIL</v>
      </c>
    </row>
    <row r="1303" ht="15.75" customHeight="1">
      <c r="A1303" s="30">
        <v>45496.0</v>
      </c>
      <c r="B1303" s="20" t="s">
        <v>532</v>
      </c>
      <c r="C1303" s="20" t="s">
        <v>16</v>
      </c>
      <c r="D1303" s="20" t="s">
        <v>29</v>
      </c>
      <c r="E1303" s="21" t="str">
        <f t="shared" si="4"/>
        <v>NSE:GLOBUSSPR</v>
      </c>
    </row>
    <row r="1304" ht="15.75" customHeight="1">
      <c r="A1304" s="30">
        <v>45496.0</v>
      </c>
      <c r="B1304" s="20" t="s">
        <v>151</v>
      </c>
      <c r="C1304" s="20" t="s">
        <v>16</v>
      </c>
      <c r="D1304" s="20" t="s">
        <v>19</v>
      </c>
      <c r="E1304" s="21" t="str">
        <f t="shared" si="4"/>
        <v>NSE:ROSSELLIND</v>
      </c>
    </row>
    <row r="1305" ht="15.75" customHeight="1">
      <c r="A1305" s="30">
        <v>45496.0</v>
      </c>
      <c r="B1305" s="20" t="s">
        <v>618</v>
      </c>
      <c r="C1305" s="20" t="s">
        <v>21</v>
      </c>
      <c r="D1305" s="20" t="s">
        <v>22</v>
      </c>
      <c r="E1305" s="21" t="str">
        <f t="shared" si="4"/>
        <v>NSE:RAMKY</v>
      </c>
    </row>
    <row r="1306" ht="15.75" customHeight="1">
      <c r="A1306" s="30">
        <v>45496.0</v>
      </c>
      <c r="B1306" s="20" t="s">
        <v>734</v>
      </c>
      <c r="C1306" s="20" t="s">
        <v>16</v>
      </c>
      <c r="D1306" s="20" t="s">
        <v>91</v>
      </c>
      <c r="E1306" s="21" t="str">
        <f t="shared" si="4"/>
        <v>NSE:RUSHIL</v>
      </c>
    </row>
    <row r="1307" ht="15.75" customHeight="1">
      <c r="A1307" s="30">
        <v>45496.0</v>
      </c>
      <c r="B1307" s="20" t="s">
        <v>539</v>
      </c>
      <c r="C1307" s="20" t="s">
        <v>16</v>
      </c>
      <c r="D1307" s="20" t="s">
        <v>31</v>
      </c>
      <c r="E1307" s="21" t="str">
        <f t="shared" si="4"/>
        <v>NSE:TBZ</v>
      </c>
    </row>
    <row r="1308" ht="15.75" customHeight="1">
      <c r="A1308" s="30">
        <v>45496.0</v>
      </c>
      <c r="B1308" s="20" t="s">
        <v>792</v>
      </c>
      <c r="C1308" s="20" t="s">
        <v>13</v>
      </c>
      <c r="D1308" s="20" t="s">
        <v>31</v>
      </c>
      <c r="E1308" s="21" t="str">
        <f t="shared" si="4"/>
        <v>NSE:KALYANKJIL</v>
      </c>
    </row>
    <row r="1309" ht="15.75" customHeight="1">
      <c r="A1309" s="30">
        <v>45496.0</v>
      </c>
      <c r="B1309" s="20" t="s">
        <v>849</v>
      </c>
      <c r="C1309" s="20" t="s">
        <v>16</v>
      </c>
      <c r="D1309" s="20" t="s">
        <v>55</v>
      </c>
      <c r="E1309" s="21" t="str">
        <f t="shared" si="4"/>
        <v>NSE:SNOWMAN</v>
      </c>
    </row>
    <row r="1310" ht="15.75" customHeight="1">
      <c r="A1310" s="30">
        <v>45496.0</v>
      </c>
      <c r="B1310" s="20" t="s">
        <v>439</v>
      </c>
      <c r="C1310" s="20" t="s">
        <v>21</v>
      </c>
      <c r="D1310" s="20" t="s">
        <v>27</v>
      </c>
      <c r="E1310" s="21" t="str">
        <f t="shared" si="4"/>
        <v>NSE:SHARDACROP</v>
      </c>
    </row>
    <row r="1311" ht="15.75" customHeight="1">
      <c r="A1311" s="30">
        <v>45496.0</v>
      </c>
      <c r="B1311" s="20" t="s">
        <v>263</v>
      </c>
      <c r="C1311" s="20" t="s">
        <v>13</v>
      </c>
      <c r="D1311" s="20" t="s">
        <v>55</v>
      </c>
      <c r="E1311" s="21" t="str">
        <f t="shared" si="4"/>
        <v>NSE:STARHEALTH</v>
      </c>
    </row>
    <row r="1312" ht="15.75" customHeight="1">
      <c r="A1312" s="30">
        <v>45496.0</v>
      </c>
      <c r="B1312" s="20" t="s">
        <v>126</v>
      </c>
      <c r="C1312" s="20" t="s">
        <v>16</v>
      </c>
      <c r="D1312" s="20" t="s">
        <v>53</v>
      </c>
      <c r="E1312" s="21" t="str">
        <f t="shared" si="4"/>
        <v>NSE:MONTECARLO</v>
      </c>
    </row>
    <row r="1313" ht="15.75" customHeight="1">
      <c r="A1313" s="30">
        <v>45496.0</v>
      </c>
      <c r="B1313" s="20" t="s">
        <v>802</v>
      </c>
      <c r="C1313" s="20" t="s">
        <v>13</v>
      </c>
      <c r="D1313" s="20" t="s">
        <v>31</v>
      </c>
      <c r="E1313" s="21" t="str">
        <f t="shared" si="4"/>
        <v>NSE:ADANIENSOL</v>
      </c>
    </row>
    <row r="1314" ht="15.75" customHeight="1">
      <c r="A1314" s="30">
        <v>45496.0</v>
      </c>
      <c r="B1314" s="20" t="s">
        <v>447</v>
      </c>
      <c r="C1314" s="20" t="s">
        <v>21</v>
      </c>
      <c r="D1314" s="20" t="s">
        <v>31</v>
      </c>
      <c r="E1314" s="21" t="str">
        <f t="shared" si="4"/>
        <v>NSE:QUESS</v>
      </c>
    </row>
    <row r="1315" ht="15.75" customHeight="1">
      <c r="A1315" s="30">
        <v>45496.0</v>
      </c>
      <c r="B1315" s="20" t="s">
        <v>850</v>
      </c>
      <c r="C1315" s="20" t="s">
        <v>16</v>
      </c>
      <c r="D1315" s="20" t="s">
        <v>31</v>
      </c>
      <c r="E1315" s="21" t="str">
        <f t="shared" si="4"/>
        <v>NSE:RADHIKAJWE</v>
      </c>
    </row>
    <row r="1316" ht="15.75" customHeight="1">
      <c r="A1316" s="30">
        <v>45497.0</v>
      </c>
      <c r="B1316" s="20" t="s">
        <v>295</v>
      </c>
      <c r="C1316" s="20" t="s">
        <v>21</v>
      </c>
      <c r="D1316" s="20" t="s">
        <v>29</v>
      </c>
      <c r="E1316" s="21" t="str">
        <f t="shared" si="4"/>
        <v>NSE:SFL</v>
      </c>
    </row>
    <row r="1317" ht="15.75" customHeight="1">
      <c r="A1317" s="30">
        <v>45497.0</v>
      </c>
      <c r="B1317" s="20" t="s">
        <v>851</v>
      </c>
      <c r="C1317" s="20" t="s">
        <v>16</v>
      </c>
      <c r="D1317" s="20" t="s">
        <v>27</v>
      </c>
      <c r="E1317" s="21" t="str">
        <f t="shared" si="4"/>
        <v>NSE:TIDEWATER</v>
      </c>
    </row>
    <row r="1318" ht="15.75" customHeight="1">
      <c r="A1318" s="30">
        <v>45497.0</v>
      </c>
      <c r="B1318" s="20" t="s">
        <v>736</v>
      </c>
      <c r="C1318" s="20" t="s">
        <v>21</v>
      </c>
      <c r="D1318" s="20" t="s">
        <v>29</v>
      </c>
      <c r="E1318" s="21" t="str">
        <f t="shared" si="4"/>
        <v>NSE:BALRAMCHIN</v>
      </c>
    </row>
    <row r="1319" ht="15.75" customHeight="1">
      <c r="A1319" s="30">
        <v>45497.0</v>
      </c>
      <c r="B1319" s="20" t="s">
        <v>15</v>
      </c>
      <c r="C1319" s="20" t="s">
        <v>21</v>
      </c>
      <c r="D1319" s="20" t="s">
        <v>17</v>
      </c>
      <c r="E1319" s="21" t="str">
        <f t="shared" si="4"/>
        <v>NSE:BANCOINDIA</v>
      </c>
    </row>
    <row r="1320" ht="15.75" customHeight="1">
      <c r="A1320" s="30">
        <v>45497.0</v>
      </c>
      <c r="B1320" s="20" t="s">
        <v>452</v>
      </c>
      <c r="C1320" s="20" t="s">
        <v>16</v>
      </c>
      <c r="D1320" s="20" t="s">
        <v>17</v>
      </c>
      <c r="E1320" s="21" t="str">
        <f t="shared" si="4"/>
        <v>NSE:IMPAL</v>
      </c>
    </row>
    <row r="1321" ht="15.75" customHeight="1">
      <c r="A1321" s="30">
        <v>45497.0</v>
      </c>
      <c r="B1321" s="20" t="s">
        <v>781</v>
      </c>
      <c r="C1321" s="20" t="s">
        <v>13</v>
      </c>
      <c r="D1321" s="20" t="s">
        <v>39</v>
      </c>
      <c r="E1321" s="21" t="str">
        <f t="shared" si="4"/>
        <v>NSE:IFCI</v>
      </c>
    </row>
    <row r="1322" ht="15.75" customHeight="1">
      <c r="A1322" s="30">
        <v>45497.0</v>
      </c>
      <c r="B1322" s="20" t="s">
        <v>852</v>
      </c>
      <c r="C1322" s="20" t="s">
        <v>13</v>
      </c>
      <c r="D1322" s="20" t="s">
        <v>185</v>
      </c>
      <c r="E1322" s="21" t="str">
        <f t="shared" si="4"/>
        <v>NSE:IDBI</v>
      </c>
    </row>
    <row r="1323" ht="15.75" customHeight="1">
      <c r="A1323" s="30">
        <v>45497.0</v>
      </c>
      <c r="B1323" s="20" t="s">
        <v>239</v>
      </c>
      <c r="C1323" s="20" t="s">
        <v>16</v>
      </c>
      <c r="D1323" s="20" t="s">
        <v>27</v>
      </c>
      <c r="E1323" s="21" t="str">
        <f t="shared" si="4"/>
        <v>NSE:DIAMINESQ</v>
      </c>
    </row>
    <row r="1324" ht="15.75" customHeight="1">
      <c r="A1324" s="30">
        <v>45497.0</v>
      </c>
      <c r="B1324" s="20" t="s">
        <v>676</v>
      </c>
      <c r="C1324" s="20" t="s">
        <v>16</v>
      </c>
      <c r="D1324" s="20" t="s">
        <v>27</v>
      </c>
      <c r="E1324" s="21" t="str">
        <f t="shared" si="4"/>
        <v>NSE:FOSECOIND</v>
      </c>
    </row>
    <row r="1325" ht="15.75" customHeight="1">
      <c r="A1325" s="30">
        <v>45497.0</v>
      </c>
      <c r="B1325" s="20" t="s">
        <v>677</v>
      </c>
      <c r="C1325" s="20" t="s">
        <v>21</v>
      </c>
      <c r="D1325" s="20" t="s">
        <v>22</v>
      </c>
      <c r="E1325" s="21" t="str">
        <f t="shared" si="4"/>
        <v>NSE:HCC</v>
      </c>
    </row>
    <row r="1326" ht="15.75" customHeight="1">
      <c r="A1326" s="30">
        <v>45497.0</v>
      </c>
      <c r="B1326" s="20" t="s">
        <v>560</v>
      </c>
      <c r="C1326" s="20" t="s">
        <v>16</v>
      </c>
      <c r="D1326" s="20" t="s">
        <v>64</v>
      </c>
      <c r="E1326" s="21" t="str">
        <f t="shared" si="4"/>
        <v>NSE:HINDOILEXP</v>
      </c>
    </row>
    <row r="1327" ht="15.75" customHeight="1">
      <c r="A1327" s="30">
        <v>45497.0</v>
      </c>
      <c r="B1327" s="20" t="s">
        <v>304</v>
      </c>
      <c r="C1327" s="20" t="s">
        <v>16</v>
      </c>
      <c r="D1327" s="20" t="s">
        <v>53</v>
      </c>
      <c r="E1327" s="21" t="str">
        <f t="shared" si="4"/>
        <v>NSE:INDORAMA</v>
      </c>
    </row>
    <row r="1328" ht="15.75" customHeight="1">
      <c r="A1328" s="30">
        <v>45497.0</v>
      </c>
      <c r="B1328" s="20" t="s">
        <v>769</v>
      </c>
      <c r="C1328" s="20" t="s">
        <v>21</v>
      </c>
      <c r="D1328" s="20" t="s">
        <v>29</v>
      </c>
      <c r="E1328" s="21" t="str">
        <f t="shared" si="4"/>
        <v>NSE:IONEXCHANG</v>
      </c>
    </row>
    <row r="1329" ht="15.75" customHeight="1">
      <c r="A1329" s="30">
        <v>45497.0</v>
      </c>
      <c r="B1329" s="20" t="s">
        <v>456</v>
      </c>
      <c r="C1329" s="20" t="s">
        <v>16</v>
      </c>
      <c r="D1329" s="20" t="s">
        <v>29</v>
      </c>
      <c r="E1329" s="21" t="str">
        <f t="shared" si="4"/>
        <v>NSE:ATFL</v>
      </c>
    </row>
    <row r="1330" ht="15.75" customHeight="1">
      <c r="A1330" s="30">
        <v>45497.0</v>
      </c>
      <c r="B1330" s="20" t="s">
        <v>307</v>
      </c>
      <c r="C1330" s="20" t="s">
        <v>13</v>
      </c>
      <c r="D1330" s="20" t="s">
        <v>39</v>
      </c>
      <c r="E1330" s="21" t="str">
        <f t="shared" si="4"/>
        <v>NSE:MFSL</v>
      </c>
    </row>
    <row r="1331" ht="15.75" customHeight="1">
      <c r="A1331" s="30">
        <v>45497.0</v>
      </c>
      <c r="B1331" s="20" t="s">
        <v>816</v>
      </c>
      <c r="C1331" s="20" t="s">
        <v>13</v>
      </c>
      <c r="D1331" s="20" t="s">
        <v>29</v>
      </c>
      <c r="E1331" s="21" t="str">
        <f t="shared" si="4"/>
        <v>NSE:PGHH</v>
      </c>
    </row>
    <row r="1332" ht="15.75" customHeight="1">
      <c r="A1332" s="30">
        <v>45497.0</v>
      </c>
      <c r="B1332" s="20" t="s">
        <v>166</v>
      </c>
      <c r="C1332" s="20" t="s">
        <v>21</v>
      </c>
      <c r="D1332" s="20" t="s">
        <v>37</v>
      </c>
      <c r="E1332" s="21" t="str">
        <f t="shared" si="4"/>
        <v>NSE:BBOX</v>
      </c>
    </row>
    <row r="1333" ht="15.75" customHeight="1">
      <c r="A1333" s="30">
        <v>45497.0</v>
      </c>
      <c r="B1333" s="20" t="s">
        <v>565</v>
      </c>
      <c r="C1333" s="20" t="s">
        <v>13</v>
      </c>
      <c r="D1333" s="20" t="s">
        <v>185</v>
      </c>
      <c r="E1333" s="21" t="str">
        <f t="shared" si="4"/>
        <v>NSE:FEDERALBNK</v>
      </c>
    </row>
    <row r="1334" ht="15.75" customHeight="1">
      <c r="A1334" s="30">
        <v>45497.0</v>
      </c>
      <c r="B1334" s="20" t="s">
        <v>853</v>
      </c>
      <c r="C1334" s="20" t="s">
        <v>13</v>
      </c>
      <c r="D1334" s="20" t="s">
        <v>156</v>
      </c>
      <c r="E1334" s="21" t="str">
        <f t="shared" si="4"/>
        <v>NSE:TATACOMM</v>
      </c>
    </row>
    <row r="1335" ht="15.75" customHeight="1">
      <c r="A1335" s="30">
        <v>45497.0</v>
      </c>
      <c r="B1335" s="20" t="s">
        <v>26</v>
      </c>
      <c r="C1335" s="20" t="s">
        <v>13</v>
      </c>
      <c r="D1335" s="20" t="s">
        <v>27</v>
      </c>
      <c r="E1335" s="21" t="str">
        <f t="shared" si="4"/>
        <v>NSE:CASTROLIND</v>
      </c>
    </row>
    <row r="1336" ht="15.75" customHeight="1">
      <c r="A1336" s="30">
        <v>45497.0</v>
      </c>
      <c r="B1336" s="20" t="s">
        <v>854</v>
      </c>
      <c r="C1336" s="20" t="s">
        <v>13</v>
      </c>
      <c r="D1336" s="20" t="s">
        <v>29</v>
      </c>
      <c r="E1336" s="21" t="str">
        <f t="shared" si="4"/>
        <v>NSE:ITC</v>
      </c>
    </row>
    <row r="1337" ht="15.75" customHeight="1">
      <c r="A1337" s="30">
        <v>45497.0</v>
      </c>
      <c r="B1337" s="20" t="s">
        <v>794</v>
      </c>
      <c r="C1337" s="20" t="s">
        <v>13</v>
      </c>
      <c r="D1337" s="20" t="s">
        <v>17</v>
      </c>
      <c r="E1337" s="21" t="str">
        <f t="shared" si="4"/>
        <v>NSE:APOLLOTYRE</v>
      </c>
    </row>
    <row r="1338" ht="15.75" customHeight="1">
      <c r="A1338" s="30">
        <v>45497.0</v>
      </c>
      <c r="B1338" s="20" t="s">
        <v>855</v>
      </c>
      <c r="C1338" s="20" t="s">
        <v>16</v>
      </c>
      <c r="D1338" s="20" t="s">
        <v>27</v>
      </c>
      <c r="E1338" s="21" t="str">
        <f t="shared" si="4"/>
        <v>NSE:MANGLMCEM</v>
      </c>
    </row>
    <row r="1339" ht="15.75" customHeight="1">
      <c r="A1339" s="30">
        <v>45497.0</v>
      </c>
      <c r="B1339" s="20" t="s">
        <v>321</v>
      </c>
      <c r="C1339" s="20" t="s">
        <v>16</v>
      </c>
      <c r="D1339" s="20" t="s">
        <v>27</v>
      </c>
      <c r="E1339" s="21" t="str">
        <f t="shared" si="4"/>
        <v>NSE:SAURASHCEM</v>
      </c>
    </row>
    <row r="1340" ht="15.75" customHeight="1">
      <c r="A1340" s="30">
        <v>45497.0</v>
      </c>
      <c r="B1340" s="20" t="s">
        <v>133</v>
      </c>
      <c r="C1340" s="20" t="s">
        <v>16</v>
      </c>
      <c r="D1340" s="20" t="s">
        <v>27</v>
      </c>
      <c r="E1340" s="21" t="str">
        <f t="shared" si="4"/>
        <v>NSE:BOROLTD</v>
      </c>
    </row>
    <row r="1341" ht="15.75" customHeight="1">
      <c r="A1341" s="30">
        <v>45497.0</v>
      </c>
      <c r="B1341" s="20" t="s">
        <v>323</v>
      </c>
      <c r="C1341" s="20" t="s">
        <v>16</v>
      </c>
      <c r="D1341" s="20" t="s">
        <v>53</v>
      </c>
      <c r="E1341" s="21" t="str">
        <f t="shared" si="4"/>
        <v>NSE:BANSWRAS</v>
      </c>
    </row>
    <row r="1342" ht="15.75" customHeight="1">
      <c r="A1342" s="30">
        <v>45497.0</v>
      </c>
      <c r="B1342" s="20" t="s">
        <v>325</v>
      </c>
      <c r="C1342" s="20" t="s">
        <v>16</v>
      </c>
      <c r="D1342" s="20" t="s">
        <v>22</v>
      </c>
      <c r="E1342" s="21" t="str">
        <f t="shared" si="4"/>
        <v>NSE:WSI</v>
      </c>
    </row>
    <row r="1343" ht="15.75" customHeight="1">
      <c r="A1343" s="30">
        <v>45497.0</v>
      </c>
      <c r="B1343" s="20" t="s">
        <v>472</v>
      </c>
      <c r="C1343" s="20" t="s">
        <v>16</v>
      </c>
      <c r="D1343" s="20" t="s">
        <v>17</v>
      </c>
      <c r="E1343" s="21" t="str">
        <f t="shared" si="4"/>
        <v>NSE:TALBROAUTO</v>
      </c>
    </row>
    <row r="1344" ht="15.75" customHeight="1">
      <c r="A1344" s="30">
        <v>45497.0</v>
      </c>
      <c r="B1344" s="20" t="s">
        <v>273</v>
      </c>
      <c r="C1344" s="20" t="s">
        <v>16</v>
      </c>
      <c r="D1344" s="20" t="s">
        <v>64</v>
      </c>
      <c r="E1344" s="21" t="str">
        <f t="shared" si="4"/>
        <v>NSE:STYRENIX</v>
      </c>
    </row>
    <row r="1345" ht="15.75" customHeight="1">
      <c r="A1345" s="30">
        <v>45497.0</v>
      </c>
      <c r="B1345" s="20" t="s">
        <v>34</v>
      </c>
      <c r="C1345" s="20" t="s">
        <v>13</v>
      </c>
      <c r="D1345" s="20" t="s">
        <v>27</v>
      </c>
      <c r="E1345" s="21" t="str">
        <f t="shared" si="4"/>
        <v>NSE:DEEPAKNTR</v>
      </c>
    </row>
    <row r="1346" ht="15.75" customHeight="1">
      <c r="A1346" s="30">
        <v>45497.0</v>
      </c>
      <c r="B1346" s="20" t="s">
        <v>571</v>
      </c>
      <c r="C1346" s="20" t="s">
        <v>16</v>
      </c>
      <c r="D1346" s="20" t="s">
        <v>64</v>
      </c>
      <c r="E1346" s="21" t="str">
        <f t="shared" si="4"/>
        <v>NSE:KOTHARIPET</v>
      </c>
    </row>
    <row r="1347" ht="15.75" customHeight="1">
      <c r="A1347" s="30">
        <v>45497.0</v>
      </c>
      <c r="B1347" s="20" t="s">
        <v>331</v>
      </c>
      <c r="C1347" s="20" t="s">
        <v>16</v>
      </c>
      <c r="D1347" s="20" t="s">
        <v>29</v>
      </c>
      <c r="E1347" s="21" t="str">
        <f t="shared" si="4"/>
        <v>NSE:WALCHANNAG</v>
      </c>
    </row>
    <row r="1348" ht="15.75" customHeight="1">
      <c r="A1348" s="30">
        <v>45497.0</v>
      </c>
      <c r="B1348" s="20" t="s">
        <v>856</v>
      </c>
      <c r="C1348" s="20" t="s">
        <v>16</v>
      </c>
      <c r="D1348" s="20" t="s">
        <v>25</v>
      </c>
      <c r="E1348" s="21" t="str">
        <f t="shared" si="4"/>
        <v>NSE:SATINDLTD</v>
      </c>
    </row>
    <row r="1349" ht="15.75" customHeight="1">
      <c r="A1349" s="30">
        <v>45497.0</v>
      </c>
      <c r="B1349" s="20" t="s">
        <v>337</v>
      </c>
      <c r="C1349" s="20" t="s">
        <v>16</v>
      </c>
      <c r="D1349" s="20" t="s">
        <v>55</v>
      </c>
      <c r="E1349" s="21" t="str">
        <f t="shared" si="4"/>
        <v>NSE:MONARCH</v>
      </c>
    </row>
    <row r="1350" ht="15.75" customHeight="1">
      <c r="A1350" s="30">
        <v>45497.0</v>
      </c>
      <c r="B1350" s="20" t="s">
        <v>338</v>
      </c>
      <c r="C1350" s="20" t="s">
        <v>16</v>
      </c>
      <c r="D1350" s="20" t="s">
        <v>55</v>
      </c>
      <c r="E1350" s="21" t="str">
        <f t="shared" si="4"/>
        <v>NSE:ARIHANTCAP</v>
      </c>
    </row>
    <row r="1351" ht="15.75" customHeight="1">
      <c r="A1351" s="30">
        <v>45497.0</v>
      </c>
      <c r="B1351" s="20" t="s">
        <v>857</v>
      </c>
      <c r="C1351" s="20" t="s">
        <v>21</v>
      </c>
      <c r="D1351" s="20" t="s">
        <v>29</v>
      </c>
      <c r="E1351" s="21" t="str">
        <f t="shared" si="4"/>
        <v>NSE:CAMPUS</v>
      </c>
    </row>
    <row r="1352" ht="15.75" customHeight="1">
      <c r="A1352" s="30">
        <v>45497.0</v>
      </c>
      <c r="B1352" s="20" t="s">
        <v>577</v>
      </c>
      <c r="C1352" s="20" t="s">
        <v>16</v>
      </c>
      <c r="D1352" s="20" t="s">
        <v>55</v>
      </c>
      <c r="E1352" s="21" t="str">
        <f t="shared" si="4"/>
        <v>NSE:STCINDIA</v>
      </c>
    </row>
    <row r="1353" ht="15.75" customHeight="1">
      <c r="A1353" s="30">
        <v>45497.0</v>
      </c>
      <c r="B1353" s="20" t="s">
        <v>476</v>
      </c>
      <c r="C1353" s="20" t="s">
        <v>21</v>
      </c>
      <c r="D1353" s="20" t="s">
        <v>55</v>
      </c>
      <c r="E1353" s="21" t="str">
        <f t="shared" si="4"/>
        <v>NSE:PRUDENT</v>
      </c>
    </row>
    <row r="1354" ht="15.75" customHeight="1">
      <c r="A1354" s="30">
        <v>45497.0</v>
      </c>
      <c r="B1354" s="20" t="s">
        <v>578</v>
      </c>
      <c r="C1354" s="20" t="s">
        <v>21</v>
      </c>
      <c r="D1354" s="20" t="s">
        <v>55</v>
      </c>
      <c r="E1354" s="21" t="str">
        <f t="shared" si="4"/>
        <v>NSE:MMTC</v>
      </c>
    </row>
    <row r="1355" ht="15.75" customHeight="1">
      <c r="A1355" s="30">
        <v>45497.0</v>
      </c>
      <c r="B1355" s="20" t="s">
        <v>347</v>
      </c>
      <c r="C1355" s="20" t="s">
        <v>16</v>
      </c>
      <c r="D1355" s="20" t="s">
        <v>53</v>
      </c>
      <c r="E1355" s="21" t="str">
        <f t="shared" si="4"/>
        <v>NSE:HIMATSEIDE</v>
      </c>
    </row>
    <row r="1356" ht="15.75" customHeight="1">
      <c r="A1356" s="30">
        <v>45497.0</v>
      </c>
      <c r="B1356" s="20" t="s">
        <v>350</v>
      </c>
      <c r="C1356" s="20" t="s">
        <v>16</v>
      </c>
      <c r="D1356" s="20" t="s">
        <v>17</v>
      </c>
      <c r="E1356" s="21" t="str">
        <f t="shared" si="4"/>
        <v>NSE:SUBROS</v>
      </c>
    </row>
    <row r="1357" ht="15.75" customHeight="1">
      <c r="A1357" s="30">
        <v>45497.0</v>
      </c>
      <c r="B1357" s="20" t="s">
        <v>351</v>
      </c>
      <c r="C1357" s="20" t="s">
        <v>16</v>
      </c>
      <c r="D1357" s="20" t="s">
        <v>29</v>
      </c>
      <c r="E1357" s="21" t="str">
        <f t="shared" si="4"/>
        <v>NSE:ROTO</v>
      </c>
    </row>
    <row r="1358" ht="15.75" customHeight="1">
      <c r="A1358" s="30">
        <v>45497.0</v>
      </c>
      <c r="B1358" s="20" t="s">
        <v>483</v>
      </c>
      <c r="C1358" s="20" t="s">
        <v>16</v>
      </c>
      <c r="D1358" s="20" t="s">
        <v>27</v>
      </c>
      <c r="E1358" s="21" t="str">
        <f t="shared" si="4"/>
        <v>NSE:DHARMAJ</v>
      </c>
    </row>
    <row r="1359" ht="15.75" customHeight="1">
      <c r="A1359" s="30">
        <v>45497.0</v>
      </c>
      <c r="B1359" s="20" t="s">
        <v>743</v>
      </c>
      <c r="C1359" s="20" t="s">
        <v>21</v>
      </c>
      <c r="D1359" s="20" t="s">
        <v>29</v>
      </c>
      <c r="E1359" s="21" t="str">
        <f t="shared" si="4"/>
        <v>NSE:CCL</v>
      </c>
    </row>
    <row r="1360" ht="15.75" customHeight="1">
      <c r="A1360" s="30">
        <v>45497.0</v>
      </c>
      <c r="B1360" s="20" t="s">
        <v>354</v>
      </c>
      <c r="C1360" s="20" t="s">
        <v>16</v>
      </c>
      <c r="D1360" s="20" t="s">
        <v>17</v>
      </c>
      <c r="E1360" s="21" t="str">
        <f t="shared" si="4"/>
        <v>NSE:MUNJALSHOW</v>
      </c>
    </row>
    <row r="1361" ht="15.75" customHeight="1">
      <c r="A1361" s="30">
        <v>45497.0</v>
      </c>
      <c r="B1361" s="20" t="s">
        <v>580</v>
      </c>
      <c r="C1361" s="20" t="s">
        <v>21</v>
      </c>
      <c r="D1361" s="20" t="s">
        <v>17</v>
      </c>
      <c r="E1361" s="21" t="str">
        <f t="shared" si="4"/>
        <v>NSE:JAMNAAUTO</v>
      </c>
    </row>
    <row r="1362" ht="15.75" customHeight="1">
      <c r="A1362" s="30">
        <v>45497.0</v>
      </c>
      <c r="B1362" s="20" t="s">
        <v>811</v>
      </c>
      <c r="C1362" s="20" t="s">
        <v>21</v>
      </c>
      <c r="D1362" s="20" t="s">
        <v>39</v>
      </c>
      <c r="E1362" s="21" t="str">
        <f t="shared" si="4"/>
        <v>NSE:JMFINANCIL</v>
      </c>
    </row>
    <row r="1363" ht="15.75" customHeight="1">
      <c r="A1363" s="30">
        <v>45497.0</v>
      </c>
      <c r="B1363" s="20" t="s">
        <v>207</v>
      </c>
      <c r="C1363" s="20" t="s">
        <v>16</v>
      </c>
      <c r="D1363" s="20" t="s">
        <v>53</v>
      </c>
      <c r="E1363" s="21" t="str">
        <f t="shared" si="4"/>
        <v>NSE:GHCLTEXTIL</v>
      </c>
    </row>
    <row r="1364" ht="15.75" customHeight="1">
      <c r="A1364" s="30">
        <v>45497.0</v>
      </c>
      <c r="B1364" s="20" t="s">
        <v>786</v>
      </c>
      <c r="C1364" s="20" t="s">
        <v>16</v>
      </c>
      <c r="D1364" s="20" t="s">
        <v>55</v>
      </c>
      <c r="E1364" s="21" t="str">
        <f t="shared" si="4"/>
        <v>NSE:DVL</v>
      </c>
    </row>
    <row r="1365" ht="15.75" customHeight="1">
      <c r="A1365" s="30">
        <v>45497.0</v>
      </c>
      <c r="B1365" s="20" t="s">
        <v>818</v>
      </c>
      <c r="C1365" s="20" t="s">
        <v>16</v>
      </c>
      <c r="D1365" s="20" t="s">
        <v>29</v>
      </c>
      <c r="E1365" s="21" t="str">
        <f t="shared" si="4"/>
        <v>NSE:KINGFA</v>
      </c>
    </row>
    <row r="1366" ht="15.75" customHeight="1">
      <c r="A1366" s="30">
        <v>45497.0</v>
      </c>
      <c r="B1366" s="20" t="s">
        <v>720</v>
      </c>
      <c r="C1366" s="20" t="s">
        <v>16</v>
      </c>
      <c r="D1366" s="20" t="s">
        <v>27</v>
      </c>
      <c r="E1366" s="21" t="str">
        <f t="shared" si="4"/>
        <v>NSE:BODALCHEM</v>
      </c>
    </row>
    <row r="1367" ht="15.75" customHeight="1">
      <c r="A1367" s="30">
        <v>45497.0</v>
      </c>
      <c r="B1367" s="20" t="s">
        <v>360</v>
      </c>
      <c r="C1367" s="20" t="s">
        <v>21</v>
      </c>
      <c r="D1367" s="20" t="s">
        <v>14</v>
      </c>
      <c r="E1367" s="21" t="str">
        <f t="shared" si="4"/>
        <v>NSE:MARKSANS</v>
      </c>
    </row>
    <row r="1368" ht="15.75" customHeight="1">
      <c r="A1368" s="30">
        <v>45497.0</v>
      </c>
      <c r="B1368" s="20" t="s">
        <v>493</v>
      </c>
      <c r="C1368" s="20" t="s">
        <v>16</v>
      </c>
      <c r="D1368" s="20" t="s">
        <v>31</v>
      </c>
      <c r="E1368" s="21" t="str">
        <f t="shared" si="4"/>
        <v>NSE:SUKHJITS</v>
      </c>
    </row>
    <row r="1369" ht="15.75" customHeight="1">
      <c r="A1369" s="30">
        <v>45497.0</v>
      </c>
      <c r="B1369" s="20" t="s">
        <v>494</v>
      </c>
      <c r="C1369" s="20" t="s">
        <v>16</v>
      </c>
      <c r="D1369" s="20" t="s">
        <v>55</v>
      </c>
      <c r="E1369" s="21" t="str">
        <f t="shared" si="4"/>
        <v>NSE:PYRAMID</v>
      </c>
    </row>
    <row r="1370" ht="15.75" customHeight="1">
      <c r="A1370" s="30">
        <v>45497.0</v>
      </c>
      <c r="B1370" s="20" t="s">
        <v>590</v>
      </c>
      <c r="C1370" s="20" t="s">
        <v>13</v>
      </c>
      <c r="D1370" s="20" t="s">
        <v>29</v>
      </c>
      <c r="E1370" s="21" t="str">
        <f t="shared" si="4"/>
        <v>NSE:DMART</v>
      </c>
    </row>
    <row r="1371" ht="15.75" customHeight="1">
      <c r="A1371" s="30">
        <v>45497.0</v>
      </c>
      <c r="B1371" s="20" t="s">
        <v>279</v>
      </c>
      <c r="C1371" s="20" t="s">
        <v>13</v>
      </c>
      <c r="D1371" s="20" t="s">
        <v>31</v>
      </c>
      <c r="E1371" s="21" t="str">
        <f t="shared" si="4"/>
        <v>NSE:CDSL</v>
      </c>
    </row>
    <row r="1372" ht="15.75" customHeight="1">
      <c r="A1372" s="30">
        <v>45497.0</v>
      </c>
      <c r="B1372" s="20" t="s">
        <v>812</v>
      </c>
      <c r="C1372" s="20" t="s">
        <v>16</v>
      </c>
      <c r="D1372" s="20" t="s">
        <v>27</v>
      </c>
      <c r="E1372" s="21" t="str">
        <f t="shared" si="4"/>
        <v>NSE:INDOAMIN</v>
      </c>
    </row>
    <row r="1373" ht="15.75" customHeight="1">
      <c r="A1373" s="30">
        <v>45497.0</v>
      </c>
      <c r="B1373" s="20" t="s">
        <v>795</v>
      </c>
      <c r="C1373" s="20" t="s">
        <v>16</v>
      </c>
      <c r="D1373" s="20" t="s">
        <v>25</v>
      </c>
      <c r="E1373" s="21" t="str">
        <f t="shared" si="4"/>
        <v>NSE:RATNAVEER</v>
      </c>
    </row>
    <row r="1374" ht="15.75" customHeight="1">
      <c r="A1374" s="30">
        <v>45497.0</v>
      </c>
      <c r="B1374" s="20" t="s">
        <v>364</v>
      </c>
      <c r="C1374" s="20" t="s">
        <v>13</v>
      </c>
      <c r="D1374" s="20" t="s">
        <v>14</v>
      </c>
      <c r="E1374" s="21" t="str">
        <f t="shared" si="4"/>
        <v>NSE:NATCOPHARM</v>
      </c>
    </row>
    <row r="1375" ht="15.75" customHeight="1">
      <c r="A1375" s="30">
        <v>45497.0</v>
      </c>
      <c r="B1375" s="20" t="s">
        <v>858</v>
      </c>
      <c r="C1375" s="20" t="s">
        <v>16</v>
      </c>
      <c r="D1375" s="20" t="s">
        <v>29</v>
      </c>
      <c r="E1375" s="21" t="str">
        <f t="shared" si="4"/>
        <v>NSE:KALAMANDIR</v>
      </c>
    </row>
    <row r="1376" ht="15.75" customHeight="1">
      <c r="A1376" s="30">
        <v>45497.0</v>
      </c>
      <c r="B1376" s="20" t="s">
        <v>370</v>
      </c>
      <c r="C1376" s="20" t="s">
        <v>16</v>
      </c>
      <c r="D1376" s="20" t="s">
        <v>27</v>
      </c>
      <c r="E1376" s="21" t="str">
        <f t="shared" si="4"/>
        <v>NSE:GANDHAR</v>
      </c>
    </row>
    <row r="1377" ht="15.75" customHeight="1">
      <c r="A1377" s="30">
        <v>45497.0</v>
      </c>
      <c r="B1377" s="20" t="s">
        <v>179</v>
      </c>
      <c r="C1377" s="20" t="s">
        <v>21</v>
      </c>
      <c r="D1377" s="20" t="s">
        <v>31</v>
      </c>
      <c r="E1377" s="21" t="str">
        <f t="shared" si="4"/>
        <v>NSE:GODREJAGRO</v>
      </c>
    </row>
    <row r="1378" ht="15.75" customHeight="1">
      <c r="A1378" s="30">
        <v>45497.0</v>
      </c>
      <c r="B1378" s="20" t="s">
        <v>859</v>
      </c>
      <c r="C1378" s="20" t="s">
        <v>16</v>
      </c>
      <c r="D1378" s="20" t="s">
        <v>22</v>
      </c>
      <c r="E1378" s="21" t="str">
        <f t="shared" si="4"/>
        <v>NSE:SURAJEST</v>
      </c>
    </row>
    <row r="1379" ht="15.75" customHeight="1">
      <c r="A1379" s="30">
        <v>45497.0</v>
      </c>
      <c r="B1379" s="20" t="s">
        <v>642</v>
      </c>
      <c r="C1379" s="20" t="s">
        <v>13</v>
      </c>
      <c r="D1379" s="20" t="s">
        <v>55</v>
      </c>
      <c r="E1379" s="21" t="str">
        <f t="shared" si="4"/>
        <v>NSE:HDFCLIFE</v>
      </c>
    </row>
    <row r="1380" ht="15.75" customHeight="1">
      <c r="A1380" s="30">
        <v>45497.0</v>
      </c>
      <c r="B1380" s="20" t="s">
        <v>503</v>
      </c>
      <c r="C1380" s="20" t="s">
        <v>16</v>
      </c>
      <c r="D1380" s="20" t="s">
        <v>14</v>
      </c>
      <c r="E1380" s="21" t="str">
        <f t="shared" si="4"/>
        <v>NSE:VENUSREM</v>
      </c>
    </row>
    <row r="1381" ht="15.75" customHeight="1">
      <c r="A1381" s="30">
        <v>45497.0</v>
      </c>
      <c r="B1381" s="20" t="s">
        <v>696</v>
      </c>
      <c r="C1381" s="20" t="s">
        <v>16</v>
      </c>
      <c r="D1381" s="20" t="s">
        <v>27</v>
      </c>
      <c r="E1381" s="21" t="str">
        <f t="shared" si="4"/>
        <v>NSE:NOVAAGRI</v>
      </c>
    </row>
    <row r="1382" ht="15.75" customHeight="1">
      <c r="A1382" s="30">
        <v>45497.0</v>
      </c>
      <c r="B1382" s="20" t="s">
        <v>380</v>
      </c>
      <c r="C1382" s="20" t="s">
        <v>21</v>
      </c>
      <c r="D1382" s="20" t="s">
        <v>27</v>
      </c>
      <c r="E1382" s="21" t="str">
        <f t="shared" si="4"/>
        <v>NSE:PRIVISCL</v>
      </c>
    </row>
    <row r="1383" ht="15.75" customHeight="1">
      <c r="A1383" s="30">
        <v>45497.0</v>
      </c>
      <c r="B1383" s="20" t="s">
        <v>644</v>
      </c>
      <c r="C1383" s="20" t="s">
        <v>16</v>
      </c>
      <c r="D1383" s="20" t="s">
        <v>55</v>
      </c>
      <c r="E1383" s="21" t="str">
        <f t="shared" si="4"/>
        <v>NSE:OPTIEMUS</v>
      </c>
    </row>
    <row r="1384" ht="15.75" customHeight="1">
      <c r="A1384" s="30">
        <v>45497.0</v>
      </c>
      <c r="B1384" s="20" t="s">
        <v>646</v>
      </c>
      <c r="C1384" s="20" t="s">
        <v>16</v>
      </c>
      <c r="D1384" s="20" t="s">
        <v>14</v>
      </c>
      <c r="E1384" s="21" t="str">
        <f t="shared" si="4"/>
        <v>NSE:SUVEN</v>
      </c>
    </row>
    <row r="1385" ht="15.75" customHeight="1">
      <c r="A1385" s="30">
        <v>45497.0</v>
      </c>
      <c r="B1385" s="20" t="s">
        <v>602</v>
      </c>
      <c r="C1385" s="20" t="s">
        <v>21</v>
      </c>
      <c r="D1385" s="20" t="s">
        <v>29</v>
      </c>
      <c r="E1385" s="21" t="str">
        <f t="shared" si="4"/>
        <v>NSE:ENTERO</v>
      </c>
    </row>
    <row r="1386" ht="15.75" customHeight="1">
      <c r="A1386" s="30">
        <v>45497.0</v>
      </c>
      <c r="B1386" s="20" t="s">
        <v>94</v>
      </c>
      <c r="C1386" s="20" t="s">
        <v>16</v>
      </c>
      <c r="D1386" s="20" t="s">
        <v>22</v>
      </c>
      <c r="E1386" s="21" t="str">
        <f t="shared" si="4"/>
        <v>NSE:NILAINFRA</v>
      </c>
    </row>
    <row r="1387" ht="15.75" customHeight="1">
      <c r="A1387" s="30">
        <v>45497.0</v>
      </c>
      <c r="B1387" s="20" t="s">
        <v>385</v>
      </c>
      <c r="C1387" s="20" t="s">
        <v>16</v>
      </c>
      <c r="D1387" s="20" t="s">
        <v>53</v>
      </c>
      <c r="E1387" s="21" t="str">
        <f t="shared" si="4"/>
        <v>NSE:RAJRILTD</v>
      </c>
    </row>
    <row r="1388" ht="15.75" customHeight="1">
      <c r="A1388" s="30">
        <v>45497.0</v>
      </c>
      <c r="B1388" s="20" t="s">
        <v>860</v>
      </c>
      <c r="C1388" s="20" t="s">
        <v>16</v>
      </c>
      <c r="D1388" s="20" t="s">
        <v>29</v>
      </c>
      <c r="E1388" s="21" t="str">
        <f t="shared" si="4"/>
        <v>NSE:MANORAMA</v>
      </c>
    </row>
    <row r="1389" ht="15.75" customHeight="1">
      <c r="A1389" s="30">
        <v>45497.0</v>
      </c>
      <c r="B1389" s="20" t="s">
        <v>217</v>
      </c>
      <c r="C1389" s="20" t="s">
        <v>16</v>
      </c>
      <c r="D1389" s="20" t="s">
        <v>27</v>
      </c>
      <c r="E1389" s="21" t="str">
        <f t="shared" si="4"/>
        <v>NSE:CHEMBOND</v>
      </c>
    </row>
    <row r="1390" ht="15.75" customHeight="1">
      <c r="A1390" s="30">
        <v>45497.0</v>
      </c>
      <c r="B1390" s="20" t="s">
        <v>699</v>
      </c>
      <c r="C1390" s="20" t="s">
        <v>21</v>
      </c>
      <c r="D1390" s="20" t="s">
        <v>31</v>
      </c>
      <c r="E1390" s="21" t="str">
        <f t="shared" si="4"/>
        <v>NSE:INDGN</v>
      </c>
    </row>
    <row r="1391" ht="15.75" customHeight="1">
      <c r="A1391" s="30">
        <v>45497.0</v>
      </c>
      <c r="B1391" s="20" t="s">
        <v>649</v>
      </c>
      <c r="C1391" s="20" t="s">
        <v>16</v>
      </c>
      <c r="D1391" s="20" t="s">
        <v>14</v>
      </c>
      <c r="E1391" s="21" t="str">
        <f t="shared" si="4"/>
        <v>NSE:PANACEABIO</v>
      </c>
    </row>
    <row r="1392" ht="15.75" customHeight="1">
      <c r="A1392" s="30">
        <v>45497.0</v>
      </c>
      <c r="B1392" s="20" t="s">
        <v>219</v>
      </c>
      <c r="C1392" s="20" t="s">
        <v>16</v>
      </c>
      <c r="D1392" s="20" t="s">
        <v>53</v>
      </c>
      <c r="E1392" s="21" t="str">
        <f t="shared" si="4"/>
        <v>NSE:GLOSTERLTD</v>
      </c>
    </row>
    <row r="1393" ht="15.75" customHeight="1">
      <c r="A1393" s="30">
        <v>45497.0</v>
      </c>
      <c r="B1393" s="20" t="s">
        <v>762</v>
      </c>
      <c r="C1393" s="20" t="s">
        <v>21</v>
      </c>
      <c r="D1393" s="20" t="s">
        <v>31</v>
      </c>
      <c r="E1393" s="21" t="str">
        <f t="shared" si="4"/>
        <v>NSE:RAJESHEXPO</v>
      </c>
    </row>
    <row r="1394" ht="15.75" customHeight="1">
      <c r="A1394" s="30">
        <v>45497.0</v>
      </c>
      <c r="B1394" s="20" t="s">
        <v>861</v>
      </c>
      <c r="C1394" s="20" t="s">
        <v>21</v>
      </c>
      <c r="D1394" s="20" t="s">
        <v>14</v>
      </c>
      <c r="E1394" s="21" t="str">
        <f t="shared" si="4"/>
        <v>NSE:METROPOLIS</v>
      </c>
    </row>
    <row r="1395" ht="15.75" customHeight="1">
      <c r="A1395" s="30">
        <v>45497.0</v>
      </c>
      <c r="B1395" s="20" t="s">
        <v>609</v>
      </c>
      <c r="C1395" s="20" t="s">
        <v>16</v>
      </c>
      <c r="D1395" s="20" t="s">
        <v>31</v>
      </c>
      <c r="E1395" s="21" t="str">
        <f t="shared" si="4"/>
        <v>NSE:EVEREADY</v>
      </c>
    </row>
    <row r="1396" ht="15.75" customHeight="1">
      <c r="A1396" s="30">
        <v>45497.0</v>
      </c>
      <c r="B1396" s="20" t="s">
        <v>763</v>
      </c>
      <c r="C1396" s="20" t="s">
        <v>21</v>
      </c>
      <c r="D1396" s="20" t="s">
        <v>37</v>
      </c>
      <c r="E1396" s="21" t="str">
        <f t="shared" si="4"/>
        <v>NSE:INDIAMART</v>
      </c>
    </row>
    <row r="1397" ht="15.75" customHeight="1">
      <c r="A1397" s="30">
        <v>45497.0</v>
      </c>
      <c r="B1397" s="20" t="s">
        <v>746</v>
      </c>
      <c r="C1397" s="20" t="s">
        <v>13</v>
      </c>
      <c r="D1397" s="20" t="s">
        <v>37</v>
      </c>
      <c r="E1397" s="21" t="str">
        <f t="shared" si="4"/>
        <v>NSE:AFFLE</v>
      </c>
    </row>
    <row r="1398" ht="15.75" customHeight="1">
      <c r="A1398" s="30">
        <v>45497.0</v>
      </c>
      <c r="B1398" s="20" t="s">
        <v>253</v>
      </c>
      <c r="C1398" s="20" t="s">
        <v>13</v>
      </c>
      <c r="D1398" s="20" t="s">
        <v>14</v>
      </c>
      <c r="E1398" s="21" t="str">
        <f t="shared" si="4"/>
        <v>NSE:SUVENPHAR</v>
      </c>
    </row>
    <row r="1399" ht="15.75" customHeight="1">
      <c r="A1399" s="30">
        <v>45497.0</v>
      </c>
      <c r="B1399" s="20" t="s">
        <v>254</v>
      </c>
      <c r="C1399" s="20" t="s">
        <v>16</v>
      </c>
      <c r="D1399" s="20" t="s">
        <v>29</v>
      </c>
      <c r="E1399" s="21" t="str">
        <f t="shared" si="4"/>
        <v>NSE:KDDL</v>
      </c>
    </row>
    <row r="1400" ht="15.75" customHeight="1">
      <c r="A1400" s="30">
        <v>45497.0</v>
      </c>
      <c r="B1400" s="20" t="s">
        <v>862</v>
      </c>
      <c r="C1400" s="20" t="s">
        <v>21</v>
      </c>
      <c r="D1400" s="20" t="s">
        <v>25</v>
      </c>
      <c r="E1400" s="21" t="str">
        <f t="shared" si="4"/>
        <v>NSE:WELCORP</v>
      </c>
    </row>
    <row r="1401" ht="15.75" customHeight="1">
      <c r="A1401" s="30">
        <v>45497.0</v>
      </c>
      <c r="B1401" s="20" t="s">
        <v>66</v>
      </c>
      <c r="C1401" s="20" t="s">
        <v>16</v>
      </c>
      <c r="D1401" s="20" t="s">
        <v>37</v>
      </c>
      <c r="E1401" s="21" t="str">
        <f t="shared" si="4"/>
        <v>NSE:CYBERTECH</v>
      </c>
    </row>
    <row r="1402" ht="15.75" customHeight="1">
      <c r="A1402" s="30">
        <v>45497.0</v>
      </c>
      <c r="B1402" s="20" t="s">
        <v>400</v>
      </c>
      <c r="C1402" s="20" t="s">
        <v>21</v>
      </c>
      <c r="D1402" s="20" t="s">
        <v>55</v>
      </c>
      <c r="E1402" s="21" t="str">
        <f t="shared" si="4"/>
        <v>NSE:TCI</v>
      </c>
    </row>
    <row r="1403" ht="15.75" customHeight="1">
      <c r="A1403" s="30">
        <v>45497.0</v>
      </c>
      <c r="B1403" s="20" t="s">
        <v>401</v>
      </c>
      <c r="C1403" s="20" t="s">
        <v>16</v>
      </c>
      <c r="D1403" s="20" t="s">
        <v>37</v>
      </c>
      <c r="E1403" s="21" t="str">
        <f t="shared" si="4"/>
        <v>NSE:RAMCOSYS</v>
      </c>
    </row>
    <row r="1404" ht="15.75" customHeight="1">
      <c r="A1404" s="30">
        <v>45497.0</v>
      </c>
      <c r="B1404" s="20" t="s">
        <v>402</v>
      </c>
      <c r="C1404" s="20" t="s">
        <v>21</v>
      </c>
      <c r="D1404" s="20" t="s">
        <v>27</v>
      </c>
      <c r="E1404" s="21" t="str">
        <f t="shared" si="4"/>
        <v>NSE:STLTECH</v>
      </c>
    </row>
    <row r="1405" ht="15.75" customHeight="1">
      <c r="A1405" s="30">
        <v>45497.0</v>
      </c>
      <c r="B1405" s="20" t="s">
        <v>258</v>
      </c>
      <c r="C1405" s="20" t="s">
        <v>13</v>
      </c>
      <c r="D1405" s="20" t="s">
        <v>27</v>
      </c>
      <c r="E1405" s="21" t="str">
        <f t="shared" si="4"/>
        <v>NSE:IGL</v>
      </c>
    </row>
    <row r="1406" ht="15.75" customHeight="1">
      <c r="A1406" s="30">
        <v>45497.0</v>
      </c>
      <c r="B1406" s="20" t="s">
        <v>404</v>
      </c>
      <c r="C1406" s="20" t="s">
        <v>16</v>
      </c>
      <c r="D1406" s="20" t="s">
        <v>50</v>
      </c>
      <c r="E1406" s="21" t="str">
        <f t="shared" si="4"/>
        <v>NSE:TVTODAY</v>
      </c>
    </row>
    <row r="1407" ht="15.75" customHeight="1">
      <c r="A1407" s="30">
        <v>45497.0</v>
      </c>
      <c r="B1407" s="20" t="s">
        <v>704</v>
      </c>
      <c r="C1407" s="20" t="s">
        <v>13</v>
      </c>
      <c r="D1407" s="20" t="s">
        <v>29</v>
      </c>
      <c r="E1407" s="21" t="str">
        <f t="shared" si="4"/>
        <v>NSE:PAGEIND</v>
      </c>
    </row>
    <row r="1408" ht="15.75" customHeight="1">
      <c r="A1408" s="30">
        <v>45497.0</v>
      </c>
      <c r="B1408" s="20" t="s">
        <v>69</v>
      </c>
      <c r="C1408" s="20" t="s">
        <v>16</v>
      </c>
      <c r="D1408" s="20" t="s">
        <v>29</v>
      </c>
      <c r="E1408" s="21" t="str">
        <f t="shared" si="4"/>
        <v>NSE:V2RETAIL</v>
      </c>
    </row>
    <row r="1409" ht="15.75" customHeight="1">
      <c r="A1409" s="30">
        <v>45497.0</v>
      </c>
      <c r="B1409" s="20" t="s">
        <v>418</v>
      </c>
      <c r="C1409" s="20" t="s">
        <v>16</v>
      </c>
      <c r="D1409" s="20" t="s">
        <v>55</v>
      </c>
      <c r="E1409" s="21" t="str">
        <f t="shared" si="4"/>
        <v>NSE:REFEX</v>
      </c>
    </row>
    <row r="1410" ht="15.75" customHeight="1">
      <c r="A1410" s="30">
        <v>45497.0</v>
      </c>
      <c r="B1410" s="20" t="s">
        <v>419</v>
      </c>
      <c r="C1410" s="20" t="s">
        <v>21</v>
      </c>
      <c r="D1410" s="20" t="s">
        <v>39</v>
      </c>
      <c r="E1410" s="21" t="str">
        <f t="shared" si="4"/>
        <v>NSE:RELIGARE</v>
      </c>
    </row>
    <row r="1411" ht="15.75" customHeight="1">
      <c r="A1411" s="30">
        <v>45497.0</v>
      </c>
      <c r="B1411" s="20" t="s">
        <v>705</v>
      </c>
      <c r="C1411" s="20" t="s">
        <v>21</v>
      </c>
      <c r="D1411" s="20" t="s">
        <v>31</v>
      </c>
      <c r="E1411" s="21" t="str">
        <f t="shared" si="4"/>
        <v>NSE:RPOWER</v>
      </c>
    </row>
    <row r="1412" ht="15.75" customHeight="1">
      <c r="A1412" s="30">
        <v>45497.0</v>
      </c>
      <c r="B1412" s="20" t="s">
        <v>189</v>
      </c>
      <c r="C1412" s="20" t="s">
        <v>16</v>
      </c>
      <c r="D1412" s="20" t="s">
        <v>39</v>
      </c>
      <c r="E1412" s="21" t="str">
        <f t="shared" si="4"/>
        <v>NSE:DHANI</v>
      </c>
    </row>
    <row r="1413" ht="15.75" customHeight="1">
      <c r="A1413" s="30">
        <v>45497.0</v>
      </c>
      <c r="B1413" s="20" t="s">
        <v>421</v>
      </c>
      <c r="C1413" s="20" t="s">
        <v>16</v>
      </c>
      <c r="D1413" s="20" t="s">
        <v>37</v>
      </c>
      <c r="E1413" s="21" t="str">
        <f t="shared" si="4"/>
        <v>NSE:EXPLEOSOL</v>
      </c>
    </row>
    <row r="1414" ht="15.75" customHeight="1">
      <c r="A1414" s="30">
        <v>45497.0</v>
      </c>
      <c r="B1414" s="20" t="s">
        <v>533</v>
      </c>
      <c r="C1414" s="20" t="s">
        <v>16</v>
      </c>
      <c r="D1414" s="20" t="s">
        <v>50</v>
      </c>
      <c r="E1414" s="21" t="str">
        <f t="shared" si="4"/>
        <v>NSE:DEN</v>
      </c>
    </row>
    <row r="1415" ht="15.75" customHeight="1">
      <c r="A1415" s="30">
        <v>45497.0</v>
      </c>
      <c r="B1415" s="20" t="s">
        <v>424</v>
      </c>
      <c r="C1415" s="20" t="s">
        <v>16</v>
      </c>
      <c r="D1415" s="20" t="s">
        <v>29</v>
      </c>
      <c r="E1415" s="21" t="str">
        <f t="shared" si="4"/>
        <v>NSE:BAJAJCON</v>
      </c>
    </row>
    <row r="1416" ht="15.75" customHeight="1">
      <c r="A1416" s="30">
        <v>45497.0</v>
      </c>
      <c r="B1416" s="20" t="s">
        <v>863</v>
      </c>
      <c r="C1416" s="20" t="s">
        <v>16</v>
      </c>
      <c r="D1416" s="20" t="s">
        <v>39</v>
      </c>
      <c r="E1416" s="21" t="str">
        <f t="shared" si="4"/>
        <v>NSE:DHUNINV</v>
      </c>
    </row>
    <row r="1417" ht="15.75" customHeight="1">
      <c r="A1417" s="30">
        <v>45497.0</v>
      </c>
      <c r="B1417" s="20" t="s">
        <v>429</v>
      </c>
      <c r="C1417" s="20" t="s">
        <v>16</v>
      </c>
      <c r="D1417" s="20" t="s">
        <v>39</v>
      </c>
      <c r="E1417" s="21" t="str">
        <f t="shared" si="4"/>
        <v>NSE:PFS</v>
      </c>
    </row>
    <row r="1418" ht="15.75" customHeight="1">
      <c r="A1418" s="30">
        <v>45497.0</v>
      </c>
      <c r="B1418" s="20" t="s">
        <v>230</v>
      </c>
      <c r="C1418" s="20" t="s">
        <v>16</v>
      </c>
      <c r="D1418" s="20" t="s">
        <v>29</v>
      </c>
      <c r="E1418" s="21" t="str">
        <f t="shared" si="4"/>
        <v>NSE:RUPA</v>
      </c>
    </row>
    <row r="1419" ht="15.75" customHeight="1">
      <c r="A1419" s="30">
        <v>45497.0</v>
      </c>
      <c r="B1419" s="20" t="s">
        <v>430</v>
      </c>
      <c r="C1419" s="20" t="s">
        <v>13</v>
      </c>
      <c r="D1419" s="20" t="s">
        <v>14</v>
      </c>
      <c r="E1419" s="21" t="str">
        <f t="shared" si="4"/>
        <v>NSE:APLLTD</v>
      </c>
    </row>
    <row r="1420" ht="15.75" customHeight="1">
      <c r="A1420" s="30">
        <v>45497.0</v>
      </c>
      <c r="B1420" s="20" t="s">
        <v>154</v>
      </c>
      <c r="C1420" s="20" t="s">
        <v>21</v>
      </c>
      <c r="D1420" s="20" t="s">
        <v>27</v>
      </c>
      <c r="E1420" s="21" t="str">
        <f t="shared" si="4"/>
        <v>NSE:INDIGOPNTS</v>
      </c>
    </row>
    <row r="1421" ht="15.75" customHeight="1">
      <c r="A1421" s="30">
        <v>45497.0</v>
      </c>
      <c r="B1421" s="20" t="s">
        <v>864</v>
      </c>
      <c r="C1421" s="20" t="s">
        <v>16</v>
      </c>
      <c r="D1421" s="20" t="s">
        <v>25</v>
      </c>
      <c r="E1421" s="21" t="str">
        <f t="shared" si="4"/>
        <v>NSE:STEELXIND</v>
      </c>
    </row>
    <row r="1422" ht="15.75" customHeight="1">
      <c r="A1422" s="30">
        <v>45497.0</v>
      </c>
      <c r="B1422" s="20" t="s">
        <v>865</v>
      </c>
      <c r="C1422" s="20" t="s">
        <v>16</v>
      </c>
      <c r="D1422" s="20" t="s">
        <v>31</v>
      </c>
      <c r="E1422" s="21" t="str">
        <f t="shared" si="4"/>
        <v>NSE:PCJEWELLER</v>
      </c>
    </row>
    <row r="1423" ht="15.75" customHeight="1">
      <c r="A1423" s="30">
        <v>45497.0</v>
      </c>
      <c r="B1423" s="20" t="s">
        <v>667</v>
      </c>
      <c r="C1423" s="20" t="s">
        <v>21</v>
      </c>
      <c r="D1423" s="20" t="s">
        <v>27</v>
      </c>
      <c r="E1423" s="21" t="str">
        <f t="shared" si="4"/>
        <v>NSE:JUBLINGREA</v>
      </c>
    </row>
    <row r="1424" ht="15.75" customHeight="1">
      <c r="A1424" s="30">
        <v>45497.0</v>
      </c>
      <c r="B1424" s="20" t="s">
        <v>434</v>
      </c>
      <c r="C1424" s="20" t="s">
        <v>21</v>
      </c>
      <c r="D1424" s="20" t="s">
        <v>27</v>
      </c>
      <c r="E1424" s="21" t="str">
        <f t="shared" si="4"/>
        <v>NSE:LXCHEM</v>
      </c>
    </row>
    <row r="1425" ht="15.75" customHeight="1">
      <c r="A1425" s="30">
        <v>45497.0</v>
      </c>
      <c r="B1425" s="20" t="s">
        <v>544</v>
      </c>
      <c r="C1425" s="20" t="s">
        <v>21</v>
      </c>
      <c r="D1425" s="20" t="s">
        <v>27</v>
      </c>
      <c r="E1425" s="21" t="str">
        <f t="shared" si="4"/>
        <v>NSE:CLEAN</v>
      </c>
    </row>
    <row r="1426" ht="15.75" customHeight="1">
      <c r="A1426" s="30">
        <v>45497.0</v>
      </c>
      <c r="B1426" s="20" t="s">
        <v>545</v>
      </c>
      <c r="C1426" s="20" t="s">
        <v>16</v>
      </c>
      <c r="D1426" s="20" t="s">
        <v>14</v>
      </c>
      <c r="E1426" s="21" t="str">
        <f t="shared" si="4"/>
        <v>NSE:KRSNAA</v>
      </c>
    </row>
    <row r="1427" ht="15.75" customHeight="1">
      <c r="A1427" s="30">
        <v>45497.0</v>
      </c>
      <c r="B1427" s="20" t="s">
        <v>866</v>
      </c>
      <c r="C1427" s="20" t="s">
        <v>16</v>
      </c>
      <c r="D1427" s="20" t="s">
        <v>27</v>
      </c>
      <c r="E1427" s="21" t="str">
        <f t="shared" si="4"/>
        <v>NSE:MOL</v>
      </c>
    </row>
    <row r="1428" ht="15.75" customHeight="1">
      <c r="A1428" s="30">
        <v>45497.0</v>
      </c>
      <c r="B1428" s="20" t="s">
        <v>709</v>
      </c>
      <c r="C1428" s="20" t="s">
        <v>13</v>
      </c>
      <c r="D1428" s="20" t="s">
        <v>37</v>
      </c>
      <c r="E1428" s="21" t="str">
        <f t="shared" si="4"/>
        <v>NSE:NYKAA</v>
      </c>
    </row>
    <row r="1429" ht="15.75" customHeight="1">
      <c r="A1429" s="30">
        <v>45497.0</v>
      </c>
      <c r="B1429" s="20" t="s">
        <v>440</v>
      </c>
      <c r="C1429" s="20" t="s">
        <v>16</v>
      </c>
      <c r="D1429" s="20" t="s">
        <v>31</v>
      </c>
      <c r="E1429" s="21" t="str">
        <f t="shared" si="4"/>
        <v>NSE:TARSONS</v>
      </c>
    </row>
    <row r="1430" ht="15.75" customHeight="1">
      <c r="A1430" s="30">
        <v>45497.0</v>
      </c>
      <c r="B1430" s="20" t="s">
        <v>441</v>
      </c>
      <c r="C1430" s="20" t="s">
        <v>21</v>
      </c>
      <c r="D1430" s="20" t="s">
        <v>53</v>
      </c>
      <c r="E1430" s="21" t="str">
        <f t="shared" si="4"/>
        <v>NSE:GOCOLORS</v>
      </c>
    </row>
    <row r="1431" ht="15.75" customHeight="1">
      <c r="A1431" s="30">
        <v>45497.0</v>
      </c>
      <c r="B1431" s="20" t="s">
        <v>127</v>
      </c>
      <c r="C1431" s="20" t="s">
        <v>16</v>
      </c>
      <c r="D1431" s="20" t="s">
        <v>37</v>
      </c>
      <c r="E1431" s="21" t="str">
        <f t="shared" si="4"/>
        <v>NSE:AURUM</v>
      </c>
    </row>
    <row r="1432" ht="15.75" customHeight="1">
      <c r="A1432" s="30">
        <v>45497.0</v>
      </c>
      <c r="B1432" s="20" t="s">
        <v>753</v>
      </c>
      <c r="C1432" s="20" t="s">
        <v>21</v>
      </c>
      <c r="D1432" s="20" t="s">
        <v>22</v>
      </c>
      <c r="E1432" s="21" t="str">
        <f t="shared" si="4"/>
        <v>NSE:POWERMECH</v>
      </c>
    </row>
    <row r="1433" ht="15.75" customHeight="1">
      <c r="A1433" s="30">
        <v>45497.0</v>
      </c>
      <c r="B1433" s="20" t="s">
        <v>806</v>
      </c>
      <c r="C1433" s="20" t="s">
        <v>21</v>
      </c>
      <c r="D1433" s="20" t="s">
        <v>27</v>
      </c>
      <c r="E1433" s="21" t="str">
        <f t="shared" si="4"/>
        <v>NSE:MGL</v>
      </c>
    </row>
    <row r="1434" ht="15.75" customHeight="1">
      <c r="A1434" s="30">
        <v>45497.0</v>
      </c>
      <c r="B1434" s="20" t="s">
        <v>161</v>
      </c>
      <c r="C1434" s="20" t="s">
        <v>21</v>
      </c>
      <c r="D1434" s="20" t="s">
        <v>29</v>
      </c>
      <c r="E1434" s="21" t="str">
        <f t="shared" si="4"/>
        <v>NSE:LLOYDSENGG</v>
      </c>
    </row>
    <row r="1435" ht="15.75" customHeight="1">
      <c r="A1435" s="30">
        <v>45497.0</v>
      </c>
      <c r="B1435" s="20" t="s">
        <v>673</v>
      </c>
      <c r="C1435" s="20" t="s">
        <v>16</v>
      </c>
      <c r="D1435" s="20" t="s">
        <v>14</v>
      </c>
      <c r="E1435" s="21" t="str">
        <f t="shared" si="4"/>
        <v>NSE:ADVENZYMES</v>
      </c>
    </row>
    <row r="1436" ht="15.75" customHeight="1">
      <c r="A1436" s="30">
        <v>45497.0</v>
      </c>
      <c r="B1436" s="20" t="s">
        <v>450</v>
      </c>
      <c r="C1436" s="20" t="s">
        <v>13</v>
      </c>
      <c r="D1436" s="20" t="s">
        <v>55</v>
      </c>
      <c r="E1436" s="21" t="str">
        <f t="shared" si="4"/>
        <v>NSE:ICICIPRULI</v>
      </c>
    </row>
    <row r="1437" ht="15.75" customHeight="1">
      <c r="A1437" s="30">
        <v>45498.0</v>
      </c>
      <c r="B1437" s="20" t="s">
        <v>301</v>
      </c>
      <c r="C1437" s="20" t="s">
        <v>16</v>
      </c>
      <c r="D1437" s="20" t="s">
        <v>27</v>
      </c>
      <c r="E1437" s="21" t="str">
        <f t="shared" si="4"/>
        <v>NSE:OAL</v>
      </c>
    </row>
    <row r="1438" ht="15.75" customHeight="1">
      <c r="A1438" s="30">
        <v>45498.0</v>
      </c>
      <c r="B1438" s="20" t="s">
        <v>867</v>
      </c>
      <c r="C1438" s="20" t="s">
        <v>16</v>
      </c>
      <c r="D1438" s="20" t="s">
        <v>27</v>
      </c>
      <c r="E1438" s="21" t="str">
        <f t="shared" si="4"/>
        <v>NSE:DICIND</v>
      </c>
    </row>
    <row r="1439" ht="15.75" customHeight="1">
      <c r="A1439" s="30">
        <v>45498.0</v>
      </c>
      <c r="B1439" s="20" t="s">
        <v>714</v>
      </c>
      <c r="C1439" s="20" t="s">
        <v>13</v>
      </c>
      <c r="D1439" s="20" t="s">
        <v>27</v>
      </c>
      <c r="E1439" s="21" t="str">
        <f t="shared" si="4"/>
        <v>NSE:KANSAINER</v>
      </c>
    </row>
    <row r="1440" ht="15.75" customHeight="1">
      <c r="A1440" s="30">
        <v>45498.0</v>
      </c>
      <c r="B1440" s="20" t="s">
        <v>868</v>
      </c>
      <c r="C1440" s="20" t="s">
        <v>13</v>
      </c>
      <c r="D1440" s="20" t="s">
        <v>25</v>
      </c>
      <c r="E1440" s="21" t="str">
        <f t="shared" si="4"/>
        <v>NSE:JINDALSAW</v>
      </c>
    </row>
    <row r="1441" ht="15.75" customHeight="1">
      <c r="A1441" s="30">
        <v>45498.0</v>
      </c>
      <c r="B1441" s="20" t="s">
        <v>467</v>
      </c>
      <c r="C1441" s="20" t="s">
        <v>21</v>
      </c>
      <c r="D1441" s="20" t="s">
        <v>27</v>
      </c>
      <c r="E1441" s="21" t="str">
        <f t="shared" si="4"/>
        <v>NSE:NOCIL</v>
      </c>
    </row>
    <row r="1442" ht="15.75" customHeight="1">
      <c r="A1442" s="30">
        <v>45498.0</v>
      </c>
      <c r="B1442" s="20" t="s">
        <v>318</v>
      </c>
      <c r="C1442" s="20" t="s">
        <v>16</v>
      </c>
      <c r="D1442" s="20" t="s">
        <v>29</v>
      </c>
      <c r="E1442" s="21" t="str">
        <f t="shared" si="4"/>
        <v>NSE:GREAVESCOT</v>
      </c>
    </row>
    <row r="1443" ht="15.75" customHeight="1">
      <c r="A1443" s="30">
        <v>45498.0</v>
      </c>
      <c r="B1443" s="20" t="s">
        <v>198</v>
      </c>
      <c r="C1443" s="20" t="s">
        <v>21</v>
      </c>
      <c r="D1443" s="20" t="s">
        <v>53</v>
      </c>
      <c r="E1443" s="21" t="str">
        <f t="shared" si="4"/>
        <v>NSE:VTL</v>
      </c>
    </row>
    <row r="1444" ht="15.75" customHeight="1">
      <c r="A1444" s="30">
        <v>45498.0</v>
      </c>
      <c r="B1444" s="20" t="s">
        <v>324</v>
      </c>
      <c r="C1444" s="20" t="s">
        <v>13</v>
      </c>
      <c r="D1444" s="20" t="s">
        <v>27</v>
      </c>
      <c r="E1444" s="21" t="str">
        <f t="shared" si="4"/>
        <v>NSE:SRF</v>
      </c>
    </row>
    <row r="1445" ht="15.75" customHeight="1">
      <c r="A1445" s="30">
        <v>45498.0</v>
      </c>
      <c r="B1445" s="20" t="s">
        <v>785</v>
      </c>
      <c r="C1445" s="20" t="s">
        <v>21</v>
      </c>
      <c r="D1445" s="20" t="s">
        <v>37</v>
      </c>
      <c r="E1445" s="21" t="str">
        <f t="shared" si="4"/>
        <v>NSE:ZENSARTECH</v>
      </c>
    </row>
    <row r="1446" ht="15.75" customHeight="1">
      <c r="A1446" s="30">
        <v>45498.0</v>
      </c>
      <c r="B1446" s="20" t="s">
        <v>327</v>
      </c>
      <c r="C1446" s="20" t="s">
        <v>21</v>
      </c>
      <c r="D1446" s="20" t="s">
        <v>29</v>
      </c>
      <c r="E1446" s="21" t="str">
        <f t="shared" si="4"/>
        <v>NSE:GMMPFAUDLR</v>
      </c>
    </row>
    <row r="1447" ht="15.75" customHeight="1">
      <c r="A1447" s="30">
        <v>45498.0</v>
      </c>
      <c r="B1447" s="20" t="s">
        <v>169</v>
      </c>
      <c r="C1447" s="20" t="s">
        <v>16</v>
      </c>
      <c r="D1447" s="20" t="s">
        <v>39</v>
      </c>
      <c r="E1447" s="21" t="str">
        <f t="shared" si="4"/>
        <v>NSE:RANEHOLDIN</v>
      </c>
    </row>
    <row r="1448" ht="15.75" customHeight="1">
      <c r="A1448" s="30">
        <v>45498.0</v>
      </c>
      <c r="B1448" s="20" t="s">
        <v>473</v>
      </c>
      <c r="C1448" s="20" t="s">
        <v>16</v>
      </c>
      <c r="D1448" s="20" t="s">
        <v>22</v>
      </c>
      <c r="E1448" s="21" t="str">
        <f t="shared" si="4"/>
        <v>NSE:ALEMBICLTD</v>
      </c>
    </row>
    <row r="1449" ht="15.75" customHeight="1">
      <c r="A1449" s="30">
        <v>45498.0</v>
      </c>
      <c r="B1449" s="20" t="s">
        <v>739</v>
      </c>
      <c r="C1449" s="20" t="s">
        <v>16</v>
      </c>
      <c r="D1449" s="20" t="s">
        <v>14</v>
      </c>
      <c r="E1449" s="21" t="str">
        <f t="shared" si="4"/>
        <v>NSE:JAGSNPHARM</v>
      </c>
    </row>
    <row r="1450" ht="15.75" customHeight="1">
      <c r="A1450" s="30">
        <v>45498.0</v>
      </c>
      <c r="B1450" s="20" t="s">
        <v>572</v>
      </c>
      <c r="C1450" s="20" t="s">
        <v>16</v>
      </c>
      <c r="D1450" s="20" t="s">
        <v>27</v>
      </c>
      <c r="E1450" s="21" t="str">
        <f t="shared" si="4"/>
        <v>NSE:KHAICHEM</v>
      </c>
    </row>
    <row r="1451" ht="15.75" customHeight="1">
      <c r="A1451" s="30">
        <v>45498.0</v>
      </c>
      <c r="B1451" s="20" t="s">
        <v>202</v>
      </c>
      <c r="C1451" s="20" t="s">
        <v>16</v>
      </c>
      <c r="D1451" s="20" t="s">
        <v>53</v>
      </c>
      <c r="E1451" s="21" t="str">
        <f t="shared" si="4"/>
        <v>NSE:AYMSYNTEX</v>
      </c>
    </row>
    <row r="1452" ht="15.75" customHeight="1">
      <c r="A1452" s="30">
        <v>45498.0</v>
      </c>
      <c r="B1452" s="20" t="s">
        <v>573</v>
      </c>
      <c r="C1452" s="20" t="s">
        <v>16</v>
      </c>
      <c r="D1452" s="20" t="s">
        <v>27</v>
      </c>
      <c r="E1452" s="21" t="str">
        <f t="shared" si="4"/>
        <v>NSE:HIL</v>
      </c>
    </row>
    <row r="1453" ht="15.75" customHeight="1">
      <c r="A1453" s="30">
        <v>45498.0</v>
      </c>
      <c r="B1453" s="20" t="s">
        <v>740</v>
      </c>
      <c r="C1453" s="20" t="s">
        <v>21</v>
      </c>
      <c r="D1453" s="20" t="s">
        <v>31</v>
      </c>
      <c r="E1453" s="21" t="str">
        <f t="shared" si="4"/>
        <v>NSE:NAVA</v>
      </c>
    </row>
    <row r="1454" ht="15.75" customHeight="1">
      <c r="A1454" s="30">
        <v>45498.0</v>
      </c>
      <c r="B1454" s="20" t="s">
        <v>136</v>
      </c>
      <c r="C1454" s="20" t="s">
        <v>16</v>
      </c>
      <c r="D1454" s="20" t="s">
        <v>29</v>
      </c>
      <c r="E1454" s="21" t="str">
        <f t="shared" si="4"/>
        <v>NSE:IGARASHI</v>
      </c>
    </row>
    <row r="1455" ht="15.75" customHeight="1">
      <c r="A1455" s="30">
        <v>45498.0</v>
      </c>
      <c r="B1455" s="20" t="s">
        <v>810</v>
      </c>
      <c r="C1455" s="20" t="s">
        <v>16</v>
      </c>
      <c r="D1455" s="20" t="s">
        <v>29</v>
      </c>
      <c r="E1455" s="21" t="str">
        <f t="shared" si="4"/>
        <v>NSE:BUTTERFLY</v>
      </c>
    </row>
    <row r="1456" ht="15.75" customHeight="1">
      <c r="A1456" s="30">
        <v>45498.0</v>
      </c>
      <c r="B1456" s="20" t="s">
        <v>742</v>
      </c>
      <c r="C1456" s="20" t="s">
        <v>21</v>
      </c>
      <c r="D1456" s="20" t="s">
        <v>373</v>
      </c>
      <c r="E1456" s="21" t="str">
        <f t="shared" si="4"/>
        <v>NSE:KFINTECH</v>
      </c>
    </row>
    <row r="1457" ht="15.75" customHeight="1">
      <c r="A1457" s="30">
        <v>45498.0</v>
      </c>
      <c r="B1457" s="20" t="s">
        <v>486</v>
      </c>
      <c r="C1457" s="20" t="s">
        <v>16</v>
      </c>
      <c r="D1457" s="20" t="s">
        <v>29</v>
      </c>
      <c r="E1457" s="21" t="str">
        <f t="shared" si="4"/>
        <v>NSE:KITEX</v>
      </c>
    </row>
    <row r="1458" ht="15.75" customHeight="1">
      <c r="A1458" s="30">
        <v>45498.0</v>
      </c>
      <c r="B1458" s="20" t="s">
        <v>357</v>
      </c>
      <c r="C1458" s="20" t="s">
        <v>16</v>
      </c>
      <c r="D1458" s="20" t="s">
        <v>31</v>
      </c>
      <c r="E1458" s="21" t="str">
        <f t="shared" si="4"/>
        <v>NSE:KOKUYOCMLN</v>
      </c>
    </row>
    <row r="1459" ht="15.75" customHeight="1">
      <c r="A1459" s="30">
        <v>45498.0</v>
      </c>
      <c r="B1459" s="20" t="s">
        <v>744</v>
      </c>
      <c r="C1459" s="20" t="s">
        <v>16</v>
      </c>
      <c r="D1459" s="20" t="s">
        <v>55</v>
      </c>
      <c r="E1459" s="21" t="str">
        <f t="shared" si="4"/>
        <v>NSE:TCPLPACK</v>
      </c>
    </row>
    <row r="1460" ht="15.75" customHeight="1">
      <c r="A1460" s="30">
        <v>45498.0</v>
      </c>
      <c r="B1460" s="20" t="s">
        <v>583</v>
      </c>
      <c r="C1460" s="20" t="s">
        <v>16</v>
      </c>
      <c r="D1460" s="20" t="s">
        <v>27</v>
      </c>
      <c r="E1460" s="21" t="str">
        <f t="shared" si="4"/>
        <v>NSE:APCOTEXIND</v>
      </c>
    </row>
    <row r="1461" ht="15.75" customHeight="1">
      <c r="A1461" s="30">
        <v>45498.0</v>
      </c>
      <c r="B1461" s="20" t="s">
        <v>869</v>
      </c>
      <c r="C1461" s="20" t="s">
        <v>16</v>
      </c>
      <c r="D1461" s="20" t="s">
        <v>31</v>
      </c>
      <c r="E1461" s="21" t="str">
        <f t="shared" si="4"/>
        <v>NSE:DPSCLTD</v>
      </c>
    </row>
    <row r="1462" ht="15.75" customHeight="1">
      <c r="A1462" s="30">
        <v>45498.0</v>
      </c>
      <c r="B1462" s="20" t="s">
        <v>492</v>
      </c>
      <c r="C1462" s="20" t="s">
        <v>16</v>
      </c>
      <c r="D1462" s="20" t="s">
        <v>14</v>
      </c>
      <c r="E1462" s="21" t="str">
        <f t="shared" si="4"/>
        <v>NSE:VIMTALABS</v>
      </c>
    </row>
    <row r="1463" ht="15.75" customHeight="1">
      <c r="A1463" s="30">
        <v>45498.0</v>
      </c>
      <c r="B1463" s="20" t="s">
        <v>589</v>
      </c>
      <c r="C1463" s="20" t="s">
        <v>21</v>
      </c>
      <c r="D1463" s="20" t="s">
        <v>55</v>
      </c>
      <c r="E1463" s="21" t="str">
        <f t="shared" si="4"/>
        <v>NSE:TVSSCS</v>
      </c>
    </row>
    <row r="1464" ht="15.75" customHeight="1">
      <c r="A1464" s="30">
        <v>45498.0</v>
      </c>
      <c r="B1464" s="20" t="s">
        <v>774</v>
      </c>
      <c r="C1464" s="20" t="s">
        <v>16</v>
      </c>
      <c r="D1464" s="20" t="s">
        <v>14</v>
      </c>
      <c r="E1464" s="21" t="str">
        <f t="shared" si="4"/>
        <v>NSE:VALIANTLAB</v>
      </c>
    </row>
    <row r="1465" ht="15.75" customHeight="1">
      <c r="A1465" s="30">
        <v>45498.0</v>
      </c>
      <c r="B1465" s="20" t="s">
        <v>498</v>
      </c>
      <c r="C1465" s="20" t="s">
        <v>13</v>
      </c>
      <c r="D1465" s="20" t="s">
        <v>55</v>
      </c>
      <c r="E1465" s="21" t="str">
        <f t="shared" si="4"/>
        <v>NSE:CELLO</v>
      </c>
    </row>
    <row r="1466" ht="15.75" customHeight="1">
      <c r="A1466" s="30">
        <v>45498.0</v>
      </c>
      <c r="B1466" s="20" t="s">
        <v>760</v>
      </c>
      <c r="C1466" s="20" t="s">
        <v>13</v>
      </c>
      <c r="D1466" s="20" t="s">
        <v>55</v>
      </c>
      <c r="E1466" s="21" t="str">
        <f t="shared" si="4"/>
        <v>NSE:SBILIFE</v>
      </c>
    </row>
    <row r="1467" ht="15.75" customHeight="1">
      <c r="A1467" s="30">
        <v>45498.0</v>
      </c>
      <c r="B1467" s="20" t="s">
        <v>371</v>
      </c>
      <c r="C1467" s="20" t="s">
        <v>13</v>
      </c>
      <c r="D1467" s="20" t="s">
        <v>55</v>
      </c>
      <c r="E1467" s="21" t="str">
        <f t="shared" si="4"/>
        <v>NSE:ICICIGI</v>
      </c>
    </row>
    <row r="1468" ht="15.75" customHeight="1">
      <c r="A1468" s="30">
        <v>45498.0</v>
      </c>
      <c r="B1468" s="20" t="s">
        <v>695</v>
      </c>
      <c r="C1468" s="20" t="s">
        <v>16</v>
      </c>
      <c r="D1468" s="20" t="s">
        <v>31</v>
      </c>
      <c r="E1468" s="21" t="str">
        <f t="shared" si="4"/>
        <v>NSE:SEAMECLTD</v>
      </c>
    </row>
    <row r="1469" ht="15.75" customHeight="1">
      <c r="A1469" s="30">
        <v>45498.0</v>
      </c>
      <c r="B1469" s="20" t="s">
        <v>211</v>
      </c>
      <c r="C1469" s="20" t="s">
        <v>21</v>
      </c>
      <c r="D1469" s="20" t="s">
        <v>27</v>
      </c>
      <c r="E1469" s="21" t="str">
        <f t="shared" si="4"/>
        <v>NSE:INDIACEM</v>
      </c>
    </row>
    <row r="1470" ht="15.75" customHeight="1">
      <c r="A1470" s="30">
        <v>45498.0</v>
      </c>
      <c r="B1470" s="20" t="s">
        <v>379</v>
      </c>
      <c r="C1470" s="20" t="s">
        <v>16</v>
      </c>
      <c r="D1470" s="20" t="s">
        <v>53</v>
      </c>
      <c r="E1470" s="21" t="str">
        <f t="shared" si="4"/>
        <v>NSE:FAZE3Q</v>
      </c>
    </row>
    <row r="1471" ht="15.75" customHeight="1">
      <c r="A1471" s="30">
        <v>45498.0</v>
      </c>
      <c r="B1471" s="20" t="s">
        <v>381</v>
      </c>
      <c r="C1471" s="20" t="s">
        <v>16</v>
      </c>
      <c r="D1471" s="20" t="s">
        <v>17</v>
      </c>
      <c r="E1471" s="21" t="str">
        <f t="shared" si="4"/>
        <v>NSE:SANDHAR</v>
      </c>
    </row>
    <row r="1472" ht="15.75" customHeight="1">
      <c r="A1472" s="30">
        <v>45498.0</v>
      </c>
      <c r="B1472" s="20" t="s">
        <v>504</v>
      </c>
      <c r="C1472" s="20" t="s">
        <v>16</v>
      </c>
      <c r="D1472" s="20" t="s">
        <v>55</v>
      </c>
      <c r="E1472" s="21" t="str">
        <f t="shared" si="4"/>
        <v>NSE:KOTHARIPRO</v>
      </c>
    </row>
    <row r="1473" ht="15.75" customHeight="1">
      <c r="A1473" s="30">
        <v>45498.0</v>
      </c>
      <c r="B1473" s="20" t="s">
        <v>96</v>
      </c>
      <c r="C1473" s="20" t="s">
        <v>16</v>
      </c>
      <c r="D1473" s="20" t="s">
        <v>37</v>
      </c>
      <c r="E1473" s="21" t="str">
        <f t="shared" si="4"/>
        <v>NSE:ALANKIT</v>
      </c>
    </row>
    <row r="1474" ht="15.75" customHeight="1">
      <c r="A1474" s="30">
        <v>45498.0</v>
      </c>
      <c r="B1474" s="20" t="s">
        <v>512</v>
      </c>
      <c r="C1474" s="20" t="s">
        <v>21</v>
      </c>
      <c r="D1474" s="20" t="s">
        <v>27</v>
      </c>
      <c r="E1474" s="21" t="str">
        <f t="shared" si="4"/>
        <v>NSE:BALUFORGE</v>
      </c>
    </row>
    <row r="1475" ht="15.75" customHeight="1">
      <c r="A1475" s="30">
        <v>45498.0</v>
      </c>
      <c r="B1475" s="20" t="s">
        <v>518</v>
      </c>
      <c r="C1475" s="20" t="s">
        <v>16</v>
      </c>
      <c r="D1475" s="20" t="s">
        <v>37</v>
      </c>
      <c r="E1475" s="21" t="str">
        <f t="shared" si="4"/>
        <v>NSE:ACCELYA</v>
      </c>
    </row>
    <row r="1476" ht="15.75" customHeight="1">
      <c r="A1476" s="30">
        <v>45498.0</v>
      </c>
      <c r="B1476" s="20" t="s">
        <v>186</v>
      </c>
      <c r="C1476" s="20" t="s">
        <v>16</v>
      </c>
      <c r="D1476" s="20" t="s">
        <v>14</v>
      </c>
      <c r="E1476" s="21" t="str">
        <f t="shared" si="4"/>
        <v>NSE:INDSWFTLAB</v>
      </c>
    </row>
    <row r="1477" ht="15.75" customHeight="1">
      <c r="A1477" s="30">
        <v>45498.0</v>
      </c>
      <c r="B1477" s="20" t="s">
        <v>519</v>
      </c>
      <c r="C1477" s="20" t="s">
        <v>13</v>
      </c>
      <c r="D1477" s="20" t="s">
        <v>14</v>
      </c>
      <c r="E1477" s="21" t="str">
        <f t="shared" si="4"/>
        <v>NSE:ZYDUSLIFE</v>
      </c>
    </row>
    <row r="1478" ht="15.75" customHeight="1">
      <c r="A1478" s="30">
        <v>45498.0</v>
      </c>
      <c r="B1478" s="20" t="s">
        <v>521</v>
      </c>
      <c r="C1478" s="20" t="s">
        <v>21</v>
      </c>
      <c r="D1478" s="20" t="s">
        <v>50</v>
      </c>
      <c r="E1478" s="21" t="str">
        <f t="shared" si="4"/>
        <v>NSE:TIPSINDLTD</v>
      </c>
    </row>
    <row r="1479" ht="15.75" customHeight="1">
      <c r="A1479" s="30">
        <v>45498.0</v>
      </c>
      <c r="B1479" s="20" t="s">
        <v>284</v>
      </c>
      <c r="C1479" s="20" t="s">
        <v>13</v>
      </c>
      <c r="D1479" s="20" t="s">
        <v>27</v>
      </c>
      <c r="E1479" s="21" t="str">
        <f t="shared" si="4"/>
        <v>NSE:PETRONET</v>
      </c>
    </row>
    <row r="1480" ht="15.75" customHeight="1">
      <c r="A1480" s="30">
        <v>45498.0</v>
      </c>
      <c r="B1480" s="20" t="s">
        <v>409</v>
      </c>
      <c r="C1480" s="20" t="s">
        <v>16</v>
      </c>
      <c r="D1480" s="20" t="s">
        <v>55</v>
      </c>
      <c r="E1480" s="21" t="str">
        <f t="shared" si="4"/>
        <v>NSE:EKC</v>
      </c>
    </row>
    <row r="1481" ht="15.75" customHeight="1">
      <c r="A1481" s="30">
        <v>45498.0</v>
      </c>
      <c r="B1481" s="20" t="s">
        <v>658</v>
      </c>
      <c r="C1481" s="20" t="s">
        <v>16</v>
      </c>
      <c r="D1481" s="20" t="s">
        <v>22</v>
      </c>
      <c r="E1481" s="21" t="str">
        <f t="shared" si="4"/>
        <v>NSE:BLKASHYAP</v>
      </c>
    </row>
    <row r="1482" ht="15.75" customHeight="1">
      <c r="A1482" s="30">
        <v>45498.0</v>
      </c>
      <c r="B1482" s="20" t="s">
        <v>790</v>
      </c>
      <c r="C1482" s="20" t="s">
        <v>13</v>
      </c>
      <c r="D1482" s="20" t="s">
        <v>37</v>
      </c>
      <c r="E1482" s="21" t="str">
        <f t="shared" si="4"/>
        <v>NSE:TECHM</v>
      </c>
    </row>
    <row r="1483" ht="15.75" customHeight="1">
      <c r="A1483" s="30">
        <v>45498.0</v>
      </c>
      <c r="B1483" s="20" t="s">
        <v>870</v>
      </c>
      <c r="C1483" s="20" t="s">
        <v>13</v>
      </c>
      <c r="D1483" s="20" t="s">
        <v>31</v>
      </c>
      <c r="E1483" s="21" t="str">
        <f t="shared" si="4"/>
        <v>NSE:TORNTPOWER</v>
      </c>
    </row>
    <row r="1484" ht="15.75" customHeight="1">
      <c r="A1484" s="30">
        <v>45498.0</v>
      </c>
      <c r="B1484" s="20" t="s">
        <v>287</v>
      </c>
      <c r="C1484" s="20" t="s">
        <v>16</v>
      </c>
      <c r="D1484" s="20" t="s">
        <v>53</v>
      </c>
      <c r="E1484" s="21" t="str">
        <f t="shared" si="4"/>
        <v>NSE:SUTLEJTEX</v>
      </c>
    </row>
    <row r="1485" ht="15.75" customHeight="1">
      <c r="A1485" s="30">
        <v>45498.0</v>
      </c>
      <c r="B1485" s="20" t="s">
        <v>660</v>
      </c>
      <c r="C1485" s="20" t="s">
        <v>16</v>
      </c>
      <c r="D1485" s="20" t="s">
        <v>27</v>
      </c>
      <c r="E1485" s="21" t="str">
        <f t="shared" si="4"/>
        <v>NSE:CAMLINFINE</v>
      </c>
    </row>
    <row r="1486" ht="15.75" customHeight="1">
      <c r="A1486" s="30">
        <v>45498.0</v>
      </c>
      <c r="B1486" s="20" t="s">
        <v>833</v>
      </c>
      <c r="C1486" s="20" t="s">
        <v>13</v>
      </c>
      <c r="D1486" s="20" t="s">
        <v>14</v>
      </c>
      <c r="E1486" s="21" t="str">
        <f t="shared" si="4"/>
        <v>NSE:FORTIS</v>
      </c>
    </row>
    <row r="1487" ht="15.75" customHeight="1">
      <c r="A1487" s="30">
        <v>45498.0</v>
      </c>
      <c r="B1487" s="20" t="s">
        <v>145</v>
      </c>
      <c r="C1487" s="20" t="s">
        <v>16</v>
      </c>
      <c r="D1487" s="20" t="s">
        <v>37</v>
      </c>
      <c r="E1487" s="21" t="str">
        <f t="shared" si="4"/>
        <v>NSE:ADSL</v>
      </c>
    </row>
    <row r="1488" ht="15.75" customHeight="1">
      <c r="A1488" s="30">
        <v>45498.0</v>
      </c>
      <c r="B1488" s="20" t="s">
        <v>229</v>
      </c>
      <c r="C1488" s="20" t="s">
        <v>16</v>
      </c>
      <c r="D1488" s="20" t="s">
        <v>55</v>
      </c>
      <c r="E1488" s="21" t="str">
        <f t="shared" si="4"/>
        <v>NSE:MOLDTKPAC</v>
      </c>
    </row>
    <row r="1489" ht="15.75" customHeight="1">
      <c r="A1489" s="30">
        <v>45498.0</v>
      </c>
      <c r="B1489" s="20" t="s">
        <v>534</v>
      </c>
      <c r="C1489" s="20" t="s">
        <v>16</v>
      </c>
      <c r="D1489" s="20" t="s">
        <v>156</v>
      </c>
      <c r="E1489" s="21" t="str">
        <f t="shared" si="4"/>
        <v>NSE:HATHWAY</v>
      </c>
    </row>
    <row r="1490" ht="15.75" customHeight="1">
      <c r="A1490" s="30">
        <v>45498.0</v>
      </c>
      <c r="B1490" s="20" t="s">
        <v>733</v>
      </c>
      <c r="C1490" s="20" t="s">
        <v>16</v>
      </c>
      <c r="D1490" s="20" t="s">
        <v>55</v>
      </c>
      <c r="E1490" s="21" t="str">
        <f t="shared" si="4"/>
        <v>NSE:CAREERP</v>
      </c>
    </row>
    <row r="1491" ht="15.75" customHeight="1">
      <c r="A1491" s="30">
        <v>45498.0</v>
      </c>
      <c r="B1491" s="20" t="s">
        <v>706</v>
      </c>
      <c r="C1491" s="20" t="s">
        <v>16</v>
      </c>
      <c r="D1491" s="20" t="s">
        <v>22</v>
      </c>
      <c r="E1491" s="21" t="str">
        <f t="shared" si="4"/>
        <v>NSE:RPPINFRA</v>
      </c>
    </row>
    <row r="1492" ht="15.75" customHeight="1">
      <c r="A1492" s="30">
        <v>45498.0</v>
      </c>
      <c r="B1492" s="20" t="s">
        <v>871</v>
      </c>
      <c r="C1492" s="20" t="s">
        <v>16</v>
      </c>
      <c r="D1492" s="20" t="s">
        <v>55</v>
      </c>
      <c r="E1492" s="21" t="str">
        <f t="shared" si="4"/>
        <v>NSE:HEXATRADEX</v>
      </c>
    </row>
    <row r="1493" ht="15.75" customHeight="1">
      <c r="A1493" s="30">
        <v>45498.0</v>
      </c>
      <c r="B1493" s="20" t="s">
        <v>548</v>
      </c>
      <c r="C1493" s="20" t="s">
        <v>13</v>
      </c>
      <c r="D1493" s="20" t="s">
        <v>37</v>
      </c>
      <c r="E1493" s="21" t="str">
        <f t="shared" si="4"/>
        <v>NSE:PAYTM</v>
      </c>
    </row>
    <row r="1494" ht="15.75" customHeight="1">
      <c r="A1494" s="30">
        <v>45498.0</v>
      </c>
      <c r="B1494" s="20" t="s">
        <v>442</v>
      </c>
      <c r="C1494" s="20" t="s">
        <v>21</v>
      </c>
      <c r="D1494" s="20" t="s">
        <v>19</v>
      </c>
      <c r="E1494" s="21" t="str">
        <f t="shared" si="4"/>
        <v>NSE:DATAPATTNS</v>
      </c>
    </row>
    <row r="1495" ht="15.75" customHeight="1">
      <c r="A1495" s="30">
        <v>45498.0</v>
      </c>
      <c r="B1495" s="20" t="s">
        <v>444</v>
      </c>
      <c r="C1495" s="20" t="s">
        <v>13</v>
      </c>
      <c r="D1495" s="20" t="s">
        <v>14</v>
      </c>
      <c r="E1495" s="21" t="str">
        <f t="shared" si="4"/>
        <v>NSE:SYNGENE</v>
      </c>
    </row>
    <row r="1496" ht="15.75" customHeight="1">
      <c r="A1496" s="30">
        <v>45498.0</v>
      </c>
      <c r="B1496" s="20" t="s">
        <v>872</v>
      </c>
      <c r="C1496" s="20" t="s">
        <v>13</v>
      </c>
      <c r="D1496" s="20" t="s">
        <v>55</v>
      </c>
      <c r="E1496" s="21" t="str">
        <f t="shared" si="4"/>
        <v>NSE:INDIGO</v>
      </c>
    </row>
    <row r="1497" ht="15.75" customHeight="1">
      <c r="A1497" s="30">
        <v>45499.0</v>
      </c>
      <c r="B1497" s="20" t="s">
        <v>296</v>
      </c>
      <c r="C1497" s="20" t="s">
        <v>13</v>
      </c>
      <c r="D1497" s="20" t="s">
        <v>27</v>
      </c>
      <c r="E1497" s="21" t="str">
        <f t="shared" si="4"/>
        <v>NSE:ATUL</v>
      </c>
    </row>
    <row r="1498" ht="15.75" customHeight="1">
      <c r="A1498" s="30">
        <v>45499.0</v>
      </c>
      <c r="B1498" s="20" t="s">
        <v>736</v>
      </c>
      <c r="C1498" s="20" t="s">
        <v>21</v>
      </c>
      <c r="D1498" s="20" t="s">
        <v>29</v>
      </c>
      <c r="E1498" s="21" t="str">
        <f t="shared" si="4"/>
        <v>NSE:BALRAMCHIN</v>
      </c>
    </row>
    <row r="1499" ht="15.75" customHeight="1">
      <c r="A1499" s="30">
        <v>45499.0</v>
      </c>
      <c r="B1499" s="20" t="s">
        <v>298</v>
      </c>
      <c r="C1499" s="20" t="s">
        <v>16</v>
      </c>
      <c r="D1499" s="20" t="s">
        <v>37</v>
      </c>
      <c r="E1499" s="21" t="str">
        <f t="shared" si="4"/>
        <v>NSE:SAKSOFT</v>
      </c>
    </row>
    <row r="1500" ht="15.75" customHeight="1">
      <c r="A1500" s="30">
        <v>45499.0</v>
      </c>
      <c r="B1500" s="20" t="s">
        <v>782</v>
      </c>
      <c r="C1500" s="20" t="s">
        <v>13</v>
      </c>
      <c r="D1500" s="20" t="s">
        <v>14</v>
      </c>
      <c r="E1500" s="21" t="str">
        <f t="shared" si="4"/>
        <v>NSE:DRREDDY</v>
      </c>
    </row>
    <row r="1501" ht="15.75" customHeight="1">
      <c r="A1501" s="30">
        <v>45499.0</v>
      </c>
      <c r="B1501" s="20" t="s">
        <v>873</v>
      </c>
      <c r="C1501" s="20" t="s">
        <v>13</v>
      </c>
      <c r="D1501" s="20" t="s">
        <v>14</v>
      </c>
      <c r="E1501" s="21" t="str">
        <f t="shared" si="4"/>
        <v>NSE:LUPIN</v>
      </c>
    </row>
    <row r="1502" ht="15.75" customHeight="1">
      <c r="A1502" s="30">
        <v>45499.0</v>
      </c>
      <c r="B1502" s="20" t="s">
        <v>755</v>
      </c>
      <c r="C1502" s="20" t="s">
        <v>13</v>
      </c>
      <c r="D1502" s="20" t="s">
        <v>53</v>
      </c>
      <c r="E1502" s="21" t="str">
        <f t="shared" si="4"/>
        <v>NSE:GRASIM</v>
      </c>
    </row>
    <row r="1503" ht="15.75" customHeight="1">
      <c r="A1503" s="30">
        <v>45499.0</v>
      </c>
      <c r="B1503" s="20" t="s">
        <v>243</v>
      </c>
      <c r="C1503" s="20" t="s">
        <v>13</v>
      </c>
      <c r="D1503" s="20" t="s">
        <v>39</v>
      </c>
      <c r="E1503" s="21" t="str">
        <f t="shared" si="4"/>
        <v>NSE:PEL</v>
      </c>
    </row>
    <row r="1504" ht="15.75" customHeight="1">
      <c r="A1504" s="30">
        <v>45499.0</v>
      </c>
      <c r="B1504" s="20" t="s">
        <v>465</v>
      </c>
      <c r="C1504" s="20" t="s">
        <v>16</v>
      </c>
      <c r="D1504" s="20" t="s">
        <v>25</v>
      </c>
      <c r="E1504" s="21" t="str">
        <f t="shared" si="4"/>
        <v>NSE:MUKANDLTD</v>
      </c>
    </row>
    <row r="1505" ht="15.75" customHeight="1">
      <c r="A1505" s="30">
        <v>45499.0</v>
      </c>
      <c r="B1505" s="20" t="s">
        <v>874</v>
      </c>
      <c r="C1505" s="20" t="s">
        <v>13</v>
      </c>
      <c r="D1505" s="20" t="s">
        <v>14</v>
      </c>
      <c r="E1505" s="21" t="str">
        <f t="shared" si="4"/>
        <v>NSE:ABBOTINDIA</v>
      </c>
    </row>
    <row r="1506" ht="15.75" customHeight="1">
      <c r="A1506" s="30">
        <v>45499.0</v>
      </c>
      <c r="B1506" s="20" t="s">
        <v>770</v>
      </c>
      <c r="C1506" s="20" t="s">
        <v>16</v>
      </c>
      <c r="D1506" s="20" t="s">
        <v>27</v>
      </c>
      <c r="E1506" s="21" t="str">
        <f t="shared" si="4"/>
        <v>NSE:TNPETRO</v>
      </c>
    </row>
    <row r="1507" ht="15.75" customHeight="1">
      <c r="A1507" s="30">
        <v>45499.0</v>
      </c>
      <c r="B1507" s="20" t="s">
        <v>271</v>
      </c>
      <c r="C1507" s="20" t="s">
        <v>13</v>
      </c>
      <c r="D1507" s="20" t="s">
        <v>39</v>
      </c>
      <c r="E1507" s="21" t="str">
        <f t="shared" si="4"/>
        <v>NSE:CHOLAHLDNG</v>
      </c>
    </row>
    <row r="1508" ht="15.75" customHeight="1">
      <c r="A1508" s="30">
        <v>45499.0</v>
      </c>
      <c r="B1508" s="20" t="s">
        <v>875</v>
      </c>
      <c r="C1508" s="20" t="s">
        <v>13</v>
      </c>
      <c r="D1508" s="20" t="s">
        <v>17</v>
      </c>
      <c r="E1508" s="21" t="str">
        <f t="shared" si="4"/>
        <v>NSE:EICHERMOT</v>
      </c>
    </row>
    <row r="1509" ht="15.75" customHeight="1">
      <c r="A1509" s="30">
        <v>45499.0</v>
      </c>
      <c r="B1509" s="20" t="s">
        <v>570</v>
      </c>
      <c r="C1509" s="20" t="s">
        <v>16</v>
      </c>
      <c r="D1509" s="20" t="s">
        <v>29</v>
      </c>
      <c r="E1509" s="21" t="str">
        <f t="shared" si="4"/>
        <v>NSE:HERCULES</v>
      </c>
    </row>
    <row r="1510" ht="15.75" customHeight="1">
      <c r="A1510" s="30">
        <v>45499.0</v>
      </c>
      <c r="B1510" s="20" t="s">
        <v>817</v>
      </c>
      <c r="C1510" s="20" t="s">
        <v>16</v>
      </c>
      <c r="D1510" s="20" t="s">
        <v>29</v>
      </c>
      <c r="E1510" s="21" t="str">
        <f t="shared" si="4"/>
        <v>NSE:MODISONLTD</v>
      </c>
    </row>
    <row r="1511" ht="15.75" customHeight="1">
      <c r="A1511" s="30">
        <v>45499.0</v>
      </c>
      <c r="B1511" s="20" t="s">
        <v>684</v>
      </c>
      <c r="C1511" s="20" t="s">
        <v>21</v>
      </c>
      <c r="D1511" s="20" t="s">
        <v>27</v>
      </c>
      <c r="E1511" s="21" t="str">
        <f t="shared" si="4"/>
        <v>NSE:PCBL</v>
      </c>
    </row>
    <row r="1512" ht="15.75" customHeight="1">
      <c r="A1512" s="30">
        <v>45499.0</v>
      </c>
      <c r="B1512" s="20" t="s">
        <v>630</v>
      </c>
      <c r="C1512" s="20" t="s">
        <v>13</v>
      </c>
      <c r="D1512" s="20" t="s">
        <v>14</v>
      </c>
      <c r="E1512" s="21" t="str">
        <f t="shared" si="4"/>
        <v>NSE:APOLLOHOSP</v>
      </c>
    </row>
    <row r="1513" ht="15.75" customHeight="1">
      <c r="A1513" s="30">
        <v>45499.0</v>
      </c>
      <c r="B1513" s="20" t="s">
        <v>336</v>
      </c>
      <c r="C1513" s="20" t="s">
        <v>16</v>
      </c>
      <c r="D1513" s="20" t="s">
        <v>39</v>
      </c>
      <c r="E1513" s="21" t="str">
        <f t="shared" si="4"/>
        <v>NSE:VLSFINANCE</v>
      </c>
    </row>
    <row r="1514" ht="15.75" customHeight="1">
      <c r="A1514" s="30">
        <v>45499.0</v>
      </c>
      <c r="B1514" s="20" t="s">
        <v>876</v>
      </c>
      <c r="C1514" s="20" t="s">
        <v>13</v>
      </c>
      <c r="D1514" s="20" t="s">
        <v>55</v>
      </c>
      <c r="E1514" s="21" t="str">
        <f t="shared" si="4"/>
        <v>NSE:LICI</v>
      </c>
    </row>
    <row r="1515" ht="15.75" customHeight="1">
      <c r="A1515" s="30">
        <v>45499.0</v>
      </c>
      <c r="B1515" s="20" t="s">
        <v>741</v>
      </c>
      <c r="C1515" s="20" t="s">
        <v>21</v>
      </c>
      <c r="D1515" s="20" t="s">
        <v>53</v>
      </c>
      <c r="E1515" s="21" t="str">
        <f t="shared" si="4"/>
        <v>NSE:WELSPUNLIV</v>
      </c>
    </row>
    <row r="1516" ht="15.75" customHeight="1">
      <c r="A1516" s="30">
        <v>45499.0</v>
      </c>
      <c r="B1516" s="20" t="s">
        <v>275</v>
      </c>
      <c r="C1516" s="20" t="s">
        <v>16</v>
      </c>
      <c r="D1516" s="20" t="s">
        <v>37</v>
      </c>
      <c r="E1516" s="21" t="str">
        <f t="shared" si="4"/>
        <v>NSE:MINDTECK</v>
      </c>
    </row>
    <row r="1517" ht="15.75" customHeight="1">
      <c r="A1517" s="30">
        <v>45499.0</v>
      </c>
      <c r="B1517" s="20" t="s">
        <v>353</v>
      </c>
      <c r="C1517" s="20" t="s">
        <v>16</v>
      </c>
      <c r="D1517" s="20" t="s">
        <v>39</v>
      </c>
      <c r="E1517" s="21" t="str">
        <f t="shared" si="4"/>
        <v>NSE:AHL</v>
      </c>
    </row>
    <row r="1518" ht="15.75" customHeight="1">
      <c r="A1518" s="30">
        <v>45499.0</v>
      </c>
      <c r="B1518" s="20" t="s">
        <v>772</v>
      </c>
      <c r="C1518" s="20" t="s">
        <v>16</v>
      </c>
      <c r="D1518" s="20" t="s">
        <v>55</v>
      </c>
      <c r="E1518" s="21" t="str">
        <f t="shared" si="4"/>
        <v>NSE:SHREYAS</v>
      </c>
    </row>
    <row r="1519" ht="15.75" customHeight="1">
      <c r="A1519" s="30">
        <v>45499.0</v>
      </c>
      <c r="B1519" s="20" t="s">
        <v>85</v>
      </c>
      <c r="C1519" s="20" t="s">
        <v>16</v>
      </c>
      <c r="D1519" s="20" t="s">
        <v>29</v>
      </c>
      <c r="E1519" s="21" t="str">
        <f t="shared" si="4"/>
        <v>NSE:SHANTIGEAR</v>
      </c>
    </row>
    <row r="1520" ht="15.75" customHeight="1">
      <c r="A1520" s="30">
        <v>45499.0</v>
      </c>
      <c r="B1520" s="20" t="s">
        <v>786</v>
      </c>
      <c r="C1520" s="20" t="s">
        <v>16</v>
      </c>
      <c r="D1520" s="20" t="s">
        <v>55</v>
      </c>
      <c r="E1520" s="21" t="str">
        <f t="shared" si="4"/>
        <v>NSE:DVL</v>
      </c>
    </row>
    <row r="1521" ht="15.75" customHeight="1">
      <c r="A1521" s="30">
        <v>45499.0</v>
      </c>
      <c r="B1521" s="20" t="s">
        <v>586</v>
      </c>
      <c r="C1521" s="20" t="s">
        <v>16</v>
      </c>
      <c r="D1521" s="20" t="s">
        <v>14</v>
      </c>
      <c r="E1521" s="21" t="str">
        <f t="shared" si="4"/>
        <v>NSE:WANBURY</v>
      </c>
    </row>
    <row r="1522" ht="15.75" customHeight="1">
      <c r="A1522" s="30">
        <v>45499.0</v>
      </c>
      <c r="B1522" s="20" t="s">
        <v>491</v>
      </c>
      <c r="C1522" s="20" t="s">
        <v>16</v>
      </c>
      <c r="D1522" s="20" t="s">
        <v>27</v>
      </c>
      <c r="E1522" s="21" t="str">
        <f t="shared" si="4"/>
        <v>NSE:INDOBORAX</v>
      </c>
    </row>
    <row r="1523" ht="15.75" customHeight="1">
      <c r="A1523" s="30">
        <v>45499.0</v>
      </c>
      <c r="B1523" s="20" t="s">
        <v>176</v>
      </c>
      <c r="C1523" s="20" t="s">
        <v>13</v>
      </c>
      <c r="D1523" s="20" t="s">
        <v>177</v>
      </c>
      <c r="E1523" s="21" t="str">
        <f t="shared" si="4"/>
        <v>NSE:NIFTY</v>
      </c>
    </row>
    <row r="1524" ht="15.75" customHeight="1">
      <c r="A1524" s="30">
        <v>45499.0</v>
      </c>
      <c r="B1524" s="20" t="s">
        <v>595</v>
      </c>
      <c r="C1524" s="20" t="s">
        <v>16</v>
      </c>
      <c r="D1524" s="20" t="s">
        <v>14</v>
      </c>
      <c r="E1524" s="21" t="str">
        <f t="shared" si="4"/>
        <v>NSE:NGLFINE</v>
      </c>
    </row>
    <row r="1525" ht="15.75" customHeight="1">
      <c r="A1525" s="30">
        <v>45499.0</v>
      </c>
      <c r="B1525" s="20" t="s">
        <v>363</v>
      </c>
      <c r="C1525" s="20" t="s">
        <v>13</v>
      </c>
      <c r="D1525" s="20" t="s">
        <v>14</v>
      </c>
      <c r="E1525" s="21" t="str">
        <f t="shared" si="4"/>
        <v>NSE:AUROPHARMA</v>
      </c>
    </row>
    <row r="1526" ht="15.75" customHeight="1">
      <c r="A1526" s="30">
        <v>45499.0</v>
      </c>
      <c r="B1526" s="20" t="s">
        <v>375</v>
      </c>
      <c r="C1526" s="20" t="s">
        <v>13</v>
      </c>
      <c r="D1526" s="20" t="s">
        <v>55</v>
      </c>
      <c r="E1526" s="21" t="str">
        <f t="shared" si="4"/>
        <v>NSE:NIACL</v>
      </c>
    </row>
    <row r="1527" ht="15.75" customHeight="1">
      <c r="A1527" s="30">
        <v>45499.0</v>
      </c>
      <c r="B1527" s="20" t="s">
        <v>181</v>
      </c>
      <c r="C1527" s="20" t="s">
        <v>16</v>
      </c>
      <c r="D1527" s="20" t="s">
        <v>55</v>
      </c>
      <c r="E1527" s="21" t="str">
        <f t="shared" si="4"/>
        <v>NSE:RPTECH</v>
      </c>
    </row>
    <row r="1528" ht="15.75" customHeight="1">
      <c r="A1528" s="30">
        <v>45499.0</v>
      </c>
      <c r="B1528" s="20" t="s">
        <v>505</v>
      </c>
      <c r="C1528" s="20" t="s">
        <v>16</v>
      </c>
      <c r="D1528" s="20" t="s">
        <v>25</v>
      </c>
      <c r="E1528" s="21" t="str">
        <f t="shared" si="4"/>
        <v>NSE:MMP</v>
      </c>
    </row>
    <row r="1529" ht="15.75" customHeight="1">
      <c r="A1529" s="30">
        <v>45499.0</v>
      </c>
      <c r="B1529" s="20" t="s">
        <v>506</v>
      </c>
      <c r="C1529" s="20" t="s">
        <v>16</v>
      </c>
      <c r="D1529" s="20" t="s">
        <v>14</v>
      </c>
      <c r="E1529" s="21" t="str">
        <f t="shared" si="4"/>
        <v>NSE:GPTHEALTH</v>
      </c>
    </row>
    <row r="1530" ht="15.75" customHeight="1">
      <c r="A1530" s="30">
        <v>45499.0</v>
      </c>
      <c r="B1530" s="20" t="s">
        <v>647</v>
      </c>
      <c r="C1530" s="20" t="s">
        <v>16</v>
      </c>
      <c r="D1530" s="20" t="s">
        <v>29</v>
      </c>
      <c r="E1530" s="21" t="str">
        <f t="shared" si="4"/>
        <v>NSE:GOPAL</v>
      </c>
    </row>
    <row r="1531" ht="15.75" customHeight="1">
      <c r="A1531" s="30">
        <v>45499.0</v>
      </c>
      <c r="B1531" s="20" t="s">
        <v>515</v>
      </c>
      <c r="C1531" s="20" t="s">
        <v>16</v>
      </c>
      <c r="D1531" s="20" t="s">
        <v>14</v>
      </c>
      <c r="E1531" s="21" t="str">
        <f t="shared" si="4"/>
        <v>NSE:ARTEMISMED</v>
      </c>
    </row>
    <row r="1532" ht="15.75" customHeight="1">
      <c r="A1532" s="30">
        <v>45499.0</v>
      </c>
      <c r="B1532" s="20" t="s">
        <v>798</v>
      </c>
      <c r="C1532" s="20" t="s">
        <v>13</v>
      </c>
      <c r="D1532" s="20" t="s">
        <v>37</v>
      </c>
      <c r="E1532" s="21" t="str">
        <f t="shared" si="4"/>
        <v>NSE:HCLTECH</v>
      </c>
    </row>
    <row r="1533" ht="15.75" customHeight="1">
      <c r="A1533" s="30">
        <v>45499.0</v>
      </c>
      <c r="B1533" s="20" t="s">
        <v>877</v>
      </c>
      <c r="C1533" s="20" t="s">
        <v>16</v>
      </c>
      <c r="D1533" s="20" t="s">
        <v>37</v>
      </c>
      <c r="E1533" s="21" t="str">
        <f t="shared" si="4"/>
        <v>NSE:IZMO</v>
      </c>
    </row>
    <row r="1534" ht="15.75" customHeight="1">
      <c r="A1534" s="30">
        <v>45499.0</v>
      </c>
      <c r="B1534" s="20" t="s">
        <v>878</v>
      </c>
      <c r="C1534" s="20" t="s">
        <v>13</v>
      </c>
      <c r="D1534" s="20" t="s">
        <v>156</v>
      </c>
      <c r="E1534" s="21" t="str">
        <f t="shared" si="4"/>
        <v>NSE:BHARTIARTL</v>
      </c>
    </row>
    <row r="1535" ht="15.75" customHeight="1">
      <c r="A1535" s="30">
        <v>45499.0</v>
      </c>
      <c r="B1535" s="20" t="s">
        <v>813</v>
      </c>
      <c r="C1535" s="20" t="s">
        <v>16</v>
      </c>
      <c r="D1535" s="20" t="s">
        <v>37</v>
      </c>
      <c r="E1535" s="21" t="str">
        <f t="shared" si="4"/>
        <v>NSE:DATAMATICS</v>
      </c>
    </row>
    <row r="1536" ht="15.75" customHeight="1">
      <c r="A1536" s="30">
        <v>45499.0</v>
      </c>
      <c r="B1536" s="20" t="s">
        <v>789</v>
      </c>
      <c r="C1536" s="20" t="s">
        <v>13</v>
      </c>
      <c r="D1536" s="20" t="s">
        <v>37</v>
      </c>
      <c r="E1536" s="21" t="str">
        <f t="shared" si="4"/>
        <v>NSE:TCS</v>
      </c>
    </row>
    <row r="1537" ht="15.75" customHeight="1">
      <c r="A1537" s="30">
        <v>45499.0</v>
      </c>
      <c r="B1537" s="20" t="s">
        <v>657</v>
      </c>
      <c r="C1537" s="20" t="s">
        <v>13</v>
      </c>
      <c r="D1537" s="20" t="s">
        <v>27</v>
      </c>
      <c r="E1537" s="21" t="str">
        <f t="shared" si="4"/>
        <v>NSE:AIAENG</v>
      </c>
    </row>
    <row r="1538" ht="15.75" customHeight="1">
      <c r="A1538" s="30">
        <v>45499.0</v>
      </c>
      <c r="B1538" s="20" t="s">
        <v>879</v>
      </c>
      <c r="C1538" s="20" t="s">
        <v>16</v>
      </c>
      <c r="D1538" s="20" t="s">
        <v>64</v>
      </c>
      <c r="E1538" s="21" t="str">
        <f t="shared" si="4"/>
        <v>NSE:DEEPINDS</v>
      </c>
    </row>
    <row r="1539" ht="15.75" customHeight="1">
      <c r="A1539" s="30">
        <v>45499.0</v>
      </c>
      <c r="B1539" s="20" t="s">
        <v>880</v>
      </c>
      <c r="C1539" s="20" t="s">
        <v>16</v>
      </c>
      <c r="D1539" s="20" t="s">
        <v>37</v>
      </c>
      <c r="E1539" s="21" t="str">
        <f t="shared" si="4"/>
        <v>NSE:INSPIRISYS</v>
      </c>
    </row>
    <row r="1540" ht="15.75" customHeight="1">
      <c r="A1540" s="30">
        <v>45499.0</v>
      </c>
      <c r="B1540" s="20" t="s">
        <v>528</v>
      </c>
      <c r="C1540" s="20" t="s">
        <v>13</v>
      </c>
      <c r="D1540" s="20" t="s">
        <v>37</v>
      </c>
      <c r="E1540" s="21" t="str">
        <f t="shared" si="4"/>
        <v>NSE:FSL</v>
      </c>
    </row>
    <row r="1541" ht="15.75" customHeight="1">
      <c r="A1541" s="30">
        <v>45499.0</v>
      </c>
      <c r="B1541" s="20" t="s">
        <v>750</v>
      </c>
      <c r="C1541" s="20" t="s">
        <v>13</v>
      </c>
      <c r="D1541" s="20" t="s">
        <v>185</v>
      </c>
      <c r="E1541" s="21" t="str">
        <f t="shared" si="4"/>
        <v>NSE:INDIANB</v>
      </c>
    </row>
    <row r="1542" ht="15.75" customHeight="1">
      <c r="A1542" s="30">
        <v>45499.0</v>
      </c>
      <c r="B1542" s="20" t="s">
        <v>663</v>
      </c>
      <c r="C1542" s="20" t="s">
        <v>16</v>
      </c>
      <c r="D1542" s="20" t="s">
        <v>156</v>
      </c>
      <c r="E1542" s="21" t="str">
        <f t="shared" si="4"/>
        <v>NSE:ONMOBILE</v>
      </c>
    </row>
    <row r="1543" ht="15.75" customHeight="1">
      <c r="A1543" s="30">
        <v>45499.0</v>
      </c>
      <c r="B1543" s="20" t="s">
        <v>881</v>
      </c>
      <c r="C1543" s="20" t="s">
        <v>13</v>
      </c>
      <c r="D1543" s="20" t="s">
        <v>39</v>
      </c>
      <c r="E1543" s="21" t="str">
        <f t="shared" si="4"/>
        <v>NSE:RECLTD</v>
      </c>
    </row>
    <row r="1544" ht="15.75" customHeight="1">
      <c r="A1544" s="30">
        <v>45499.0</v>
      </c>
      <c r="B1544" s="20" t="s">
        <v>752</v>
      </c>
      <c r="C1544" s="20" t="s">
        <v>16</v>
      </c>
      <c r="D1544" s="20" t="s">
        <v>29</v>
      </c>
      <c r="E1544" s="21" t="str">
        <f t="shared" si="4"/>
        <v>NSE:KCPSUGIND</v>
      </c>
    </row>
    <row r="1545" ht="15.75" customHeight="1">
      <c r="A1545" s="30">
        <v>45499.0</v>
      </c>
      <c r="B1545" s="20" t="s">
        <v>424</v>
      </c>
      <c r="C1545" s="20" t="s">
        <v>16</v>
      </c>
      <c r="D1545" s="20" t="s">
        <v>29</v>
      </c>
      <c r="E1545" s="21" t="str">
        <f t="shared" si="4"/>
        <v>NSE:BAJAJCON</v>
      </c>
    </row>
    <row r="1546" ht="15.75" customHeight="1">
      <c r="A1546" s="30">
        <v>45499.0</v>
      </c>
      <c r="B1546" s="20" t="s">
        <v>155</v>
      </c>
      <c r="C1546" s="20" t="s">
        <v>13</v>
      </c>
      <c r="D1546" s="20" t="s">
        <v>156</v>
      </c>
      <c r="E1546" s="21" t="str">
        <f t="shared" si="4"/>
        <v>NSE:INDUSTOWER</v>
      </c>
    </row>
    <row r="1547" ht="15.75" customHeight="1">
      <c r="A1547" s="30">
        <v>45499.0</v>
      </c>
      <c r="B1547" s="20" t="s">
        <v>882</v>
      </c>
      <c r="C1547" s="20" t="s">
        <v>21</v>
      </c>
      <c r="D1547" s="20" t="s">
        <v>39</v>
      </c>
      <c r="E1547" s="21" t="str">
        <f t="shared" si="4"/>
        <v>NSE:ABSLAMC</v>
      </c>
    </row>
    <row r="1548" ht="15.75" customHeight="1">
      <c r="A1548" s="30">
        <v>45499.0</v>
      </c>
      <c r="B1548" s="20" t="s">
        <v>264</v>
      </c>
      <c r="C1548" s="20" t="s">
        <v>16</v>
      </c>
      <c r="D1548" s="20" t="s">
        <v>53</v>
      </c>
      <c r="E1548" s="21" t="str">
        <f t="shared" si="4"/>
        <v>NSE:MALLCOM</v>
      </c>
    </row>
    <row r="1549" ht="15.75" customHeight="1">
      <c r="A1549" s="30">
        <v>45499.0</v>
      </c>
      <c r="B1549" s="20" t="s">
        <v>803</v>
      </c>
      <c r="C1549" s="20" t="s">
        <v>13</v>
      </c>
      <c r="D1549" s="20" t="s">
        <v>14</v>
      </c>
      <c r="E1549" s="21" t="str">
        <f t="shared" si="4"/>
        <v>NSE:ALKEM</v>
      </c>
    </row>
    <row r="1550" ht="15.75" customHeight="1">
      <c r="A1550" s="30">
        <v>45502.0</v>
      </c>
      <c r="B1550" s="20" t="s">
        <v>463</v>
      </c>
      <c r="C1550" s="20" t="s">
        <v>13</v>
      </c>
      <c r="D1550" s="20" t="s">
        <v>14</v>
      </c>
      <c r="E1550" s="21" t="str">
        <f t="shared" si="4"/>
        <v>NSE:TORNTPHARM</v>
      </c>
    </row>
    <row r="1551" ht="15.75" customHeight="1">
      <c r="A1551" s="30">
        <v>45502.0</v>
      </c>
      <c r="B1551" s="20" t="s">
        <v>808</v>
      </c>
      <c r="C1551" s="20" t="s">
        <v>13</v>
      </c>
      <c r="D1551" s="20" t="s">
        <v>14</v>
      </c>
      <c r="E1551" s="21" t="str">
        <f t="shared" si="4"/>
        <v>NSE:PFIZER</v>
      </c>
    </row>
    <row r="1552" ht="15.75" customHeight="1">
      <c r="A1552" s="30">
        <v>45502.0</v>
      </c>
      <c r="B1552" s="20" t="s">
        <v>793</v>
      </c>
      <c r="C1552" s="20" t="s">
        <v>13</v>
      </c>
      <c r="D1552" s="20" t="s">
        <v>29</v>
      </c>
      <c r="E1552" s="21" t="str">
        <f t="shared" si="4"/>
        <v>NSE:COLPAL</v>
      </c>
    </row>
    <row r="1553" ht="15.75" customHeight="1">
      <c r="A1553" s="30">
        <v>45502.0</v>
      </c>
      <c r="B1553" s="20" t="s">
        <v>883</v>
      </c>
      <c r="C1553" s="20" t="s">
        <v>13</v>
      </c>
      <c r="D1553" s="20" t="s">
        <v>27</v>
      </c>
      <c r="E1553" s="21" t="str">
        <f t="shared" si="4"/>
        <v>NSE:BAYERCROP</v>
      </c>
    </row>
    <row r="1554" ht="15.75" customHeight="1">
      <c r="A1554" s="30">
        <v>45502.0</v>
      </c>
      <c r="B1554" s="20" t="s">
        <v>34</v>
      </c>
      <c r="C1554" s="20" t="s">
        <v>13</v>
      </c>
      <c r="D1554" s="20" t="s">
        <v>27</v>
      </c>
      <c r="E1554" s="21" t="str">
        <f t="shared" si="4"/>
        <v>NSE:DEEPAKNTR</v>
      </c>
    </row>
    <row r="1555" ht="15.75" customHeight="1">
      <c r="A1555" s="30">
        <v>45502.0</v>
      </c>
      <c r="B1555" s="20" t="s">
        <v>717</v>
      </c>
      <c r="C1555" s="20" t="s">
        <v>16</v>
      </c>
      <c r="D1555" s="20" t="s">
        <v>27</v>
      </c>
      <c r="E1555" s="21" t="str">
        <f t="shared" si="4"/>
        <v>NSE:SADHNANIQ</v>
      </c>
    </row>
    <row r="1556" ht="15.75" customHeight="1">
      <c r="A1556" s="30">
        <v>45502.0</v>
      </c>
      <c r="B1556" s="20" t="s">
        <v>576</v>
      </c>
      <c r="C1556" s="20" t="s">
        <v>16</v>
      </c>
      <c r="D1556" s="20" t="s">
        <v>25</v>
      </c>
      <c r="E1556" s="21" t="str">
        <f t="shared" si="4"/>
        <v>NSE:HARIOMPIPE</v>
      </c>
    </row>
    <row r="1557" ht="15.75" customHeight="1">
      <c r="A1557" s="30">
        <v>45502.0</v>
      </c>
      <c r="B1557" s="20" t="s">
        <v>719</v>
      </c>
      <c r="C1557" s="20" t="s">
        <v>16</v>
      </c>
      <c r="D1557" s="20" t="s">
        <v>29</v>
      </c>
      <c r="E1557" s="21" t="str">
        <f t="shared" si="4"/>
        <v>NSE:IKIO</v>
      </c>
    </row>
    <row r="1558" ht="15.75" customHeight="1">
      <c r="A1558" s="30">
        <v>45502.0</v>
      </c>
      <c r="B1558" s="20" t="s">
        <v>597</v>
      </c>
      <c r="C1558" s="20" t="s">
        <v>21</v>
      </c>
      <c r="D1558" s="20" t="s">
        <v>31</v>
      </c>
      <c r="E1558" s="21" t="str">
        <f t="shared" si="4"/>
        <v>NSE:MAXESTATES</v>
      </c>
    </row>
    <row r="1559" ht="15.75" customHeight="1">
      <c r="A1559" s="30">
        <v>45502.0</v>
      </c>
      <c r="B1559" s="20" t="s">
        <v>497</v>
      </c>
      <c r="C1559" s="20" t="s">
        <v>16</v>
      </c>
      <c r="D1559" s="20" t="s">
        <v>53</v>
      </c>
      <c r="E1559" s="21" t="str">
        <f t="shared" si="4"/>
        <v>NSE:MANOMAY</v>
      </c>
    </row>
    <row r="1560" ht="15.75" customHeight="1">
      <c r="A1560" s="30">
        <v>45502.0</v>
      </c>
      <c r="B1560" s="20" t="s">
        <v>639</v>
      </c>
      <c r="C1560" s="20" t="s">
        <v>16</v>
      </c>
      <c r="D1560" s="20" t="s">
        <v>55</v>
      </c>
      <c r="E1560" s="21" t="str">
        <f t="shared" si="4"/>
        <v>NSE:TPLPLASTEH</v>
      </c>
    </row>
    <row r="1561" ht="15.75" customHeight="1">
      <c r="A1561" s="30">
        <v>45502.0</v>
      </c>
      <c r="B1561" s="20" t="s">
        <v>725</v>
      </c>
      <c r="C1561" s="20" t="s">
        <v>16</v>
      </c>
      <c r="D1561" s="20" t="s">
        <v>27</v>
      </c>
      <c r="E1561" s="21" t="str">
        <f t="shared" si="4"/>
        <v>NSE:MANGCHEFER</v>
      </c>
    </row>
    <row r="1562" ht="15.75" customHeight="1">
      <c r="A1562" s="30">
        <v>45502.0</v>
      </c>
      <c r="B1562" s="20" t="s">
        <v>220</v>
      </c>
      <c r="C1562" s="20" t="s">
        <v>13</v>
      </c>
      <c r="D1562" s="20" t="s">
        <v>39</v>
      </c>
      <c r="E1562" s="21" t="str">
        <f t="shared" si="4"/>
        <v>NSE:360ONE</v>
      </c>
    </row>
    <row r="1563" ht="15.75" customHeight="1">
      <c r="A1563" s="30">
        <v>45502.0</v>
      </c>
      <c r="B1563" s="20" t="s">
        <v>777</v>
      </c>
      <c r="C1563" s="20" t="s">
        <v>16</v>
      </c>
      <c r="D1563" s="20" t="s">
        <v>53</v>
      </c>
      <c r="E1563" s="21" t="str">
        <f t="shared" si="4"/>
        <v>NSE:FILATFASH</v>
      </c>
    </row>
    <row r="1564" ht="15.75" customHeight="1">
      <c r="A1564" s="30">
        <v>45502.0</v>
      </c>
      <c r="B1564" s="20" t="s">
        <v>516</v>
      </c>
      <c r="C1564" s="20" t="s">
        <v>13</v>
      </c>
      <c r="D1564" s="20" t="s">
        <v>373</v>
      </c>
      <c r="E1564" s="21" t="str">
        <f t="shared" si="4"/>
        <v>NSE:CAMS</v>
      </c>
    </row>
    <row r="1565" ht="15.75" customHeight="1">
      <c r="A1565" s="30">
        <v>45502.0</v>
      </c>
      <c r="B1565" s="20" t="s">
        <v>884</v>
      </c>
      <c r="C1565" s="20" t="s">
        <v>16</v>
      </c>
      <c r="D1565" s="20" t="s">
        <v>55</v>
      </c>
      <c r="E1565" s="21" t="str">
        <f t="shared" si="4"/>
        <v>NSE:GEOJITFSL</v>
      </c>
    </row>
    <row r="1566" ht="15.75" customHeight="1">
      <c r="A1566" s="30">
        <v>45502.0</v>
      </c>
      <c r="B1566" s="20" t="s">
        <v>416</v>
      </c>
      <c r="C1566" s="20" t="s">
        <v>21</v>
      </c>
      <c r="D1566" s="20" t="s">
        <v>37</v>
      </c>
      <c r="E1566" s="21" t="str">
        <f t="shared" si="4"/>
        <v>NSE:TANLA</v>
      </c>
    </row>
    <row r="1567" ht="15.75" customHeight="1">
      <c r="A1567" s="30">
        <v>45502.0</v>
      </c>
      <c r="B1567" s="20" t="s">
        <v>765</v>
      </c>
      <c r="C1567" s="20" t="s">
        <v>13</v>
      </c>
      <c r="D1567" s="20" t="s">
        <v>39</v>
      </c>
      <c r="E1567" s="21" t="str">
        <f t="shared" si="4"/>
        <v>NSE:BAJAJFINSV</v>
      </c>
    </row>
    <row r="1568" ht="15.75" customHeight="1">
      <c r="A1568" s="30">
        <v>45502.0</v>
      </c>
      <c r="B1568" s="20" t="s">
        <v>103</v>
      </c>
      <c r="C1568" s="20" t="s">
        <v>13</v>
      </c>
      <c r="D1568" s="20" t="s">
        <v>14</v>
      </c>
      <c r="E1568" s="21" t="str">
        <f t="shared" si="4"/>
        <v>NSE:GLAND</v>
      </c>
    </row>
    <row r="1569" ht="15.75" customHeight="1">
      <c r="A1569" s="30">
        <v>45502.0</v>
      </c>
      <c r="B1569" s="20" t="s">
        <v>822</v>
      </c>
      <c r="C1569" s="20" t="s">
        <v>21</v>
      </c>
      <c r="D1569" s="20" t="s">
        <v>27</v>
      </c>
      <c r="E1569" s="21" t="str">
        <f t="shared" si="4"/>
        <v>NSE:ORIENTCEM</v>
      </c>
    </row>
    <row r="1570" ht="15.75" customHeight="1">
      <c r="A1570" s="30">
        <v>45502.0</v>
      </c>
      <c r="B1570" s="20" t="s">
        <v>621</v>
      </c>
      <c r="C1570" s="20" t="s">
        <v>21</v>
      </c>
      <c r="D1570" s="20" t="s">
        <v>107</v>
      </c>
      <c r="E1570" s="21" t="str">
        <f t="shared" si="4"/>
        <v>NSE:SAPPHIRE</v>
      </c>
    </row>
    <row r="1571" ht="15.75" customHeight="1">
      <c r="A1571" s="30">
        <v>45502.0</v>
      </c>
      <c r="B1571" s="20" t="s">
        <v>670</v>
      </c>
      <c r="C1571" s="20" t="s">
        <v>13</v>
      </c>
      <c r="D1571" s="20" t="s">
        <v>29</v>
      </c>
      <c r="E1571" s="21" t="str">
        <f t="shared" si="4"/>
        <v>NSE:METROBRAND</v>
      </c>
    </row>
    <row r="1572" ht="15.75" customHeight="1">
      <c r="A1572" s="30">
        <v>45502.0</v>
      </c>
      <c r="B1572" s="20" t="s">
        <v>885</v>
      </c>
      <c r="C1572" s="20" t="s">
        <v>21</v>
      </c>
      <c r="D1572" s="20" t="s">
        <v>53</v>
      </c>
      <c r="E1572" s="21" t="str">
        <f t="shared" si="4"/>
        <v>NSE:LUXIND</v>
      </c>
    </row>
    <row r="1573" ht="15.75" customHeight="1">
      <c r="A1573" s="30">
        <v>45503.0</v>
      </c>
      <c r="B1573" s="20" t="s">
        <v>133</v>
      </c>
      <c r="C1573" s="20" t="s">
        <v>16</v>
      </c>
      <c r="D1573" s="20" t="s">
        <v>27</v>
      </c>
      <c r="E1573" s="21" t="str">
        <f t="shared" si="4"/>
        <v>NSE:BOROLTD</v>
      </c>
    </row>
    <row r="1574" ht="15.75" customHeight="1">
      <c r="A1574" s="30">
        <v>45503.0</v>
      </c>
      <c r="B1574" s="20" t="s">
        <v>325</v>
      </c>
      <c r="C1574" s="20" t="s">
        <v>16</v>
      </c>
      <c r="D1574" s="20" t="s">
        <v>22</v>
      </c>
      <c r="E1574" s="21" t="str">
        <f t="shared" si="4"/>
        <v>NSE:WSI</v>
      </c>
    </row>
    <row r="1575" ht="15.75" customHeight="1">
      <c r="A1575" s="30">
        <v>45503.0</v>
      </c>
      <c r="B1575" s="20" t="s">
        <v>472</v>
      </c>
      <c r="C1575" s="20" t="s">
        <v>16</v>
      </c>
      <c r="D1575" s="20" t="s">
        <v>17</v>
      </c>
      <c r="E1575" s="21" t="str">
        <f t="shared" si="4"/>
        <v>NSE:TALBROAUTO</v>
      </c>
    </row>
    <row r="1576" ht="15.75" customHeight="1">
      <c r="A1576" s="30">
        <v>45503.0</v>
      </c>
      <c r="B1576" s="20" t="s">
        <v>825</v>
      </c>
      <c r="C1576" s="20" t="s">
        <v>21</v>
      </c>
      <c r="D1576" s="20" t="s">
        <v>22</v>
      </c>
      <c r="E1576" s="21" t="str">
        <f t="shared" si="4"/>
        <v>NSE:RUSTOMJEE</v>
      </c>
    </row>
    <row r="1577" ht="15.75" customHeight="1">
      <c r="A1577" s="30">
        <v>45503.0</v>
      </c>
      <c r="B1577" s="20" t="s">
        <v>492</v>
      </c>
      <c r="C1577" s="20" t="s">
        <v>16</v>
      </c>
      <c r="D1577" s="20" t="s">
        <v>14</v>
      </c>
      <c r="E1577" s="21" t="str">
        <f t="shared" si="4"/>
        <v>NSE:VIMTALABS</v>
      </c>
    </row>
    <row r="1578" ht="15.75" customHeight="1">
      <c r="A1578" s="30">
        <v>45503.0</v>
      </c>
      <c r="B1578" s="20" t="s">
        <v>812</v>
      </c>
      <c r="C1578" s="20" t="s">
        <v>16</v>
      </c>
      <c r="D1578" s="20" t="s">
        <v>27</v>
      </c>
      <c r="E1578" s="21" t="str">
        <f t="shared" si="4"/>
        <v>NSE:INDOAMIN</v>
      </c>
    </row>
    <row r="1579" ht="15.75" customHeight="1">
      <c r="A1579" s="30">
        <v>45503.0</v>
      </c>
      <c r="B1579" s="20" t="s">
        <v>57</v>
      </c>
      <c r="C1579" s="20" t="s">
        <v>21</v>
      </c>
      <c r="D1579" s="20" t="s">
        <v>14</v>
      </c>
      <c r="E1579" s="21" t="str">
        <f t="shared" si="4"/>
        <v>NSE:JUBLPHARMA</v>
      </c>
    </row>
    <row r="1580" ht="15.75" customHeight="1">
      <c r="A1580" s="30">
        <v>45503.0</v>
      </c>
      <c r="B1580" s="20" t="s">
        <v>509</v>
      </c>
      <c r="C1580" s="20" t="s">
        <v>16</v>
      </c>
      <c r="D1580" s="20" t="s">
        <v>55</v>
      </c>
      <c r="E1580" s="21" t="str">
        <f t="shared" si="4"/>
        <v>NSE:SIRCA</v>
      </c>
    </row>
    <row r="1581" ht="15.75" customHeight="1">
      <c r="A1581" s="30">
        <v>45503.0</v>
      </c>
      <c r="B1581" s="20" t="s">
        <v>390</v>
      </c>
      <c r="C1581" s="20" t="s">
        <v>16</v>
      </c>
      <c r="D1581" s="20" t="s">
        <v>53</v>
      </c>
      <c r="E1581" s="21" t="str">
        <f t="shared" si="4"/>
        <v>NSE:AXITA</v>
      </c>
    </row>
    <row r="1582" ht="15.75" customHeight="1">
      <c r="A1582" s="30">
        <v>45503.0</v>
      </c>
      <c r="B1582" s="20" t="s">
        <v>253</v>
      </c>
      <c r="C1582" s="20" t="s">
        <v>13</v>
      </c>
      <c r="D1582" s="20" t="s">
        <v>14</v>
      </c>
      <c r="E1582" s="21" t="str">
        <f t="shared" si="4"/>
        <v>NSE:SUVENPHAR</v>
      </c>
    </row>
    <row r="1583" ht="15.75" customHeight="1">
      <c r="A1583" s="30">
        <v>45503.0</v>
      </c>
      <c r="B1583" s="20" t="s">
        <v>258</v>
      </c>
      <c r="C1583" s="20" t="s">
        <v>13</v>
      </c>
      <c r="D1583" s="20" t="s">
        <v>27</v>
      </c>
      <c r="E1583" s="21" t="str">
        <f t="shared" si="4"/>
        <v>NSE:IGL</v>
      </c>
    </row>
    <row r="1584" ht="15.75" customHeight="1">
      <c r="A1584" s="30">
        <v>45503.0</v>
      </c>
      <c r="B1584" s="20" t="s">
        <v>704</v>
      </c>
      <c r="C1584" s="20" t="s">
        <v>13</v>
      </c>
      <c r="D1584" s="20" t="s">
        <v>29</v>
      </c>
      <c r="E1584" s="21" t="str">
        <f t="shared" si="4"/>
        <v>NSE:PAGEIND</v>
      </c>
    </row>
    <row r="1585" ht="15.75" customHeight="1">
      <c r="A1585" s="30">
        <v>45503.0</v>
      </c>
      <c r="B1585" s="20" t="s">
        <v>662</v>
      </c>
      <c r="C1585" s="20" t="s">
        <v>16</v>
      </c>
      <c r="D1585" s="20" t="s">
        <v>27</v>
      </c>
      <c r="E1585" s="21" t="str">
        <f t="shared" si="4"/>
        <v>NSE:INSECTICID</v>
      </c>
    </row>
    <row r="1586" ht="15.75" customHeight="1">
      <c r="A1586" s="30">
        <v>45503.0</v>
      </c>
      <c r="B1586" s="20" t="s">
        <v>532</v>
      </c>
      <c r="C1586" s="20" t="s">
        <v>16</v>
      </c>
      <c r="D1586" s="20" t="s">
        <v>29</v>
      </c>
      <c r="E1586" s="21" t="str">
        <f t="shared" si="4"/>
        <v>NSE:GLOBUSSPR</v>
      </c>
    </row>
    <row r="1587" ht="15.75" customHeight="1">
      <c r="A1587" s="30">
        <v>45503.0</v>
      </c>
      <c r="B1587" s="20" t="s">
        <v>234</v>
      </c>
      <c r="C1587" s="20" t="s">
        <v>16</v>
      </c>
      <c r="D1587" s="20" t="s">
        <v>53</v>
      </c>
      <c r="E1587" s="21" t="str">
        <f t="shared" si="4"/>
        <v>NSE:SPORTKING</v>
      </c>
    </row>
    <row r="1588" ht="15.75" customHeight="1">
      <c r="A1588" s="30">
        <v>45503.0</v>
      </c>
      <c r="B1588" s="20" t="s">
        <v>804</v>
      </c>
      <c r="C1588" s="20" t="s">
        <v>13</v>
      </c>
      <c r="D1588" s="20" t="s">
        <v>14</v>
      </c>
      <c r="E1588" s="21" t="str">
        <f t="shared" si="4"/>
        <v>NSE:LALPATHLAB</v>
      </c>
    </row>
    <row r="1589" ht="15.75" customHeight="1">
      <c r="A1589" s="30">
        <v>45504.0</v>
      </c>
      <c r="B1589" s="20" t="s">
        <v>556</v>
      </c>
      <c r="C1589" s="20" t="s">
        <v>13</v>
      </c>
      <c r="D1589" s="20" t="s">
        <v>27</v>
      </c>
      <c r="E1589" s="21" t="str">
        <f t="shared" si="4"/>
        <v>NSE:BASF</v>
      </c>
    </row>
    <row r="1590" ht="15.75" customHeight="1">
      <c r="A1590" s="30">
        <v>45504.0</v>
      </c>
      <c r="B1590" s="20" t="s">
        <v>266</v>
      </c>
      <c r="C1590" s="20" t="s">
        <v>21</v>
      </c>
      <c r="D1590" s="20" t="s">
        <v>14</v>
      </c>
      <c r="E1590" s="21" t="str">
        <f t="shared" si="4"/>
        <v>NSE:PGHL</v>
      </c>
    </row>
    <row r="1591" ht="15.75" customHeight="1">
      <c r="A1591" s="30">
        <v>45504.0</v>
      </c>
      <c r="B1591" s="20" t="s">
        <v>340</v>
      </c>
      <c r="C1591" s="20" t="s">
        <v>16</v>
      </c>
      <c r="D1591" s="20" t="s">
        <v>55</v>
      </c>
      <c r="E1591" s="21" t="str">
        <f t="shared" si="4"/>
        <v>NSE:VERANDA</v>
      </c>
    </row>
    <row r="1592" ht="15.75" customHeight="1">
      <c r="A1592" s="30">
        <v>45504.0</v>
      </c>
      <c r="B1592" s="20" t="s">
        <v>352</v>
      </c>
      <c r="C1592" s="20" t="s">
        <v>21</v>
      </c>
      <c r="D1592" s="20" t="s">
        <v>29</v>
      </c>
      <c r="E1592" s="21" t="str">
        <f t="shared" si="4"/>
        <v>NSE:TTKPRESTIG</v>
      </c>
    </row>
    <row r="1593" ht="15.75" customHeight="1">
      <c r="A1593" s="30">
        <v>45504.0</v>
      </c>
      <c r="B1593" s="20" t="s">
        <v>489</v>
      </c>
      <c r="C1593" s="20" t="s">
        <v>16</v>
      </c>
      <c r="D1593" s="20" t="s">
        <v>27</v>
      </c>
      <c r="E1593" s="21" t="str">
        <f t="shared" si="4"/>
        <v>NSE:PLASTIBLEN</v>
      </c>
    </row>
    <row r="1594" ht="15.75" customHeight="1">
      <c r="A1594" s="30">
        <v>45504.0</v>
      </c>
      <c r="B1594" s="20" t="s">
        <v>869</v>
      </c>
      <c r="C1594" s="20" t="s">
        <v>16</v>
      </c>
      <c r="D1594" s="20" t="s">
        <v>31</v>
      </c>
      <c r="E1594" s="21" t="str">
        <f t="shared" si="4"/>
        <v>NSE:DPSCLTD</v>
      </c>
    </row>
    <row r="1595" ht="15.75" customHeight="1">
      <c r="A1595" s="30">
        <v>45504.0</v>
      </c>
      <c r="B1595" s="20" t="s">
        <v>642</v>
      </c>
      <c r="C1595" s="20" t="s">
        <v>13</v>
      </c>
      <c r="D1595" s="20" t="s">
        <v>55</v>
      </c>
      <c r="E1595" s="21" t="str">
        <f t="shared" si="4"/>
        <v>NSE:HDFCLIFE</v>
      </c>
    </row>
    <row r="1596" ht="15.75" customHeight="1">
      <c r="A1596" s="30">
        <v>45504.0</v>
      </c>
      <c r="B1596" s="20" t="s">
        <v>843</v>
      </c>
      <c r="C1596" s="20" t="s">
        <v>16</v>
      </c>
      <c r="D1596" s="20" t="s">
        <v>14</v>
      </c>
      <c r="E1596" s="21" t="str">
        <f t="shared" si="4"/>
        <v>NSE:SOLARA</v>
      </c>
    </row>
    <row r="1597" ht="15.75" customHeight="1">
      <c r="A1597" s="30">
        <v>45504.0</v>
      </c>
      <c r="B1597" s="20" t="s">
        <v>886</v>
      </c>
      <c r="C1597" s="20" t="s">
        <v>21</v>
      </c>
      <c r="D1597" s="20" t="s">
        <v>22</v>
      </c>
      <c r="E1597" s="21" t="str">
        <f t="shared" si="4"/>
        <v>NSE:TECHNOE</v>
      </c>
    </row>
    <row r="1598" ht="15.75" customHeight="1">
      <c r="A1598" s="30">
        <v>45504.0</v>
      </c>
      <c r="B1598" s="20" t="s">
        <v>393</v>
      </c>
      <c r="C1598" s="20" t="s">
        <v>13</v>
      </c>
      <c r="D1598" s="20" t="s">
        <v>29</v>
      </c>
      <c r="E1598" s="21" t="str">
        <f t="shared" si="4"/>
        <v>NSE:HATSUN</v>
      </c>
    </row>
    <row r="1599" ht="15.75" customHeight="1">
      <c r="A1599" s="30">
        <v>45504.0</v>
      </c>
      <c r="B1599" s="20" t="s">
        <v>395</v>
      </c>
      <c r="C1599" s="20" t="s">
        <v>16</v>
      </c>
      <c r="D1599" s="20" t="s">
        <v>55</v>
      </c>
      <c r="E1599" s="21" t="str">
        <f t="shared" si="4"/>
        <v>NSE:DCI</v>
      </c>
    </row>
    <row r="1600" ht="15.75" customHeight="1">
      <c r="A1600" s="30">
        <v>45504.0</v>
      </c>
      <c r="B1600" s="20" t="s">
        <v>399</v>
      </c>
      <c r="C1600" s="20" t="s">
        <v>13</v>
      </c>
      <c r="D1600" s="20" t="s">
        <v>14</v>
      </c>
      <c r="E1600" s="21" t="str">
        <f t="shared" si="4"/>
        <v>NSE:GLENMARK</v>
      </c>
    </row>
    <row r="1601" ht="15.75" customHeight="1">
      <c r="A1601" s="30">
        <v>45504.0</v>
      </c>
      <c r="B1601" s="20" t="s">
        <v>731</v>
      </c>
      <c r="C1601" s="20" t="s">
        <v>21</v>
      </c>
      <c r="D1601" s="20" t="s">
        <v>29</v>
      </c>
      <c r="E1601" s="21" t="str">
        <f t="shared" si="4"/>
        <v>NSE:LTFOODS</v>
      </c>
    </row>
    <row r="1602" ht="15.75" customHeight="1">
      <c r="A1602" s="30">
        <v>45504.0</v>
      </c>
      <c r="B1602" s="20" t="s">
        <v>779</v>
      </c>
      <c r="C1602" s="20" t="s">
        <v>16</v>
      </c>
      <c r="D1602" s="20" t="s">
        <v>29</v>
      </c>
      <c r="E1602" s="21" t="str">
        <f t="shared" si="4"/>
        <v>NSE:KECL</v>
      </c>
    </row>
    <row r="1603" ht="15.75" customHeight="1">
      <c r="A1603" s="30">
        <v>45505.0</v>
      </c>
      <c r="B1603" s="20" t="s">
        <v>299</v>
      </c>
      <c r="C1603" s="20" t="s">
        <v>16</v>
      </c>
      <c r="D1603" s="20" t="s">
        <v>27</v>
      </c>
      <c r="E1603" s="21" t="str">
        <f t="shared" si="4"/>
        <v>NSE:BIRLACABLE</v>
      </c>
    </row>
    <row r="1604" ht="15.75" customHeight="1">
      <c r="A1604" s="30">
        <v>45505.0</v>
      </c>
      <c r="B1604" s="20" t="s">
        <v>887</v>
      </c>
      <c r="C1604" s="20" t="s">
        <v>16</v>
      </c>
      <c r="D1604" s="20" t="s">
        <v>55</v>
      </c>
      <c r="E1604" s="21" t="str">
        <f t="shared" si="4"/>
        <v>NSE:OSWALAGRO</v>
      </c>
    </row>
    <row r="1605" ht="15.75" customHeight="1">
      <c r="A1605" s="30">
        <v>45505.0</v>
      </c>
      <c r="B1605" s="20" t="s">
        <v>888</v>
      </c>
      <c r="C1605" s="20" t="s">
        <v>13</v>
      </c>
      <c r="D1605" s="20" t="s">
        <v>14</v>
      </c>
      <c r="E1605" s="21" t="str">
        <f t="shared" si="4"/>
        <v>NSE:GLAXO</v>
      </c>
    </row>
    <row r="1606" ht="15.75" customHeight="1">
      <c r="A1606" s="30">
        <v>45505.0</v>
      </c>
      <c r="B1606" s="20" t="s">
        <v>271</v>
      </c>
      <c r="C1606" s="20" t="s">
        <v>13</v>
      </c>
      <c r="D1606" s="20" t="s">
        <v>39</v>
      </c>
      <c r="E1606" s="21" t="str">
        <f t="shared" si="4"/>
        <v>NSE:CHOLAHLDNG</v>
      </c>
    </row>
    <row r="1607" ht="15.75" customHeight="1">
      <c r="A1607" s="30">
        <v>45505.0</v>
      </c>
      <c r="B1607" s="20" t="s">
        <v>889</v>
      </c>
      <c r="C1607" s="20" t="s">
        <v>21</v>
      </c>
      <c r="D1607" s="20" t="s">
        <v>29</v>
      </c>
      <c r="E1607" s="21" t="str">
        <f t="shared" si="4"/>
        <v>NSE:IFBIND</v>
      </c>
    </row>
    <row r="1608" ht="15.75" customHeight="1">
      <c r="A1608" s="30">
        <v>45505.0</v>
      </c>
      <c r="B1608" s="20" t="s">
        <v>890</v>
      </c>
      <c r="C1608" s="20" t="s">
        <v>13</v>
      </c>
      <c r="D1608" s="20" t="s">
        <v>29</v>
      </c>
      <c r="E1608" s="21" t="str">
        <f t="shared" si="4"/>
        <v>NSE:GILLETTE</v>
      </c>
    </row>
    <row r="1609" ht="15.75" customHeight="1">
      <c r="A1609" s="30">
        <v>45505.0</v>
      </c>
      <c r="B1609" s="20" t="s">
        <v>891</v>
      </c>
      <c r="C1609" s="20" t="s">
        <v>16</v>
      </c>
      <c r="D1609" s="20" t="s">
        <v>53</v>
      </c>
      <c r="E1609" s="21" t="str">
        <f t="shared" si="4"/>
        <v>NSE:DONEAR</v>
      </c>
    </row>
    <row r="1610" ht="15.75" customHeight="1">
      <c r="A1610" s="30">
        <v>45505.0</v>
      </c>
      <c r="B1610" s="20" t="s">
        <v>892</v>
      </c>
      <c r="C1610" s="20" t="s">
        <v>16</v>
      </c>
      <c r="D1610" s="20" t="s">
        <v>64</v>
      </c>
      <c r="E1610" s="21" t="str">
        <f t="shared" si="4"/>
        <v>NSE:SELAN</v>
      </c>
    </row>
    <row r="1611" ht="15.75" customHeight="1">
      <c r="A1611" s="30">
        <v>45505.0</v>
      </c>
      <c r="B1611" s="20" t="s">
        <v>602</v>
      </c>
      <c r="C1611" s="20" t="s">
        <v>21</v>
      </c>
      <c r="D1611" s="20" t="s">
        <v>29</v>
      </c>
      <c r="E1611" s="21" t="str">
        <f t="shared" si="4"/>
        <v>NSE:ENTERO</v>
      </c>
    </row>
    <row r="1612" ht="15.75" customHeight="1">
      <c r="A1612" s="30">
        <v>45505.0</v>
      </c>
      <c r="B1612" s="20" t="s">
        <v>893</v>
      </c>
      <c r="C1612" s="20" t="s">
        <v>16</v>
      </c>
      <c r="D1612" s="20" t="s">
        <v>27</v>
      </c>
      <c r="E1612" s="21" t="str">
        <f t="shared" si="4"/>
        <v>NSE:BOROSCI</v>
      </c>
    </row>
    <row r="1613" ht="15.75" customHeight="1">
      <c r="A1613" s="30">
        <v>45505.0</v>
      </c>
      <c r="B1613" s="20" t="s">
        <v>788</v>
      </c>
      <c r="C1613" s="20" t="s">
        <v>16</v>
      </c>
      <c r="D1613" s="20" t="s">
        <v>37</v>
      </c>
      <c r="E1613" s="21" t="str">
        <f t="shared" si="4"/>
        <v>NSE:NUCLEUS</v>
      </c>
    </row>
    <row r="1614" ht="15.75" customHeight="1">
      <c r="A1614" s="30">
        <v>45505.0</v>
      </c>
      <c r="B1614" s="20" t="s">
        <v>862</v>
      </c>
      <c r="C1614" s="20" t="s">
        <v>21</v>
      </c>
      <c r="D1614" s="20" t="s">
        <v>25</v>
      </c>
      <c r="E1614" s="21" t="str">
        <f t="shared" si="4"/>
        <v>NSE:WELCORP</v>
      </c>
    </row>
    <row r="1615" ht="15.75" customHeight="1">
      <c r="A1615" s="30">
        <v>45505.0</v>
      </c>
      <c r="B1615" s="20" t="s">
        <v>878</v>
      </c>
      <c r="C1615" s="20" t="s">
        <v>13</v>
      </c>
      <c r="D1615" s="20" t="s">
        <v>156</v>
      </c>
      <c r="E1615" s="21" t="str">
        <f t="shared" si="4"/>
        <v>NSE:BHARTIARTL</v>
      </c>
    </row>
    <row r="1616" ht="15.75" customHeight="1">
      <c r="A1616" s="30">
        <v>45505.0</v>
      </c>
      <c r="B1616" s="20" t="s">
        <v>527</v>
      </c>
      <c r="C1616" s="20" t="s">
        <v>16</v>
      </c>
      <c r="D1616" s="20" t="s">
        <v>25</v>
      </c>
      <c r="E1616" s="21" t="str">
        <f t="shared" si="4"/>
        <v>NSE:POCL</v>
      </c>
    </row>
    <row r="1617" ht="15.75" customHeight="1">
      <c r="A1617" s="30">
        <v>45505.0</v>
      </c>
      <c r="B1617" s="20" t="s">
        <v>438</v>
      </c>
      <c r="C1617" s="20" t="s">
        <v>21</v>
      </c>
      <c r="D1617" s="20" t="s">
        <v>27</v>
      </c>
      <c r="E1617" s="21" t="str">
        <f t="shared" si="4"/>
        <v>NSE:EPIGRAL</v>
      </c>
    </row>
    <row r="1618" ht="15.75" customHeight="1">
      <c r="A1618" s="30">
        <v>45505.0</v>
      </c>
      <c r="B1618" s="20" t="s">
        <v>804</v>
      </c>
      <c r="C1618" s="20" t="s">
        <v>13</v>
      </c>
      <c r="D1618" s="20" t="s">
        <v>14</v>
      </c>
      <c r="E1618" s="21" t="str">
        <f t="shared" si="4"/>
        <v>NSE:LALPATHLAB</v>
      </c>
    </row>
    <row r="1619" ht="15.75" customHeight="1">
      <c r="A1619" s="30">
        <v>45506.0</v>
      </c>
      <c r="B1619" s="20" t="s">
        <v>782</v>
      </c>
      <c r="C1619" s="20" t="s">
        <v>13</v>
      </c>
      <c r="D1619" s="20" t="s">
        <v>14</v>
      </c>
      <c r="E1619" s="21" t="str">
        <f t="shared" si="4"/>
        <v>NSE:DRREDDY</v>
      </c>
    </row>
    <row r="1620" ht="15.75" customHeight="1">
      <c r="A1620" s="30">
        <v>45506.0</v>
      </c>
      <c r="B1620" s="20" t="s">
        <v>676</v>
      </c>
      <c r="C1620" s="20" t="s">
        <v>16</v>
      </c>
      <c r="D1620" s="20" t="s">
        <v>27</v>
      </c>
      <c r="E1620" s="21" t="str">
        <f t="shared" si="4"/>
        <v>NSE:FOSECOIND</v>
      </c>
    </row>
    <row r="1621" ht="15.75" customHeight="1">
      <c r="A1621" s="30">
        <v>45506.0</v>
      </c>
      <c r="B1621" s="20" t="s">
        <v>572</v>
      </c>
      <c r="C1621" s="20" t="s">
        <v>16</v>
      </c>
      <c r="D1621" s="20" t="s">
        <v>27</v>
      </c>
      <c r="E1621" s="21" t="str">
        <f t="shared" si="4"/>
        <v>NSE:KHAICHEM</v>
      </c>
    </row>
    <row r="1622" ht="15.75" customHeight="1">
      <c r="A1622" s="30">
        <v>45506.0</v>
      </c>
      <c r="B1622" s="20" t="s">
        <v>723</v>
      </c>
      <c r="C1622" s="20" t="s">
        <v>16</v>
      </c>
      <c r="D1622" s="20" t="s">
        <v>29</v>
      </c>
      <c r="E1622" s="21" t="str">
        <f t="shared" si="4"/>
        <v>NSE:SERVOTECH</v>
      </c>
    </row>
    <row r="1623" ht="15.75" customHeight="1">
      <c r="A1623" s="30">
        <v>45506.0</v>
      </c>
      <c r="B1623" s="20" t="s">
        <v>379</v>
      </c>
      <c r="C1623" s="20" t="s">
        <v>16</v>
      </c>
      <c r="D1623" s="20" t="s">
        <v>53</v>
      </c>
      <c r="E1623" s="21" t="str">
        <f t="shared" si="4"/>
        <v>NSE:FAZE3Q</v>
      </c>
    </row>
    <row r="1624" ht="15.75" customHeight="1">
      <c r="A1624" s="30">
        <v>45506.0</v>
      </c>
      <c r="B1624" s="20" t="s">
        <v>381</v>
      </c>
      <c r="C1624" s="20" t="s">
        <v>16</v>
      </c>
      <c r="D1624" s="20" t="s">
        <v>17</v>
      </c>
      <c r="E1624" s="21" t="str">
        <f t="shared" si="4"/>
        <v>NSE:SANDHAR</v>
      </c>
    </row>
    <row r="1625" ht="15.75" customHeight="1">
      <c r="A1625" s="30">
        <v>45506.0</v>
      </c>
      <c r="B1625" s="20" t="s">
        <v>382</v>
      </c>
      <c r="C1625" s="20" t="s">
        <v>21</v>
      </c>
      <c r="D1625" s="20" t="s">
        <v>29</v>
      </c>
      <c r="E1625" s="21" t="str">
        <f t="shared" si="4"/>
        <v>NSE:GENUSPOWER</v>
      </c>
    </row>
    <row r="1626" ht="15.75" customHeight="1">
      <c r="A1626" s="30">
        <v>45506.0</v>
      </c>
      <c r="B1626" s="20" t="s">
        <v>606</v>
      </c>
      <c r="C1626" s="20" t="s">
        <v>21</v>
      </c>
      <c r="D1626" s="20" t="s">
        <v>14</v>
      </c>
      <c r="E1626" s="21" t="str">
        <f t="shared" si="4"/>
        <v>NSE:SHILPAMED</v>
      </c>
    </row>
    <row r="1627" ht="15.75" customHeight="1">
      <c r="A1627" s="30">
        <v>45506.0</v>
      </c>
      <c r="B1627" s="20" t="s">
        <v>607</v>
      </c>
      <c r="C1627" s="20" t="s">
        <v>16</v>
      </c>
      <c r="D1627" s="20" t="s">
        <v>22</v>
      </c>
      <c r="E1627" s="21" t="str">
        <f t="shared" si="4"/>
        <v>NSE:OMINFRAL</v>
      </c>
    </row>
    <row r="1628" ht="15.75" customHeight="1">
      <c r="A1628" s="30">
        <v>45506.0</v>
      </c>
      <c r="B1628" s="20" t="s">
        <v>393</v>
      </c>
      <c r="C1628" s="20" t="s">
        <v>13</v>
      </c>
      <c r="D1628" s="20" t="s">
        <v>29</v>
      </c>
      <c r="E1628" s="21" t="str">
        <f t="shared" si="4"/>
        <v>NSE:HATSUN</v>
      </c>
    </row>
    <row r="1629" ht="15.75" customHeight="1">
      <c r="A1629" s="30">
        <v>45506.0</v>
      </c>
      <c r="B1629" s="20" t="s">
        <v>749</v>
      </c>
      <c r="C1629" s="20" t="s">
        <v>13</v>
      </c>
      <c r="D1629" s="20" t="s">
        <v>37</v>
      </c>
      <c r="E1629" s="21" t="str">
        <f t="shared" si="4"/>
        <v>NSE:NAUKRI</v>
      </c>
    </row>
    <row r="1630" ht="15.75" customHeight="1">
      <c r="A1630" s="30">
        <v>45506.0</v>
      </c>
      <c r="B1630" s="20" t="s">
        <v>704</v>
      </c>
      <c r="C1630" s="20" t="s">
        <v>13</v>
      </c>
      <c r="D1630" s="20" t="s">
        <v>29</v>
      </c>
      <c r="E1630" s="21" t="str">
        <f t="shared" si="4"/>
        <v>NSE:PAGEIND</v>
      </c>
    </row>
    <row r="1631" ht="15.75" customHeight="1">
      <c r="A1631" s="30">
        <v>45506.0</v>
      </c>
      <c r="B1631" s="20" t="s">
        <v>421</v>
      </c>
      <c r="C1631" s="20" t="s">
        <v>16</v>
      </c>
      <c r="D1631" s="20" t="s">
        <v>37</v>
      </c>
      <c r="E1631" s="21" t="str">
        <f t="shared" si="4"/>
        <v>NSE:EXPLEOSOL</v>
      </c>
    </row>
    <row r="1632" ht="15.75" customHeight="1">
      <c r="A1632" s="30">
        <v>45506.0</v>
      </c>
      <c r="B1632" s="20" t="s">
        <v>536</v>
      </c>
      <c r="C1632" s="20" t="s">
        <v>21</v>
      </c>
      <c r="D1632" s="20" t="s">
        <v>29</v>
      </c>
      <c r="E1632" s="21" t="str">
        <f t="shared" si="4"/>
        <v>NSE:TDPOWERSYS</v>
      </c>
    </row>
    <row r="1633" ht="15.75" customHeight="1">
      <c r="A1633" s="30">
        <v>45506.0</v>
      </c>
      <c r="B1633" s="20" t="s">
        <v>822</v>
      </c>
      <c r="C1633" s="20" t="s">
        <v>21</v>
      </c>
      <c r="D1633" s="20" t="s">
        <v>27</v>
      </c>
      <c r="E1633" s="21" t="str">
        <f t="shared" si="4"/>
        <v>NSE:ORIENTCEM</v>
      </c>
    </row>
    <row r="1634" ht="15.75" customHeight="1">
      <c r="A1634" s="30">
        <v>45506.0</v>
      </c>
      <c r="B1634" s="20" t="s">
        <v>436</v>
      </c>
      <c r="C1634" s="20" t="s">
        <v>21</v>
      </c>
      <c r="D1634" s="20" t="s">
        <v>29</v>
      </c>
      <c r="E1634" s="21" t="str">
        <f t="shared" si="4"/>
        <v>NSE:DODLA</v>
      </c>
    </row>
    <row r="1635" ht="15.75" customHeight="1">
      <c r="A1635" s="30">
        <v>45506.0</v>
      </c>
      <c r="B1635" s="20" t="s">
        <v>544</v>
      </c>
      <c r="C1635" s="20" t="s">
        <v>21</v>
      </c>
      <c r="D1635" s="20" t="s">
        <v>27</v>
      </c>
      <c r="E1635" s="21" t="str">
        <f t="shared" si="4"/>
        <v>NSE:CLEAN</v>
      </c>
    </row>
    <row r="1636" ht="15.75" customHeight="1">
      <c r="A1636" s="30">
        <v>45506.0</v>
      </c>
      <c r="B1636" s="20" t="s">
        <v>894</v>
      </c>
      <c r="C1636" s="20" t="s">
        <v>16</v>
      </c>
      <c r="D1636" s="20" t="s">
        <v>29</v>
      </c>
      <c r="E1636" s="21" t="str">
        <f t="shared" si="4"/>
        <v>NSE:CARTRADE</v>
      </c>
    </row>
    <row r="1637" ht="15.75" customHeight="1">
      <c r="A1637" s="30">
        <v>45506.0</v>
      </c>
      <c r="B1637" s="20" t="s">
        <v>709</v>
      </c>
      <c r="C1637" s="20" t="s">
        <v>13</v>
      </c>
      <c r="D1637" s="20" t="s">
        <v>37</v>
      </c>
      <c r="E1637" s="21" t="str">
        <f t="shared" si="4"/>
        <v>NSE:NYKAA</v>
      </c>
    </row>
    <row r="1638" ht="15.75" customHeight="1">
      <c r="A1638" s="30">
        <v>45506.0</v>
      </c>
      <c r="B1638" s="20" t="s">
        <v>262</v>
      </c>
      <c r="C1638" s="20" t="s">
        <v>13</v>
      </c>
      <c r="D1638" s="20" t="s">
        <v>37</v>
      </c>
      <c r="E1638" s="21" t="str">
        <f t="shared" si="4"/>
        <v>NSE:POLICYBZR</v>
      </c>
    </row>
    <row r="1639" ht="15.75" customHeight="1">
      <c r="A1639" s="30">
        <v>45506.0</v>
      </c>
      <c r="B1639" s="20" t="s">
        <v>548</v>
      </c>
      <c r="C1639" s="20" t="s">
        <v>13</v>
      </c>
      <c r="D1639" s="20" t="s">
        <v>37</v>
      </c>
      <c r="E1639" s="21" t="str">
        <f t="shared" si="4"/>
        <v>NSE:PAYTM</v>
      </c>
    </row>
    <row r="1640" ht="15.75" customHeight="1">
      <c r="A1640" s="30">
        <v>45506.0</v>
      </c>
      <c r="B1640" s="20" t="s">
        <v>850</v>
      </c>
      <c r="C1640" s="20" t="s">
        <v>16</v>
      </c>
      <c r="D1640" s="20" t="s">
        <v>31</v>
      </c>
      <c r="E1640" s="21" t="str">
        <f t="shared" si="4"/>
        <v>NSE:RADHIKAJWE</v>
      </c>
    </row>
    <row r="1641" ht="15.75" customHeight="1">
      <c r="A1641" s="32"/>
      <c r="B1641" s="33" t="s">
        <v>895</v>
      </c>
      <c r="C1641" s="33" t="s">
        <v>13</v>
      </c>
      <c r="D1641" s="33" t="s">
        <v>29</v>
      </c>
      <c r="E1641" s="21" t="str">
        <f t="shared" si="4"/>
        <v>NSE:ELGIEQUIP</v>
      </c>
    </row>
    <row r="1642" ht="15.75" customHeight="1">
      <c r="A1642" s="32"/>
      <c r="B1642" s="33" t="s">
        <v>896</v>
      </c>
      <c r="C1642" s="33" t="s">
        <v>16</v>
      </c>
      <c r="D1642" s="33" t="s">
        <v>37</v>
      </c>
      <c r="E1642" s="21" t="str">
        <f t="shared" si="4"/>
        <v>NSE:VERTOZ</v>
      </c>
    </row>
    <row r="1643" ht="15.75" customHeight="1">
      <c r="A1643" s="32"/>
      <c r="B1643" s="33" t="s">
        <v>897</v>
      </c>
      <c r="C1643" s="33" t="s">
        <v>16</v>
      </c>
      <c r="D1643" s="33" t="s">
        <v>29</v>
      </c>
      <c r="E1643" s="21" t="str">
        <f t="shared" si="4"/>
        <v>NSE:SWELECTES</v>
      </c>
    </row>
    <row r="1644" ht="15.75" customHeight="1">
      <c r="A1644" s="32"/>
      <c r="B1644" s="33" t="s">
        <v>898</v>
      </c>
      <c r="C1644" s="33" t="s">
        <v>16</v>
      </c>
      <c r="D1644" s="33" t="s">
        <v>39</v>
      </c>
      <c r="E1644" s="21" t="str">
        <f t="shared" si="4"/>
        <v>NSE:NSIL</v>
      </c>
    </row>
    <row r="1645" ht="15.75" customHeight="1">
      <c r="A1645" s="32"/>
      <c r="B1645" s="33" t="s">
        <v>899</v>
      </c>
      <c r="C1645" s="33" t="s">
        <v>13</v>
      </c>
      <c r="D1645" s="33" t="s">
        <v>29</v>
      </c>
      <c r="E1645" s="21" t="str">
        <f t="shared" si="4"/>
        <v>NSE:BHEL</v>
      </c>
    </row>
    <row r="1646" ht="15.75" customHeight="1">
      <c r="A1646" s="32"/>
      <c r="B1646" s="33" t="s">
        <v>900</v>
      </c>
      <c r="C1646" s="33" t="s">
        <v>13</v>
      </c>
      <c r="D1646" s="33" t="s">
        <v>27</v>
      </c>
      <c r="E1646" s="21" t="str">
        <f t="shared" si="4"/>
        <v>NSE:VEDL</v>
      </c>
    </row>
    <row r="1647" ht="15.75" customHeight="1">
      <c r="A1647" s="32"/>
      <c r="B1647" s="33" t="s">
        <v>901</v>
      </c>
      <c r="C1647" s="33" t="s">
        <v>16</v>
      </c>
      <c r="D1647" s="33" t="s">
        <v>31</v>
      </c>
      <c r="E1647" s="21" t="str">
        <f t="shared" si="4"/>
        <v>NSE:TTKHLTCARE</v>
      </c>
    </row>
    <row r="1648" ht="15.75" customHeight="1">
      <c r="A1648" s="32"/>
      <c r="B1648" s="33" t="s">
        <v>902</v>
      </c>
      <c r="C1648" s="33" t="s">
        <v>21</v>
      </c>
      <c r="D1648" s="33" t="s">
        <v>37</v>
      </c>
      <c r="E1648" s="21" t="str">
        <f t="shared" si="4"/>
        <v>NSE:NIITMTS</v>
      </c>
    </row>
    <row r="1649" ht="15.75" customHeight="1">
      <c r="A1649" s="32"/>
      <c r="B1649" s="33" t="s">
        <v>903</v>
      </c>
      <c r="C1649" s="33" t="s">
        <v>13</v>
      </c>
      <c r="D1649" s="33" t="s">
        <v>29</v>
      </c>
      <c r="E1649" s="21" t="str">
        <f t="shared" si="4"/>
        <v>NSE:POWERINDIA</v>
      </c>
    </row>
    <row r="1650" ht="15.75" customHeight="1">
      <c r="A1650" s="32"/>
      <c r="B1650" s="33" t="s">
        <v>703</v>
      </c>
      <c r="C1650" s="33" t="s">
        <v>13</v>
      </c>
      <c r="D1650" s="33" t="s">
        <v>31</v>
      </c>
      <c r="E1650" s="21" t="str">
        <f t="shared" si="4"/>
        <v>NSE:NTPC</v>
      </c>
    </row>
    <row r="1651" ht="15.75" customHeight="1">
      <c r="A1651" s="32"/>
      <c r="B1651" s="33" t="s">
        <v>417</v>
      </c>
      <c r="C1651" s="33" t="s">
        <v>16</v>
      </c>
      <c r="D1651" s="33" t="s">
        <v>14</v>
      </c>
      <c r="E1651" s="21" t="str">
        <f t="shared" si="4"/>
        <v>NSE:SMSPHARMA</v>
      </c>
    </row>
    <row r="1652" ht="15.75" customHeight="1">
      <c r="A1652" s="32"/>
      <c r="B1652" s="33" t="s">
        <v>904</v>
      </c>
      <c r="C1652" s="33" t="s">
        <v>13</v>
      </c>
      <c r="D1652" s="33" t="s">
        <v>31</v>
      </c>
      <c r="E1652" s="21" t="str">
        <f t="shared" si="4"/>
        <v>NSE:TATAPOWER</v>
      </c>
    </row>
    <row r="1653" ht="15.75" customHeight="1">
      <c r="A1653" s="32"/>
      <c r="B1653" s="33" t="s">
        <v>762</v>
      </c>
      <c r="C1653" s="33" t="s">
        <v>21</v>
      </c>
      <c r="D1653" s="33" t="s">
        <v>31</v>
      </c>
      <c r="E1653" s="21" t="str">
        <f t="shared" si="4"/>
        <v>NSE:RAJESHEXPO</v>
      </c>
    </row>
    <row r="1654" ht="15.75" customHeight="1">
      <c r="A1654" s="32"/>
      <c r="B1654" s="33" t="s">
        <v>905</v>
      </c>
      <c r="C1654" s="33" t="s">
        <v>16</v>
      </c>
      <c r="D1654" s="33" t="s">
        <v>27</v>
      </c>
      <c r="E1654" s="21" t="str">
        <f t="shared" si="4"/>
        <v>NSE:VIDHIING</v>
      </c>
    </row>
    <row r="1655" ht="15.75" customHeight="1">
      <c r="A1655" s="32"/>
      <c r="B1655" s="33" t="s">
        <v>878</v>
      </c>
      <c r="C1655" s="33" t="s">
        <v>13</v>
      </c>
      <c r="D1655" s="33" t="s">
        <v>156</v>
      </c>
      <c r="E1655" s="21" t="str">
        <f t="shared" si="4"/>
        <v>NSE:BHARTIARTL</v>
      </c>
    </row>
    <row r="1656" ht="15.75" customHeight="1">
      <c r="A1656" s="32"/>
      <c r="B1656" s="33" t="s">
        <v>906</v>
      </c>
      <c r="C1656" s="33" t="s">
        <v>13</v>
      </c>
      <c r="D1656" s="33" t="s">
        <v>185</v>
      </c>
      <c r="E1656" s="21" t="str">
        <f t="shared" si="4"/>
        <v>NSE:UNIONBANK</v>
      </c>
    </row>
    <row r="1657" ht="15.75" customHeight="1">
      <c r="A1657" s="32"/>
      <c r="B1657" s="33" t="s">
        <v>907</v>
      </c>
      <c r="C1657" s="33" t="s">
        <v>21</v>
      </c>
      <c r="D1657" s="33" t="s">
        <v>39</v>
      </c>
      <c r="E1657" s="21" t="str">
        <f t="shared" si="4"/>
        <v>NSE:JSWHL</v>
      </c>
    </row>
    <row r="1658" ht="15.75" customHeight="1">
      <c r="A1658" s="32"/>
      <c r="B1658" s="33" t="s">
        <v>846</v>
      </c>
      <c r="C1658" s="33" t="s">
        <v>16</v>
      </c>
      <c r="D1658" s="33" t="s">
        <v>31</v>
      </c>
      <c r="E1658" s="21" t="str">
        <f t="shared" si="4"/>
        <v>NSE:KSCL</v>
      </c>
    </row>
    <row r="1659" ht="15.75" customHeight="1">
      <c r="A1659" s="32"/>
      <c r="B1659" s="33" t="s">
        <v>289</v>
      </c>
      <c r="C1659" s="33" t="s">
        <v>13</v>
      </c>
      <c r="D1659" s="33" t="s">
        <v>64</v>
      </c>
      <c r="E1659" s="21" t="str">
        <f t="shared" si="4"/>
        <v>NSE:OIL</v>
      </c>
    </row>
    <row r="1660" ht="15.75" customHeight="1">
      <c r="A1660" s="32"/>
      <c r="B1660" s="33" t="s">
        <v>165</v>
      </c>
      <c r="C1660" s="33" t="s">
        <v>13</v>
      </c>
      <c r="D1660" s="33" t="s">
        <v>27</v>
      </c>
      <c r="E1660" s="21" t="str">
        <f t="shared" si="4"/>
        <v>NSE:PIDILITIND</v>
      </c>
    </row>
    <row r="1661" ht="15.75" customHeight="1">
      <c r="A1661" s="32"/>
      <c r="B1661" s="33" t="s">
        <v>167</v>
      </c>
      <c r="C1661" s="33" t="s">
        <v>13</v>
      </c>
      <c r="D1661" s="33" t="s">
        <v>17</v>
      </c>
      <c r="E1661" s="21" t="str">
        <f t="shared" si="4"/>
        <v>NSE:BOSCHLTD</v>
      </c>
    </row>
    <row r="1662" ht="15.75" customHeight="1">
      <c r="A1662" s="32"/>
      <c r="B1662" s="33" t="s">
        <v>595</v>
      </c>
      <c r="C1662" s="33" t="s">
        <v>16</v>
      </c>
      <c r="D1662" s="33" t="s">
        <v>14</v>
      </c>
      <c r="E1662" s="21" t="str">
        <f t="shared" si="4"/>
        <v>NSE:NGLFINE</v>
      </c>
    </row>
    <row r="1663" ht="15.75" customHeight="1">
      <c r="A1663" s="32"/>
      <c r="B1663" s="33" t="s">
        <v>908</v>
      </c>
      <c r="C1663" s="33" t="s">
        <v>13</v>
      </c>
      <c r="D1663" s="33" t="s">
        <v>27</v>
      </c>
      <c r="E1663" s="21" t="str">
        <f t="shared" si="4"/>
        <v>NSE:CENTURYTEX</v>
      </c>
    </row>
    <row r="1664" ht="15.75" customHeight="1">
      <c r="A1664" s="32"/>
      <c r="B1664" s="33" t="s">
        <v>909</v>
      </c>
      <c r="C1664" s="33" t="s">
        <v>13</v>
      </c>
      <c r="D1664" s="33" t="s">
        <v>17</v>
      </c>
      <c r="E1664" s="21" t="str">
        <f t="shared" si="4"/>
        <v>NSE:BAJAJ-AUTO</v>
      </c>
    </row>
    <row r="1665" ht="15.75" customHeight="1">
      <c r="A1665" s="32"/>
      <c r="B1665" s="33" t="s">
        <v>547</v>
      </c>
      <c r="C1665" s="33" t="s">
        <v>16</v>
      </c>
      <c r="D1665" s="33" t="s">
        <v>185</v>
      </c>
      <c r="E1665" s="21" t="str">
        <f t="shared" si="4"/>
        <v>NSE:FINOPB</v>
      </c>
    </row>
    <row r="1666" ht="15.75" customHeight="1">
      <c r="A1666" s="32"/>
      <c r="B1666" s="33" t="s">
        <v>910</v>
      </c>
      <c r="C1666" s="33" t="s">
        <v>21</v>
      </c>
      <c r="D1666" s="33" t="s">
        <v>37</v>
      </c>
      <c r="E1666" s="21" t="str">
        <f t="shared" si="4"/>
        <v>NSE:INFIBEAM</v>
      </c>
    </row>
    <row r="1667" ht="15.75" customHeight="1">
      <c r="A1667" s="32"/>
      <c r="B1667" s="33" t="s">
        <v>519</v>
      </c>
      <c r="C1667" s="33" t="s">
        <v>13</v>
      </c>
      <c r="D1667" s="33" t="s">
        <v>14</v>
      </c>
      <c r="E1667" s="21" t="str">
        <f t="shared" si="4"/>
        <v>NSE:ZYDUSLIFE</v>
      </c>
    </row>
    <row r="1668" ht="15.75" customHeight="1">
      <c r="A1668" s="32"/>
      <c r="B1668" s="33" t="s">
        <v>789</v>
      </c>
      <c r="C1668" s="33" t="s">
        <v>13</v>
      </c>
      <c r="D1668" s="33" t="s">
        <v>37</v>
      </c>
      <c r="E1668" s="21" t="str">
        <f t="shared" si="4"/>
        <v>NSE:TCS</v>
      </c>
    </row>
    <row r="1669" ht="15.75" customHeight="1">
      <c r="A1669" s="32"/>
      <c r="B1669" s="33" t="s">
        <v>911</v>
      </c>
      <c r="C1669" s="33" t="s">
        <v>21</v>
      </c>
      <c r="D1669" s="33" t="s">
        <v>22</v>
      </c>
      <c r="E1669" s="21" t="str">
        <f t="shared" si="4"/>
        <v>NSE:RELINFRA</v>
      </c>
    </row>
    <row r="1670" ht="15.75" customHeight="1">
      <c r="A1670" s="32"/>
      <c r="B1670" s="33" t="s">
        <v>912</v>
      </c>
      <c r="C1670" s="33" t="s">
        <v>21</v>
      </c>
      <c r="D1670" s="33" t="s">
        <v>17</v>
      </c>
      <c r="E1670" s="21" t="str">
        <f t="shared" si="4"/>
        <v>NSE:SHRIPISTON</v>
      </c>
    </row>
    <row r="1671" ht="15.75" customHeight="1">
      <c r="A1671" s="32"/>
      <c r="B1671" s="33" t="s">
        <v>638</v>
      </c>
      <c r="C1671" s="33" t="s">
        <v>21</v>
      </c>
      <c r="D1671" s="33" t="s">
        <v>14</v>
      </c>
      <c r="E1671" s="21" t="str">
        <f t="shared" si="4"/>
        <v>NSE:BLUEJET</v>
      </c>
    </row>
    <row r="1672" ht="15.75" customHeight="1">
      <c r="A1672" s="32"/>
      <c r="B1672" s="33" t="s">
        <v>606</v>
      </c>
      <c r="C1672" s="33" t="s">
        <v>21</v>
      </c>
      <c r="D1672" s="33" t="s">
        <v>14</v>
      </c>
      <c r="E1672" s="21" t="str">
        <f t="shared" si="4"/>
        <v>NSE:SHILPAMED</v>
      </c>
    </row>
    <row r="1673" ht="15.75" customHeight="1">
      <c r="A1673" s="32"/>
      <c r="B1673" s="33" t="s">
        <v>418</v>
      </c>
      <c r="C1673" s="33" t="s">
        <v>16</v>
      </c>
      <c r="D1673" s="33" t="s">
        <v>55</v>
      </c>
      <c r="E1673" s="21" t="str">
        <f t="shared" si="4"/>
        <v>NSE:REFEX</v>
      </c>
    </row>
    <row r="1674" ht="15.75" customHeight="1">
      <c r="A1674" s="32"/>
      <c r="B1674" s="33" t="s">
        <v>191</v>
      </c>
      <c r="C1674" s="33" t="s">
        <v>21</v>
      </c>
      <c r="D1674" s="33" t="s">
        <v>29</v>
      </c>
      <c r="E1674" s="21" t="str">
        <f t="shared" si="4"/>
        <v>NSE:VMART</v>
      </c>
    </row>
    <row r="1675" ht="15.75" customHeight="1">
      <c r="A1675" s="32"/>
      <c r="B1675" s="33" t="s">
        <v>872</v>
      </c>
      <c r="C1675" s="33" t="s">
        <v>13</v>
      </c>
      <c r="D1675" s="33" t="s">
        <v>55</v>
      </c>
      <c r="E1675" s="21" t="str">
        <f t="shared" si="4"/>
        <v>NSE:INDIGO</v>
      </c>
    </row>
    <row r="1676" ht="15.75" customHeight="1">
      <c r="A1676" s="32"/>
      <c r="B1676" s="33" t="s">
        <v>913</v>
      </c>
      <c r="C1676" s="33" t="s">
        <v>16</v>
      </c>
      <c r="D1676" s="33" t="s">
        <v>17</v>
      </c>
      <c r="E1676" s="21" t="str">
        <f t="shared" si="4"/>
        <v>NSE:HITECHGEAR</v>
      </c>
    </row>
    <row r="1677" ht="15.75" customHeight="1">
      <c r="A1677" s="32"/>
      <c r="B1677" s="33" t="s">
        <v>914</v>
      </c>
      <c r="C1677" s="33" t="s">
        <v>16</v>
      </c>
      <c r="D1677" s="33" t="s">
        <v>55</v>
      </c>
      <c r="E1677" s="21" t="str">
        <f t="shared" si="4"/>
        <v>NSE:DPABHUSHAN</v>
      </c>
    </row>
    <row r="1678" ht="15.75" customHeight="1">
      <c r="A1678" s="32"/>
      <c r="B1678" s="33" t="s">
        <v>915</v>
      </c>
      <c r="C1678" s="33" t="s">
        <v>16</v>
      </c>
      <c r="D1678" s="33" t="s">
        <v>27</v>
      </c>
      <c r="E1678" s="21" t="str">
        <f t="shared" si="4"/>
        <v>NSE:MACPOWER</v>
      </c>
    </row>
    <row r="1679" ht="15.75" customHeight="1">
      <c r="A1679" s="32"/>
      <c r="B1679" s="33" t="s">
        <v>407</v>
      </c>
      <c r="C1679" s="33" t="s">
        <v>21</v>
      </c>
      <c r="D1679" s="33" t="s">
        <v>29</v>
      </c>
      <c r="E1679" s="21" t="str">
        <f t="shared" si="4"/>
        <v>NSE:SHOPERSTOP</v>
      </c>
    </row>
    <row r="1680" ht="15.75" customHeight="1">
      <c r="A1680" s="32"/>
      <c r="B1680" s="33" t="s">
        <v>870</v>
      </c>
      <c r="C1680" s="33" t="s">
        <v>13</v>
      </c>
      <c r="D1680" s="33" t="s">
        <v>31</v>
      </c>
      <c r="E1680" s="21" t="str">
        <f t="shared" si="4"/>
        <v>NSE:TORNTPOWER</v>
      </c>
    </row>
    <row r="1681" ht="15.75" customHeight="1">
      <c r="A1681" s="32"/>
      <c r="B1681" s="33" t="s">
        <v>69</v>
      </c>
      <c r="C1681" s="33" t="s">
        <v>16</v>
      </c>
      <c r="D1681" s="33" t="s">
        <v>29</v>
      </c>
      <c r="E1681" s="21" t="str">
        <f t="shared" si="4"/>
        <v>NSE:V2RETAIL</v>
      </c>
    </row>
    <row r="1682" ht="15.75" customHeight="1">
      <c r="A1682" s="32"/>
      <c r="B1682" s="33" t="s">
        <v>233</v>
      </c>
      <c r="C1682" s="33" t="s">
        <v>21</v>
      </c>
      <c r="D1682" s="33" t="s">
        <v>22</v>
      </c>
      <c r="E1682" s="21" t="str">
        <f t="shared" si="4"/>
        <v>NSE:GRINFRA</v>
      </c>
    </row>
    <row r="1683" ht="15.75" customHeight="1">
      <c r="A1683" s="32"/>
      <c r="B1683" s="33" t="s">
        <v>459</v>
      </c>
      <c r="C1683" s="33" t="s">
        <v>16</v>
      </c>
      <c r="D1683" s="33" t="s">
        <v>22</v>
      </c>
      <c r="E1683" s="21" t="str">
        <f t="shared" si="4"/>
        <v>NSE:SPMLINFRA</v>
      </c>
    </row>
    <row r="1684" ht="15.75" customHeight="1">
      <c r="A1684" s="32"/>
      <c r="B1684" s="33" t="s">
        <v>916</v>
      </c>
      <c r="C1684" s="33" t="s">
        <v>16</v>
      </c>
      <c r="D1684" s="33" t="s">
        <v>29</v>
      </c>
      <c r="E1684" s="21" t="str">
        <f t="shared" si="4"/>
        <v>NSE:ZUARIIND</v>
      </c>
    </row>
    <row r="1685" ht="15.75" customHeight="1">
      <c r="A1685" s="32"/>
      <c r="B1685" s="33" t="s">
        <v>621</v>
      </c>
      <c r="C1685" s="33" t="s">
        <v>21</v>
      </c>
      <c r="D1685" s="33" t="s">
        <v>107</v>
      </c>
      <c r="E1685" s="21" t="str">
        <f t="shared" si="4"/>
        <v>NSE:SAPPHIRE</v>
      </c>
    </row>
    <row r="1686" ht="15.75" customHeight="1">
      <c r="A1686" s="32"/>
      <c r="B1686" s="33" t="s">
        <v>246</v>
      </c>
      <c r="C1686" s="33" t="s">
        <v>16</v>
      </c>
      <c r="D1686" s="33" t="s">
        <v>29</v>
      </c>
      <c r="E1686" s="21" t="str">
        <f t="shared" si="4"/>
        <v>NSE:GRPLTD</v>
      </c>
    </row>
    <row r="1687" ht="15.75" customHeight="1">
      <c r="A1687" s="32"/>
      <c r="B1687" s="33" t="s">
        <v>345</v>
      </c>
      <c r="C1687" s="33" t="s">
        <v>21</v>
      </c>
      <c r="D1687" s="33" t="s">
        <v>37</v>
      </c>
      <c r="E1687" s="21" t="str">
        <f t="shared" si="4"/>
        <v>NSE:EMUDHRA</v>
      </c>
    </row>
    <row r="1688" ht="15.75" customHeight="1">
      <c r="A1688" s="32"/>
      <c r="B1688" s="33" t="s">
        <v>917</v>
      </c>
      <c r="C1688" s="33" t="s">
        <v>16</v>
      </c>
      <c r="D1688" s="33" t="s">
        <v>29</v>
      </c>
      <c r="E1688" s="21" t="str">
        <f t="shared" si="4"/>
        <v>NSE:SALZERELEC</v>
      </c>
    </row>
    <row r="1689" ht="15.75" customHeight="1">
      <c r="A1689" s="32"/>
      <c r="B1689" s="33" t="s">
        <v>918</v>
      </c>
      <c r="C1689" s="33" t="s">
        <v>16</v>
      </c>
      <c r="D1689" s="33" t="s">
        <v>29</v>
      </c>
      <c r="E1689" s="21" t="str">
        <f t="shared" si="4"/>
        <v>NSE:VADILALIND</v>
      </c>
    </row>
    <row r="1690" ht="15.75" customHeight="1">
      <c r="A1690" s="32"/>
      <c r="B1690" s="33" t="s">
        <v>763</v>
      </c>
      <c r="C1690" s="33" t="s">
        <v>21</v>
      </c>
      <c r="D1690" s="33" t="s">
        <v>37</v>
      </c>
      <c r="E1690" s="21" t="str">
        <f t="shared" si="4"/>
        <v>NSE:INDIAMART</v>
      </c>
    </row>
    <row r="1691" ht="15.75" customHeight="1">
      <c r="A1691" s="32"/>
      <c r="B1691" s="33" t="s">
        <v>905</v>
      </c>
      <c r="C1691" s="33" t="s">
        <v>16</v>
      </c>
      <c r="D1691" s="33" t="s">
        <v>27</v>
      </c>
      <c r="E1691" s="21" t="str">
        <f t="shared" si="4"/>
        <v>NSE:VIDHIING</v>
      </c>
    </row>
    <row r="1692" ht="15.75" customHeight="1">
      <c r="A1692" s="32"/>
      <c r="B1692" s="33" t="s">
        <v>919</v>
      </c>
      <c r="C1692" s="33" t="s">
        <v>13</v>
      </c>
      <c r="D1692" s="33" t="s">
        <v>17</v>
      </c>
      <c r="E1692" s="21" t="str">
        <f t="shared" si="4"/>
        <v>NSE:MARUTI</v>
      </c>
    </row>
    <row r="1693" ht="15.75" customHeight="1">
      <c r="A1693" s="32"/>
      <c r="B1693" s="33" t="s">
        <v>920</v>
      </c>
      <c r="C1693" s="33" t="s">
        <v>13</v>
      </c>
      <c r="D1693" s="33" t="s">
        <v>29</v>
      </c>
      <c r="E1693" s="21" t="str">
        <f t="shared" si="4"/>
        <v>NSE:THERMAX</v>
      </c>
    </row>
    <row r="1694" ht="15.75" customHeight="1">
      <c r="A1694" s="32"/>
      <c r="B1694" s="33" t="s">
        <v>921</v>
      </c>
      <c r="C1694" s="33" t="s">
        <v>13</v>
      </c>
      <c r="D1694" s="33" t="s">
        <v>29</v>
      </c>
      <c r="E1694" s="21" t="str">
        <f t="shared" si="4"/>
        <v>NSE:SIEMENS</v>
      </c>
    </row>
    <row r="1695" ht="15.75" customHeight="1">
      <c r="A1695" s="32"/>
      <c r="B1695" s="33" t="s">
        <v>201</v>
      </c>
      <c r="C1695" s="33" t="s">
        <v>21</v>
      </c>
      <c r="D1695" s="33" t="s">
        <v>27</v>
      </c>
      <c r="E1695" s="21" t="str">
        <f t="shared" si="4"/>
        <v>NSE:SUDARSCHEM</v>
      </c>
    </row>
    <row r="1696" ht="15.75" customHeight="1">
      <c r="A1696" s="32"/>
      <c r="B1696" s="33" t="s">
        <v>580</v>
      </c>
      <c r="C1696" s="33" t="s">
        <v>21</v>
      </c>
      <c r="D1696" s="33" t="s">
        <v>17</v>
      </c>
      <c r="E1696" s="21" t="str">
        <f t="shared" si="4"/>
        <v>NSE:JAMNAAUTO</v>
      </c>
    </row>
    <row r="1697" ht="15.75" customHeight="1">
      <c r="A1697" s="32"/>
      <c r="B1697" s="33" t="s">
        <v>249</v>
      </c>
      <c r="C1697" s="33" t="s">
        <v>13</v>
      </c>
      <c r="D1697" s="33" t="s">
        <v>27</v>
      </c>
      <c r="E1697" s="21" t="str">
        <f t="shared" si="4"/>
        <v>NSE:PIIND</v>
      </c>
    </row>
    <row r="1698" ht="15.75" customHeight="1">
      <c r="A1698" s="32"/>
      <c r="B1698" s="33" t="s">
        <v>922</v>
      </c>
      <c r="C1698" s="33" t="s">
        <v>21</v>
      </c>
      <c r="D1698" s="33" t="s">
        <v>27</v>
      </c>
      <c r="E1698" s="21" t="str">
        <f t="shared" si="4"/>
        <v>NSE:STARCEMENT</v>
      </c>
    </row>
    <row r="1699" ht="15.75" customHeight="1">
      <c r="A1699" s="32"/>
      <c r="B1699" s="33" t="s">
        <v>923</v>
      </c>
      <c r="C1699" s="33" t="s">
        <v>16</v>
      </c>
      <c r="D1699" s="33" t="s">
        <v>29</v>
      </c>
      <c r="E1699" s="21" t="str">
        <f t="shared" si="4"/>
        <v>NSE:DOLLAR</v>
      </c>
    </row>
    <row r="1700" ht="15.75" customHeight="1">
      <c r="A1700" s="32"/>
      <c r="B1700" s="33" t="s">
        <v>924</v>
      </c>
      <c r="C1700" s="33" t="s">
        <v>13</v>
      </c>
      <c r="D1700" s="33" t="s">
        <v>29</v>
      </c>
      <c r="E1700" s="21" t="str">
        <f t="shared" si="4"/>
        <v>NSE:JYOTICNC</v>
      </c>
    </row>
    <row r="1701" ht="15.75" customHeight="1">
      <c r="A1701" s="32"/>
      <c r="B1701" s="33" t="s">
        <v>415</v>
      </c>
      <c r="C1701" s="33" t="s">
        <v>21</v>
      </c>
      <c r="D1701" s="33" t="s">
        <v>29</v>
      </c>
      <c r="E1701" s="21" t="str">
        <f t="shared" si="4"/>
        <v>NSE:VOLTAMP</v>
      </c>
    </row>
    <row r="1702" ht="15.75" customHeight="1">
      <c r="A1702" s="32"/>
      <c r="B1702" s="33" t="s">
        <v>909</v>
      </c>
      <c r="C1702" s="33" t="s">
        <v>13</v>
      </c>
      <c r="D1702" s="33" t="s">
        <v>17</v>
      </c>
      <c r="E1702" s="21" t="str">
        <f t="shared" si="4"/>
        <v>NSE:BAJAJ-AUTO</v>
      </c>
    </row>
    <row r="1703" ht="15.75" customHeight="1">
      <c r="A1703" s="32"/>
      <c r="B1703" s="33" t="s">
        <v>232</v>
      </c>
      <c r="C1703" s="33" t="s">
        <v>21</v>
      </c>
      <c r="D1703" s="33" t="s">
        <v>29</v>
      </c>
      <c r="E1703" s="21" t="str">
        <f t="shared" si="4"/>
        <v>NSE:TRITURBINE</v>
      </c>
    </row>
    <row r="1704" ht="15.75" customHeight="1">
      <c r="A1704" s="32"/>
      <c r="B1704" s="33" t="s">
        <v>925</v>
      </c>
      <c r="C1704" s="33" t="s">
        <v>13</v>
      </c>
      <c r="D1704" s="33" t="s">
        <v>37</v>
      </c>
      <c r="E1704" s="21" t="str">
        <f t="shared" si="4"/>
        <v>NSE:ZOMATO</v>
      </c>
    </row>
    <row r="1705" ht="15.75" customHeight="1">
      <c r="A1705" s="32"/>
      <c r="B1705" s="33" t="s">
        <v>28</v>
      </c>
      <c r="C1705" s="33" t="s">
        <v>16</v>
      </c>
      <c r="D1705" s="33" t="s">
        <v>29</v>
      </c>
      <c r="E1705" s="21" t="str">
        <f t="shared" si="4"/>
        <v>NSE:BBL</v>
      </c>
    </row>
    <row r="1706" ht="15.75" customHeight="1">
      <c r="A1706" s="32"/>
      <c r="B1706" s="33" t="s">
        <v>926</v>
      </c>
      <c r="C1706" s="33" t="s">
        <v>16</v>
      </c>
      <c r="D1706" s="33" t="s">
        <v>25</v>
      </c>
      <c r="E1706" s="21" t="str">
        <f t="shared" si="4"/>
        <v>NSE:VENUSPIPES</v>
      </c>
    </row>
    <row r="1707" ht="15.75" customHeight="1">
      <c r="A1707" s="32"/>
      <c r="B1707" s="33" t="s">
        <v>927</v>
      </c>
      <c r="C1707" s="33" t="s">
        <v>21</v>
      </c>
      <c r="D1707" s="33" t="s">
        <v>53</v>
      </c>
      <c r="E1707" s="21" t="str">
        <f t="shared" si="4"/>
        <v>NSE:ICIL</v>
      </c>
    </row>
    <row r="1708" ht="15.75" customHeight="1">
      <c r="A1708" s="32"/>
      <c r="B1708" s="33" t="s">
        <v>362</v>
      </c>
      <c r="C1708" s="33" t="s">
        <v>13</v>
      </c>
      <c r="D1708" s="33" t="s">
        <v>29</v>
      </c>
      <c r="E1708" s="21" t="str">
        <f t="shared" si="4"/>
        <v>NSE:DIXON</v>
      </c>
    </row>
    <row r="1709" ht="15.75" customHeight="1">
      <c r="A1709" s="32"/>
      <c r="B1709" s="33" t="s">
        <v>928</v>
      </c>
      <c r="C1709" s="33" t="s">
        <v>13</v>
      </c>
      <c r="D1709" s="33" t="s">
        <v>25</v>
      </c>
      <c r="E1709" s="21" t="str">
        <f t="shared" si="4"/>
        <v>NSE:JINDALSTEL</v>
      </c>
    </row>
    <row r="1710" ht="15.75" customHeight="1">
      <c r="A1710" s="32"/>
      <c r="B1710" s="33" t="s">
        <v>399</v>
      </c>
      <c r="C1710" s="33" t="s">
        <v>13</v>
      </c>
      <c r="D1710" s="33" t="s">
        <v>14</v>
      </c>
      <c r="E1710" s="21" t="str">
        <f t="shared" si="4"/>
        <v>NSE:GLENMARK</v>
      </c>
    </row>
    <row r="1711" ht="15.75" customHeight="1">
      <c r="A1711" s="32"/>
      <c r="B1711" s="33" t="s">
        <v>188</v>
      </c>
      <c r="C1711" s="33" t="s">
        <v>16</v>
      </c>
      <c r="D1711" s="33" t="s">
        <v>17</v>
      </c>
      <c r="E1711" s="21" t="str">
        <f t="shared" si="4"/>
        <v>NSE:LUMAXTECH</v>
      </c>
    </row>
    <row r="1712" ht="15.75" customHeight="1">
      <c r="A1712" s="32"/>
      <c r="B1712" s="33" t="s">
        <v>791</v>
      </c>
      <c r="C1712" s="33" t="s">
        <v>21</v>
      </c>
      <c r="D1712" s="33" t="s">
        <v>29</v>
      </c>
      <c r="E1712" s="21" t="str">
        <f t="shared" si="4"/>
        <v>NSE:TIMETECHNO</v>
      </c>
    </row>
    <row r="1713" ht="15.75" customHeight="1">
      <c r="A1713" s="32"/>
      <c r="B1713" s="33" t="s">
        <v>929</v>
      </c>
      <c r="C1713" s="33" t="s">
        <v>16</v>
      </c>
      <c r="D1713" s="33" t="s">
        <v>25</v>
      </c>
      <c r="E1713" s="21" t="str">
        <f t="shared" si="4"/>
        <v>NSE:IMFA</v>
      </c>
    </row>
    <row r="1714" ht="15.75" customHeight="1">
      <c r="A1714" s="32"/>
      <c r="B1714" s="33" t="s">
        <v>930</v>
      </c>
      <c r="C1714" s="33" t="s">
        <v>13</v>
      </c>
      <c r="D1714" s="33" t="s">
        <v>31</v>
      </c>
      <c r="E1714" s="21" t="str">
        <f t="shared" si="4"/>
        <v>NSE:JSWENERGY</v>
      </c>
    </row>
    <row r="1715" ht="15.75" customHeight="1">
      <c r="A1715" s="32"/>
      <c r="B1715" s="33" t="s">
        <v>155</v>
      </c>
      <c r="C1715" s="33" t="s">
        <v>13</v>
      </c>
      <c r="D1715" s="33" t="s">
        <v>156</v>
      </c>
      <c r="E1715" s="21" t="str">
        <f t="shared" si="4"/>
        <v>NSE:INDUSTOWER</v>
      </c>
    </row>
    <row r="1716" ht="15.75" customHeight="1">
      <c r="A1716" s="32"/>
      <c r="B1716" s="33" t="s">
        <v>931</v>
      </c>
      <c r="C1716" s="33" t="s">
        <v>13</v>
      </c>
      <c r="D1716" s="33" t="s">
        <v>17</v>
      </c>
      <c r="E1716" s="21" t="str">
        <f t="shared" si="4"/>
        <v>NSE:SONACOMS</v>
      </c>
    </row>
    <row r="1717" ht="15.75" customHeight="1">
      <c r="A1717" s="32"/>
      <c r="B1717" s="33" t="s">
        <v>450</v>
      </c>
      <c r="C1717" s="33" t="s">
        <v>13</v>
      </c>
      <c r="D1717" s="33" t="s">
        <v>55</v>
      </c>
      <c r="E1717" s="21" t="str">
        <f t="shared" si="4"/>
        <v>NSE:ICICIPRULI</v>
      </c>
    </row>
    <row r="1718" ht="15.75" customHeight="1">
      <c r="A1718" s="32"/>
      <c r="B1718" s="33" t="s">
        <v>932</v>
      </c>
      <c r="C1718" s="33" t="s">
        <v>13</v>
      </c>
      <c r="D1718" s="33" t="s">
        <v>29</v>
      </c>
      <c r="E1718" s="21" t="str">
        <f t="shared" si="4"/>
        <v>NSE:ABB</v>
      </c>
    </row>
    <row r="1719" ht="15.75" customHeight="1">
      <c r="A1719" s="32"/>
      <c r="B1719" s="33" t="s">
        <v>908</v>
      </c>
      <c r="C1719" s="33" t="s">
        <v>13</v>
      </c>
      <c r="D1719" s="33" t="s">
        <v>27</v>
      </c>
      <c r="E1719" s="21" t="str">
        <f t="shared" si="4"/>
        <v>NSE:CENTURYTEX</v>
      </c>
    </row>
    <row r="1720" ht="15.75" customHeight="1">
      <c r="A1720" s="32"/>
      <c r="B1720" s="33" t="s">
        <v>933</v>
      </c>
      <c r="C1720" s="33" t="s">
        <v>13</v>
      </c>
      <c r="D1720" s="33" t="s">
        <v>39</v>
      </c>
      <c r="E1720" s="21" t="str">
        <f t="shared" si="4"/>
        <v>NSE:SUNDARMFIN</v>
      </c>
    </row>
    <row r="1721" ht="15.75" customHeight="1">
      <c r="A1721" s="32"/>
      <c r="B1721" s="33" t="s">
        <v>163</v>
      </c>
      <c r="C1721" s="33" t="s">
        <v>21</v>
      </c>
      <c r="D1721" s="33" t="s">
        <v>27</v>
      </c>
      <c r="E1721" s="21" t="str">
        <f t="shared" si="4"/>
        <v>NSE:LAXMIMACH</v>
      </c>
    </row>
    <row r="1722" ht="15.75" customHeight="1">
      <c r="A1722" s="32"/>
      <c r="B1722" s="33" t="s">
        <v>934</v>
      </c>
      <c r="C1722" s="33" t="s">
        <v>13</v>
      </c>
      <c r="D1722" s="33" t="s">
        <v>25</v>
      </c>
      <c r="E1722" s="21" t="str">
        <f t="shared" si="4"/>
        <v>NSE:TATASTEEL</v>
      </c>
    </row>
    <row r="1723" ht="15.75" customHeight="1">
      <c r="A1723" s="32"/>
      <c r="B1723" s="33" t="s">
        <v>341</v>
      </c>
      <c r="C1723" s="33" t="s">
        <v>13</v>
      </c>
      <c r="D1723" s="33" t="s">
        <v>27</v>
      </c>
      <c r="E1723" s="21" t="str">
        <f t="shared" si="4"/>
        <v>NSE:LLOYDSME</v>
      </c>
    </row>
    <row r="1724" ht="15.75" customHeight="1">
      <c r="A1724" s="32"/>
      <c r="B1724" s="33" t="s">
        <v>935</v>
      </c>
      <c r="C1724" s="33" t="s">
        <v>13</v>
      </c>
      <c r="D1724" s="33" t="s">
        <v>29</v>
      </c>
      <c r="E1724" s="21" t="str">
        <f t="shared" si="4"/>
        <v>NSE:HONAUT</v>
      </c>
    </row>
    <row r="1725" ht="15.75" customHeight="1">
      <c r="A1725" s="32"/>
      <c r="B1725" s="33" t="s">
        <v>936</v>
      </c>
      <c r="C1725" s="33" t="s">
        <v>16</v>
      </c>
      <c r="D1725" s="33" t="s">
        <v>29</v>
      </c>
      <c r="E1725" s="21" t="str">
        <f t="shared" si="4"/>
        <v>NSE:YUKEN</v>
      </c>
    </row>
    <row r="1726" ht="15.75" customHeight="1">
      <c r="A1726" s="32"/>
      <c r="B1726" s="33" t="s">
        <v>937</v>
      </c>
      <c r="C1726" s="33" t="s">
        <v>16</v>
      </c>
      <c r="D1726" s="33" t="s">
        <v>64</v>
      </c>
      <c r="E1726" s="21" t="str">
        <f t="shared" si="4"/>
        <v>NSE:SOTL</v>
      </c>
    </row>
    <row r="1727" ht="15.75" customHeight="1">
      <c r="A1727" s="32"/>
      <c r="B1727" s="33" t="s">
        <v>938</v>
      </c>
      <c r="C1727" s="33" t="s">
        <v>21</v>
      </c>
      <c r="D1727" s="33" t="s">
        <v>55</v>
      </c>
      <c r="E1727" s="21" t="str">
        <f t="shared" si="4"/>
        <v>NSE:NUVAMA</v>
      </c>
    </row>
    <row r="1728" ht="15.75" customHeight="1">
      <c r="A1728" s="32"/>
      <c r="B1728" s="33" t="s">
        <v>939</v>
      </c>
      <c r="C1728" s="33" t="s">
        <v>16</v>
      </c>
      <c r="D1728" s="33" t="s">
        <v>55</v>
      </c>
      <c r="E1728" s="21" t="str">
        <f t="shared" si="4"/>
        <v>NSE:MEDIASSIST</v>
      </c>
    </row>
    <row r="1729" ht="15.75" customHeight="1">
      <c r="A1729" s="32"/>
      <c r="B1729" s="33" t="s">
        <v>940</v>
      </c>
      <c r="C1729" s="33" t="s">
        <v>13</v>
      </c>
      <c r="D1729" s="33" t="s">
        <v>19</v>
      </c>
      <c r="E1729" s="21" t="str">
        <f t="shared" si="4"/>
        <v>NSE:HAL</v>
      </c>
    </row>
    <row r="1730" ht="15.75" customHeight="1">
      <c r="A1730" s="32"/>
      <c r="B1730" s="33" t="s">
        <v>941</v>
      </c>
      <c r="C1730" s="33" t="s">
        <v>16</v>
      </c>
      <c r="D1730" s="33" t="s">
        <v>37</v>
      </c>
      <c r="E1730" s="21" t="str">
        <f t="shared" si="4"/>
        <v>NSE:DSSL</v>
      </c>
    </row>
    <row r="1731" ht="15.75" customHeight="1">
      <c r="A1731" s="32"/>
      <c r="B1731" s="33" t="s">
        <v>942</v>
      </c>
      <c r="C1731" s="33" t="s">
        <v>16</v>
      </c>
      <c r="D1731" s="33" t="s">
        <v>55</v>
      </c>
      <c r="E1731" s="21" t="str">
        <f t="shared" si="4"/>
        <v>NSE:TAJGVK</v>
      </c>
    </row>
    <row r="1732" ht="15.75" customHeight="1">
      <c r="A1732" s="32"/>
      <c r="B1732" s="33" t="s">
        <v>258</v>
      </c>
      <c r="C1732" s="33" t="s">
        <v>13</v>
      </c>
      <c r="D1732" s="33" t="s">
        <v>27</v>
      </c>
      <c r="E1732" s="21" t="str">
        <f t="shared" si="4"/>
        <v>NSE:IGL</v>
      </c>
    </row>
    <row r="1733" ht="15.75" customHeight="1">
      <c r="A1733" s="32"/>
      <c r="B1733" s="33" t="s">
        <v>943</v>
      </c>
      <c r="C1733" s="33" t="s">
        <v>21</v>
      </c>
      <c r="D1733" s="33" t="s">
        <v>29</v>
      </c>
      <c r="E1733" s="21" t="str">
        <f t="shared" si="4"/>
        <v>NSE:TRIL</v>
      </c>
    </row>
    <row r="1734" ht="15.75" customHeight="1">
      <c r="A1734" s="32"/>
      <c r="B1734" s="33" t="s">
        <v>425</v>
      </c>
      <c r="C1734" s="33" t="s">
        <v>21</v>
      </c>
      <c r="D1734" s="33" t="s">
        <v>29</v>
      </c>
      <c r="E1734" s="21" t="str">
        <f t="shared" si="4"/>
        <v>NSE:WABAG</v>
      </c>
    </row>
    <row r="1735" ht="15.75" customHeight="1">
      <c r="A1735" s="32"/>
      <c r="B1735" s="33" t="s">
        <v>944</v>
      </c>
      <c r="C1735" s="33" t="s">
        <v>13</v>
      </c>
      <c r="D1735" s="33" t="s">
        <v>29</v>
      </c>
      <c r="E1735" s="21" t="str">
        <f t="shared" si="4"/>
        <v>NSE:SCHNEIDER</v>
      </c>
    </row>
    <row r="1736" ht="15.75" customHeight="1">
      <c r="A1736" s="32"/>
      <c r="B1736" s="33" t="s">
        <v>945</v>
      </c>
      <c r="C1736" s="33" t="s">
        <v>16</v>
      </c>
      <c r="D1736" s="33" t="s">
        <v>27</v>
      </c>
      <c r="E1736" s="21" t="str">
        <f t="shared" si="4"/>
        <v>NSE:SKIPPER</v>
      </c>
    </row>
    <row r="1737" ht="15.75" customHeight="1">
      <c r="A1737" s="32"/>
      <c r="B1737" s="33" t="s">
        <v>946</v>
      </c>
      <c r="C1737" s="33" t="s">
        <v>13</v>
      </c>
      <c r="D1737" s="33" t="s">
        <v>55</v>
      </c>
      <c r="E1737" s="21" t="str">
        <f t="shared" si="4"/>
        <v>NSE:AEGISCHEM</v>
      </c>
    </row>
    <row r="1738" ht="15.75" customHeight="1">
      <c r="A1738" s="32"/>
      <c r="B1738" s="33" t="s">
        <v>556</v>
      </c>
      <c r="C1738" s="33" t="s">
        <v>13</v>
      </c>
      <c r="D1738" s="33" t="s">
        <v>27</v>
      </c>
      <c r="E1738" s="21" t="str">
        <f t="shared" si="4"/>
        <v>NSE:BASF</v>
      </c>
    </row>
    <row r="1739" ht="15.75" customHeight="1">
      <c r="A1739" s="32"/>
      <c r="B1739" s="33" t="s">
        <v>755</v>
      </c>
      <c r="C1739" s="33" t="s">
        <v>13</v>
      </c>
      <c r="D1739" s="33" t="s">
        <v>53</v>
      </c>
      <c r="E1739" s="21" t="str">
        <f t="shared" si="4"/>
        <v>NSE:GRASIM</v>
      </c>
    </row>
    <row r="1740" ht="15.75" customHeight="1">
      <c r="A1740" s="32"/>
      <c r="B1740" s="33" t="s">
        <v>947</v>
      </c>
      <c r="C1740" s="33" t="s">
        <v>16</v>
      </c>
      <c r="D1740" s="33" t="s">
        <v>29</v>
      </c>
      <c r="E1740" s="21" t="str">
        <f t="shared" si="4"/>
        <v>NSE:TIL</v>
      </c>
    </row>
    <row r="1741" ht="15.75" customHeight="1">
      <c r="A1741" s="32"/>
      <c r="B1741" s="33" t="s">
        <v>889</v>
      </c>
      <c r="C1741" s="33" t="s">
        <v>21</v>
      </c>
      <c r="D1741" s="33" t="s">
        <v>29</v>
      </c>
      <c r="E1741" s="21" t="str">
        <f t="shared" si="4"/>
        <v>NSE:IFBIND</v>
      </c>
    </row>
    <row r="1742" ht="15.75" customHeight="1">
      <c r="A1742" s="32"/>
      <c r="B1742" s="33" t="s">
        <v>335</v>
      </c>
      <c r="C1742" s="33" t="s">
        <v>13</v>
      </c>
      <c r="D1742" s="33" t="s">
        <v>27</v>
      </c>
      <c r="E1742" s="21" t="str">
        <f t="shared" si="4"/>
        <v>NSE:BERGEPAINT</v>
      </c>
    </row>
    <row r="1743" ht="15.75" customHeight="1">
      <c r="A1743" s="32"/>
      <c r="B1743" s="33" t="s">
        <v>948</v>
      </c>
      <c r="C1743" s="33" t="s">
        <v>16</v>
      </c>
      <c r="D1743" s="33" t="s">
        <v>31</v>
      </c>
      <c r="E1743" s="21" t="str">
        <f t="shared" si="4"/>
        <v>NSE:KRYSTAL</v>
      </c>
    </row>
    <row r="1744" ht="15.75" customHeight="1">
      <c r="A1744" s="32"/>
      <c r="B1744" s="33" t="s">
        <v>428</v>
      </c>
      <c r="C1744" s="33" t="s">
        <v>21</v>
      </c>
      <c r="D1744" s="33" t="s">
        <v>19</v>
      </c>
      <c r="E1744" s="21" t="str">
        <f t="shared" si="4"/>
        <v>NSE:ZENTEC</v>
      </c>
    </row>
    <row r="1745" ht="15.75" customHeight="1">
      <c r="A1745" s="32"/>
      <c r="B1745" s="33" t="s">
        <v>128</v>
      </c>
      <c r="C1745" s="33" t="s">
        <v>21</v>
      </c>
      <c r="D1745" s="33" t="s">
        <v>17</v>
      </c>
      <c r="E1745" s="21" t="str">
        <f t="shared" si="4"/>
        <v>NSE:FORCEMOT</v>
      </c>
    </row>
    <row r="1746" ht="15.75" customHeight="1">
      <c r="A1746" s="32"/>
      <c r="B1746" s="33" t="s">
        <v>18</v>
      </c>
      <c r="C1746" s="33" t="s">
        <v>13</v>
      </c>
      <c r="D1746" s="33" t="s">
        <v>19</v>
      </c>
      <c r="E1746" s="21" t="str">
        <f t="shared" si="4"/>
        <v>NSE:BEL</v>
      </c>
    </row>
    <row r="1747" ht="15.75" customHeight="1">
      <c r="A1747" s="32"/>
      <c r="B1747" s="33" t="s">
        <v>949</v>
      </c>
      <c r="C1747" s="33" t="s">
        <v>13</v>
      </c>
      <c r="D1747" s="33" t="s">
        <v>25</v>
      </c>
      <c r="E1747" s="21" t="str">
        <f t="shared" si="4"/>
        <v>NSE:HINDZINC</v>
      </c>
    </row>
    <row r="1748" ht="15.75" customHeight="1">
      <c r="A1748" s="32"/>
      <c r="B1748" s="33" t="s">
        <v>457</v>
      </c>
      <c r="C1748" s="33" t="s">
        <v>21</v>
      </c>
      <c r="D1748" s="33" t="s">
        <v>29</v>
      </c>
      <c r="E1748" s="21" t="str">
        <f t="shared" si="4"/>
        <v>NSE:KIRLOSBROS</v>
      </c>
    </row>
    <row r="1749" ht="15.75" customHeight="1">
      <c r="A1749" s="32"/>
      <c r="B1749" s="33" t="s">
        <v>950</v>
      </c>
      <c r="C1749" s="33" t="s">
        <v>21</v>
      </c>
      <c r="D1749" s="33" t="s">
        <v>39</v>
      </c>
      <c r="E1749" s="21" t="str">
        <f t="shared" si="4"/>
        <v>NSE:KIRLOSIND</v>
      </c>
    </row>
    <row r="1750" ht="15.75" customHeight="1">
      <c r="A1750" s="32"/>
      <c r="B1750" s="33" t="s">
        <v>904</v>
      </c>
      <c r="C1750" s="33" t="s">
        <v>13</v>
      </c>
      <c r="D1750" s="33" t="s">
        <v>31</v>
      </c>
      <c r="E1750" s="21" t="str">
        <f t="shared" si="4"/>
        <v>NSE:TATAPOWER</v>
      </c>
    </row>
    <row r="1751" ht="15.75" customHeight="1">
      <c r="A1751" s="32"/>
      <c r="B1751" s="33" t="s">
        <v>853</v>
      </c>
      <c r="C1751" s="33" t="s">
        <v>13</v>
      </c>
      <c r="D1751" s="33" t="s">
        <v>156</v>
      </c>
      <c r="E1751" s="21" t="str">
        <f t="shared" si="4"/>
        <v>NSE:TATACOMM</v>
      </c>
    </row>
    <row r="1752" ht="15.75" customHeight="1">
      <c r="A1752" s="32"/>
      <c r="B1752" s="33" t="s">
        <v>951</v>
      </c>
      <c r="C1752" s="33" t="s">
        <v>13</v>
      </c>
      <c r="D1752" s="33" t="s">
        <v>55</v>
      </c>
      <c r="E1752" s="21" t="str">
        <f t="shared" si="4"/>
        <v>NSE:INDHOTEL</v>
      </c>
    </row>
    <row r="1753" ht="15.75" customHeight="1">
      <c r="A1753" s="32"/>
      <c r="B1753" s="33" t="s">
        <v>346</v>
      </c>
      <c r="C1753" s="33" t="s">
        <v>16</v>
      </c>
      <c r="D1753" s="33" t="s">
        <v>29</v>
      </c>
      <c r="E1753" s="21" t="str">
        <f t="shared" si="4"/>
        <v>NSE:PITTIENG</v>
      </c>
    </row>
    <row r="1754" ht="15.75" customHeight="1">
      <c r="A1754" s="32"/>
      <c r="B1754" s="33" t="s">
        <v>719</v>
      </c>
      <c r="C1754" s="33" t="s">
        <v>16</v>
      </c>
      <c r="D1754" s="33" t="s">
        <v>29</v>
      </c>
      <c r="E1754" s="21" t="str">
        <f t="shared" si="4"/>
        <v>NSE:IKIO</v>
      </c>
    </row>
    <row r="1755" ht="15.75" customHeight="1">
      <c r="A1755" s="32"/>
      <c r="B1755" s="33" t="s">
        <v>691</v>
      </c>
      <c r="C1755" s="33" t="s">
        <v>16</v>
      </c>
      <c r="D1755" s="33" t="s">
        <v>14</v>
      </c>
      <c r="E1755" s="21" t="str">
        <f t="shared" si="4"/>
        <v>NSE:HIKAL</v>
      </c>
    </row>
    <row r="1756" ht="15.75" customHeight="1">
      <c r="A1756" s="32"/>
      <c r="B1756" s="33" t="s">
        <v>952</v>
      </c>
      <c r="C1756" s="33" t="s">
        <v>13</v>
      </c>
      <c r="D1756" s="33" t="s">
        <v>39</v>
      </c>
      <c r="E1756" s="21" t="str">
        <f t="shared" si="4"/>
        <v>NSE:ABCAPITAL</v>
      </c>
    </row>
    <row r="1757" ht="15.75" customHeight="1">
      <c r="A1757" s="32"/>
      <c r="B1757" s="33" t="s">
        <v>953</v>
      </c>
      <c r="C1757" s="33" t="s">
        <v>21</v>
      </c>
      <c r="D1757" s="33" t="s">
        <v>185</v>
      </c>
      <c r="E1757" s="21" t="str">
        <f t="shared" si="4"/>
        <v>NSE:JSFB</v>
      </c>
    </row>
    <row r="1758" ht="15.75" customHeight="1">
      <c r="A1758" s="32"/>
      <c r="B1758" s="33" t="s">
        <v>954</v>
      </c>
      <c r="C1758" s="33" t="s">
        <v>21</v>
      </c>
      <c r="D1758" s="33" t="s">
        <v>39</v>
      </c>
      <c r="E1758" s="21" t="str">
        <f t="shared" si="4"/>
        <v>NSE:SUNDARMHLD</v>
      </c>
    </row>
    <row r="1759" ht="15.75" customHeight="1">
      <c r="A1759" s="32"/>
      <c r="B1759" s="33" t="s">
        <v>955</v>
      </c>
      <c r="C1759" s="33" t="s">
        <v>21</v>
      </c>
      <c r="D1759" s="33" t="s">
        <v>39</v>
      </c>
      <c r="E1759" s="21" t="str">
        <f t="shared" si="4"/>
        <v>NSE:AAVAS</v>
      </c>
    </row>
    <row r="1760" ht="15.75" customHeight="1">
      <c r="A1760" s="32"/>
      <c r="B1760" s="33" t="s">
        <v>516</v>
      </c>
      <c r="C1760" s="33" t="s">
        <v>21</v>
      </c>
      <c r="D1760" s="33" t="s">
        <v>373</v>
      </c>
      <c r="E1760" s="21" t="str">
        <f t="shared" si="4"/>
        <v>NSE:CAMS</v>
      </c>
    </row>
    <row r="1761" ht="15.75" customHeight="1">
      <c r="A1761" s="32"/>
      <c r="B1761" s="33" t="s">
        <v>65</v>
      </c>
      <c r="C1761" s="33" t="s">
        <v>13</v>
      </c>
      <c r="D1761" s="33" t="s">
        <v>27</v>
      </c>
      <c r="E1761" s="21" t="str">
        <f t="shared" si="4"/>
        <v>NSE:GAIL</v>
      </c>
    </row>
    <row r="1762" ht="15.75" customHeight="1">
      <c r="A1762" s="32"/>
      <c r="B1762" s="33" t="s">
        <v>654</v>
      </c>
      <c r="C1762" s="33" t="s">
        <v>16</v>
      </c>
      <c r="D1762" s="33" t="s">
        <v>22</v>
      </c>
      <c r="E1762" s="21" t="str">
        <f t="shared" si="4"/>
        <v>NSE:GEPIL</v>
      </c>
    </row>
    <row r="1763" ht="15.75" customHeight="1">
      <c r="A1763" s="32"/>
      <c r="B1763" s="33" t="s">
        <v>906</v>
      </c>
      <c r="C1763" s="33" t="s">
        <v>13</v>
      </c>
      <c r="D1763" s="33" t="s">
        <v>185</v>
      </c>
      <c r="E1763" s="21" t="str">
        <f t="shared" si="4"/>
        <v>NSE:UNIONBANK</v>
      </c>
    </row>
    <row r="1764" ht="15.75" customHeight="1">
      <c r="A1764" s="32"/>
      <c r="B1764" s="33" t="s">
        <v>956</v>
      </c>
      <c r="C1764" s="33" t="s">
        <v>13</v>
      </c>
      <c r="D1764" s="33" t="s">
        <v>185</v>
      </c>
      <c r="E1764" s="21" t="str">
        <f t="shared" si="4"/>
        <v>NSE:CANBK</v>
      </c>
    </row>
    <row r="1765" ht="15.75" customHeight="1">
      <c r="A1765" s="32"/>
      <c r="B1765" s="33" t="s">
        <v>119</v>
      </c>
      <c r="C1765" s="33" t="s">
        <v>16</v>
      </c>
      <c r="D1765" s="33" t="s">
        <v>55</v>
      </c>
      <c r="E1765" s="21" t="str">
        <f t="shared" si="4"/>
        <v>NSE:ROHLTD</v>
      </c>
    </row>
    <row r="1766" ht="15.75" customHeight="1">
      <c r="A1766" s="32"/>
      <c r="B1766" s="33" t="s">
        <v>957</v>
      </c>
      <c r="C1766" s="33" t="s">
        <v>21</v>
      </c>
      <c r="D1766" s="33" t="s">
        <v>14</v>
      </c>
      <c r="E1766" s="21" t="str">
        <f t="shared" si="4"/>
        <v>NSE:SPARC</v>
      </c>
    </row>
    <row r="1767" ht="15.75" customHeight="1">
      <c r="A1767" s="32"/>
      <c r="B1767" s="33" t="s">
        <v>958</v>
      </c>
      <c r="C1767" s="33" t="s">
        <v>13</v>
      </c>
      <c r="D1767" s="33" t="s">
        <v>185</v>
      </c>
      <c r="E1767" s="21" t="str">
        <f t="shared" si="4"/>
        <v>NSE:PSB</v>
      </c>
    </row>
    <row r="1768" ht="15.75" customHeight="1">
      <c r="A1768" s="32"/>
      <c r="B1768" s="33" t="s">
        <v>263</v>
      </c>
      <c r="C1768" s="33" t="s">
        <v>13</v>
      </c>
      <c r="D1768" s="33" t="s">
        <v>55</v>
      </c>
      <c r="E1768" s="21" t="str">
        <f t="shared" si="4"/>
        <v>NSE:STARHEALTH</v>
      </c>
    </row>
    <row r="1769" ht="15.75" customHeight="1">
      <c r="A1769" s="32"/>
      <c r="B1769" s="33" t="s">
        <v>959</v>
      </c>
      <c r="C1769" s="33" t="s">
        <v>16</v>
      </c>
      <c r="D1769" s="33" t="s">
        <v>14</v>
      </c>
      <c r="E1769" s="21" t="str">
        <f t="shared" si="4"/>
        <v>NSE:SUPRIYA</v>
      </c>
    </row>
    <row r="1770" ht="15.75" customHeight="1">
      <c r="A1770" s="32"/>
      <c r="B1770" s="33" t="s">
        <v>960</v>
      </c>
      <c r="C1770" s="33" t="s">
        <v>16</v>
      </c>
      <c r="D1770" s="33" t="s">
        <v>50</v>
      </c>
      <c r="E1770" s="21" t="str">
        <f t="shared" si="4"/>
        <v>NSE:IMAGICAA</v>
      </c>
    </row>
    <row r="1771" ht="15.75" customHeight="1">
      <c r="A1771" s="32"/>
      <c r="B1771" s="33" t="s">
        <v>802</v>
      </c>
      <c r="C1771" s="33" t="s">
        <v>13</v>
      </c>
      <c r="D1771" s="33" t="s">
        <v>31</v>
      </c>
      <c r="E1771" s="21" t="str">
        <f t="shared" si="4"/>
        <v>NSE:ADANIENSOL</v>
      </c>
    </row>
    <row r="1772" ht="15.75" customHeight="1">
      <c r="A1772" s="32"/>
      <c r="B1772" s="33" t="s">
        <v>554</v>
      </c>
      <c r="C1772" s="33" t="s">
        <v>16</v>
      </c>
      <c r="D1772" s="33" t="s">
        <v>27</v>
      </c>
      <c r="E1772" s="21" t="str">
        <f t="shared" si="4"/>
        <v>NSE:BIGBLOC</v>
      </c>
    </row>
    <row r="1773" ht="15.75" customHeight="1">
      <c r="A1773" s="32"/>
      <c r="B1773" s="33" t="s">
        <v>12</v>
      </c>
      <c r="C1773" s="33" t="s">
        <v>13</v>
      </c>
      <c r="D1773" s="33" t="s">
        <v>14</v>
      </c>
      <c r="E1773" s="21" t="str">
        <f t="shared" si="4"/>
        <v>NSE:LAURUSLABS</v>
      </c>
    </row>
    <row r="1774" ht="15.75" customHeight="1">
      <c r="A1774" s="32"/>
      <c r="B1774" s="33" t="s">
        <v>297</v>
      </c>
      <c r="C1774" s="33" t="s">
        <v>16</v>
      </c>
      <c r="D1774" s="33" t="s">
        <v>14</v>
      </c>
      <c r="E1774" s="21" t="str">
        <f t="shared" si="4"/>
        <v>NSE:AMRUTANJAN</v>
      </c>
    </row>
    <row r="1775" ht="15.75" customHeight="1">
      <c r="A1775" s="32"/>
      <c r="B1775" s="33" t="s">
        <v>129</v>
      </c>
      <c r="C1775" s="33" t="s">
        <v>16</v>
      </c>
      <c r="D1775" s="33" t="s">
        <v>29</v>
      </c>
      <c r="E1775" s="21" t="str">
        <f t="shared" si="4"/>
        <v>NSE:BANARISUG</v>
      </c>
    </row>
    <row r="1776" ht="15.75" customHeight="1">
      <c r="A1776" s="32"/>
      <c r="B1776" s="33" t="s">
        <v>302</v>
      </c>
      <c r="C1776" s="33" t="s">
        <v>16</v>
      </c>
      <c r="D1776" s="33" t="s">
        <v>55</v>
      </c>
      <c r="E1776" s="21" t="str">
        <f t="shared" si="4"/>
        <v>NSE:ESTER</v>
      </c>
    </row>
    <row r="1777" ht="15.75" customHeight="1">
      <c r="A1777" s="32"/>
      <c r="B1777" s="33" t="s">
        <v>961</v>
      </c>
      <c r="C1777" s="33" t="s">
        <v>13</v>
      </c>
      <c r="D1777" s="33" t="s">
        <v>22</v>
      </c>
      <c r="E1777" s="21" t="str">
        <f t="shared" si="4"/>
        <v>NSE:NCC</v>
      </c>
    </row>
    <row r="1778" ht="15.75" customHeight="1">
      <c r="A1778" s="32"/>
      <c r="B1778" s="33" t="s">
        <v>962</v>
      </c>
      <c r="C1778" s="33" t="s">
        <v>13</v>
      </c>
      <c r="D1778" s="33" t="s">
        <v>17</v>
      </c>
      <c r="E1778" s="21" t="str">
        <f t="shared" si="4"/>
        <v>NSE:M&amp;M</v>
      </c>
    </row>
    <row r="1779" ht="15.75" customHeight="1">
      <c r="A1779" s="32"/>
      <c r="B1779" s="33" t="s">
        <v>683</v>
      </c>
      <c r="C1779" s="33" t="s">
        <v>16</v>
      </c>
      <c r="D1779" s="33" t="s">
        <v>37</v>
      </c>
      <c r="E1779" s="21" t="str">
        <f t="shared" si="4"/>
        <v>NSE:GENESYS</v>
      </c>
    </row>
    <row r="1780" ht="15.75" customHeight="1">
      <c r="A1780" s="32"/>
      <c r="B1780" s="33" t="s">
        <v>901</v>
      </c>
      <c r="C1780" s="33" t="s">
        <v>16</v>
      </c>
      <c r="D1780" s="33" t="s">
        <v>31</v>
      </c>
      <c r="E1780" s="21" t="str">
        <f t="shared" si="4"/>
        <v>NSE:TTKHLTCARE</v>
      </c>
    </row>
    <row r="1781" ht="15.75" customHeight="1">
      <c r="A1781" s="32"/>
      <c r="B1781" s="33" t="s">
        <v>963</v>
      </c>
      <c r="C1781" s="33" t="s">
        <v>21</v>
      </c>
      <c r="D1781" s="33" t="s">
        <v>29</v>
      </c>
      <c r="E1781" s="21" t="str">
        <f t="shared" si="4"/>
        <v>NSE:GRAPHITE</v>
      </c>
    </row>
    <row r="1782" ht="15.75" customHeight="1">
      <c r="A1782" s="32"/>
      <c r="B1782" s="33" t="s">
        <v>139</v>
      </c>
      <c r="C1782" s="33" t="s">
        <v>16</v>
      </c>
      <c r="D1782" s="33" t="s">
        <v>19</v>
      </c>
      <c r="E1782" s="21" t="str">
        <f t="shared" si="4"/>
        <v>NSE:IDEAFORGE</v>
      </c>
    </row>
    <row r="1783" ht="15.75" customHeight="1">
      <c r="A1783" s="32"/>
      <c r="B1783" s="33" t="s">
        <v>366</v>
      </c>
      <c r="C1783" s="33" t="s">
        <v>13</v>
      </c>
      <c r="D1783" s="33" t="s">
        <v>27</v>
      </c>
      <c r="E1783" s="21" t="str">
        <f t="shared" si="4"/>
        <v>NSE:JSWINFRA</v>
      </c>
    </row>
    <row r="1784" ht="15.75" customHeight="1">
      <c r="A1784" s="32"/>
      <c r="B1784" s="33" t="s">
        <v>281</v>
      </c>
      <c r="C1784" s="33" t="s">
        <v>16</v>
      </c>
      <c r="D1784" s="33" t="s">
        <v>55</v>
      </c>
      <c r="E1784" s="21" t="str">
        <f t="shared" si="4"/>
        <v>NSE:MAHLOG</v>
      </c>
    </row>
    <row r="1785" ht="15.75" customHeight="1">
      <c r="A1785" s="32"/>
      <c r="B1785" s="33" t="s">
        <v>923</v>
      </c>
      <c r="C1785" s="33" t="s">
        <v>16</v>
      </c>
      <c r="D1785" s="33" t="s">
        <v>29</v>
      </c>
      <c r="E1785" s="21" t="str">
        <f t="shared" si="4"/>
        <v>NSE:DOLLAR</v>
      </c>
    </row>
    <row r="1786" ht="15.75" customHeight="1">
      <c r="A1786" s="32"/>
      <c r="B1786" s="33" t="s">
        <v>214</v>
      </c>
      <c r="C1786" s="33" t="s">
        <v>16</v>
      </c>
      <c r="D1786" s="33" t="s">
        <v>27</v>
      </c>
      <c r="E1786" s="21" t="str">
        <f t="shared" si="4"/>
        <v>NSE:YASHO</v>
      </c>
    </row>
    <row r="1787" ht="15.75" customHeight="1">
      <c r="A1787" s="32"/>
      <c r="B1787" s="33" t="s">
        <v>964</v>
      </c>
      <c r="C1787" s="33" t="s">
        <v>16</v>
      </c>
      <c r="D1787" s="33" t="s">
        <v>39</v>
      </c>
      <c r="E1787" s="21" t="str">
        <f t="shared" si="4"/>
        <v>NSE:INDOSTAR</v>
      </c>
    </row>
    <row r="1788" ht="15.75" customHeight="1">
      <c r="A1788" s="32"/>
      <c r="B1788" s="33" t="s">
        <v>965</v>
      </c>
      <c r="C1788" s="33" t="s">
        <v>16</v>
      </c>
      <c r="D1788" s="33" t="s">
        <v>31</v>
      </c>
      <c r="E1788" s="21" t="str">
        <f t="shared" si="4"/>
        <v>NSE:CUPID</v>
      </c>
    </row>
    <row r="1789" ht="15.75" customHeight="1">
      <c r="A1789" s="32"/>
      <c r="B1789" s="33" t="s">
        <v>762</v>
      </c>
      <c r="C1789" s="33" t="s">
        <v>21</v>
      </c>
      <c r="D1789" s="33" t="s">
        <v>31</v>
      </c>
      <c r="E1789" s="21" t="str">
        <f t="shared" si="4"/>
        <v>NSE:RAJESHEXPO</v>
      </c>
    </row>
    <row r="1790" ht="15.75" customHeight="1">
      <c r="A1790" s="32"/>
      <c r="B1790" s="33" t="s">
        <v>966</v>
      </c>
      <c r="C1790" s="33" t="s">
        <v>13</v>
      </c>
      <c r="D1790" s="33" t="s">
        <v>185</v>
      </c>
      <c r="E1790" s="21" t="str">
        <f t="shared" si="4"/>
        <v>NSE:IOB</v>
      </c>
    </row>
    <row r="1791" ht="15.75" customHeight="1">
      <c r="A1791" s="32"/>
      <c r="B1791" s="33" t="s">
        <v>967</v>
      </c>
      <c r="C1791" s="33" t="s">
        <v>16</v>
      </c>
      <c r="D1791" s="33" t="s">
        <v>31</v>
      </c>
      <c r="E1791" s="21" t="str">
        <f t="shared" si="4"/>
        <v>NSE:BFUTILITIE</v>
      </c>
    </row>
    <row r="1792" ht="15.75" customHeight="1">
      <c r="A1792" s="32"/>
      <c r="B1792" s="33" t="s">
        <v>968</v>
      </c>
      <c r="C1792" s="33" t="s">
        <v>13</v>
      </c>
      <c r="D1792" s="33" t="s">
        <v>185</v>
      </c>
      <c r="E1792" s="21" t="str">
        <f t="shared" si="4"/>
        <v>NSE:PNB</v>
      </c>
    </row>
    <row r="1793" ht="15.75" customHeight="1">
      <c r="A1793" s="32"/>
      <c r="B1793" s="33" t="s">
        <v>969</v>
      </c>
      <c r="C1793" s="33" t="s">
        <v>13</v>
      </c>
      <c r="D1793" s="33" t="s">
        <v>185</v>
      </c>
      <c r="E1793" s="21" t="str">
        <f t="shared" si="4"/>
        <v>NSE:UCOBANK</v>
      </c>
    </row>
    <row r="1794" ht="15.75" customHeight="1">
      <c r="A1794" s="32"/>
      <c r="B1794" s="33" t="s">
        <v>67</v>
      </c>
      <c r="C1794" s="33" t="s">
        <v>21</v>
      </c>
      <c r="D1794" s="33" t="s">
        <v>14</v>
      </c>
      <c r="E1794" s="21" t="str">
        <f t="shared" si="4"/>
        <v>NSE:STAR</v>
      </c>
    </row>
    <row r="1795" ht="15.75" customHeight="1">
      <c r="A1795" s="32"/>
      <c r="B1795" s="33" t="s">
        <v>285</v>
      </c>
      <c r="C1795" s="33" t="s">
        <v>13</v>
      </c>
      <c r="D1795" s="33" t="s">
        <v>29</v>
      </c>
      <c r="E1795" s="21" t="str">
        <f t="shared" si="4"/>
        <v>NSE:KEC</v>
      </c>
    </row>
    <row r="1796" ht="15.75" customHeight="1">
      <c r="A1796" s="32"/>
      <c r="B1796" s="33" t="s">
        <v>970</v>
      </c>
      <c r="C1796" s="33" t="s">
        <v>21</v>
      </c>
      <c r="D1796" s="33" t="s">
        <v>55</v>
      </c>
      <c r="E1796" s="21" t="str">
        <f t="shared" si="4"/>
        <v>NSE:REDINGTON</v>
      </c>
    </row>
    <row r="1797" ht="15.75" customHeight="1">
      <c r="A1797" s="32"/>
      <c r="B1797" s="33" t="s">
        <v>228</v>
      </c>
      <c r="C1797" s="33" t="s">
        <v>21</v>
      </c>
      <c r="D1797" s="33" t="s">
        <v>29</v>
      </c>
      <c r="E1797" s="21" t="str">
        <f t="shared" si="4"/>
        <v>NSE:VGUARD</v>
      </c>
    </row>
    <row r="1798" ht="15.75" customHeight="1">
      <c r="A1798" s="32"/>
      <c r="B1798" s="33" t="s">
        <v>105</v>
      </c>
      <c r="C1798" s="33" t="s">
        <v>16</v>
      </c>
      <c r="D1798" s="33" t="s">
        <v>27</v>
      </c>
      <c r="E1798" s="21" t="str">
        <f t="shared" si="4"/>
        <v>NSE:GULFOILLUB</v>
      </c>
    </row>
    <row r="1799" ht="15.75" customHeight="1">
      <c r="A1799" s="32"/>
      <c r="B1799" s="33" t="s">
        <v>442</v>
      </c>
      <c r="C1799" s="33" t="s">
        <v>21</v>
      </c>
      <c r="D1799" s="33" t="s">
        <v>19</v>
      </c>
      <c r="E1799" s="21" t="str">
        <f t="shared" si="4"/>
        <v>NSE:DATAPATTNS</v>
      </c>
    </row>
    <row r="1800" ht="15.75" customHeight="1">
      <c r="A1800" s="32"/>
      <c r="B1800" s="33" t="s">
        <v>971</v>
      </c>
      <c r="C1800" s="33" t="s">
        <v>13</v>
      </c>
      <c r="D1800" s="33" t="s">
        <v>29</v>
      </c>
      <c r="E1800" s="21" t="str">
        <f t="shared" si="4"/>
        <v>NSE:BLUESTARCO</v>
      </c>
    </row>
    <row r="1801" ht="15.75" customHeight="1">
      <c r="A1801" s="32"/>
      <c r="B1801" s="33" t="s">
        <v>972</v>
      </c>
      <c r="C1801" s="33" t="s">
        <v>13</v>
      </c>
      <c r="D1801" s="33" t="s">
        <v>29</v>
      </c>
      <c r="E1801" s="21" t="str">
        <f t="shared" si="4"/>
        <v>NSE:HAVELLS</v>
      </c>
    </row>
    <row r="1802" ht="15.75" customHeight="1">
      <c r="A1802" s="32"/>
      <c r="B1802" s="33" t="s">
        <v>973</v>
      </c>
      <c r="C1802" s="33" t="s">
        <v>21</v>
      </c>
      <c r="D1802" s="33" t="s">
        <v>29</v>
      </c>
      <c r="E1802" s="21" t="str">
        <f t="shared" si="4"/>
        <v>NSE:KPIL</v>
      </c>
    </row>
    <row r="1803" ht="15.75" customHeight="1">
      <c r="A1803" s="32"/>
      <c r="B1803" s="33" t="s">
        <v>974</v>
      </c>
      <c r="C1803" s="33" t="s">
        <v>16</v>
      </c>
      <c r="D1803" s="33" t="s">
        <v>31</v>
      </c>
      <c r="E1803" s="21" t="str">
        <f t="shared" si="4"/>
        <v>NSE:SCILAL</v>
      </c>
    </row>
    <row r="1804" ht="15.75" customHeight="1">
      <c r="A1804" s="32"/>
      <c r="B1804" s="33" t="s">
        <v>975</v>
      </c>
      <c r="C1804" s="33" t="s">
        <v>16</v>
      </c>
      <c r="D1804" s="33" t="s">
        <v>27</v>
      </c>
      <c r="E1804" s="21" t="str">
        <f t="shared" si="4"/>
        <v>NSE:BHAGCHEM</v>
      </c>
    </row>
    <row r="1805" ht="15.75" customHeight="1">
      <c r="A1805" s="32"/>
      <c r="B1805" s="33" t="s">
        <v>524</v>
      </c>
      <c r="C1805" s="33" t="s">
        <v>21</v>
      </c>
      <c r="D1805" s="33" t="s">
        <v>17</v>
      </c>
      <c r="E1805" s="21" t="str">
        <f t="shared" si="4"/>
        <v>NSE:SUPRAJIT</v>
      </c>
    </row>
    <row r="1806" ht="15.75" customHeight="1">
      <c r="A1806" s="32"/>
      <c r="B1806" s="33" t="s">
        <v>144</v>
      </c>
      <c r="C1806" s="33" t="s">
        <v>13</v>
      </c>
      <c r="D1806" s="33" t="s">
        <v>29</v>
      </c>
      <c r="E1806" s="21" t="str">
        <f t="shared" si="4"/>
        <v>NSE:ASTRAL</v>
      </c>
    </row>
    <row r="1807" ht="15.75" customHeight="1">
      <c r="A1807" s="32"/>
      <c r="B1807" s="33" t="s">
        <v>422</v>
      </c>
      <c r="C1807" s="33" t="s">
        <v>16</v>
      </c>
      <c r="D1807" s="33" t="s">
        <v>27</v>
      </c>
      <c r="E1807" s="21" t="str">
        <f t="shared" si="4"/>
        <v>NSE:ASTEC</v>
      </c>
    </row>
    <row r="1808" ht="15.75" customHeight="1">
      <c r="A1808" s="32"/>
      <c r="B1808" s="33" t="s">
        <v>262</v>
      </c>
      <c r="C1808" s="33" t="s">
        <v>13</v>
      </c>
      <c r="D1808" s="33" t="s">
        <v>37</v>
      </c>
      <c r="E1808" s="21" t="str">
        <f t="shared" si="4"/>
        <v>NSE:POLICYBZR</v>
      </c>
    </row>
    <row r="1809" ht="15.75" customHeight="1">
      <c r="A1809" s="32"/>
      <c r="B1809" s="33" t="s">
        <v>976</v>
      </c>
      <c r="C1809" s="33" t="s">
        <v>16</v>
      </c>
      <c r="D1809" s="33" t="s">
        <v>17</v>
      </c>
      <c r="E1809" s="21" t="str">
        <f t="shared" si="4"/>
        <v>NSE:SMLISUZU</v>
      </c>
    </row>
    <row r="1810" ht="15.75" customHeight="1">
      <c r="A1810" s="32"/>
      <c r="B1810" s="33" t="s">
        <v>824</v>
      </c>
      <c r="C1810" s="33" t="s">
        <v>21</v>
      </c>
      <c r="D1810" s="33" t="s">
        <v>29</v>
      </c>
      <c r="E1810" s="21" t="str">
        <f t="shared" si="4"/>
        <v>NSE:VSTIND</v>
      </c>
    </row>
    <row r="1811" ht="15.75" customHeight="1">
      <c r="A1811" s="32"/>
      <c r="B1811" s="33" t="s">
        <v>581</v>
      </c>
      <c r="C1811" s="33" t="s">
        <v>16</v>
      </c>
      <c r="D1811" s="33" t="s">
        <v>17</v>
      </c>
      <c r="E1811" s="21" t="str">
        <f t="shared" si="4"/>
        <v>NSE:ASAL</v>
      </c>
    </row>
    <row r="1812" ht="15.75" customHeight="1">
      <c r="A1812" s="32"/>
      <c r="B1812" s="33" t="s">
        <v>977</v>
      </c>
      <c r="C1812" s="33" t="s">
        <v>13</v>
      </c>
      <c r="D1812" s="33" t="s">
        <v>29</v>
      </c>
      <c r="E1812" s="21" t="str">
        <f t="shared" si="4"/>
        <v>NSE:GET&amp;D</v>
      </c>
    </row>
    <row r="1813" ht="15.75" customHeight="1">
      <c r="A1813" s="32"/>
      <c r="B1813" s="33" t="s">
        <v>797</v>
      </c>
      <c r="C1813" s="33" t="s">
        <v>21</v>
      </c>
      <c r="D1813" s="33" t="s">
        <v>53</v>
      </c>
      <c r="E1813" s="21" t="str">
        <f t="shared" si="4"/>
        <v>NSE:JINDWORLD</v>
      </c>
    </row>
    <row r="1814" ht="15.75" customHeight="1">
      <c r="A1814" s="32"/>
      <c r="B1814" s="33" t="s">
        <v>978</v>
      </c>
      <c r="C1814" s="33" t="s">
        <v>16</v>
      </c>
      <c r="D1814" s="33" t="s">
        <v>14</v>
      </c>
      <c r="E1814" s="21" t="str">
        <f t="shared" si="4"/>
        <v>NSE:UNICHEMLAB</v>
      </c>
    </row>
    <row r="1815" ht="15.75" customHeight="1">
      <c r="A1815" s="32"/>
      <c r="B1815" s="33" t="s">
        <v>345</v>
      </c>
      <c r="C1815" s="33" t="s">
        <v>21</v>
      </c>
      <c r="D1815" s="33" t="s">
        <v>37</v>
      </c>
      <c r="E1815" s="21" t="str">
        <f t="shared" si="4"/>
        <v>NSE:EMUDHRA</v>
      </c>
    </row>
    <row r="1816" ht="15.75" customHeight="1">
      <c r="A1816" s="32"/>
      <c r="B1816" s="33" t="s">
        <v>895</v>
      </c>
      <c r="C1816" s="33" t="s">
        <v>13</v>
      </c>
      <c r="D1816" s="33" t="s">
        <v>29</v>
      </c>
      <c r="E1816" s="21" t="str">
        <f t="shared" si="4"/>
        <v>NSE:ELGIEQUIP</v>
      </c>
    </row>
    <row r="1817" ht="15.75" customHeight="1">
      <c r="A1817" s="32"/>
      <c r="B1817" s="33" t="s">
        <v>905</v>
      </c>
      <c r="C1817" s="33" t="s">
        <v>16</v>
      </c>
      <c r="D1817" s="33" t="s">
        <v>27</v>
      </c>
      <c r="E1817" s="21" t="str">
        <f t="shared" si="4"/>
        <v>NSE:VIDHIING</v>
      </c>
    </row>
    <row r="1818" ht="15.75" customHeight="1">
      <c r="A1818" s="32"/>
      <c r="B1818" s="33" t="s">
        <v>417</v>
      </c>
      <c r="C1818" s="33" t="s">
        <v>16</v>
      </c>
      <c r="D1818" s="33" t="s">
        <v>14</v>
      </c>
      <c r="E1818" s="21" t="str">
        <f t="shared" si="4"/>
        <v>NSE:SMSPHARMA</v>
      </c>
    </row>
    <row r="1819" ht="15.75" customHeight="1">
      <c r="A1819" s="32"/>
      <c r="B1819" s="33" t="s">
        <v>316</v>
      </c>
      <c r="C1819" s="33" t="s">
        <v>13</v>
      </c>
      <c r="D1819" s="33" t="s">
        <v>27</v>
      </c>
      <c r="E1819" s="21" t="str">
        <f t="shared" si="4"/>
        <v>NSE:TATACHEM</v>
      </c>
    </row>
    <row r="1820" ht="15.75" customHeight="1">
      <c r="A1820" s="32"/>
      <c r="B1820" s="33" t="s">
        <v>903</v>
      </c>
      <c r="C1820" s="33" t="s">
        <v>13</v>
      </c>
      <c r="D1820" s="33" t="s">
        <v>29</v>
      </c>
      <c r="E1820" s="21" t="str">
        <f t="shared" si="4"/>
        <v>NSE:POWERINDIA</v>
      </c>
    </row>
    <row r="1821" ht="15.75" customHeight="1">
      <c r="A1821" s="32"/>
      <c r="B1821" s="33" t="s">
        <v>979</v>
      </c>
      <c r="C1821" s="33" t="s">
        <v>21</v>
      </c>
      <c r="D1821" s="33" t="s">
        <v>29</v>
      </c>
      <c r="E1821" s="21" t="str">
        <f t="shared" si="4"/>
        <v>NSE:MEDPLUS</v>
      </c>
    </row>
    <row r="1822" ht="15.75" customHeight="1">
      <c r="A1822" s="32"/>
      <c r="B1822" s="33" t="s">
        <v>980</v>
      </c>
      <c r="C1822" s="33" t="s">
        <v>21</v>
      </c>
      <c r="D1822" s="33" t="s">
        <v>29</v>
      </c>
      <c r="E1822" s="21" t="str">
        <f t="shared" si="4"/>
        <v>NSE:INGERRAND</v>
      </c>
    </row>
    <row r="1823" ht="15.75" customHeight="1">
      <c r="A1823" s="32"/>
      <c r="B1823" s="33" t="s">
        <v>981</v>
      </c>
      <c r="C1823" s="33" t="s">
        <v>13</v>
      </c>
      <c r="D1823" s="33" t="s">
        <v>156</v>
      </c>
      <c r="E1823" s="21" t="str">
        <f t="shared" si="4"/>
        <v>NSE:BHARTIHEXA</v>
      </c>
    </row>
    <row r="1824" ht="15.75" customHeight="1">
      <c r="A1824" s="32"/>
      <c r="B1824" s="33" t="s">
        <v>941</v>
      </c>
      <c r="C1824" s="33" t="s">
        <v>16</v>
      </c>
      <c r="D1824" s="33" t="s">
        <v>37</v>
      </c>
      <c r="E1824" s="21" t="str">
        <f t="shared" si="4"/>
        <v>NSE:DSSL</v>
      </c>
    </row>
    <row r="1825" ht="15.75" customHeight="1">
      <c r="A1825" s="32"/>
      <c r="B1825" s="33" t="s">
        <v>963</v>
      </c>
      <c r="C1825" s="33" t="s">
        <v>21</v>
      </c>
      <c r="D1825" s="33" t="s">
        <v>29</v>
      </c>
      <c r="E1825" s="21" t="str">
        <f t="shared" si="4"/>
        <v>NSE:GRAPHITE</v>
      </c>
    </row>
    <row r="1826" ht="15.75" customHeight="1">
      <c r="A1826" s="32"/>
      <c r="B1826" s="33" t="s">
        <v>982</v>
      </c>
      <c r="C1826" s="33" t="s">
        <v>16</v>
      </c>
      <c r="D1826" s="33" t="s">
        <v>29</v>
      </c>
      <c r="E1826" s="21" t="str">
        <f t="shared" si="4"/>
        <v>NSE:CENTUM</v>
      </c>
    </row>
    <row r="1827" ht="15.75" customHeight="1">
      <c r="A1827" s="32"/>
      <c r="B1827" s="33" t="s">
        <v>878</v>
      </c>
      <c r="C1827" s="33" t="s">
        <v>13</v>
      </c>
      <c r="D1827" s="33" t="s">
        <v>156</v>
      </c>
      <c r="E1827" s="21" t="str">
        <f t="shared" si="4"/>
        <v>NSE:BHARTIARTL</v>
      </c>
    </row>
    <row r="1828" ht="15.75" customHeight="1">
      <c r="A1828" s="32"/>
      <c r="B1828" s="33" t="s">
        <v>418</v>
      </c>
      <c r="C1828" s="33" t="s">
        <v>16</v>
      </c>
      <c r="D1828" s="33" t="s">
        <v>55</v>
      </c>
      <c r="E1828" s="21" t="str">
        <f t="shared" si="4"/>
        <v>NSE:REFEX</v>
      </c>
    </row>
    <row r="1829" ht="15.75" customHeight="1">
      <c r="A1829" s="32"/>
      <c r="B1829" s="33" t="s">
        <v>128</v>
      </c>
      <c r="C1829" s="33" t="s">
        <v>21</v>
      </c>
      <c r="D1829" s="33" t="s">
        <v>17</v>
      </c>
      <c r="E1829" s="21" t="str">
        <f t="shared" si="4"/>
        <v>NSE:FORCEMOT</v>
      </c>
    </row>
    <row r="1830" ht="15.75" customHeight="1">
      <c r="A1830" s="32"/>
      <c r="B1830" s="33" t="s">
        <v>983</v>
      </c>
      <c r="C1830" s="33" t="s">
        <v>16</v>
      </c>
      <c r="D1830" s="33" t="s">
        <v>29</v>
      </c>
      <c r="E1830" s="21" t="str">
        <f t="shared" si="4"/>
        <v>NSE:ADFFOODS</v>
      </c>
    </row>
    <row r="1831" ht="15.75" customHeight="1">
      <c r="A1831" s="32"/>
      <c r="B1831" s="33" t="s">
        <v>984</v>
      </c>
      <c r="C1831" s="33" t="s">
        <v>13</v>
      </c>
      <c r="D1831" s="33" t="s">
        <v>27</v>
      </c>
      <c r="E1831" s="21" t="str">
        <f t="shared" si="4"/>
        <v>NSE:LINDEINDIA</v>
      </c>
    </row>
    <row r="1832" ht="15.75" customHeight="1">
      <c r="A1832" s="32"/>
      <c r="B1832" s="33" t="s">
        <v>928</v>
      </c>
      <c r="C1832" s="33" t="s">
        <v>13</v>
      </c>
      <c r="D1832" s="33" t="s">
        <v>25</v>
      </c>
      <c r="E1832" s="21" t="str">
        <f t="shared" si="4"/>
        <v>NSE:JINDALSTEL</v>
      </c>
    </row>
    <row r="1833" ht="15.75" customHeight="1">
      <c r="A1833" s="32"/>
      <c r="B1833" s="33" t="s">
        <v>297</v>
      </c>
      <c r="C1833" s="33" t="s">
        <v>16</v>
      </c>
      <c r="D1833" s="33" t="s">
        <v>14</v>
      </c>
      <c r="E1833" s="21" t="str">
        <f t="shared" si="4"/>
        <v>NSE:AMRUTANJAN</v>
      </c>
    </row>
    <row r="1834" ht="15.75" customHeight="1">
      <c r="A1834" s="32"/>
      <c r="B1834" s="33" t="s">
        <v>302</v>
      </c>
      <c r="C1834" s="33" t="s">
        <v>16</v>
      </c>
      <c r="D1834" s="33" t="s">
        <v>55</v>
      </c>
      <c r="E1834" s="21" t="str">
        <f t="shared" si="4"/>
        <v>NSE:ESTER</v>
      </c>
    </row>
    <row r="1835" ht="15.75" customHeight="1">
      <c r="A1835" s="32"/>
      <c r="B1835" s="33" t="s">
        <v>976</v>
      </c>
      <c r="C1835" s="33" t="s">
        <v>16</v>
      </c>
      <c r="D1835" s="33" t="s">
        <v>17</v>
      </c>
      <c r="E1835" s="21" t="str">
        <f t="shared" si="4"/>
        <v>NSE:SMLISUZU</v>
      </c>
    </row>
    <row r="1836" ht="15.75" customHeight="1">
      <c r="A1836" s="32"/>
      <c r="B1836" s="33" t="s">
        <v>889</v>
      </c>
      <c r="C1836" s="33" t="s">
        <v>21</v>
      </c>
      <c r="D1836" s="33" t="s">
        <v>29</v>
      </c>
      <c r="E1836" s="21" t="str">
        <f t="shared" si="4"/>
        <v>NSE:IFBIND</v>
      </c>
    </row>
    <row r="1837" ht="15.75" customHeight="1">
      <c r="A1837" s="32"/>
      <c r="B1837" s="33" t="s">
        <v>926</v>
      </c>
      <c r="C1837" s="33" t="s">
        <v>16</v>
      </c>
      <c r="D1837" s="33" t="s">
        <v>25</v>
      </c>
      <c r="E1837" s="21" t="str">
        <f t="shared" si="4"/>
        <v>NSE:VENUSPIPES</v>
      </c>
    </row>
    <row r="1838" ht="15.75" customHeight="1">
      <c r="A1838" s="32"/>
      <c r="B1838" s="33" t="s">
        <v>977</v>
      </c>
      <c r="C1838" s="33" t="s">
        <v>13</v>
      </c>
      <c r="D1838" s="33" t="s">
        <v>29</v>
      </c>
      <c r="E1838" s="21" t="str">
        <f t="shared" si="4"/>
        <v>NSE:GET&amp;D</v>
      </c>
    </row>
    <row r="1839" ht="15.75" customHeight="1">
      <c r="A1839" s="32"/>
      <c r="B1839" s="33" t="s">
        <v>985</v>
      </c>
      <c r="C1839" s="33" t="s">
        <v>16</v>
      </c>
      <c r="D1839" s="33" t="s">
        <v>27</v>
      </c>
      <c r="E1839" s="21" t="str">
        <f t="shared" si="4"/>
        <v>NSE:PLATIND</v>
      </c>
    </row>
    <row r="1840" ht="15.75" customHeight="1">
      <c r="A1840" s="32"/>
      <c r="B1840" s="33" t="s">
        <v>986</v>
      </c>
      <c r="C1840" s="33" t="s">
        <v>16</v>
      </c>
      <c r="D1840" s="33" t="s">
        <v>27</v>
      </c>
      <c r="E1840" s="21" t="str">
        <f t="shared" si="4"/>
        <v>NSE:ANUP</v>
      </c>
    </row>
    <row r="1841" ht="15.75" customHeight="1">
      <c r="A1841" s="32"/>
      <c r="B1841" s="33" t="s">
        <v>987</v>
      </c>
      <c r="C1841" s="33" t="s">
        <v>13</v>
      </c>
      <c r="D1841" s="33" t="s">
        <v>27</v>
      </c>
      <c r="E1841" s="21" t="str">
        <f t="shared" si="4"/>
        <v>NSE:POLYCAB</v>
      </c>
    </row>
    <row r="1842" ht="15.75" customHeight="1">
      <c r="A1842" s="32"/>
      <c r="B1842" s="33" t="s">
        <v>222</v>
      </c>
      <c r="C1842" s="33" t="s">
        <v>13</v>
      </c>
      <c r="D1842" s="33" t="s">
        <v>14</v>
      </c>
      <c r="E1842" s="21" t="str">
        <f t="shared" si="4"/>
        <v>NSE:BIOCON</v>
      </c>
    </row>
    <row r="1843" ht="15.75" customHeight="1">
      <c r="A1843" s="32"/>
      <c r="B1843" s="33" t="s">
        <v>69</v>
      </c>
      <c r="C1843" s="33" t="s">
        <v>16</v>
      </c>
      <c r="D1843" s="33" t="s">
        <v>29</v>
      </c>
      <c r="E1843" s="21" t="str">
        <f t="shared" si="4"/>
        <v>NSE:V2RETAIL</v>
      </c>
    </row>
    <row r="1844" ht="15.75" customHeight="1">
      <c r="A1844" s="32"/>
      <c r="B1844" s="33" t="s">
        <v>73</v>
      </c>
      <c r="C1844" s="33" t="s">
        <v>21</v>
      </c>
      <c r="D1844" s="33" t="s">
        <v>29</v>
      </c>
      <c r="E1844" s="21" t="str">
        <f t="shared" si="4"/>
        <v>NSE:KIRLOSENG</v>
      </c>
    </row>
    <row r="1845" ht="15.75" customHeight="1">
      <c r="A1845" s="32"/>
      <c r="B1845" s="33" t="s">
        <v>536</v>
      </c>
      <c r="C1845" s="33" t="s">
        <v>21</v>
      </c>
      <c r="D1845" s="33" t="s">
        <v>29</v>
      </c>
      <c r="E1845" s="21" t="str">
        <f t="shared" si="4"/>
        <v>NSE:TDPOWERSYS</v>
      </c>
    </row>
    <row r="1846" ht="15.75" customHeight="1">
      <c r="A1846" s="32"/>
      <c r="B1846" s="33" t="s">
        <v>959</v>
      </c>
      <c r="C1846" s="33" t="s">
        <v>16</v>
      </c>
      <c r="D1846" s="33" t="s">
        <v>14</v>
      </c>
      <c r="E1846" s="21" t="str">
        <f t="shared" si="4"/>
        <v>NSE:SUPRIYA</v>
      </c>
    </row>
    <row r="1847" ht="15.75" customHeight="1">
      <c r="A1847" s="32"/>
      <c r="B1847" s="33" t="s">
        <v>805</v>
      </c>
      <c r="C1847" s="33" t="s">
        <v>16</v>
      </c>
      <c r="D1847" s="33" t="s">
        <v>39</v>
      </c>
      <c r="E1847" s="21" t="str">
        <f t="shared" si="4"/>
        <v>NSE:PILANIINVS</v>
      </c>
    </row>
    <row r="1848" ht="15.75" customHeight="1">
      <c r="A1848" s="32"/>
      <c r="B1848" s="33" t="s">
        <v>554</v>
      </c>
      <c r="C1848" s="33" t="s">
        <v>16</v>
      </c>
      <c r="D1848" s="33" t="s">
        <v>27</v>
      </c>
      <c r="E1848" s="21" t="str">
        <f t="shared" si="4"/>
        <v>NSE:BIGBLOC</v>
      </c>
    </row>
    <row r="1849" ht="15.75" customHeight="1">
      <c r="A1849" s="32"/>
      <c r="B1849" s="33" t="s">
        <v>988</v>
      </c>
      <c r="C1849" s="33" t="s">
        <v>13</v>
      </c>
      <c r="D1849" s="33" t="s">
        <v>29</v>
      </c>
      <c r="E1849" s="21" t="str">
        <f t="shared" si="4"/>
        <v>NSE:CGPOWER</v>
      </c>
    </row>
    <row r="1850" ht="15.75" customHeight="1">
      <c r="A1850" s="32"/>
      <c r="B1850" s="33" t="s">
        <v>755</v>
      </c>
      <c r="C1850" s="33" t="s">
        <v>13</v>
      </c>
      <c r="D1850" s="33" t="s">
        <v>53</v>
      </c>
      <c r="E1850" s="21" t="str">
        <f t="shared" si="4"/>
        <v>NSE:GRASIM</v>
      </c>
    </row>
    <row r="1851" ht="15.75" customHeight="1">
      <c r="A1851" s="32"/>
      <c r="B1851" s="33" t="s">
        <v>989</v>
      </c>
      <c r="C1851" s="33" t="s">
        <v>21</v>
      </c>
      <c r="D1851" s="33" t="s">
        <v>27</v>
      </c>
      <c r="E1851" s="21" t="str">
        <f t="shared" si="4"/>
        <v>NSE:ASAHIINDIA</v>
      </c>
    </row>
    <row r="1852" ht="15.75" customHeight="1">
      <c r="A1852" s="32"/>
      <c r="B1852" s="33" t="s">
        <v>492</v>
      </c>
      <c r="C1852" s="33" t="s">
        <v>16</v>
      </c>
      <c r="D1852" s="33" t="s">
        <v>31</v>
      </c>
      <c r="E1852" s="21" t="str">
        <f t="shared" si="4"/>
        <v>NSE:VIMTALABS</v>
      </c>
    </row>
    <row r="1853" ht="15.75" customHeight="1">
      <c r="A1853" s="32"/>
      <c r="B1853" s="33" t="s">
        <v>612</v>
      </c>
      <c r="C1853" s="33" t="s">
        <v>13</v>
      </c>
      <c r="D1853" s="33" t="s">
        <v>29</v>
      </c>
      <c r="E1853" s="21" t="str">
        <f t="shared" si="4"/>
        <v>NSE:APARINDS</v>
      </c>
    </row>
    <row r="1854" ht="15.75" customHeight="1">
      <c r="A1854" s="32"/>
      <c r="B1854" s="33" t="s">
        <v>844</v>
      </c>
      <c r="C1854" s="33" t="s">
        <v>16</v>
      </c>
      <c r="D1854" s="33" t="s">
        <v>37</v>
      </c>
      <c r="E1854" s="21" t="str">
        <f t="shared" si="4"/>
        <v>NSE:APTECHT</v>
      </c>
    </row>
    <row r="1855" ht="15.75" customHeight="1">
      <c r="A1855" s="32"/>
      <c r="B1855" s="33" t="s">
        <v>731</v>
      </c>
      <c r="C1855" s="33" t="s">
        <v>21</v>
      </c>
      <c r="D1855" s="33" t="s">
        <v>29</v>
      </c>
      <c r="E1855" s="21" t="str">
        <f t="shared" si="4"/>
        <v>NSE:LTFOODS</v>
      </c>
    </row>
    <row r="1856" ht="15.75" customHeight="1">
      <c r="A1856" s="32"/>
      <c r="B1856" s="33" t="s">
        <v>990</v>
      </c>
      <c r="C1856" s="33" t="s">
        <v>13</v>
      </c>
      <c r="D1856" s="33" t="s">
        <v>29</v>
      </c>
      <c r="E1856" s="21" t="str">
        <f t="shared" si="4"/>
        <v>NSE:KPRMILL</v>
      </c>
    </row>
    <row r="1857" ht="15.75" customHeight="1">
      <c r="A1857" s="32"/>
      <c r="B1857" s="33" t="s">
        <v>736</v>
      </c>
      <c r="C1857" s="33" t="s">
        <v>21</v>
      </c>
      <c r="D1857" s="33" t="s">
        <v>29</v>
      </c>
      <c r="E1857" s="21" t="str">
        <f t="shared" si="4"/>
        <v>NSE:BALRAMCHIN</v>
      </c>
    </row>
    <row r="1858" ht="15.75" customHeight="1">
      <c r="A1858" s="32"/>
      <c r="B1858" s="33" t="s">
        <v>899</v>
      </c>
      <c r="C1858" s="33" t="s">
        <v>13</v>
      </c>
      <c r="D1858" s="33" t="s">
        <v>29</v>
      </c>
      <c r="E1858" s="21" t="str">
        <f t="shared" si="4"/>
        <v>NSE:BHEL</v>
      </c>
    </row>
    <row r="1859" ht="15.75" customHeight="1">
      <c r="A1859" s="32"/>
      <c r="B1859" s="33" t="s">
        <v>991</v>
      </c>
      <c r="C1859" s="33" t="s">
        <v>13</v>
      </c>
      <c r="D1859" s="33" t="s">
        <v>27</v>
      </c>
      <c r="E1859" s="21" t="str">
        <f t="shared" si="4"/>
        <v>NSE:MRPL</v>
      </c>
    </row>
    <row r="1860" ht="15.75" customHeight="1">
      <c r="A1860" s="32"/>
      <c r="B1860" s="33" t="s">
        <v>196</v>
      </c>
      <c r="C1860" s="33" t="s">
        <v>13</v>
      </c>
      <c r="D1860" s="33" t="s">
        <v>185</v>
      </c>
      <c r="E1860" s="21" t="str">
        <f t="shared" si="4"/>
        <v>NSE:SBIN</v>
      </c>
    </row>
    <row r="1861" ht="15.75" customHeight="1">
      <c r="A1861" s="32"/>
      <c r="B1861" s="33" t="s">
        <v>111</v>
      </c>
      <c r="C1861" s="33" t="s">
        <v>13</v>
      </c>
      <c r="D1861" s="33" t="s">
        <v>25</v>
      </c>
      <c r="E1861" s="21" t="str">
        <f t="shared" si="4"/>
        <v>NSE:SAIL</v>
      </c>
    </row>
    <row r="1862" ht="15.75" customHeight="1">
      <c r="A1862" s="32"/>
      <c r="B1862" s="33" t="s">
        <v>454</v>
      </c>
      <c r="C1862" s="33" t="s">
        <v>16</v>
      </c>
      <c r="D1862" s="33" t="s">
        <v>55</v>
      </c>
      <c r="E1862" s="21" t="str">
        <f t="shared" si="4"/>
        <v>NSE:UFLEX</v>
      </c>
    </row>
    <row r="1863" ht="15.75" customHeight="1">
      <c r="A1863" s="32"/>
      <c r="B1863" s="33" t="s">
        <v>950</v>
      </c>
      <c r="C1863" s="33" t="s">
        <v>21</v>
      </c>
      <c r="D1863" s="33" t="s">
        <v>39</v>
      </c>
      <c r="E1863" s="21" t="str">
        <f t="shared" si="4"/>
        <v>NSE:KIRLOSIND</v>
      </c>
    </row>
    <row r="1864" ht="15.75" customHeight="1">
      <c r="A1864" s="32"/>
      <c r="B1864" s="33" t="s">
        <v>267</v>
      </c>
      <c r="C1864" s="33" t="s">
        <v>13</v>
      </c>
      <c r="D1864" s="33" t="s">
        <v>27</v>
      </c>
      <c r="E1864" s="21" t="str">
        <f t="shared" si="4"/>
        <v>NSE:AMBUJACEM</v>
      </c>
    </row>
    <row r="1865" ht="15.75" customHeight="1">
      <c r="A1865" s="32"/>
      <c r="B1865" s="33" t="s">
        <v>992</v>
      </c>
      <c r="C1865" s="33" t="s">
        <v>13</v>
      </c>
      <c r="D1865" s="33" t="s">
        <v>17</v>
      </c>
      <c r="E1865" s="21" t="str">
        <f t="shared" si="4"/>
        <v>NSE:ASHOKLEY</v>
      </c>
    </row>
    <row r="1866" ht="15.75" customHeight="1">
      <c r="A1866" s="32"/>
      <c r="B1866" s="33" t="s">
        <v>993</v>
      </c>
      <c r="C1866" s="33" t="s">
        <v>13</v>
      </c>
      <c r="D1866" s="33" t="s">
        <v>29</v>
      </c>
      <c r="E1866" s="21" t="str">
        <f t="shared" si="4"/>
        <v>NSE:CUMMINSIND</v>
      </c>
    </row>
    <row r="1867" ht="15.75" customHeight="1">
      <c r="A1867" s="32"/>
      <c r="B1867" s="33" t="s">
        <v>994</v>
      </c>
      <c r="C1867" s="33" t="s">
        <v>13</v>
      </c>
      <c r="D1867" s="33" t="s">
        <v>29</v>
      </c>
      <c r="E1867" s="21" t="str">
        <f t="shared" si="4"/>
        <v>NSE:FINPIPE</v>
      </c>
    </row>
    <row r="1868" ht="15.75" customHeight="1">
      <c r="A1868" s="32"/>
      <c r="B1868" s="33" t="s">
        <v>201</v>
      </c>
      <c r="C1868" s="33" t="s">
        <v>21</v>
      </c>
      <c r="D1868" s="33" t="s">
        <v>27</v>
      </c>
      <c r="E1868" s="21" t="str">
        <f t="shared" si="4"/>
        <v>NSE:SUDARSCHEM</v>
      </c>
    </row>
    <row r="1869" ht="15.75" customHeight="1">
      <c r="A1869" s="32"/>
      <c r="B1869" s="33" t="s">
        <v>995</v>
      </c>
      <c r="C1869" s="33" t="s">
        <v>13</v>
      </c>
      <c r="D1869" s="33" t="s">
        <v>29</v>
      </c>
      <c r="E1869" s="21" t="str">
        <f t="shared" si="4"/>
        <v>NSE:CARBORUNIV</v>
      </c>
    </row>
    <row r="1870" ht="15.75" customHeight="1">
      <c r="A1870" s="32"/>
      <c r="B1870" s="33" t="s">
        <v>972</v>
      </c>
      <c r="C1870" s="33" t="s">
        <v>13</v>
      </c>
      <c r="D1870" s="33" t="s">
        <v>29</v>
      </c>
      <c r="E1870" s="21" t="str">
        <f t="shared" si="4"/>
        <v>NSE:HAVELLS</v>
      </c>
    </row>
    <row r="1871" ht="15.75" customHeight="1">
      <c r="A1871" s="32"/>
      <c r="B1871" s="33" t="s">
        <v>355</v>
      </c>
      <c r="C1871" s="33" t="s">
        <v>21</v>
      </c>
      <c r="D1871" s="33" t="s">
        <v>17</v>
      </c>
      <c r="E1871" s="21" t="str">
        <f t="shared" si="4"/>
        <v>NSE:JTEKTINDIA</v>
      </c>
    </row>
    <row r="1872" ht="15.75" customHeight="1">
      <c r="A1872" s="32"/>
      <c r="B1872" s="33" t="s">
        <v>927</v>
      </c>
      <c r="C1872" s="33" t="s">
        <v>21</v>
      </c>
      <c r="D1872" s="33" t="s">
        <v>53</v>
      </c>
      <c r="E1872" s="21" t="str">
        <f t="shared" si="4"/>
        <v>NSE:ICIL</v>
      </c>
    </row>
    <row r="1873" ht="15.75" customHeight="1">
      <c r="A1873" s="32"/>
      <c r="B1873" s="33" t="s">
        <v>996</v>
      </c>
      <c r="C1873" s="33" t="s">
        <v>13</v>
      </c>
      <c r="D1873" s="33" t="s">
        <v>14</v>
      </c>
      <c r="E1873" s="21" t="str">
        <f t="shared" si="4"/>
        <v>NSE:MANKIND</v>
      </c>
    </row>
    <row r="1874" ht="15.75" customHeight="1">
      <c r="A1874" s="32"/>
      <c r="B1874" s="33" t="s">
        <v>719</v>
      </c>
      <c r="C1874" s="33" t="s">
        <v>16</v>
      </c>
      <c r="D1874" s="33" t="s">
        <v>29</v>
      </c>
      <c r="E1874" s="21" t="str">
        <f t="shared" si="4"/>
        <v>NSE:IKIO</v>
      </c>
    </row>
    <row r="1875" ht="15.75" customHeight="1">
      <c r="A1875" s="32"/>
      <c r="B1875" s="33" t="s">
        <v>362</v>
      </c>
      <c r="C1875" s="33" t="s">
        <v>13</v>
      </c>
      <c r="D1875" s="33" t="s">
        <v>29</v>
      </c>
      <c r="E1875" s="21" t="str">
        <f t="shared" si="4"/>
        <v>NSE:DIXON</v>
      </c>
    </row>
    <row r="1876" ht="15.75" customHeight="1">
      <c r="A1876" s="32"/>
      <c r="B1876" s="33" t="s">
        <v>281</v>
      </c>
      <c r="C1876" s="33" t="s">
        <v>16</v>
      </c>
      <c r="D1876" s="33" t="s">
        <v>55</v>
      </c>
      <c r="E1876" s="21" t="str">
        <f t="shared" si="4"/>
        <v>NSE:MAHLOG</v>
      </c>
    </row>
    <row r="1877" ht="15.75" customHeight="1">
      <c r="A1877" s="32"/>
      <c r="B1877" s="33" t="s">
        <v>131</v>
      </c>
      <c r="C1877" s="33" t="s">
        <v>13</v>
      </c>
      <c r="D1877" s="33" t="s">
        <v>29</v>
      </c>
      <c r="E1877" s="21" t="str">
        <f t="shared" si="4"/>
        <v>NSE:GODFRYPHLP</v>
      </c>
    </row>
    <row r="1878" ht="15.75" customHeight="1">
      <c r="A1878" s="32"/>
      <c r="B1878" s="33" t="s">
        <v>241</v>
      </c>
      <c r="C1878" s="33" t="s">
        <v>13</v>
      </c>
      <c r="D1878" s="33" t="s">
        <v>25</v>
      </c>
      <c r="E1878" s="21" t="str">
        <f t="shared" si="4"/>
        <v>NSE:JSWSTEEL</v>
      </c>
    </row>
    <row r="1879" ht="15.75" customHeight="1">
      <c r="A1879" s="32"/>
      <c r="B1879" s="33" t="s">
        <v>854</v>
      </c>
      <c r="C1879" s="33" t="s">
        <v>13</v>
      </c>
      <c r="D1879" s="33" t="s">
        <v>29</v>
      </c>
      <c r="E1879" s="21" t="str">
        <f t="shared" si="4"/>
        <v>NSE:ITC</v>
      </c>
    </row>
    <row r="1880" ht="15.75" customHeight="1">
      <c r="A1880" s="32"/>
      <c r="B1880" s="33" t="s">
        <v>346</v>
      </c>
      <c r="C1880" s="33" t="s">
        <v>16</v>
      </c>
      <c r="D1880" s="33" t="s">
        <v>29</v>
      </c>
      <c r="E1880" s="21" t="str">
        <f t="shared" si="4"/>
        <v>NSE:PITTIENG</v>
      </c>
    </row>
    <row r="1881" ht="15.75" customHeight="1">
      <c r="A1881" s="32"/>
      <c r="B1881" s="33" t="s">
        <v>997</v>
      </c>
      <c r="C1881" s="33" t="s">
        <v>21</v>
      </c>
      <c r="D1881" s="33" t="s">
        <v>22</v>
      </c>
      <c r="E1881" s="21" t="str">
        <f t="shared" si="4"/>
        <v>NSE:HGINFRA</v>
      </c>
    </row>
    <row r="1882" ht="15.75" customHeight="1">
      <c r="A1882" s="32"/>
      <c r="B1882" s="33" t="s">
        <v>701</v>
      </c>
      <c r="C1882" s="33" t="s">
        <v>13</v>
      </c>
      <c r="D1882" s="33" t="s">
        <v>185</v>
      </c>
      <c r="E1882" s="21" t="str">
        <f t="shared" si="4"/>
        <v>NSE:ICICIBANK</v>
      </c>
    </row>
    <row r="1883" ht="15.75" customHeight="1">
      <c r="A1883" s="32"/>
      <c r="B1883" s="33" t="s">
        <v>399</v>
      </c>
      <c r="C1883" s="33" t="s">
        <v>13</v>
      </c>
      <c r="D1883" s="33" t="s">
        <v>14</v>
      </c>
      <c r="E1883" s="21" t="str">
        <f t="shared" si="4"/>
        <v>NSE:GLENMARK</v>
      </c>
    </row>
    <row r="1884" ht="15.75" customHeight="1">
      <c r="A1884" s="32"/>
      <c r="B1884" s="33" t="s">
        <v>709</v>
      </c>
      <c r="C1884" s="33" t="s">
        <v>13</v>
      </c>
      <c r="D1884" s="33" t="s">
        <v>37</v>
      </c>
      <c r="E1884" s="21" t="str">
        <f t="shared" si="4"/>
        <v>NSE:NYKAA</v>
      </c>
    </row>
    <row r="1885" ht="15.75" customHeight="1">
      <c r="A1885" s="32"/>
      <c r="B1885" s="33" t="s">
        <v>998</v>
      </c>
      <c r="C1885" s="33" t="s">
        <v>16</v>
      </c>
      <c r="D1885" s="33" t="s">
        <v>22</v>
      </c>
      <c r="E1885" s="21" t="str">
        <f t="shared" si="4"/>
        <v>NSE:ARVSMART</v>
      </c>
    </row>
    <row r="1886" ht="15.75" customHeight="1">
      <c r="A1886" s="32"/>
      <c r="B1886" s="33" t="s">
        <v>872</v>
      </c>
      <c r="C1886" s="33" t="s">
        <v>13</v>
      </c>
      <c r="D1886" s="33" t="s">
        <v>55</v>
      </c>
      <c r="E1886" s="21" t="str">
        <f t="shared" si="4"/>
        <v>NSE:INDIGO</v>
      </c>
    </row>
    <row r="1887" ht="15.75" customHeight="1">
      <c r="A1887" s="32"/>
      <c r="B1887" s="33" t="s">
        <v>682</v>
      </c>
      <c r="C1887" s="33" t="s">
        <v>21</v>
      </c>
      <c r="D1887" s="33" t="s">
        <v>107</v>
      </c>
      <c r="E1887" s="21" t="str">
        <f t="shared" si="4"/>
        <v>NSE:WESTLIFE</v>
      </c>
    </row>
    <row r="1888" ht="15.75" customHeight="1">
      <c r="A1888" s="32"/>
      <c r="B1888" s="33" t="s">
        <v>918</v>
      </c>
      <c r="C1888" s="33" t="s">
        <v>16</v>
      </c>
      <c r="D1888" s="33" t="s">
        <v>29</v>
      </c>
      <c r="E1888" s="21" t="str">
        <f t="shared" si="4"/>
        <v>NSE:VADILALIND</v>
      </c>
    </row>
    <row r="1889" ht="15.75" customHeight="1">
      <c r="A1889" s="32"/>
      <c r="B1889" s="33" t="s">
        <v>591</v>
      </c>
      <c r="C1889" s="33" t="s">
        <v>13</v>
      </c>
      <c r="D1889" s="33" t="s">
        <v>39</v>
      </c>
      <c r="E1889" s="21" t="str">
        <f t="shared" si="4"/>
        <v>NSE:HUDCO</v>
      </c>
    </row>
    <row r="1890" ht="15.75" customHeight="1">
      <c r="A1890" s="32"/>
      <c r="B1890" s="33" t="s">
        <v>914</v>
      </c>
      <c r="C1890" s="33" t="s">
        <v>16</v>
      </c>
      <c r="D1890" s="33" t="s">
        <v>55</v>
      </c>
      <c r="E1890" s="21" t="str">
        <f t="shared" si="4"/>
        <v>NSE:DPABHUSHAN</v>
      </c>
    </row>
    <row r="1891" ht="15.75" customHeight="1">
      <c r="A1891" s="32"/>
      <c r="B1891" s="33" t="s">
        <v>776</v>
      </c>
      <c r="C1891" s="33" t="s">
        <v>21</v>
      </c>
      <c r="D1891" s="33" t="s">
        <v>39</v>
      </c>
      <c r="E1891" s="21" t="str">
        <f t="shared" si="4"/>
        <v>NSE:MANAPPURAM</v>
      </c>
    </row>
    <row r="1892" ht="15.75" customHeight="1">
      <c r="A1892" s="32"/>
      <c r="B1892" s="33" t="s">
        <v>218</v>
      </c>
      <c r="C1892" s="33" t="s">
        <v>16</v>
      </c>
      <c r="D1892" s="33" t="s">
        <v>17</v>
      </c>
      <c r="E1892" s="21" t="str">
        <f t="shared" si="4"/>
        <v>NSE:VSTTILLERS</v>
      </c>
    </row>
    <row r="1893" ht="15.75" customHeight="1">
      <c r="A1893" s="32"/>
      <c r="B1893" s="33" t="s">
        <v>999</v>
      </c>
      <c r="C1893" s="33" t="s">
        <v>13</v>
      </c>
      <c r="D1893" s="33" t="s">
        <v>31</v>
      </c>
      <c r="E1893" s="21" t="str">
        <f t="shared" si="4"/>
        <v>NSE:IRCTC</v>
      </c>
    </row>
    <row r="1894" ht="15.75" customHeight="1">
      <c r="A1894" s="32"/>
      <c r="B1894" s="33" t="s">
        <v>184</v>
      </c>
      <c r="C1894" s="33" t="s">
        <v>21</v>
      </c>
      <c r="D1894" s="33" t="s">
        <v>185</v>
      </c>
      <c r="E1894" s="21" t="str">
        <f t="shared" si="4"/>
        <v>NSE:CUB</v>
      </c>
    </row>
    <row r="1895" ht="15.75" customHeight="1">
      <c r="A1895" s="32"/>
      <c r="B1895" s="33" t="s">
        <v>956</v>
      </c>
      <c r="C1895" s="33" t="s">
        <v>13</v>
      </c>
      <c r="D1895" s="33" t="s">
        <v>185</v>
      </c>
      <c r="E1895" s="21" t="str">
        <f t="shared" si="4"/>
        <v>NSE:CANBK</v>
      </c>
    </row>
    <row r="1896" ht="15.75" customHeight="1">
      <c r="A1896" s="32"/>
      <c r="B1896" s="33" t="s">
        <v>1000</v>
      </c>
      <c r="C1896" s="33" t="s">
        <v>13</v>
      </c>
      <c r="D1896" s="33" t="s">
        <v>185</v>
      </c>
      <c r="E1896" s="21" t="str">
        <f t="shared" si="4"/>
        <v>NSE:MAHABANK</v>
      </c>
    </row>
    <row r="1897" ht="15.75" customHeight="1">
      <c r="A1897" s="32"/>
      <c r="B1897" s="33" t="s">
        <v>424</v>
      </c>
      <c r="C1897" s="33" t="s">
        <v>16</v>
      </c>
      <c r="D1897" s="33" t="s">
        <v>29</v>
      </c>
      <c r="E1897" s="21" t="str">
        <f t="shared" si="4"/>
        <v>NSE:BAJAJCON</v>
      </c>
    </row>
    <row r="1898" ht="15.75" customHeight="1">
      <c r="A1898" s="32"/>
      <c r="B1898" s="33" t="s">
        <v>1001</v>
      </c>
      <c r="C1898" s="33" t="s">
        <v>21</v>
      </c>
      <c r="D1898" s="33" t="s">
        <v>22</v>
      </c>
      <c r="E1898" s="21" t="str">
        <f t="shared" si="4"/>
        <v>NSE:PNCINFRA</v>
      </c>
    </row>
    <row r="1899" ht="15.75" customHeight="1">
      <c r="A1899" s="32"/>
      <c r="B1899" s="33" t="s">
        <v>904</v>
      </c>
      <c r="C1899" s="33" t="s">
        <v>13</v>
      </c>
      <c r="D1899" s="33" t="s">
        <v>31</v>
      </c>
      <c r="E1899" s="21" t="str">
        <f t="shared" si="4"/>
        <v>NSE:TATAPOWER</v>
      </c>
    </row>
    <row r="1900" ht="15.75" customHeight="1">
      <c r="A1900" s="32"/>
      <c r="B1900" s="33" t="s">
        <v>1002</v>
      </c>
      <c r="C1900" s="33" t="s">
        <v>13</v>
      </c>
      <c r="D1900" s="33" t="s">
        <v>17</v>
      </c>
      <c r="E1900" s="21" t="str">
        <f t="shared" si="4"/>
        <v>NSE:BALKRISIND</v>
      </c>
    </row>
    <row r="1901" ht="15.75" customHeight="1">
      <c r="A1901" s="32"/>
      <c r="B1901" s="33" t="s">
        <v>329</v>
      </c>
      <c r="C1901" s="33" t="s">
        <v>13</v>
      </c>
      <c r="D1901" s="33" t="s">
        <v>27</v>
      </c>
      <c r="E1901" s="21" t="str">
        <f t="shared" si="4"/>
        <v>NSE:COROMANDEL</v>
      </c>
    </row>
    <row r="1902" ht="15.75" customHeight="1">
      <c r="A1902" s="32"/>
      <c r="B1902" s="33" t="s">
        <v>1003</v>
      </c>
      <c r="C1902" s="33" t="s">
        <v>13</v>
      </c>
      <c r="D1902" s="33" t="s">
        <v>39</v>
      </c>
      <c r="E1902" s="21" t="str">
        <f t="shared" si="4"/>
        <v>NSE:FIVESTAR</v>
      </c>
    </row>
    <row r="1903" ht="15.75" customHeight="1">
      <c r="A1903" s="32"/>
      <c r="B1903" s="33" t="s">
        <v>580</v>
      </c>
      <c r="C1903" s="33" t="s">
        <v>21</v>
      </c>
      <c r="D1903" s="33" t="s">
        <v>17</v>
      </c>
      <c r="E1903" s="21" t="str">
        <f t="shared" si="4"/>
        <v>NSE:JAMNAAUTO</v>
      </c>
    </row>
    <row r="1904" ht="15.75" customHeight="1">
      <c r="A1904" s="32"/>
      <c r="B1904" s="33" t="s">
        <v>277</v>
      </c>
      <c r="C1904" s="33" t="s">
        <v>21</v>
      </c>
      <c r="D1904" s="33" t="s">
        <v>29</v>
      </c>
      <c r="E1904" s="21" t="str">
        <f t="shared" si="4"/>
        <v>NSE:PRAJIND</v>
      </c>
    </row>
    <row r="1905" ht="15.75" customHeight="1">
      <c r="A1905" s="32"/>
      <c r="B1905" s="33" t="s">
        <v>923</v>
      </c>
      <c r="C1905" s="33" t="s">
        <v>16</v>
      </c>
      <c r="D1905" s="33" t="s">
        <v>29</v>
      </c>
      <c r="E1905" s="21" t="str">
        <f t="shared" si="4"/>
        <v>NSE:DOLLAR</v>
      </c>
    </row>
    <row r="1906" ht="15.75" customHeight="1">
      <c r="A1906" s="32"/>
      <c r="B1906" s="33" t="s">
        <v>191</v>
      </c>
      <c r="C1906" s="33" t="s">
        <v>21</v>
      </c>
      <c r="D1906" s="33" t="s">
        <v>29</v>
      </c>
      <c r="E1906" s="21" t="str">
        <f t="shared" si="4"/>
        <v>NSE:VMART</v>
      </c>
    </row>
    <row r="1907" ht="15.75" customHeight="1">
      <c r="A1907" s="32"/>
      <c r="B1907" s="33" t="s">
        <v>460</v>
      </c>
      <c r="C1907" s="33" t="s">
        <v>13</v>
      </c>
      <c r="D1907" s="33" t="s">
        <v>17</v>
      </c>
      <c r="E1907" s="21" t="str">
        <f t="shared" si="4"/>
        <v>NSE:SUNDRMFAST</v>
      </c>
    </row>
    <row r="1908" ht="15.75" customHeight="1">
      <c r="A1908" s="32"/>
      <c r="B1908" s="33" t="s">
        <v>785</v>
      </c>
      <c r="C1908" s="33" t="s">
        <v>21</v>
      </c>
      <c r="D1908" s="33" t="s">
        <v>37</v>
      </c>
      <c r="E1908" s="21" t="str">
        <f t="shared" si="4"/>
        <v>NSE:ZENSARTECH</v>
      </c>
    </row>
    <row r="1909" ht="15.75" customHeight="1">
      <c r="A1909" s="32"/>
      <c r="B1909" s="33" t="s">
        <v>685</v>
      </c>
      <c r="C1909" s="33" t="s">
        <v>13</v>
      </c>
      <c r="D1909" s="33" t="s">
        <v>39</v>
      </c>
      <c r="E1909" s="21" t="str">
        <f t="shared" si="4"/>
        <v>NSE:CHOLAFIN</v>
      </c>
    </row>
    <row r="1910" ht="15.75" customHeight="1">
      <c r="A1910" s="32"/>
      <c r="B1910" s="33" t="s">
        <v>1004</v>
      </c>
      <c r="C1910" s="33" t="s">
        <v>21</v>
      </c>
      <c r="D1910" s="33" t="s">
        <v>14</v>
      </c>
      <c r="E1910" s="21" t="str">
        <f t="shared" si="4"/>
        <v>NSE:RAINBOW</v>
      </c>
    </row>
    <row r="1911" ht="15.75" customHeight="1">
      <c r="A1911" s="32"/>
      <c r="B1911" s="33" t="s">
        <v>918</v>
      </c>
      <c r="C1911" s="33" t="s">
        <v>16</v>
      </c>
      <c r="D1911" s="33" t="s">
        <v>29</v>
      </c>
      <c r="E1911" s="21" t="str">
        <f t="shared" si="4"/>
        <v>NSE:VADILALIND</v>
      </c>
    </row>
    <row r="1912" ht="15.75" customHeight="1">
      <c r="A1912" s="32"/>
      <c r="B1912" s="33" t="s">
        <v>1005</v>
      </c>
      <c r="C1912" s="33" t="s">
        <v>13</v>
      </c>
      <c r="D1912" s="33" t="s">
        <v>185</v>
      </c>
      <c r="E1912" s="21" t="str">
        <f t="shared" si="4"/>
        <v>NSE:AUBANK</v>
      </c>
    </row>
    <row r="1913" ht="15.75" customHeight="1">
      <c r="A1913" s="32"/>
      <c r="B1913" s="33" t="s">
        <v>967</v>
      </c>
      <c r="C1913" s="33" t="s">
        <v>16</v>
      </c>
      <c r="D1913" s="33" t="s">
        <v>31</v>
      </c>
      <c r="E1913" s="21" t="str">
        <f t="shared" si="4"/>
        <v>NSE:BFUTILITIE</v>
      </c>
    </row>
    <row r="1914" ht="15.75" customHeight="1">
      <c r="A1914" s="32"/>
      <c r="B1914" s="33" t="s">
        <v>749</v>
      </c>
      <c r="C1914" s="33" t="s">
        <v>13</v>
      </c>
      <c r="D1914" s="33" t="s">
        <v>37</v>
      </c>
      <c r="E1914" s="21" t="str">
        <f t="shared" si="4"/>
        <v>NSE:NAUKRI</v>
      </c>
    </row>
    <row r="1915" ht="15.75" customHeight="1">
      <c r="A1915" s="32"/>
      <c r="B1915" s="33" t="s">
        <v>428</v>
      </c>
      <c r="C1915" s="33" t="s">
        <v>21</v>
      </c>
      <c r="D1915" s="33" t="s">
        <v>19</v>
      </c>
      <c r="E1915" s="21" t="str">
        <f t="shared" si="4"/>
        <v>NSE:ZENTEC</v>
      </c>
    </row>
    <row r="1916" ht="15.75" customHeight="1">
      <c r="A1916" s="32"/>
      <c r="B1916" s="33" t="s">
        <v>125</v>
      </c>
      <c r="C1916" s="33" t="s">
        <v>16</v>
      </c>
      <c r="D1916" s="33" t="s">
        <v>37</v>
      </c>
      <c r="E1916" s="21" t="str">
        <f t="shared" si="4"/>
        <v>NSE:CIGNITITEC</v>
      </c>
    </row>
    <row r="1917" ht="15.75" customHeight="1">
      <c r="A1917" s="32"/>
      <c r="B1917" s="33" t="s">
        <v>12</v>
      </c>
      <c r="C1917" s="33" t="s">
        <v>13</v>
      </c>
      <c r="D1917" s="33" t="s">
        <v>14</v>
      </c>
      <c r="E1917" s="21" t="str">
        <f t="shared" si="4"/>
        <v>NSE:LAURUSLABS</v>
      </c>
    </row>
    <row r="1918" ht="15.75" customHeight="1">
      <c r="A1918" s="32"/>
      <c r="B1918" s="33" t="s">
        <v>556</v>
      </c>
      <c r="C1918" s="33" t="s">
        <v>13</v>
      </c>
      <c r="D1918" s="33" t="s">
        <v>27</v>
      </c>
      <c r="E1918" s="21" t="str">
        <f t="shared" si="4"/>
        <v>NSE:BASF</v>
      </c>
    </row>
    <row r="1919" ht="15.75" customHeight="1">
      <c r="A1919" s="32"/>
      <c r="B1919" s="33" t="s">
        <v>962</v>
      </c>
      <c r="C1919" s="33" t="s">
        <v>13</v>
      </c>
      <c r="D1919" s="33" t="s">
        <v>17</v>
      </c>
      <c r="E1919" s="21" t="str">
        <f t="shared" si="4"/>
        <v>NSE:M&amp;M</v>
      </c>
    </row>
    <row r="1920" ht="15.75" customHeight="1">
      <c r="A1920" s="32"/>
      <c r="B1920" s="33" t="s">
        <v>855</v>
      </c>
      <c r="C1920" s="33" t="s">
        <v>16</v>
      </c>
      <c r="D1920" s="33" t="s">
        <v>27</v>
      </c>
      <c r="E1920" s="21" t="str">
        <f t="shared" si="4"/>
        <v>NSE:MANGLMCEM</v>
      </c>
    </row>
    <row r="1921" ht="15.75" customHeight="1">
      <c r="A1921" s="32"/>
      <c r="B1921" s="33" t="s">
        <v>922</v>
      </c>
      <c r="C1921" s="33" t="s">
        <v>21</v>
      </c>
      <c r="D1921" s="33" t="s">
        <v>27</v>
      </c>
      <c r="E1921" s="21" t="str">
        <f t="shared" si="4"/>
        <v>NSE:STARCEMENT</v>
      </c>
    </row>
    <row r="1922" ht="15.75" customHeight="1">
      <c r="A1922" s="32"/>
      <c r="B1922" s="33" t="s">
        <v>597</v>
      </c>
      <c r="C1922" s="33" t="s">
        <v>21</v>
      </c>
      <c r="D1922" s="33" t="s">
        <v>31</v>
      </c>
      <c r="E1922" s="21" t="str">
        <f t="shared" si="4"/>
        <v>NSE:MAXESTATES</v>
      </c>
    </row>
    <row r="1923" ht="15.75" customHeight="1">
      <c r="A1923" s="32"/>
      <c r="B1923" s="33" t="s">
        <v>915</v>
      </c>
      <c r="C1923" s="33" t="s">
        <v>16</v>
      </c>
      <c r="D1923" s="33" t="s">
        <v>27</v>
      </c>
      <c r="E1923" s="21" t="str">
        <f t="shared" si="4"/>
        <v>NSE:MACPOWER</v>
      </c>
    </row>
    <row r="1924" ht="15.75" customHeight="1">
      <c r="A1924" s="32"/>
      <c r="B1924" s="33" t="s">
        <v>285</v>
      </c>
      <c r="C1924" s="33" t="s">
        <v>13</v>
      </c>
      <c r="D1924" s="33" t="s">
        <v>29</v>
      </c>
      <c r="E1924" s="21" t="str">
        <f t="shared" si="4"/>
        <v>NSE:KEC</v>
      </c>
    </row>
    <row r="1925" ht="15.75" customHeight="1">
      <c r="A1925" s="32"/>
      <c r="B1925" s="33" t="s">
        <v>929</v>
      </c>
      <c r="C1925" s="33" t="s">
        <v>16</v>
      </c>
      <c r="D1925" s="33" t="s">
        <v>25</v>
      </c>
      <c r="E1925" s="21" t="str">
        <f t="shared" si="4"/>
        <v>NSE:IMFA</v>
      </c>
    </row>
    <row r="1926" ht="15.75" customHeight="1">
      <c r="A1926" s="32"/>
      <c r="B1926" s="33" t="s">
        <v>944</v>
      </c>
      <c r="C1926" s="33" t="s">
        <v>13</v>
      </c>
      <c r="D1926" s="33" t="s">
        <v>29</v>
      </c>
      <c r="E1926" s="21" t="str">
        <f t="shared" si="4"/>
        <v>NSE:SCHNEIDER</v>
      </c>
    </row>
    <row r="1927" ht="15.75" customHeight="1">
      <c r="A1927" s="32"/>
      <c r="B1927" s="33" t="s">
        <v>233</v>
      </c>
      <c r="C1927" s="33" t="s">
        <v>21</v>
      </c>
      <c r="D1927" s="33" t="s">
        <v>22</v>
      </c>
      <c r="E1927" s="21" t="str">
        <f t="shared" si="4"/>
        <v>NSE:GRINFRA</v>
      </c>
    </row>
    <row r="1928" ht="15.75" customHeight="1">
      <c r="A1928" s="32"/>
      <c r="B1928" s="33" t="s">
        <v>1006</v>
      </c>
      <c r="C1928" s="33" t="s">
        <v>16</v>
      </c>
      <c r="D1928" s="33" t="s">
        <v>55</v>
      </c>
      <c r="E1928" s="21" t="str">
        <f t="shared" si="4"/>
        <v>NSE:ORIENTHOT</v>
      </c>
    </row>
    <row r="1929" ht="15.75" customHeight="1">
      <c r="A1929" s="32"/>
      <c r="B1929" s="33" t="s">
        <v>719</v>
      </c>
      <c r="C1929" s="33" t="s">
        <v>16</v>
      </c>
      <c r="D1929" s="33" t="s">
        <v>29</v>
      </c>
      <c r="E1929" s="21" t="str">
        <f t="shared" si="4"/>
        <v>NSE:IKIO</v>
      </c>
    </row>
    <row r="1930" ht="15.75" customHeight="1">
      <c r="A1930" s="32"/>
      <c r="B1930" s="33" t="s">
        <v>942</v>
      </c>
      <c r="C1930" s="33" t="s">
        <v>16</v>
      </c>
      <c r="D1930" s="33" t="s">
        <v>55</v>
      </c>
      <c r="E1930" s="21" t="str">
        <f t="shared" si="4"/>
        <v>NSE:TAJGVK</v>
      </c>
    </row>
    <row r="1931" ht="15.75" customHeight="1">
      <c r="A1931" s="32"/>
      <c r="B1931" s="33" t="s">
        <v>232</v>
      </c>
      <c r="C1931" s="33" t="s">
        <v>21</v>
      </c>
      <c r="D1931" s="33" t="s">
        <v>29</v>
      </c>
      <c r="E1931" s="21" t="str">
        <f t="shared" si="4"/>
        <v>NSE:TRITURBINE</v>
      </c>
    </row>
    <row r="1932" ht="15.75" customHeight="1">
      <c r="A1932" s="32"/>
      <c r="B1932" s="33" t="s">
        <v>1007</v>
      </c>
      <c r="C1932" s="33" t="s">
        <v>13</v>
      </c>
      <c r="D1932" s="33" t="s">
        <v>25</v>
      </c>
      <c r="E1932" s="21" t="str">
        <f t="shared" si="4"/>
        <v>NSE:APLAPOLLO</v>
      </c>
    </row>
    <row r="1933" ht="15.75" customHeight="1">
      <c r="A1933" s="32"/>
      <c r="B1933" s="33" t="s">
        <v>932</v>
      </c>
      <c r="C1933" s="33" t="s">
        <v>13</v>
      </c>
      <c r="D1933" s="33" t="s">
        <v>29</v>
      </c>
      <c r="E1933" s="21" t="str">
        <f t="shared" si="4"/>
        <v>NSE:ABB</v>
      </c>
    </row>
    <row r="1934" ht="15.75" customHeight="1">
      <c r="A1934" s="32"/>
      <c r="B1934" s="33" t="s">
        <v>921</v>
      </c>
      <c r="C1934" s="33" t="s">
        <v>13</v>
      </c>
      <c r="D1934" s="33" t="s">
        <v>29</v>
      </c>
      <c r="E1934" s="21" t="str">
        <f t="shared" si="4"/>
        <v>NSE:SIEMENS</v>
      </c>
    </row>
    <row r="1935" ht="15.75" customHeight="1">
      <c r="A1935" s="32"/>
      <c r="B1935" s="33" t="s">
        <v>839</v>
      </c>
      <c r="C1935" s="33" t="s">
        <v>16</v>
      </c>
      <c r="D1935" s="33" t="s">
        <v>39</v>
      </c>
      <c r="E1935" s="21" t="str">
        <f t="shared" si="4"/>
        <v>NSE:CENTRUM</v>
      </c>
    </row>
    <row r="1936" ht="15.75" customHeight="1">
      <c r="A1936" s="32"/>
      <c r="B1936" s="33" t="s">
        <v>246</v>
      </c>
      <c r="C1936" s="33" t="s">
        <v>16</v>
      </c>
      <c r="D1936" s="33" t="s">
        <v>29</v>
      </c>
      <c r="E1936" s="21" t="str">
        <f t="shared" si="4"/>
        <v>NSE:GRPLTD</v>
      </c>
    </row>
    <row r="1937" ht="15.75" customHeight="1">
      <c r="A1937" s="32"/>
      <c r="B1937" s="33" t="s">
        <v>989</v>
      </c>
      <c r="C1937" s="33" t="s">
        <v>21</v>
      </c>
      <c r="D1937" s="33" t="s">
        <v>27</v>
      </c>
      <c r="E1937" s="21" t="str">
        <f t="shared" si="4"/>
        <v>NSE:ASAHIINDIA</v>
      </c>
    </row>
    <row r="1938" ht="15.75" customHeight="1">
      <c r="A1938" s="32"/>
      <c r="B1938" s="33" t="s">
        <v>149</v>
      </c>
      <c r="C1938" s="33" t="s">
        <v>13</v>
      </c>
      <c r="D1938" s="33" t="s">
        <v>22</v>
      </c>
      <c r="E1938" s="21" t="str">
        <f t="shared" si="4"/>
        <v>NSE:GODREJPROP</v>
      </c>
    </row>
    <row r="1939" ht="15.75" customHeight="1">
      <c r="A1939" s="32"/>
      <c r="B1939" s="33" t="s">
        <v>1008</v>
      </c>
      <c r="C1939" s="33" t="s">
        <v>16</v>
      </c>
      <c r="D1939" s="33" t="s">
        <v>37</v>
      </c>
      <c r="E1939" s="21" t="str">
        <f t="shared" si="4"/>
        <v>NSE:INFOBEAN</v>
      </c>
    </row>
    <row r="1940" ht="15.75" customHeight="1">
      <c r="A1940" s="32"/>
      <c r="B1940" s="33" t="s">
        <v>510</v>
      </c>
      <c r="C1940" s="33" t="s">
        <v>16</v>
      </c>
      <c r="D1940" s="33" t="s">
        <v>27</v>
      </c>
      <c r="E1940" s="21" t="str">
        <f t="shared" si="4"/>
        <v>NSE:STERTOOLS</v>
      </c>
    </row>
    <row r="1941" ht="15.75" customHeight="1">
      <c r="A1941" s="32"/>
      <c r="B1941" s="33" t="s">
        <v>389</v>
      </c>
      <c r="C1941" s="33" t="s">
        <v>21</v>
      </c>
      <c r="D1941" s="33" t="s">
        <v>29</v>
      </c>
      <c r="E1941" s="21" t="str">
        <f t="shared" si="4"/>
        <v>NSE:ZYDUSWELL</v>
      </c>
    </row>
    <row r="1942" ht="15.75" customHeight="1">
      <c r="A1942" s="32"/>
      <c r="B1942" s="33" t="s">
        <v>400</v>
      </c>
      <c r="C1942" s="33" t="s">
        <v>21</v>
      </c>
      <c r="D1942" s="33" t="s">
        <v>55</v>
      </c>
      <c r="E1942" s="21" t="str">
        <f t="shared" si="4"/>
        <v>NSE:TCI</v>
      </c>
    </row>
    <row r="1943" ht="15.75" customHeight="1">
      <c r="A1943" s="32"/>
      <c r="B1943" s="33" t="s">
        <v>979</v>
      </c>
      <c r="C1943" s="33" t="s">
        <v>21</v>
      </c>
      <c r="D1943" s="33" t="s">
        <v>29</v>
      </c>
      <c r="E1943" s="21" t="str">
        <f t="shared" si="4"/>
        <v>NSE:MEDPLUS</v>
      </c>
    </row>
    <row r="1944" ht="15.75" customHeight="1">
      <c r="A1944" s="32"/>
      <c r="B1944" s="33" t="s">
        <v>1009</v>
      </c>
      <c r="C1944" s="33" t="s">
        <v>13</v>
      </c>
      <c r="D1944" s="33" t="s">
        <v>27</v>
      </c>
      <c r="E1944" s="21" t="str">
        <f t="shared" si="4"/>
        <v>NSE:SKFINDIA</v>
      </c>
    </row>
    <row r="1945" ht="15.75" customHeight="1">
      <c r="A1945" s="32"/>
      <c r="B1945" s="33" t="s">
        <v>983</v>
      </c>
      <c r="C1945" s="33" t="s">
        <v>16</v>
      </c>
      <c r="D1945" s="33" t="s">
        <v>29</v>
      </c>
      <c r="E1945" s="21" t="str">
        <f t="shared" si="4"/>
        <v>NSE:ADFFOODS</v>
      </c>
    </row>
    <row r="1946" ht="15.75" customHeight="1">
      <c r="A1946" s="32"/>
      <c r="B1946" s="33" t="s">
        <v>1010</v>
      </c>
      <c r="C1946" s="33" t="s">
        <v>21</v>
      </c>
      <c r="D1946" s="33" t="s">
        <v>14</v>
      </c>
      <c r="E1946" s="21" t="str">
        <f t="shared" si="4"/>
        <v>NSE:VIJAYA</v>
      </c>
    </row>
    <row r="1947" ht="15.75" customHeight="1">
      <c r="A1947" s="32"/>
      <c r="B1947" s="33" t="s">
        <v>457</v>
      </c>
      <c r="C1947" s="33" t="s">
        <v>21</v>
      </c>
      <c r="D1947" s="33" t="s">
        <v>29</v>
      </c>
      <c r="E1947" s="21" t="str">
        <f t="shared" si="4"/>
        <v>NSE:KIRLOSBROS</v>
      </c>
    </row>
    <row r="1948" ht="15.75" customHeight="1">
      <c r="A1948" s="32"/>
      <c r="B1948" s="33" t="s">
        <v>246</v>
      </c>
      <c r="C1948" s="33" t="s">
        <v>16</v>
      </c>
      <c r="D1948" s="33" t="s">
        <v>29</v>
      </c>
      <c r="E1948" s="21" t="str">
        <f t="shared" si="4"/>
        <v>NSE:GRPLTD</v>
      </c>
    </row>
    <row r="1949" ht="15.75" customHeight="1">
      <c r="A1949" s="32"/>
      <c r="B1949" s="33" t="s">
        <v>797</v>
      </c>
      <c r="C1949" s="33" t="s">
        <v>21</v>
      </c>
      <c r="D1949" s="33" t="s">
        <v>53</v>
      </c>
      <c r="E1949" s="21" t="str">
        <f t="shared" si="4"/>
        <v>NSE:JINDWORLD</v>
      </c>
    </row>
    <row r="1950" ht="15.75" customHeight="1">
      <c r="A1950" s="32"/>
      <c r="B1950" s="33" t="s">
        <v>879</v>
      </c>
      <c r="C1950" s="33" t="s">
        <v>16</v>
      </c>
      <c r="D1950" s="33" t="s">
        <v>64</v>
      </c>
      <c r="E1950" s="21" t="str">
        <f t="shared" si="4"/>
        <v>NSE:DEEPINDS</v>
      </c>
    </row>
    <row r="1951" ht="15.75" customHeight="1">
      <c r="A1951" s="32"/>
      <c r="B1951" s="33" t="s">
        <v>228</v>
      </c>
      <c r="C1951" s="33" t="s">
        <v>21</v>
      </c>
      <c r="D1951" s="33" t="s">
        <v>29</v>
      </c>
      <c r="E1951" s="21" t="str">
        <f t="shared" si="4"/>
        <v>NSE:VGUARD</v>
      </c>
    </row>
    <row r="1952" ht="15.75" customHeight="1">
      <c r="A1952" s="32"/>
      <c r="B1952" s="33" t="s">
        <v>423</v>
      </c>
      <c r="C1952" s="33" t="s">
        <v>16</v>
      </c>
      <c r="D1952" s="33" t="s">
        <v>55</v>
      </c>
      <c r="E1952" s="21" t="str">
        <f t="shared" si="4"/>
        <v>NSE:DLINKINDIA</v>
      </c>
    </row>
    <row r="1953" ht="15.75" customHeight="1">
      <c r="A1953" s="32"/>
      <c r="B1953" s="33" t="s">
        <v>1011</v>
      </c>
      <c r="C1953" s="33" t="s">
        <v>13</v>
      </c>
      <c r="D1953" s="33" t="s">
        <v>17</v>
      </c>
      <c r="E1953" s="21" t="str">
        <f t="shared" si="4"/>
        <v>NSE:ENDURANCE</v>
      </c>
    </row>
    <row r="1954" ht="15.75" customHeight="1">
      <c r="A1954" s="32"/>
      <c r="B1954" s="33" t="s">
        <v>754</v>
      </c>
      <c r="C1954" s="33" t="s">
        <v>21</v>
      </c>
      <c r="D1954" s="33" t="s">
        <v>29</v>
      </c>
      <c r="E1954" s="21" t="str">
        <f t="shared" si="4"/>
        <v>NSE:ESABINDIA</v>
      </c>
    </row>
    <row r="1955" ht="15.75" customHeight="1">
      <c r="A1955" s="32"/>
      <c r="B1955" s="33" t="s">
        <v>273</v>
      </c>
      <c r="C1955" s="33" t="s">
        <v>16</v>
      </c>
      <c r="D1955" s="33" t="s">
        <v>64</v>
      </c>
      <c r="E1955" s="21" t="str">
        <f t="shared" si="4"/>
        <v>NSE:STYRENIX</v>
      </c>
    </row>
    <row r="1956" ht="15.75" customHeight="1">
      <c r="A1956" s="32"/>
      <c r="B1956" s="33" t="s">
        <v>1012</v>
      </c>
      <c r="C1956" s="33" t="s">
        <v>13</v>
      </c>
      <c r="D1956" s="33" t="s">
        <v>27</v>
      </c>
      <c r="E1956" s="21" t="str">
        <f t="shared" si="4"/>
        <v>NSE:UPL</v>
      </c>
    </row>
    <row r="1957" ht="15.75" customHeight="1">
      <c r="A1957" s="32"/>
      <c r="B1957" s="33" t="s">
        <v>363</v>
      </c>
      <c r="C1957" s="33" t="s">
        <v>13</v>
      </c>
      <c r="D1957" s="33" t="s">
        <v>14</v>
      </c>
      <c r="E1957" s="21" t="str">
        <f t="shared" si="4"/>
        <v>NSE:AUROPHARMA</v>
      </c>
    </row>
    <row r="1958" ht="15.75" customHeight="1">
      <c r="A1958" s="32"/>
      <c r="B1958" s="33" t="s">
        <v>1013</v>
      </c>
      <c r="C1958" s="33" t="s">
        <v>16</v>
      </c>
      <c r="D1958" s="33" t="s">
        <v>27</v>
      </c>
      <c r="E1958" s="21" t="str">
        <f t="shared" si="4"/>
        <v>NSE:DYCL</v>
      </c>
    </row>
    <row r="1959" ht="15.75" customHeight="1">
      <c r="A1959" s="32"/>
      <c r="B1959" s="33" t="s">
        <v>1014</v>
      </c>
      <c r="C1959" s="33" t="s">
        <v>21</v>
      </c>
      <c r="D1959" s="33" t="s">
        <v>14</v>
      </c>
      <c r="E1959" s="21" t="str">
        <f t="shared" si="4"/>
        <v>NSE:POLYMED</v>
      </c>
    </row>
    <row r="1960" ht="15.75" customHeight="1">
      <c r="A1960" s="32"/>
      <c r="B1960" s="33" t="s">
        <v>1015</v>
      </c>
      <c r="C1960" s="33" t="s">
        <v>21</v>
      </c>
      <c r="D1960" s="33" t="s">
        <v>37</v>
      </c>
      <c r="E1960" s="21" t="str">
        <f t="shared" si="4"/>
        <v>NSE:HAPPSTMNDS</v>
      </c>
    </row>
    <row r="1961" ht="15.75" customHeight="1">
      <c r="A1961" s="32"/>
      <c r="B1961" s="33" t="s">
        <v>804</v>
      </c>
      <c r="C1961" s="33" t="s">
        <v>13</v>
      </c>
      <c r="D1961" s="33" t="s">
        <v>14</v>
      </c>
      <c r="E1961" s="21" t="str">
        <f t="shared" si="4"/>
        <v>NSE:LALPATHLAB</v>
      </c>
    </row>
    <row r="1962" ht="15.75" customHeight="1">
      <c r="A1962" s="32"/>
      <c r="B1962" s="33" t="s">
        <v>851</v>
      </c>
      <c r="C1962" s="33" t="s">
        <v>16</v>
      </c>
      <c r="D1962" s="33" t="s">
        <v>27</v>
      </c>
      <c r="E1962" s="21" t="str">
        <f t="shared" si="4"/>
        <v>NSE:TIDEWATER</v>
      </c>
    </row>
    <row r="1963" ht="15.75" customHeight="1">
      <c r="A1963" s="32"/>
      <c r="B1963" s="33" t="s">
        <v>557</v>
      </c>
      <c r="C1963" s="33" t="s">
        <v>21</v>
      </c>
      <c r="D1963" s="33" t="s">
        <v>19</v>
      </c>
      <c r="E1963" s="21" t="str">
        <f t="shared" si="4"/>
        <v>NSE:BEML</v>
      </c>
    </row>
    <row r="1964" ht="15.75" customHeight="1">
      <c r="A1964" s="32"/>
      <c r="B1964" s="33" t="s">
        <v>462</v>
      </c>
      <c r="C1964" s="33" t="s">
        <v>21</v>
      </c>
      <c r="D1964" s="33" t="s">
        <v>31</v>
      </c>
      <c r="E1964" s="21" t="str">
        <f t="shared" si="4"/>
        <v>NSE:THOMASCOOK</v>
      </c>
    </row>
    <row r="1965" ht="15.75" customHeight="1">
      <c r="A1965" s="32"/>
      <c r="B1965" s="33" t="s">
        <v>313</v>
      </c>
      <c r="C1965" s="33" t="s">
        <v>16</v>
      </c>
      <c r="D1965" s="33" t="s">
        <v>55</v>
      </c>
      <c r="E1965" s="21" t="str">
        <f t="shared" si="4"/>
        <v>NSE:UNIENTER</v>
      </c>
    </row>
    <row r="1966" ht="15.75" customHeight="1">
      <c r="A1966" s="32"/>
      <c r="B1966" s="33" t="s">
        <v>565</v>
      </c>
      <c r="C1966" s="33" t="s">
        <v>13</v>
      </c>
      <c r="D1966" s="33" t="s">
        <v>185</v>
      </c>
      <c r="E1966" s="21" t="str">
        <f t="shared" si="4"/>
        <v>NSE:FEDERALBNK</v>
      </c>
    </row>
    <row r="1967" ht="15.75" customHeight="1">
      <c r="A1967" s="32"/>
      <c r="B1967" s="33" t="s">
        <v>994</v>
      </c>
      <c r="C1967" s="33" t="s">
        <v>13</v>
      </c>
      <c r="D1967" s="33" t="s">
        <v>29</v>
      </c>
      <c r="E1967" s="21" t="str">
        <f t="shared" si="4"/>
        <v>NSE:FINPIPE</v>
      </c>
    </row>
    <row r="1968" ht="15.75" customHeight="1">
      <c r="A1968" s="32"/>
      <c r="B1968" s="33" t="s">
        <v>475</v>
      </c>
      <c r="C1968" s="33" t="s">
        <v>16</v>
      </c>
      <c r="D1968" s="33" t="s">
        <v>14</v>
      </c>
      <c r="E1968" s="21" t="str">
        <f t="shared" si="4"/>
        <v>NSE:GUFICBIO</v>
      </c>
    </row>
    <row r="1969" ht="15.75" customHeight="1">
      <c r="A1969" s="32"/>
      <c r="B1969" s="33" t="s">
        <v>935</v>
      </c>
      <c r="C1969" s="33" t="s">
        <v>13</v>
      </c>
      <c r="D1969" s="33" t="s">
        <v>29</v>
      </c>
      <c r="E1969" s="21" t="str">
        <f t="shared" si="4"/>
        <v>NSE:HONAUT</v>
      </c>
    </row>
    <row r="1970" ht="15.75" customHeight="1">
      <c r="A1970" s="32"/>
      <c r="B1970" s="33" t="s">
        <v>1016</v>
      </c>
      <c r="C1970" s="33" t="s">
        <v>21</v>
      </c>
      <c r="D1970" s="33" t="s">
        <v>29</v>
      </c>
      <c r="E1970" s="21" t="str">
        <f t="shared" si="4"/>
        <v>NSE:SYMPHONY</v>
      </c>
    </row>
    <row r="1971" ht="15.75" customHeight="1">
      <c r="A1971" s="32"/>
      <c r="B1971" s="33" t="s">
        <v>84</v>
      </c>
      <c r="C1971" s="33" t="s">
        <v>21</v>
      </c>
      <c r="D1971" s="33" t="s">
        <v>14</v>
      </c>
      <c r="E1971" s="21" t="str">
        <f t="shared" si="4"/>
        <v>NSE:AARTIPHARM</v>
      </c>
    </row>
    <row r="1972" ht="15.75" customHeight="1">
      <c r="A1972" s="32"/>
      <c r="B1972" s="33" t="s">
        <v>139</v>
      </c>
      <c r="C1972" s="33" t="s">
        <v>16</v>
      </c>
      <c r="D1972" s="33" t="s">
        <v>19</v>
      </c>
      <c r="E1972" s="21" t="str">
        <f t="shared" si="4"/>
        <v>NSE:IDEAFORGE</v>
      </c>
    </row>
    <row r="1973" ht="15.75" customHeight="1">
      <c r="A1973" s="32"/>
      <c r="B1973" s="33" t="s">
        <v>591</v>
      </c>
      <c r="C1973" s="33" t="s">
        <v>13</v>
      </c>
      <c r="D1973" s="33" t="s">
        <v>39</v>
      </c>
      <c r="E1973" s="21" t="str">
        <f t="shared" si="4"/>
        <v>NSE:HUDCO</v>
      </c>
    </row>
    <row r="1974" ht="15.75" customHeight="1">
      <c r="A1974" s="32"/>
      <c r="B1974" s="33" t="s">
        <v>690</v>
      </c>
      <c r="C1974" s="33" t="s">
        <v>16</v>
      </c>
      <c r="D1974" s="33" t="s">
        <v>14</v>
      </c>
      <c r="E1974" s="21" t="str">
        <f t="shared" si="4"/>
        <v>NSE:HESTERBIO</v>
      </c>
    </row>
    <row r="1975" ht="15.75" customHeight="1">
      <c r="A1975" s="32"/>
      <c r="B1975" s="33" t="s">
        <v>366</v>
      </c>
      <c r="C1975" s="33" t="s">
        <v>13</v>
      </c>
      <c r="D1975" s="33" t="s">
        <v>27</v>
      </c>
      <c r="E1975" s="21" t="str">
        <f t="shared" si="4"/>
        <v>NSE:JSWINFRA</v>
      </c>
    </row>
    <row r="1976" ht="15.75" customHeight="1">
      <c r="A1976" s="32"/>
      <c r="B1976" s="33" t="s">
        <v>180</v>
      </c>
      <c r="C1976" s="33" t="s">
        <v>21</v>
      </c>
      <c r="D1976" s="33" t="s">
        <v>27</v>
      </c>
      <c r="E1976" s="21" t="str">
        <f t="shared" si="4"/>
        <v>NSE:HAPPYFORGE</v>
      </c>
    </row>
    <row r="1977" ht="15.75" customHeight="1">
      <c r="A1977" s="32"/>
      <c r="B1977" s="33" t="s">
        <v>997</v>
      </c>
      <c r="C1977" s="33" t="s">
        <v>21</v>
      </c>
      <c r="D1977" s="33" t="s">
        <v>22</v>
      </c>
      <c r="E1977" s="21" t="str">
        <f t="shared" si="4"/>
        <v>NSE:HGINFRA</v>
      </c>
    </row>
    <row r="1978" ht="15.75" customHeight="1">
      <c r="A1978" s="32"/>
      <c r="B1978" s="33" t="s">
        <v>1017</v>
      </c>
      <c r="C1978" s="33" t="s">
        <v>16</v>
      </c>
      <c r="D1978" s="33" t="s">
        <v>25</v>
      </c>
      <c r="E1978" s="21" t="str">
        <f t="shared" si="4"/>
        <v>NSE:VSSL</v>
      </c>
    </row>
    <row r="1979" ht="15.75" customHeight="1">
      <c r="A1979" s="32"/>
      <c r="B1979" s="33" t="s">
        <v>439</v>
      </c>
      <c r="C1979" s="33" t="s">
        <v>16</v>
      </c>
      <c r="D1979" s="33" t="s">
        <v>27</v>
      </c>
      <c r="E1979" s="21" t="str">
        <f t="shared" si="4"/>
        <v>NSE:SHARDACROP</v>
      </c>
    </row>
    <row r="1980" ht="15.75" customHeight="1">
      <c r="A1980" s="32"/>
      <c r="B1980" s="33" t="s">
        <v>165</v>
      </c>
      <c r="C1980" s="33" t="s">
        <v>13</v>
      </c>
      <c r="D1980" s="33" t="s">
        <v>27</v>
      </c>
      <c r="E1980" s="21" t="str">
        <f t="shared" si="4"/>
        <v>NSE:PIDILITIND</v>
      </c>
    </row>
    <row r="1981" ht="15.75" customHeight="1">
      <c r="A1981" s="32"/>
      <c r="B1981" s="33" t="s">
        <v>920</v>
      </c>
      <c r="C1981" s="33" t="s">
        <v>13</v>
      </c>
      <c r="D1981" s="33" t="s">
        <v>29</v>
      </c>
      <c r="E1981" s="21" t="str">
        <f t="shared" si="4"/>
        <v>NSE:THERMAX</v>
      </c>
    </row>
    <row r="1982" ht="15.75" customHeight="1">
      <c r="A1982" s="32"/>
      <c r="B1982" s="33" t="s">
        <v>839</v>
      </c>
      <c r="C1982" s="33" t="s">
        <v>16</v>
      </c>
      <c r="D1982" s="33" t="s">
        <v>39</v>
      </c>
      <c r="E1982" s="21" t="str">
        <f t="shared" si="4"/>
        <v>NSE:CENTRUM</v>
      </c>
    </row>
    <row r="1983" ht="15.75" customHeight="1">
      <c r="A1983" s="32"/>
      <c r="B1983" s="33" t="s">
        <v>468</v>
      </c>
      <c r="C1983" s="33" t="s">
        <v>16</v>
      </c>
      <c r="D1983" s="33" t="s">
        <v>29</v>
      </c>
      <c r="E1983" s="21" t="str">
        <f t="shared" si="4"/>
        <v>NSE:SHAILY</v>
      </c>
    </row>
    <row r="1984" ht="15.75" customHeight="1">
      <c r="A1984" s="32"/>
      <c r="B1984" s="33" t="s">
        <v>1018</v>
      </c>
      <c r="C1984" s="33" t="s">
        <v>21</v>
      </c>
      <c r="D1984" s="33" t="s">
        <v>29</v>
      </c>
      <c r="E1984" s="21" t="str">
        <f t="shared" si="4"/>
        <v>NSE:KIRLPNU</v>
      </c>
    </row>
    <row r="1985" ht="15.75" customHeight="1">
      <c r="A1985" s="32"/>
      <c r="B1985" s="33" t="s">
        <v>827</v>
      </c>
      <c r="C1985" s="33" t="s">
        <v>16</v>
      </c>
      <c r="D1985" s="33" t="s">
        <v>29</v>
      </c>
      <c r="E1985" s="21" t="str">
        <f t="shared" si="4"/>
        <v>NSE:ASALCBR</v>
      </c>
    </row>
    <row r="1986" ht="15.75" customHeight="1">
      <c r="A1986" s="32"/>
      <c r="B1986" s="33" t="s">
        <v>576</v>
      </c>
      <c r="C1986" s="33" t="s">
        <v>16</v>
      </c>
      <c r="D1986" s="33" t="s">
        <v>25</v>
      </c>
      <c r="E1986" s="21" t="str">
        <f t="shared" si="4"/>
        <v>NSE:HARIOMPIPE</v>
      </c>
    </row>
    <row r="1987" ht="15.75" customHeight="1">
      <c r="A1987" s="32"/>
      <c r="B1987" s="33" t="s">
        <v>995</v>
      </c>
      <c r="C1987" s="33" t="s">
        <v>13</v>
      </c>
      <c r="D1987" s="33" t="s">
        <v>29</v>
      </c>
      <c r="E1987" s="21" t="str">
        <f t="shared" si="4"/>
        <v>NSE:CARBORUNIV</v>
      </c>
    </row>
    <row r="1988" ht="15.75" customHeight="1">
      <c r="A1988" s="32"/>
      <c r="B1988" s="33" t="s">
        <v>1003</v>
      </c>
      <c r="C1988" s="33" t="s">
        <v>13</v>
      </c>
      <c r="D1988" s="33" t="s">
        <v>39</v>
      </c>
      <c r="E1988" s="21" t="str">
        <f t="shared" si="4"/>
        <v>NSE:FIVESTAR</v>
      </c>
    </row>
    <row r="1989" ht="15.75" customHeight="1">
      <c r="A1989" s="32"/>
      <c r="B1989" s="33" t="s">
        <v>634</v>
      </c>
      <c r="C1989" s="33" t="s">
        <v>16</v>
      </c>
      <c r="D1989" s="33" t="s">
        <v>29</v>
      </c>
      <c r="E1989" s="21" t="str">
        <f t="shared" si="4"/>
        <v>NSE:HONDAPOWER</v>
      </c>
    </row>
    <row r="1990" ht="15.75" customHeight="1">
      <c r="A1990" s="32"/>
      <c r="B1990" s="33" t="s">
        <v>1019</v>
      </c>
      <c r="C1990" s="33" t="s">
        <v>16</v>
      </c>
      <c r="D1990" s="33" t="s">
        <v>29</v>
      </c>
      <c r="E1990" s="21" t="str">
        <f t="shared" si="4"/>
        <v>NSE:MAYURUNIQ</v>
      </c>
    </row>
    <row r="1991" ht="15.75" customHeight="1">
      <c r="A1991" s="32"/>
      <c r="B1991" s="33" t="s">
        <v>914</v>
      </c>
      <c r="C1991" s="33" t="s">
        <v>16</v>
      </c>
      <c r="D1991" s="33" t="s">
        <v>55</v>
      </c>
      <c r="E1991" s="21" t="str">
        <f t="shared" si="4"/>
        <v>NSE:DPABHUSHAN</v>
      </c>
    </row>
    <row r="1992" ht="15.75" customHeight="1">
      <c r="A1992" s="32"/>
      <c r="B1992" s="33" t="s">
        <v>924</v>
      </c>
      <c r="C1992" s="33" t="s">
        <v>13</v>
      </c>
      <c r="D1992" s="33" t="s">
        <v>29</v>
      </c>
      <c r="E1992" s="21" t="str">
        <f t="shared" si="4"/>
        <v>NSE:JYOTICNC</v>
      </c>
    </row>
    <row r="1993" ht="15.75" customHeight="1">
      <c r="A1993" s="32"/>
      <c r="B1993" s="33" t="s">
        <v>915</v>
      </c>
      <c r="C1993" s="33" t="s">
        <v>16</v>
      </c>
      <c r="D1993" s="33" t="s">
        <v>27</v>
      </c>
      <c r="E1993" s="21" t="str">
        <f t="shared" si="4"/>
        <v>NSE:MACPOWER</v>
      </c>
    </row>
    <row r="1994" ht="15.75" customHeight="1">
      <c r="A1994" s="32"/>
      <c r="B1994" s="33" t="s">
        <v>940</v>
      </c>
      <c r="C1994" s="33" t="s">
        <v>13</v>
      </c>
      <c r="D1994" s="33" t="s">
        <v>19</v>
      </c>
      <c r="E1994" s="21" t="str">
        <f t="shared" si="4"/>
        <v>NSE:HAL</v>
      </c>
    </row>
    <row r="1995" ht="15.75" customHeight="1">
      <c r="A1995" s="32"/>
      <c r="B1995" s="33" t="s">
        <v>981</v>
      </c>
      <c r="C1995" s="33" t="s">
        <v>13</v>
      </c>
      <c r="D1995" s="33" t="s">
        <v>156</v>
      </c>
      <c r="E1995" s="21" t="str">
        <f t="shared" si="4"/>
        <v>NSE:BHARTIHEXA</v>
      </c>
    </row>
    <row r="1996" ht="15.75" customHeight="1">
      <c r="A1996" s="32"/>
      <c r="B1996" s="33" t="s">
        <v>886</v>
      </c>
      <c r="C1996" s="33" t="s">
        <v>21</v>
      </c>
      <c r="D1996" s="33" t="s">
        <v>22</v>
      </c>
      <c r="E1996" s="21" t="str">
        <f t="shared" si="4"/>
        <v>NSE:TECHNOE</v>
      </c>
    </row>
    <row r="1997" ht="15.75" customHeight="1">
      <c r="A1997" s="32"/>
      <c r="B1997" s="33" t="s">
        <v>861</v>
      </c>
      <c r="C1997" s="33" t="s">
        <v>21</v>
      </c>
      <c r="D1997" s="33" t="s">
        <v>14</v>
      </c>
      <c r="E1997" s="21" t="str">
        <f t="shared" si="4"/>
        <v>NSE:METROPOLIS</v>
      </c>
    </row>
    <row r="1998" ht="15.75" customHeight="1">
      <c r="A1998" s="32"/>
      <c r="B1998" s="33" t="s">
        <v>514</v>
      </c>
      <c r="C1998" s="33" t="s">
        <v>21</v>
      </c>
      <c r="D1998" s="33" t="s">
        <v>29</v>
      </c>
      <c r="E1998" s="21" t="str">
        <f t="shared" si="4"/>
        <v>NSE:PRINCEPIPE</v>
      </c>
    </row>
    <row r="1999" ht="15.75" customHeight="1">
      <c r="A1999" s="32"/>
      <c r="B1999" s="33" t="s">
        <v>903</v>
      </c>
      <c r="C1999" s="33" t="s">
        <v>13</v>
      </c>
      <c r="D1999" s="33" t="s">
        <v>29</v>
      </c>
      <c r="E1999" s="21" t="str">
        <f t="shared" si="4"/>
        <v>NSE:POWERINDIA</v>
      </c>
    </row>
    <row r="2000" ht="15.75" customHeight="1">
      <c r="A2000" s="32"/>
      <c r="B2000" s="33" t="s">
        <v>398</v>
      </c>
      <c r="C2000" s="33" t="s">
        <v>21</v>
      </c>
      <c r="D2000" s="33" t="s">
        <v>22</v>
      </c>
      <c r="E2000" s="21" t="str">
        <f t="shared" si="4"/>
        <v>NSE:ENGINERSIN</v>
      </c>
    </row>
    <row r="2001" ht="15.75" customHeight="1">
      <c r="A2001" s="32"/>
      <c r="B2001" s="33" t="s">
        <v>884</v>
      </c>
      <c r="C2001" s="33" t="s">
        <v>16</v>
      </c>
      <c r="D2001" s="33" t="s">
        <v>55</v>
      </c>
      <c r="E2001" s="21" t="str">
        <f t="shared" si="4"/>
        <v>NSE:GEOJITFSL</v>
      </c>
    </row>
    <row r="2002" ht="15.75" customHeight="1">
      <c r="A2002" s="32"/>
      <c r="B2002" s="33" t="s">
        <v>928</v>
      </c>
      <c r="C2002" s="33" t="s">
        <v>13</v>
      </c>
      <c r="D2002" s="33" t="s">
        <v>25</v>
      </c>
      <c r="E2002" s="21" t="str">
        <f t="shared" si="4"/>
        <v>NSE:JINDALSTEL</v>
      </c>
    </row>
    <row r="2003" ht="15.75" customHeight="1">
      <c r="A2003" s="32"/>
      <c r="B2003" s="33" t="s">
        <v>400</v>
      </c>
      <c r="C2003" s="33" t="s">
        <v>21</v>
      </c>
      <c r="D2003" s="33" t="s">
        <v>55</v>
      </c>
      <c r="E2003" s="21" t="str">
        <f t="shared" si="4"/>
        <v>NSE:TCI</v>
      </c>
    </row>
    <row r="2004" ht="15.75" customHeight="1">
      <c r="A2004" s="32"/>
      <c r="B2004" s="33" t="s">
        <v>967</v>
      </c>
      <c r="C2004" s="33" t="s">
        <v>16</v>
      </c>
      <c r="D2004" s="33" t="s">
        <v>31</v>
      </c>
      <c r="E2004" s="21" t="str">
        <f t="shared" si="4"/>
        <v>NSE:BFUTILITIE</v>
      </c>
    </row>
    <row r="2005" ht="15.75" customHeight="1">
      <c r="A2005" s="32"/>
      <c r="B2005" s="33" t="s">
        <v>523</v>
      </c>
      <c r="C2005" s="33" t="s">
        <v>16</v>
      </c>
      <c r="D2005" s="33" t="s">
        <v>31</v>
      </c>
      <c r="E2005" s="21" t="str">
        <f t="shared" si="4"/>
        <v>NSE:POKARNA</v>
      </c>
    </row>
    <row r="2006" ht="15.75" customHeight="1">
      <c r="A2006" s="32"/>
      <c r="B2006" s="33" t="s">
        <v>1020</v>
      </c>
      <c r="C2006" s="33" t="s">
        <v>21</v>
      </c>
      <c r="D2006" s="33" t="s">
        <v>22</v>
      </c>
      <c r="E2006" s="21" t="str">
        <f t="shared" si="4"/>
        <v>NSE:AHLUCONT</v>
      </c>
    </row>
    <row r="2007" ht="15.75" customHeight="1">
      <c r="A2007" s="32"/>
      <c r="B2007" s="33" t="s">
        <v>704</v>
      </c>
      <c r="C2007" s="33" t="s">
        <v>13</v>
      </c>
      <c r="D2007" s="33" t="s">
        <v>29</v>
      </c>
      <c r="E2007" s="21" t="str">
        <f t="shared" si="4"/>
        <v>NSE:PAGEIND</v>
      </c>
    </row>
    <row r="2008" ht="15.75" customHeight="1">
      <c r="A2008" s="32"/>
      <c r="B2008" s="33" t="s">
        <v>1021</v>
      </c>
      <c r="C2008" s="33" t="s">
        <v>13</v>
      </c>
      <c r="D2008" s="33" t="s">
        <v>22</v>
      </c>
      <c r="E2008" s="21" t="str">
        <f t="shared" si="4"/>
        <v>NSE:OBEROIRLTY</v>
      </c>
    </row>
    <row r="2009" ht="15.75" customHeight="1">
      <c r="A2009" s="32"/>
      <c r="B2009" s="33" t="s">
        <v>232</v>
      </c>
      <c r="C2009" s="33" t="s">
        <v>21</v>
      </c>
      <c r="D2009" s="33" t="s">
        <v>29</v>
      </c>
      <c r="E2009" s="21" t="str">
        <f t="shared" si="4"/>
        <v>NSE:TRITURBINE</v>
      </c>
    </row>
    <row r="2010" ht="15.75" customHeight="1">
      <c r="A2010" s="32"/>
      <c r="B2010" s="33" t="s">
        <v>1022</v>
      </c>
      <c r="C2010" s="33" t="s">
        <v>21</v>
      </c>
      <c r="D2010" s="33" t="s">
        <v>29</v>
      </c>
      <c r="E2010" s="21" t="str">
        <f t="shared" si="4"/>
        <v>NSE:BECTORFOOD</v>
      </c>
    </row>
    <row r="2011" ht="15.75" customHeight="1">
      <c r="A2011" s="32"/>
      <c r="B2011" s="33" t="s">
        <v>233</v>
      </c>
      <c r="C2011" s="33" t="s">
        <v>21</v>
      </c>
      <c r="D2011" s="33" t="s">
        <v>22</v>
      </c>
      <c r="E2011" s="21" t="str">
        <f t="shared" si="4"/>
        <v>NSE:GRINFRA</v>
      </c>
    </row>
    <row r="2012" ht="15.75" customHeight="1">
      <c r="A2012" s="32"/>
      <c r="B2012" s="33" t="s">
        <v>971</v>
      </c>
      <c r="C2012" s="33" t="s">
        <v>13</v>
      </c>
      <c r="D2012" s="33" t="s">
        <v>29</v>
      </c>
      <c r="E2012" s="21" t="str">
        <f t="shared" si="4"/>
        <v>NSE:BLUESTARCO</v>
      </c>
    </row>
    <row r="2013" ht="15.75" customHeight="1">
      <c r="A2013" s="32"/>
      <c r="B2013" s="33" t="s">
        <v>306</v>
      </c>
      <c r="C2013" s="33" t="s">
        <v>13</v>
      </c>
      <c r="D2013" s="33" t="s">
        <v>29</v>
      </c>
      <c r="E2013" s="21" t="str">
        <f t="shared" si="4"/>
        <v>NSE:TRENT</v>
      </c>
    </row>
    <row r="2014" ht="15.75" customHeight="1">
      <c r="A2014" s="32"/>
      <c r="B2014" s="33" t="s">
        <v>28</v>
      </c>
      <c r="C2014" s="33" t="s">
        <v>16</v>
      </c>
      <c r="D2014" s="33" t="s">
        <v>29</v>
      </c>
      <c r="E2014" s="21" t="str">
        <f t="shared" si="4"/>
        <v>NSE:BBL</v>
      </c>
    </row>
    <row r="2015" ht="15.75" customHeight="1">
      <c r="A2015" s="32"/>
      <c r="B2015" s="33" t="s">
        <v>326</v>
      </c>
      <c r="C2015" s="33" t="s">
        <v>16</v>
      </c>
      <c r="D2015" s="33" t="s">
        <v>22</v>
      </c>
      <c r="E2015" s="21" t="str">
        <f t="shared" si="4"/>
        <v>NSE:INDIANHUME</v>
      </c>
    </row>
    <row r="2016" ht="15.75" customHeight="1">
      <c r="A2016" s="32"/>
      <c r="B2016" s="33" t="s">
        <v>32</v>
      </c>
      <c r="C2016" s="33" t="s">
        <v>21</v>
      </c>
      <c r="D2016" s="33" t="s">
        <v>29</v>
      </c>
      <c r="E2016" s="21" t="str">
        <f t="shared" si="4"/>
        <v>NSE:DYNAMATECH</v>
      </c>
    </row>
    <row r="2017" ht="15.75" customHeight="1">
      <c r="A2017" s="32"/>
      <c r="B2017" s="33" t="s">
        <v>475</v>
      </c>
      <c r="C2017" s="33" t="s">
        <v>16</v>
      </c>
      <c r="D2017" s="33" t="s">
        <v>14</v>
      </c>
      <c r="E2017" s="21" t="str">
        <f t="shared" si="4"/>
        <v>NSE:GUFICBIO</v>
      </c>
    </row>
    <row r="2018" ht="15.75" customHeight="1">
      <c r="A2018" s="32"/>
      <c r="B2018" s="33" t="s">
        <v>1023</v>
      </c>
      <c r="C2018" s="33" t="s">
        <v>21</v>
      </c>
      <c r="D2018" s="33" t="s">
        <v>17</v>
      </c>
      <c r="E2018" s="21" t="str">
        <f t="shared" si="4"/>
        <v>NSE:HARSHA</v>
      </c>
    </row>
    <row r="2019" ht="15.75" customHeight="1">
      <c r="A2019" s="32"/>
      <c r="B2019" s="33" t="s">
        <v>351</v>
      </c>
      <c r="C2019" s="33" t="s">
        <v>16</v>
      </c>
      <c r="D2019" s="33" t="s">
        <v>29</v>
      </c>
      <c r="E2019" s="21" t="str">
        <f t="shared" si="4"/>
        <v>NSE:ROTO</v>
      </c>
    </row>
    <row r="2020" ht="15.75" customHeight="1">
      <c r="A2020" s="32"/>
      <c r="B2020" s="33" t="s">
        <v>1024</v>
      </c>
      <c r="C2020" s="33" t="s">
        <v>13</v>
      </c>
      <c r="D2020" s="33" t="s">
        <v>27</v>
      </c>
      <c r="E2020" s="21" t="str">
        <f t="shared" si="4"/>
        <v>NSE:KEI</v>
      </c>
    </row>
    <row r="2021" ht="15.75" customHeight="1">
      <c r="A2021" s="32"/>
      <c r="B2021" s="33" t="s">
        <v>825</v>
      </c>
      <c r="C2021" s="33" t="s">
        <v>21</v>
      </c>
      <c r="D2021" s="33" t="s">
        <v>22</v>
      </c>
      <c r="E2021" s="21" t="str">
        <f t="shared" si="4"/>
        <v>NSE:RUSTOMJEE</v>
      </c>
    </row>
    <row r="2022" ht="15.75" customHeight="1">
      <c r="A2022" s="32"/>
      <c r="B2022" s="33" t="s">
        <v>977</v>
      </c>
      <c r="C2022" s="33" t="s">
        <v>13</v>
      </c>
      <c r="D2022" s="33" t="s">
        <v>29</v>
      </c>
      <c r="E2022" s="21" t="str">
        <f t="shared" si="4"/>
        <v>NSE:GET&amp;D</v>
      </c>
    </row>
    <row r="2023" ht="15.75" customHeight="1">
      <c r="A2023" s="32"/>
      <c r="B2023" s="33" t="s">
        <v>840</v>
      </c>
      <c r="C2023" s="33" t="s">
        <v>16</v>
      </c>
      <c r="D2023" s="33" t="s">
        <v>29</v>
      </c>
      <c r="E2023" s="21" t="str">
        <f t="shared" si="4"/>
        <v>NSE:JCHAC</v>
      </c>
    </row>
    <row r="2024" ht="15.75" customHeight="1">
      <c r="A2024" s="32"/>
      <c r="B2024" s="33" t="s">
        <v>984</v>
      </c>
      <c r="C2024" s="33" t="s">
        <v>13</v>
      </c>
      <c r="D2024" s="33" t="s">
        <v>27</v>
      </c>
      <c r="E2024" s="21" t="str">
        <f t="shared" si="4"/>
        <v>NSE:LINDEINDIA</v>
      </c>
    </row>
    <row r="2025" ht="15.75" customHeight="1">
      <c r="A2025" s="32"/>
      <c r="B2025" s="33" t="s">
        <v>594</v>
      </c>
      <c r="C2025" s="33" t="s">
        <v>21</v>
      </c>
      <c r="D2025" s="33" t="s">
        <v>27</v>
      </c>
      <c r="E2025" s="21" t="str">
        <f t="shared" si="4"/>
        <v>NSE:RRKABEL</v>
      </c>
    </row>
    <row r="2026" ht="15.75" customHeight="1">
      <c r="A2026" s="32"/>
      <c r="B2026" s="33" t="s">
        <v>370</v>
      </c>
      <c r="C2026" s="33" t="s">
        <v>16</v>
      </c>
      <c r="D2026" s="33" t="s">
        <v>27</v>
      </c>
      <c r="E2026" s="21" t="str">
        <f t="shared" si="4"/>
        <v>NSE:GANDHAR</v>
      </c>
    </row>
    <row r="2027" ht="15.75" customHeight="1">
      <c r="A2027" s="32"/>
      <c r="B2027" s="33" t="s">
        <v>1025</v>
      </c>
      <c r="C2027" s="33" t="s">
        <v>21</v>
      </c>
      <c r="D2027" s="33" t="s">
        <v>27</v>
      </c>
      <c r="E2027" s="21" t="str">
        <f t="shared" si="4"/>
        <v>NSE:AZAD</v>
      </c>
    </row>
    <row r="2028" ht="15.75" customHeight="1">
      <c r="A2028" s="32"/>
      <c r="B2028" s="33" t="s">
        <v>59</v>
      </c>
      <c r="C2028" s="33" t="s">
        <v>13</v>
      </c>
      <c r="D2028" s="33" t="s">
        <v>19</v>
      </c>
      <c r="E2028" s="21" t="str">
        <f t="shared" si="4"/>
        <v>NSE:BDL</v>
      </c>
    </row>
    <row r="2029" ht="15.75" customHeight="1">
      <c r="A2029" s="32"/>
      <c r="B2029" s="33" t="s">
        <v>954</v>
      </c>
      <c r="C2029" s="33" t="s">
        <v>21</v>
      </c>
      <c r="D2029" s="33" t="s">
        <v>39</v>
      </c>
      <c r="E2029" s="21" t="str">
        <f t="shared" si="4"/>
        <v>NSE:SUNDARMHLD</v>
      </c>
    </row>
    <row r="2030" ht="15.75" customHeight="1">
      <c r="A2030" s="32"/>
      <c r="B2030" s="33" t="s">
        <v>603</v>
      </c>
      <c r="C2030" s="33" t="s">
        <v>21</v>
      </c>
      <c r="D2030" s="33" t="s">
        <v>19</v>
      </c>
      <c r="E2030" s="21" t="str">
        <f t="shared" si="4"/>
        <v>NSE:MIDHANI</v>
      </c>
    </row>
    <row r="2031" ht="15.75" customHeight="1">
      <c r="A2031" s="32"/>
      <c r="B2031" s="33" t="s">
        <v>216</v>
      </c>
      <c r="C2031" s="33" t="s">
        <v>21</v>
      </c>
      <c r="D2031" s="33" t="s">
        <v>27</v>
      </c>
      <c r="E2031" s="21" t="str">
        <f t="shared" si="4"/>
        <v>NSE:FINEORG</v>
      </c>
    </row>
    <row r="2032" ht="15.75" customHeight="1">
      <c r="A2032" s="32"/>
      <c r="B2032" s="33" t="s">
        <v>1026</v>
      </c>
      <c r="C2032" s="33" t="s">
        <v>16</v>
      </c>
      <c r="D2032" s="33" t="s">
        <v>27</v>
      </c>
      <c r="E2032" s="21" t="str">
        <f t="shared" si="4"/>
        <v>NSE:SOMANYCERA</v>
      </c>
    </row>
    <row r="2033" ht="15.75" customHeight="1">
      <c r="A2033" s="32"/>
      <c r="B2033" s="33" t="s">
        <v>746</v>
      </c>
      <c r="C2033" s="33" t="s">
        <v>21</v>
      </c>
      <c r="D2033" s="33" t="s">
        <v>37</v>
      </c>
      <c r="E2033" s="21" t="str">
        <f t="shared" si="4"/>
        <v>NSE:AFFLE</v>
      </c>
    </row>
    <row r="2034" ht="15.75" customHeight="1">
      <c r="A2034" s="32"/>
      <c r="B2034" s="33" t="s">
        <v>257</v>
      </c>
      <c r="C2034" s="33" t="s">
        <v>13</v>
      </c>
      <c r="D2034" s="33" t="s">
        <v>27</v>
      </c>
      <c r="E2034" s="21" t="str">
        <f t="shared" si="4"/>
        <v>NSE:MAZDOCK</v>
      </c>
    </row>
    <row r="2035" ht="15.75" customHeight="1">
      <c r="A2035" s="32"/>
      <c r="B2035" s="33" t="s">
        <v>1027</v>
      </c>
      <c r="C2035" s="33" t="s">
        <v>21</v>
      </c>
      <c r="D2035" s="33" t="s">
        <v>19</v>
      </c>
      <c r="E2035" s="21" t="str">
        <f t="shared" si="4"/>
        <v>NSE:ASTRAMICRO</v>
      </c>
    </row>
    <row r="2036" ht="15.75" customHeight="1">
      <c r="A2036" s="32"/>
      <c r="B2036" s="33" t="s">
        <v>1028</v>
      </c>
      <c r="C2036" s="33" t="s">
        <v>21</v>
      </c>
      <c r="D2036" s="33" t="s">
        <v>22</v>
      </c>
      <c r="E2036" s="21" t="str">
        <f t="shared" si="4"/>
        <v>NSE:WELENT</v>
      </c>
    </row>
    <row r="2037" ht="15.75" customHeight="1">
      <c r="A2037" s="32"/>
      <c r="B2037" s="33" t="s">
        <v>285</v>
      </c>
      <c r="C2037" s="33" t="s">
        <v>13</v>
      </c>
      <c r="D2037" s="33" t="s">
        <v>29</v>
      </c>
      <c r="E2037" s="21" t="str">
        <f t="shared" si="4"/>
        <v>NSE:KEC</v>
      </c>
    </row>
    <row r="2038" ht="15.75" customHeight="1">
      <c r="A2038" s="32"/>
      <c r="B2038" s="33" t="s">
        <v>415</v>
      </c>
      <c r="C2038" s="33" t="s">
        <v>21</v>
      </c>
      <c r="D2038" s="33" t="s">
        <v>29</v>
      </c>
      <c r="E2038" s="21" t="str">
        <f t="shared" si="4"/>
        <v>NSE:VOLTAMP</v>
      </c>
    </row>
    <row r="2039" ht="15.75" customHeight="1">
      <c r="A2039" s="32"/>
      <c r="B2039" s="33" t="s">
        <v>1029</v>
      </c>
      <c r="C2039" s="33" t="s">
        <v>21</v>
      </c>
      <c r="D2039" s="33" t="s">
        <v>39</v>
      </c>
      <c r="E2039" s="21" t="str">
        <f t="shared" si="4"/>
        <v>NSE:EDELWEISS</v>
      </c>
    </row>
    <row r="2040" ht="15.75" customHeight="1">
      <c r="A2040" s="32"/>
      <c r="B2040" s="33" t="s">
        <v>1007</v>
      </c>
      <c r="C2040" s="33" t="s">
        <v>13</v>
      </c>
      <c r="D2040" s="33" t="s">
        <v>25</v>
      </c>
      <c r="E2040" s="21" t="str">
        <f t="shared" si="4"/>
        <v>NSE:APLAPOLLO</v>
      </c>
    </row>
    <row r="2041" ht="15.75" customHeight="1">
      <c r="A2041" s="32"/>
      <c r="B2041" s="33" t="s">
        <v>191</v>
      </c>
      <c r="C2041" s="33" t="s">
        <v>21</v>
      </c>
      <c r="D2041" s="33" t="s">
        <v>29</v>
      </c>
      <c r="E2041" s="21" t="str">
        <f t="shared" si="4"/>
        <v>NSE:VMART</v>
      </c>
    </row>
    <row r="2042" ht="15.75" customHeight="1">
      <c r="A2042" s="32"/>
      <c r="B2042" s="33" t="s">
        <v>262</v>
      </c>
      <c r="C2042" s="33" t="s">
        <v>13</v>
      </c>
      <c r="D2042" s="33" t="s">
        <v>37</v>
      </c>
      <c r="E2042" s="21" t="str">
        <f t="shared" si="4"/>
        <v>NSE:POLICYBZR</v>
      </c>
    </row>
    <row r="2043" ht="15.75" customHeight="1">
      <c r="A2043" s="32"/>
      <c r="B2043" s="33" t="s">
        <v>669</v>
      </c>
      <c r="C2043" s="33" t="s">
        <v>21</v>
      </c>
      <c r="D2043" s="33" t="s">
        <v>37</v>
      </c>
      <c r="E2043" s="21" t="str">
        <f t="shared" si="4"/>
        <v>NSE:MAPMYINDIA</v>
      </c>
    </row>
    <row r="2044" ht="15.75" customHeight="1">
      <c r="A2044" s="32"/>
      <c r="B2044" s="33" t="s">
        <v>194</v>
      </c>
      <c r="C2044" s="33" t="s">
        <v>21</v>
      </c>
      <c r="D2044" s="33" t="s">
        <v>31</v>
      </c>
      <c r="E2044" s="21" t="str">
        <f t="shared" si="4"/>
        <v>NSE:CMSINFO</v>
      </c>
    </row>
    <row r="2045" ht="15.75" customHeight="1">
      <c r="A2045" s="32"/>
      <c r="B2045" s="33" t="s">
        <v>555</v>
      </c>
      <c r="C2045" s="33" t="s">
        <v>21</v>
      </c>
      <c r="D2045" s="33" t="s">
        <v>29</v>
      </c>
      <c r="E2045" s="21" t="str">
        <f t="shared" si="4"/>
        <v>NSE:BAJAJELEC</v>
      </c>
    </row>
    <row r="2046" ht="15.75" customHeight="1">
      <c r="A2046" s="32"/>
      <c r="B2046" s="33" t="s">
        <v>1030</v>
      </c>
      <c r="C2046" s="33" t="s">
        <v>16</v>
      </c>
      <c r="D2046" s="33" t="s">
        <v>27</v>
      </c>
      <c r="E2046" s="21" t="str">
        <f t="shared" si="4"/>
        <v>NSE:BHARATRAS</v>
      </c>
    </row>
    <row r="2047" ht="15.75" customHeight="1">
      <c r="A2047" s="32"/>
      <c r="B2047" s="33" t="s">
        <v>908</v>
      </c>
      <c r="C2047" s="33" t="s">
        <v>13</v>
      </c>
      <c r="D2047" s="33" t="s">
        <v>27</v>
      </c>
      <c r="E2047" s="21" t="str">
        <f t="shared" si="4"/>
        <v>NSE:CENTURYTEX</v>
      </c>
    </row>
    <row r="2048" ht="15.75" customHeight="1">
      <c r="A2048" s="32"/>
      <c r="B2048" s="33" t="s">
        <v>18</v>
      </c>
      <c r="C2048" s="33" t="s">
        <v>13</v>
      </c>
      <c r="D2048" s="33" t="s">
        <v>19</v>
      </c>
      <c r="E2048" s="21" t="str">
        <f t="shared" si="4"/>
        <v>NSE:BEL</v>
      </c>
    </row>
    <row r="2049" ht="15.75" customHeight="1">
      <c r="A2049" s="32"/>
      <c r="B2049" s="33" t="s">
        <v>1031</v>
      </c>
      <c r="C2049" s="33" t="s">
        <v>16</v>
      </c>
      <c r="D2049" s="33" t="s">
        <v>25</v>
      </c>
      <c r="E2049" s="21" t="str">
        <f t="shared" si="4"/>
        <v>NSE:MAITHANALL</v>
      </c>
    </row>
    <row r="2050" ht="15.75" customHeight="1">
      <c r="A2050" s="32"/>
      <c r="B2050" s="33" t="s">
        <v>899</v>
      </c>
      <c r="C2050" s="33" t="s">
        <v>13</v>
      </c>
      <c r="D2050" s="33" t="s">
        <v>29</v>
      </c>
      <c r="E2050" s="21" t="str">
        <f t="shared" si="4"/>
        <v>NSE:BHEL</v>
      </c>
    </row>
    <row r="2051" ht="15.75" customHeight="1">
      <c r="A2051" s="32"/>
      <c r="B2051" s="33" t="s">
        <v>713</v>
      </c>
      <c r="C2051" s="33" t="s">
        <v>21</v>
      </c>
      <c r="D2051" s="33" t="s">
        <v>29</v>
      </c>
      <c r="E2051" s="21" t="str">
        <f t="shared" si="4"/>
        <v>NSE:EIDPARRY</v>
      </c>
    </row>
    <row r="2052" ht="15.75" customHeight="1">
      <c r="A2052" s="32"/>
      <c r="B2052" s="33" t="s">
        <v>241</v>
      </c>
      <c r="C2052" s="33" t="s">
        <v>13</v>
      </c>
      <c r="D2052" s="33" t="s">
        <v>25</v>
      </c>
      <c r="E2052" s="21" t="str">
        <f t="shared" si="4"/>
        <v>NSE:JSWSTEEL</v>
      </c>
    </row>
    <row r="2053" ht="15.75" customHeight="1">
      <c r="A2053" s="32"/>
      <c r="B2053" s="33" t="s">
        <v>242</v>
      </c>
      <c r="C2053" s="33" t="s">
        <v>13</v>
      </c>
      <c r="D2053" s="33" t="s">
        <v>29</v>
      </c>
      <c r="E2053" s="21" t="str">
        <f t="shared" si="4"/>
        <v>NSE:WHIRLPOOL</v>
      </c>
    </row>
    <row r="2054" ht="15.75" customHeight="1">
      <c r="A2054" s="32"/>
      <c r="B2054" s="33" t="s">
        <v>900</v>
      </c>
      <c r="C2054" s="33" t="s">
        <v>13</v>
      </c>
      <c r="D2054" s="33" t="s">
        <v>27</v>
      </c>
      <c r="E2054" s="21" t="str">
        <f t="shared" si="4"/>
        <v>NSE:VEDL</v>
      </c>
    </row>
    <row r="2055" ht="15.75" customHeight="1">
      <c r="A2055" s="32"/>
      <c r="B2055" s="33" t="s">
        <v>1032</v>
      </c>
      <c r="C2055" s="33" t="s">
        <v>21</v>
      </c>
      <c r="D2055" s="33" t="s">
        <v>29</v>
      </c>
      <c r="E2055" s="21" t="str">
        <f t="shared" si="4"/>
        <v>NSE:ELECON</v>
      </c>
    </row>
    <row r="2056" ht="15.75" customHeight="1">
      <c r="A2056" s="32"/>
      <c r="B2056" s="33" t="s">
        <v>1033</v>
      </c>
      <c r="C2056" s="33" t="s">
        <v>16</v>
      </c>
      <c r="D2056" s="33" t="s">
        <v>17</v>
      </c>
      <c r="E2056" s="21" t="str">
        <f t="shared" si="4"/>
        <v>NSE:FMGOETZE</v>
      </c>
    </row>
    <row r="2057" ht="15.75" customHeight="1">
      <c r="A2057" s="32"/>
      <c r="B2057" s="33" t="s">
        <v>717</v>
      </c>
      <c r="C2057" s="33" t="s">
        <v>16</v>
      </c>
      <c r="D2057" s="33" t="s">
        <v>27</v>
      </c>
      <c r="E2057" s="21" t="str">
        <f t="shared" si="4"/>
        <v>NSE:SADHNANIQ</v>
      </c>
    </row>
    <row r="2058" ht="15.75" customHeight="1">
      <c r="A2058" s="32"/>
      <c r="B2058" s="33" t="s">
        <v>203</v>
      </c>
      <c r="C2058" s="33" t="s">
        <v>21</v>
      </c>
      <c r="D2058" s="33" t="s">
        <v>22</v>
      </c>
      <c r="E2058" s="21" t="str">
        <f t="shared" si="4"/>
        <v>NSE:ITDCEM</v>
      </c>
    </row>
    <row r="2059" ht="15.75" customHeight="1">
      <c r="A2059" s="32"/>
      <c r="B2059" s="33" t="s">
        <v>1034</v>
      </c>
      <c r="C2059" s="33" t="s">
        <v>16</v>
      </c>
      <c r="D2059" s="33" t="s">
        <v>39</v>
      </c>
      <c r="E2059" s="21" t="str">
        <f t="shared" si="4"/>
        <v>NSE:UGROCAP</v>
      </c>
    </row>
    <row r="2060" ht="15.75" customHeight="1">
      <c r="A2060" s="32"/>
      <c r="B2060" s="33" t="s">
        <v>345</v>
      </c>
      <c r="C2060" s="33" t="s">
        <v>21</v>
      </c>
      <c r="D2060" s="33" t="s">
        <v>37</v>
      </c>
      <c r="E2060" s="21" t="str">
        <f t="shared" si="4"/>
        <v>NSE:EMUDHRA</v>
      </c>
    </row>
    <row r="2061" ht="15.75" customHeight="1">
      <c r="A2061" s="32"/>
      <c r="B2061" s="33" t="s">
        <v>204</v>
      </c>
      <c r="C2061" s="33" t="s">
        <v>21</v>
      </c>
      <c r="D2061" s="33" t="s">
        <v>27</v>
      </c>
      <c r="E2061" s="21" t="str">
        <f t="shared" si="4"/>
        <v>NSE:AETHER</v>
      </c>
    </row>
    <row r="2062" ht="15.75" customHeight="1">
      <c r="A2062" s="32"/>
      <c r="B2062" s="33" t="s">
        <v>757</v>
      </c>
      <c r="C2062" s="33" t="s">
        <v>16</v>
      </c>
      <c r="D2062" s="33" t="s">
        <v>53</v>
      </c>
      <c r="E2062" s="21" t="str">
        <f t="shared" si="4"/>
        <v>NSE:GANECOS</v>
      </c>
    </row>
    <row r="2063" ht="15.75" customHeight="1">
      <c r="A2063" s="32"/>
      <c r="B2063" s="33" t="s">
        <v>348</v>
      </c>
      <c r="C2063" s="33" t="s">
        <v>21</v>
      </c>
      <c r="D2063" s="33" t="s">
        <v>17</v>
      </c>
      <c r="E2063" s="21" t="str">
        <f t="shared" si="4"/>
        <v>NSE:PRICOLLTD</v>
      </c>
    </row>
    <row r="2064" ht="15.75" customHeight="1">
      <c r="A2064" s="32"/>
      <c r="B2064" s="33" t="s">
        <v>1035</v>
      </c>
      <c r="C2064" s="33" t="s">
        <v>16</v>
      </c>
      <c r="D2064" s="33" t="s">
        <v>27</v>
      </c>
      <c r="E2064" s="21" t="str">
        <f t="shared" si="4"/>
        <v>NSE:VISHNU</v>
      </c>
    </row>
    <row r="2065" ht="15.75" customHeight="1">
      <c r="A2065" s="32"/>
      <c r="B2065" s="33" t="s">
        <v>479</v>
      </c>
      <c r="C2065" s="33" t="s">
        <v>16</v>
      </c>
      <c r="D2065" s="33" t="s">
        <v>17</v>
      </c>
      <c r="E2065" s="21" t="str">
        <f t="shared" si="4"/>
        <v>NSE:LUMAXIND</v>
      </c>
    </row>
    <row r="2066" ht="15.75" customHeight="1">
      <c r="A2066" s="32"/>
      <c r="B2066" s="33" t="s">
        <v>1036</v>
      </c>
      <c r="C2066" s="33" t="s">
        <v>13</v>
      </c>
      <c r="D2066" s="33" t="s">
        <v>27</v>
      </c>
      <c r="E2066" s="21" t="str">
        <f t="shared" si="4"/>
        <v>NSE:NMDC</v>
      </c>
    </row>
    <row r="2067" ht="15.75" customHeight="1">
      <c r="A2067" s="32"/>
      <c r="B2067" s="33" t="s">
        <v>923</v>
      </c>
      <c r="C2067" s="33" t="s">
        <v>16</v>
      </c>
      <c r="D2067" s="33" t="s">
        <v>29</v>
      </c>
      <c r="E2067" s="21" t="str">
        <f t="shared" si="4"/>
        <v>NSE:DOLLAR</v>
      </c>
    </row>
    <row r="2068" ht="15.75" customHeight="1">
      <c r="A2068" s="32"/>
      <c r="B2068" s="33" t="s">
        <v>1037</v>
      </c>
      <c r="C2068" s="33" t="s">
        <v>16</v>
      </c>
      <c r="D2068" s="33" t="s">
        <v>27</v>
      </c>
      <c r="E2068" s="21" t="str">
        <f t="shared" si="4"/>
        <v>NSE:IFGLEXPOR</v>
      </c>
    </row>
    <row r="2069" ht="15.75" customHeight="1">
      <c r="A2069" s="32"/>
      <c r="B2069" s="33" t="s">
        <v>377</v>
      </c>
      <c r="C2069" s="33" t="s">
        <v>16</v>
      </c>
      <c r="D2069" s="33" t="s">
        <v>27</v>
      </c>
      <c r="E2069" s="21" t="str">
        <f t="shared" si="4"/>
        <v>NSE:LAOPALA</v>
      </c>
    </row>
    <row r="2070" ht="15.75" customHeight="1">
      <c r="A2070" s="32"/>
      <c r="B2070" s="33" t="s">
        <v>600</v>
      </c>
      <c r="C2070" s="33" t="s">
        <v>21</v>
      </c>
      <c r="D2070" s="33" t="s">
        <v>27</v>
      </c>
      <c r="E2070" s="21" t="str">
        <f t="shared" si="4"/>
        <v>NSE:GUJALKALI</v>
      </c>
    </row>
    <row r="2071" ht="15.75" customHeight="1">
      <c r="A2071" s="32"/>
      <c r="B2071" s="33" t="s">
        <v>57</v>
      </c>
      <c r="C2071" s="33" t="s">
        <v>21</v>
      </c>
      <c r="D2071" s="33" t="s">
        <v>14</v>
      </c>
      <c r="E2071" s="21" t="str">
        <f t="shared" si="4"/>
        <v>NSE:JUBLPHARMA</v>
      </c>
    </row>
    <row r="2072" ht="15.75" customHeight="1">
      <c r="A2072" s="32"/>
      <c r="B2072" s="33" t="s">
        <v>382</v>
      </c>
      <c r="C2072" s="33" t="s">
        <v>21</v>
      </c>
      <c r="D2072" s="33" t="s">
        <v>29</v>
      </c>
      <c r="E2072" s="21" t="str">
        <f t="shared" si="4"/>
        <v>NSE:GENUSPOWER</v>
      </c>
    </row>
    <row r="2073" ht="15.75" customHeight="1">
      <c r="A2073" s="32"/>
      <c r="B2073" s="33" t="s">
        <v>1038</v>
      </c>
      <c r="C2073" s="33" t="s">
        <v>16</v>
      </c>
      <c r="D2073" s="33" t="s">
        <v>53</v>
      </c>
      <c r="E2073" s="21" t="str">
        <f t="shared" si="4"/>
        <v>NSE:TCNSBRANDS</v>
      </c>
    </row>
    <row r="2074" ht="15.75" customHeight="1">
      <c r="A2074" s="32"/>
      <c r="B2074" s="33" t="s">
        <v>182</v>
      </c>
      <c r="C2074" s="33" t="s">
        <v>21</v>
      </c>
      <c r="D2074" s="33" t="s">
        <v>19</v>
      </c>
      <c r="E2074" s="21" t="str">
        <f t="shared" si="4"/>
        <v>NSE:GRSE</v>
      </c>
    </row>
    <row r="2075" ht="15.75" customHeight="1">
      <c r="A2075" s="32"/>
      <c r="B2075" s="33" t="s">
        <v>388</v>
      </c>
      <c r="C2075" s="33" t="s">
        <v>16</v>
      </c>
      <c r="D2075" s="33" t="s">
        <v>27</v>
      </c>
      <c r="E2075" s="21" t="str">
        <f t="shared" si="4"/>
        <v>NSE:ALICON</v>
      </c>
    </row>
    <row r="2076" ht="15.75" customHeight="1">
      <c r="A2076" s="32"/>
      <c r="B2076" s="33" t="s">
        <v>1039</v>
      </c>
      <c r="C2076" s="33" t="s">
        <v>13</v>
      </c>
      <c r="D2076" s="33" t="s">
        <v>55</v>
      </c>
      <c r="E2076" s="21" t="str">
        <f t="shared" si="4"/>
        <v>NSE:CONCOR</v>
      </c>
    </row>
    <row r="2077" ht="15.75" customHeight="1">
      <c r="A2077" s="32"/>
      <c r="B2077" s="33" t="s">
        <v>999</v>
      </c>
      <c r="C2077" s="33" t="s">
        <v>13</v>
      </c>
      <c r="D2077" s="33" t="s">
        <v>31</v>
      </c>
      <c r="E2077" s="21" t="str">
        <f t="shared" si="4"/>
        <v>NSE:IRCTC</v>
      </c>
    </row>
    <row r="2078" ht="15.75" customHeight="1">
      <c r="A2078" s="32"/>
      <c r="B2078" s="33" t="s">
        <v>905</v>
      </c>
      <c r="C2078" s="33" t="s">
        <v>16</v>
      </c>
      <c r="D2078" s="33" t="s">
        <v>27</v>
      </c>
      <c r="E2078" s="21" t="str">
        <f t="shared" si="4"/>
        <v>NSE:VIDHIING</v>
      </c>
    </row>
    <row r="2079" ht="15.75" customHeight="1">
      <c r="A2079" s="32"/>
      <c r="B2079" s="33" t="s">
        <v>1015</v>
      </c>
      <c r="C2079" s="33" t="s">
        <v>21</v>
      </c>
      <c r="D2079" s="33" t="s">
        <v>37</v>
      </c>
      <c r="E2079" s="21" t="str">
        <f t="shared" si="4"/>
        <v>NSE:HAPPSTMNDS</v>
      </c>
    </row>
    <row r="2080" ht="15.75" customHeight="1">
      <c r="A2080" s="32"/>
      <c r="B2080" s="33" t="s">
        <v>516</v>
      </c>
      <c r="C2080" s="33" t="s">
        <v>21</v>
      </c>
      <c r="D2080" s="33" t="s">
        <v>373</v>
      </c>
      <c r="E2080" s="21" t="str">
        <f t="shared" si="4"/>
        <v>NSE:CAMS</v>
      </c>
    </row>
    <row r="2081" ht="15.75" customHeight="1">
      <c r="A2081" s="32"/>
      <c r="B2081" s="33" t="s">
        <v>1040</v>
      </c>
      <c r="C2081" s="33" t="s">
        <v>13</v>
      </c>
      <c r="D2081" s="33" t="s">
        <v>25</v>
      </c>
      <c r="E2081" s="21" t="str">
        <f t="shared" si="4"/>
        <v>NSE:NATIONALUM</v>
      </c>
    </row>
    <row r="2082" ht="15.75" customHeight="1">
      <c r="A2082" s="32"/>
      <c r="B2082" s="33" t="s">
        <v>878</v>
      </c>
      <c r="C2082" s="33" t="s">
        <v>13</v>
      </c>
      <c r="D2082" s="33" t="s">
        <v>156</v>
      </c>
      <c r="E2082" s="21" t="str">
        <f t="shared" si="4"/>
        <v>NSE:BHARTIARTL</v>
      </c>
    </row>
    <row r="2083" ht="15.75" customHeight="1">
      <c r="A2083" s="32"/>
      <c r="B2083" s="33" t="s">
        <v>522</v>
      </c>
      <c r="C2083" s="33" t="s">
        <v>16</v>
      </c>
      <c r="D2083" s="33" t="s">
        <v>25</v>
      </c>
      <c r="E2083" s="21" t="str">
        <f t="shared" si="4"/>
        <v>NSE:ISMTLTD</v>
      </c>
    </row>
    <row r="2084" ht="15.75" customHeight="1">
      <c r="A2084" s="32"/>
      <c r="B2084" s="33" t="s">
        <v>414</v>
      </c>
      <c r="C2084" s="33" t="s">
        <v>13</v>
      </c>
      <c r="D2084" s="33" t="s">
        <v>27</v>
      </c>
      <c r="E2084" s="21" t="str">
        <f t="shared" si="4"/>
        <v>NSE:CIEINDIA</v>
      </c>
    </row>
    <row r="2085" ht="15.75" customHeight="1">
      <c r="A2085" s="32"/>
      <c r="B2085" s="33" t="s">
        <v>731</v>
      </c>
      <c r="C2085" s="33" t="s">
        <v>21</v>
      </c>
      <c r="D2085" s="33" t="s">
        <v>29</v>
      </c>
      <c r="E2085" s="21" t="str">
        <f t="shared" si="4"/>
        <v>NSE:LTFOODS</v>
      </c>
    </row>
    <row r="2086" ht="15.75" customHeight="1">
      <c r="A2086" s="32"/>
      <c r="B2086" s="33" t="s">
        <v>1041</v>
      </c>
      <c r="C2086" s="33" t="s">
        <v>21</v>
      </c>
      <c r="D2086" s="33" t="s">
        <v>25</v>
      </c>
      <c r="E2086" s="21" t="str">
        <f t="shared" si="4"/>
        <v>NSE:TIIL</v>
      </c>
    </row>
    <row r="2087" ht="15.75" customHeight="1">
      <c r="A2087" s="32"/>
      <c r="B2087" s="33" t="s">
        <v>661</v>
      </c>
      <c r="C2087" s="33" t="s">
        <v>16</v>
      </c>
      <c r="D2087" s="33" t="s">
        <v>31</v>
      </c>
      <c r="E2087" s="21" t="str">
        <f t="shared" si="4"/>
        <v>NSE:DELTACORP</v>
      </c>
    </row>
    <row r="2088" ht="15.75" customHeight="1">
      <c r="A2088" s="32"/>
      <c r="B2088" s="33" t="s">
        <v>791</v>
      </c>
      <c r="C2088" s="33" t="s">
        <v>21</v>
      </c>
      <c r="D2088" s="33" t="s">
        <v>29</v>
      </c>
      <c r="E2088" s="21" t="str">
        <f t="shared" si="4"/>
        <v>NSE:TIMETECHNO</v>
      </c>
    </row>
    <row r="2089" ht="15.75" customHeight="1">
      <c r="A2089" s="32"/>
      <c r="B2089" s="33" t="s">
        <v>1042</v>
      </c>
      <c r="C2089" s="33" t="s">
        <v>13</v>
      </c>
      <c r="D2089" s="33" t="s">
        <v>22</v>
      </c>
      <c r="E2089" s="21" t="str">
        <f t="shared" si="4"/>
        <v>NSE:BRIGADE</v>
      </c>
    </row>
    <row r="2090" ht="15.75" customHeight="1">
      <c r="A2090" s="32"/>
      <c r="B2090" s="33" t="s">
        <v>1043</v>
      </c>
      <c r="C2090" s="33" t="s">
        <v>21</v>
      </c>
      <c r="D2090" s="33" t="s">
        <v>27</v>
      </c>
      <c r="E2090" s="21" t="str">
        <f t="shared" si="4"/>
        <v>NSE:MOIL</v>
      </c>
    </row>
    <row r="2091" ht="15.75" customHeight="1">
      <c r="A2091" s="32"/>
      <c r="B2091" s="33" t="s">
        <v>536</v>
      </c>
      <c r="C2091" s="33" t="s">
        <v>21</v>
      </c>
      <c r="D2091" s="33" t="s">
        <v>29</v>
      </c>
      <c r="E2091" s="21" t="str">
        <f t="shared" si="4"/>
        <v>NSE:TDPOWERSYS</v>
      </c>
    </row>
    <row r="2092" ht="15.75" customHeight="1">
      <c r="A2092" s="32"/>
      <c r="B2092" s="33" t="s">
        <v>1044</v>
      </c>
      <c r="C2092" s="33" t="s">
        <v>21</v>
      </c>
      <c r="D2092" s="33" t="s">
        <v>27</v>
      </c>
      <c r="E2092" s="21" t="str">
        <f t="shared" si="4"/>
        <v>NSE:RHIM</v>
      </c>
    </row>
    <row r="2093" ht="15.75" customHeight="1">
      <c r="A2093" s="32"/>
      <c r="B2093" s="33" t="s">
        <v>944</v>
      </c>
      <c r="C2093" s="33" t="s">
        <v>13</v>
      </c>
      <c r="D2093" s="33" t="s">
        <v>29</v>
      </c>
      <c r="E2093" s="21" t="str">
        <f t="shared" si="4"/>
        <v>NSE:SCHNEIDER</v>
      </c>
    </row>
    <row r="2094" ht="15.75" customHeight="1">
      <c r="A2094" s="32"/>
      <c r="B2094" s="33" t="s">
        <v>543</v>
      </c>
      <c r="C2094" s="33" t="s">
        <v>21</v>
      </c>
      <c r="D2094" s="33" t="s">
        <v>19</v>
      </c>
      <c r="E2094" s="21" t="str">
        <f t="shared" si="4"/>
        <v>NSE:MTARTECH</v>
      </c>
    </row>
    <row r="2095" ht="15.75" customHeight="1">
      <c r="A2095" s="32"/>
      <c r="B2095" s="33" t="s">
        <v>436</v>
      </c>
      <c r="C2095" s="33" t="s">
        <v>21</v>
      </c>
      <c r="D2095" s="33" t="s">
        <v>29</v>
      </c>
      <c r="E2095" s="21" t="str">
        <f t="shared" si="4"/>
        <v>NSE:DODLA</v>
      </c>
    </row>
    <row r="2096" ht="15.75" customHeight="1">
      <c r="A2096" s="32"/>
      <c r="B2096" s="33" t="s">
        <v>1045</v>
      </c>
      <c r="C2096" s="33" t="s">
        <v>21</v>
      </c>
      <c r="D2096" s="33" t="s">
        <v>27</v>
      </c>
      <c r="E2096" s="21" t="str">
        <f t="shared" si="4"/>
        <v>NSE:CHEMPLASTS</v>
      </c>
    </row>
    <row r="2097" ht="15.75" customHeight="1">
      <c r="A2097" s="32"/>
      <c r="B2097" s="33" t="s">
        <v>619</v>
      </c>
      <c r="C2097" s="33" t="s">
        <v>21</v>
      </c>
      <c r="D2097" s="33" t="s">
        <v>14</v>
      </c>
      <c r="E2097" s="21" t="str">
        <f t="shared" si="4"/>
        <v>NSE:AMIORG</v>
      </c>
    </row>
    <row r="2098" ht="15.75" customHeight="1">
      <c r="A2098" s="32"/>
      <c r="B2098" s="33" t="s">
        <v>620</v>
      </c>
      <c r="C2098" s="33" t="s">
        <v>21</v>
      </c>
      <c r="D2098" s="33" t="s">
        <v>19</v>
      </c>
      <c r="E2098" s="21" t="str">
        <f t="shared" si="4"/>
        <v>NSE:PARAS</v>
      </c>
    </row>
    <row r="2099" ht="15.75" customHeight="1">
      <c r="A2099" s="32"/>
      <c r="B2099" s="33" t="s">
        <v>548</v>
      </c>
      <c r="C2099" s="33" t="s">
        <v>13</v>
      </c>
      <c r="D2099" s="33" t="s">
        <v>37</v>
      </c>
      <c r="E2099" s="21" t="str">
        <f t="shared" si="4"/>
        <v>NSE:PAYTM</v>
      </c>
    </row>
    <row r="2100" ht="15.75" customHeight="1">
      <c r="A2100" s="32"/>
      <c r="B2100" s="33" t="s">
        <v>442</v>
      </c>
      <c r="C2100" s="33" t="s">
        <v>21</v>
      </c>
      <c r="D2100" s="33" t="s">
        <v>19</v>
      </c>
      <c r="E2100" s="21" t="str">
        <f t="shared" si="4"/>
        <v>NSE:DATAPATTNS</v>
      </c>
    </row>
    <row r="2101" ht="15.75" customHeight="1">
      <c r="A2101" s="32"/>
      <c r="B2101" s="33" t="s">
        <v>766</v>
      </c>
      <c r="C2101" s="33" t="s">
        <v>16</v>
      </c>
      <c r="D2101" s="33" t="s">
        <v>55</v>
      </c>
      <c r="E2101" s="21" t="str">
        <f t="shared" si="4"/>
        <v>NSE:VRLLOG</v>
      </c>
    </row>
    <row r="2102" ht="15.75" customHeight="1">
      <c r="A2102" s="32"/>
      <c r="B2102" s="33" t="s">
        <v>885</v>
      </c>
      <c r="C2102" s="33" t="s">
        <v>16</v>
      </c>
      <c r="D2102" s="33" t="s">
        <v>53</v>
      </c>
      <c r="E2102" s="21" t="str">
        <f t="shared" si="4"/>
        <v>NSE:LUXIND</v>
      </c>
    </row>
    <row r="2103" ht="15.75" customHeight="1">
      <c r="A2103" s="32"/>
      <c r="B2103" s="33" t="s">
        <v>108</v>
      </c>
      <c r="C2103" s="33" t="s">
        <v>16</v>
      </c>
      <c r="D2103" s="33" t="s">
        <v>31</v>
      </c>
      <c r="E2103" s="21" t="str">
        <f t="shared" si="4"/>
        <v>NSE:TEAMLEASE</v>
      </c>
    </row>
    <row r="2104" ht="15.75" customHeight="1">
      <c r="A2104" s="32"/>
      <c r="B2104" s="33" t="s">
        <v>195</v>
      </c>
      <c r="C2104" s="33" t="s">
        <v>16</v>
      </c>
      <c r="D2104" s="33" t="s">
        <v>55</v>
      </c>
      <c r="E2104" s="21" t="str">
        <f t="shared" si="4"/>
        <v>NSE:TCIEXP</v>
      </c>
    </row>
    <row r="2105" ht="15.75" customHeight="1">
      <c r="A2105" s="32"/>
      <c r="B2105" s="33" t="s">
        <v>1046</v>
      </c>
      <c r="C2105" s="33" t="s">
        <v>21</v>
      </c>
      <c r="D2105" s="33" t="s">
        <v>29</v>
      </c>
      <c r="E2105" s="21" t="str">
        <f t="shared" si="4"/>
        <v>NSE:KSB</v>
      </c>
    </row>
    <row r="2106" ht="15.75" customHeight="1">
      <c r="A2106" s="32"/>
      <c r="B2106" s="33" t="s">
        <v>737</v>
      </c>
      <c r="C2106" s="33" t="s">
        <v>16</v>
      </c>
      <c r="D2106" s="33" t="s">
        <v>64</v>
      </c>
      <c r="E2106" s="21" t="str">
        <f t="shared" si="4"/>
        <v>NSE:MANALIPETC</v>
      </c>
    </row>
    <row r="2107" ht="15.75" customHeight="1">
      <c r="A2107" s="32"/>
      <c r="B2107" s="33" t="s">
        <v>1047</v>
      </c>
      <c r="C2107" s="33" t="s">
        <v>16</v>
      </c>
      <c r="D2107" s="33" t="s">
        <v>29</v>
      </c>
      <c r="E2107" s="21" t="str">
        <f t="shared" si="4"/>
        <v>NSE:SWARAJENG</v>
      </c>
    </row>
    <row r="2108" ht="15.75" customHeight="1">
      <c r="A2108" s="32"/>
      <c r="B2108" s="33" t="s">
        <v>756</v>
      </c>
      <c r="C2108" s="33" t="s">
        <v>16</v>
      </c>
      <c r="D2108" s="33" t="s">
        <v>27</v>
      </c>
      <c r="E2108" s="21" t="str">
        <f t="shared" si="4"/>
        <v>NSE:UNIVCABLES</v>
      </c>
    </row>
    <row r="2109" ht="15.75" customHeight="1">
      <c r="A2109" s="32"/>
      <c r="B2109" s="33" t="s">
        <v>472</v>
      </c>
      <c r="C2109" s="33" t="s">
        <v>16</v>
      </c>
      <c r="D2109" s="33" t="s">
        <v>17</v>
      </c>
      <c r="E2109" s="21" t="str">
        <f t="shared" si="4"/>
        <v>NSE:TALBROAUTO</v>
      </c>
    </row>
    <row r="2110" ht="15.75" customHeight="1">
      <c r="A2110" s="32"/>
      <c r="B2110" s="33" t="s">
        <v>1048</v>
      </c>
      <c r="C2110" s="33" t="s">
        <v>21</v>
      </c>
      <c r="D2110" s="33" t="s">
        <v>29</v>
      </c>
      <c r="E2110" s="21" t="str">
        <f t="shared" si="4"/>
        <v>NSE:TI</v>
      </c>
    </row>
    <row r="2111" ht="15.75" customHeight="1">
      <c r="A2111" s="32"/>
      <c r="B2111" s="33" t="s">
        <v>824</v>
      </c>
      <c r="C2111" s="33" t="s">
        <v>21</v>
      </c>
      <c r="D2111" s="33" t="s">
        <v>29</v>
      </c>
      <c r="E2111" s="21" t="str">
        <f t="shared" si="4"/>
        <v>NSE:VSTIND</v>
      </c>
    </row>
    <row r="2112" ht="15.75" customHeight="1">
      <c r="A2112" s="32"/>
      <c r="B2112" s="33" t="s">
        <v>1049</v>
      </c>
      <c r="C2112" s="33" t="s">
        <v>21</v>
      </c>
      <c r="D2112" s="33" t="s">
        <v>29</v>
      </c>
      <c r="E2112" s="21" t="str">
        <f t="shared" si="4"/>
        <v>NSE:SAFARI</v>
      </c>
    </row>
    <row r="2113" ht="15.75" customHeight="1">
      <c r="A2113" s="32"/>
      <c r="B2113" s="33" t="s">
        <v>637</v>
      </c>
      <c r="C2113" s="33" t="s">
        <v>21</v>
      </c>
      <c r="D2113" s="33" t="s">
        <v>27</v>
      </c>
      <c r="E2113" s="21" t="str">
        <f t="shared" si="4"/>
        <v>NSE:VINATIORGA</v>
      </c>
    </row>
    <row r="2114" ht="15.75" customHeight="1">
      <c r="A2114" s="32"/>
      <c r="B2114" s="33" t="s">
        <v>589</v>
      </c>
      <c r="C2114" s="33" t="s">
        <v>21</v>
      </c>
      <c r="D2114" s="33" t="s">
        <v>55</v>
      </c>
      <c r="E2114" s="21" t="str">
        <f t="shared" si="4"/>
        <v>NSE:TVSSCS</v>
      </c>
    </row>
    <row r="2115" ht="15.75" customHeight="1">
      <c r="A2115" s="32"/>
      <c r="B2115" s="33" t="s">
        <v>51</v>
      </c>
      <c r="C2115" s="33" t="s">
        <v>13</v>
      </c>
      <c r="D2115" s="33" t="s">
        <v>19</v>
      </c>
      <c r="E2115" s="21" t="str">
        <f t="shared" si="4"/>
        <v>NSE:COCHINSHIP</v>
      </c>
    </row>
    <row r="2116" ht="15.75" customHeight="1">
      <c r="A2116" s="32"/>
      <c r="B2116" s="33" t="s">
        <v>362</v>
      </c>
      <c r="C2116" s="33" t="s">
        <v>13</v>
      </c>
      <c r="D2116" s="33" t="s">
        <v>29</v>
      </c>
      <c r="E2116" s="21" t="str">
        <f t="shared" si="4"/>
        <v>NSE:DIXON</v>
      </c>
    </row>
    <row r="2117" ht="15.75" customHeight="1">
      <c r="A2117" s="32"/>
      <c r="B2117" s="33" t="s">
        <v>498</v>
      </c>
      <c r="C2117" s="33" t="s">
        <v>21</v>
      </c>
      <c r="D2117" s="33" t="s">
        <v>55</v>
      </c>
      <c r="E2117" s="21" t="str">
        <f t="shared" si="4"/>
        <v>NSE:CELLO</v>
      </c>
    </row>
    <row r="2118" ht="15.75" customHeight="1">
      <c r="A2118" s="32"/>
      <c r="B2118" s="33" t="s">
        <v>367</v>
      </c>
      <c r="C2118" s="33" t="s">
        <v>21</v>
      </c>
      <c r="D2118" s="33" t="s">
        <v>17</v>
      </c>
      <c r="E2118" s="21" t="str">
        <f t="shared" si="4"/>
        <v>NSE:ASKAUTOLTD</v>
      </c>
    </row>
    <row r="2119" ht="15.75" customHeight="1">
      <c r="A2119" s="32"/>
      <c r="B2119" s="33" t="s">
        <v>372</v>
      </c>
      <c r="C2119" s="33" t="s">
        <v>21</v>
      </c>
      <c r="D2119" s="33" t="s">
        <v>373</v>
      </c>
      <c r="E2119" s="21" t="str">
        <f t="shared" si="4"/>
        <v>NSE:IEX</v>
      </c>
    </row>
    <row r="2120" ht="15.75" customHeight="1">
      <c r="A2120" s="32"/>
      <c r="B2120" s="33" t="s">
        <v>213</v>
      </c>
      <c r="C2120" s="33" t="s">
        <v>21</v>
      </c>
      <c r="D2120" s="33" t="s">
        <v>27</v>
      </c>
      <c r="E2120" s="21" t="str">
        <f t="shared" si="4"/>
        <v>NSE:GALAXYSURF</v>
      </c>
    </row>
    <row r="2121" ht="15.75" customHeight="1">
      <c r="A2121" s="32"/>
      <c r="B2121" s="33" t="s">
        <v>1050</v>
      </c>
      <c r="C2121" s="33" t="s">
        <v>21</v>
      </c>
      <c r="D2121" s="33" t="s">
        <v>29</v>
      </c>
      <c r="E2121" s="21" t="str">
        <f t="shared" si="4"/>
        <v>NSE:ORIENTELEC</v>
      </c>
    </row>
    <row r="2122" ht="15.75" customHeight="1">
      <c r="A2122" s="32"/>
      <c r="B2122" s="33" t="s">
        <v>608</v>
      </c>
      <c r="C2122" s="33" t="s">
        <v>16</v>
      </c>
      <c r="D2122" s="33" t="s">
        <v>29</v>
      </c>
      <c r="E2122" s="21" t="str">
        <f t="shared" si="4"/>
        <v>NSE:GRMOVER</v>
      </c>
    </row>
    <row r="2123" ht="15.75" customHeight="1">
      <c r="A2123" s="32"/>
      <c r="B2123" s="33" t="s">
        <v>728</v>
      </c>
      <c r="C2123" s="33" t="s">
        <v>21</v>
      </c>
      <c r="D2123" s="33" t="s">
        <v>29</v>
      </c>
      <c r="E2123" s="21" t="str">
        <f t="shared" si="4"/>
        <v>NSE:TRIVENI</v>
      </c>
    </row>
    <row r="2124" ht="15.75" customHeight="1">
      <c r="A2124" s="32"/>
      <c r="B2124" s="33" t="s">
        <v>662</v>
      </c>
      <c r="C2124" s="33" t="s">
        <v>16</v>
      </c>
      <c r="D2124" s="33" t="s">
        <v>27</v>
      </c>
      <c r="E2124" s="21" t="str">
        <f t="shared" si="4"/>
        <v>NSE:INSECTICID</v>
      </c>
    </row>
    <row r="2125" ht="15.75" customHeight="1">
      <c r="A2125" s="32"/>
      <c r="B2125" s="33" t="s">
        <v>617</v>
      </c>
      <c r="C2125" s="33" t="s">
        <v>21</v>
      </c>
      <c r="D2125" s="33" t="s">
        <v>22</v>
      </c>
      <c r="E2125" s="21" t="str">
        <f t="shared" si="4"/>
        <v>NSE:ISGEC</v>
      </c>
    </row>
    <row r="2126" ht="15.75" customHeight="1">
      <c r="A2126" s="32"/>
      <c r="B2126" s="33" t="s">
        <v>425</v>
      </c>
      <c r="C2126" s="33" t="s">
        <v>21</v>
      </c>
      <c r="D2126" s="33" t="s">
        <v>29</v>
      </c>
      <c r="E2126" s="21" t="str">
        <f t="shared" si="4"/>
        <v>NSE:WABAG</v>
      </c>
    </row>
    <row r="2127" ht="15.75" customHeight="1">
      <c r="A2127" s="32"/>
      <c r="B2127" s="33" t="s">
        <v>231</v>
      </c>
      <c r="C2127" s="33" t="s">
        <v>21</v>
      </c>
      <c r="D2127" s="33" t="s">
        <v>29</v>
      </c>
      <c r="E2127" s="21" t="str">
        <f t="shared" si="4"/>
        <v>NSE:PGEL</v>
      </c>
    </row>
    <row r="2128" ht="15.75" customHeight="1">
      <c r="A2128" s="32"/>
      <c r="B2128" s="33" t="s">
        <v>193</v>
      </c>
      <c r="C2128" s="33" t="s">
        <v>21</v>
      </c>
      <c r="D2128" s="33" t="s">
        <v>17</v>
      </c>
      <c r="E2128" s="21" t="str">
        <f t="shared" si="4"/>
        <v>NSE:CRAFTSMAN</v>
      </c>
    </row>
    <row r="2129" ht="15.75" customHeight="1">
      <c r="A2129" s="32"/>
      <c r="B2129" s="33" t="s">
        <v>709</v>
      </c>
      <c r="C2129" s="33" t="s">
        <v>13</v>
      </c>
      <c r="D2129" s="33" t="s">
        <v>37</v>
      </c>
      <c r="E2129" s="21" t="str">
        <f t="shared" si="4"/>
        <v>NSE:NYKAA</v>
      </c>
    </row>
    <row r="2130" ht="15.75" customHeight="1">
      <c r="A2130" s="32"/>
      <c r="B2130" s="33" t="s">
        <v>263</v>
      </c>
      <c r="C2130" s="33" t="s">
        <v>13</v>
      </c>
      <c r="D2130" s="33" t="s">
        <v>55</v>
      </c>
      <c r="E2130" s="21" t="str">
        <f t="shared" si="4"/>
        <v>NSE:STARHEALTH</v>
      </c>
    </row>
    <row r="2131" ht="15.75" customHeight="1">
      <c r="A2131" s="32"/>
      <c r="B2131" s="33" t="s">
        <v>448</v>
      </c>
      <c r="C2131" s="33" t="s">
        <v>16</v>
      </c>
      <c r="D2131" s="33" t="s">
        <v>39</v>
      </c>
      <c r="E2131" s="21" t="str">
        <f t="shared" si="4"/>
        <v>NSE:MAXIND</v>
      </c>
    </row>
    <row r="2132" ht="15.75" customHeight="1">
      <c r="A2132" s="32"/>
      <c r="B2132" s="33" t="s">
        <v>312</v>
      </c>
      <c r="C2132" s="33" t="s">
        <v>16</v>
      </c>
      <c r="D2132" s="33" t="s">
        <v>25</v>
      </c>
      <c r="E2132" s="21" t="str">
        <f t="shared" si="4"/>
        <v>NSE:SUNFLAG</v>
      </c>
    </row>
    <row r="2133" ht="15.75" customHeight="1">
      <c r="A2133" s="32"/>
      <c r="B2133" s="33" t="s">
        <v>81</v>
      </c>
      <c r="C2133" s="33" t="s">
        <v>13</v>
      </c>
      <c r="D2133" s="33" t="s">
        <v>25</v>
      </c>
      <c r="E2133" s="21" t="str">
        <f t="shared" si="4"/>
        <v>NSE:HINDALCO</v>
      </c>
    </row>
    <row r="2134" ht="15.75" customHeight="1">
      <c r="A2134" s="32"/>
      <c r="B2134" s="33" t="s">
        <v>934</v>
      </c>
      <c r="C2134" s="33" t="s">
        <v>13</v>
      </c>
      <c r="D2134" s="33" t="s">
        <v>25</v>
      </c>
      <c r="E2134" s="21" t="str">
        <f t="shared" si="4"/>
        <v>NSE:TATASTEEL</v>
      </c>
    </row>
    <row r="2135" ht="15.75" customHeight="1">
      <c r="A2135" s="32"/>
      <c r="B2135" s="33" t="s">
        <v>566</v>
      </c>
      <c r="C2135" s="33" t="s">
        <v>13</v>
      </c>
      <c r="D2135" s="33" t="s">
        <v>22</v>
      </c>
      <c r="E2135" s="21" t="str">
        <f t="shared" si="4"/>
        <v>NSE:PHOENIXLTD</v>
      </c>
    </row>
    <row r="2136" ht="15.75" customHeight="1">
      <c r="A2136" s="32"/>
      <c r="B2136" s="33" t="s">
        <v>976</v>
      </c>
      <c r="C2136" s="33" t="s">
        <v>16</v>
      </c>
      <c r="D2136" s="33" t="s">
        <v>17</v>
      </c>
      <c r="E2136" s="21" t="str">
        <f t="shared" si="4"/>
        <v>NSE:SMLISUZU</v>
      </c>
    </row>
    <row r="2137" ht="15.75" customHeight="1">
      <c r="A2137" s="32"/>
      <c r="B2137" s="33" t="s">
        <v>201</v>
      </c>
      <c r="C2137" s="33" t="s">
        <v>21</v>
      </c>
      <c r="D2137" s="33" t="s">
        <v>27</v>
      </c>
      <c r="E2137" s="21" t="str">
        <f t="shared" si="4"/>
        <v>NSE:SUDARSCHEM</v>
      </c>
    </row>
    <row r="2138" ht="15.75" customHeight="1">
      <c r="A2138" s="32"/>
      <c r="B2138" s="33" t="s">
        <v>1051</v>
      </c>
      <c r="C2138" s="33" t="s">
        <v>13</v>
      </c>
      <c r="D2138" s="33" t="s">
        <v>29</v>
      </c>
      <c r="E2138" s="21" t="str">
        <f t="shared" si="4"/>
        <v>NSE:AWL</v>
      </c>
    </row>
    <row r="2139" ht="15.75" customHeight="1">
      <c r="A2139" s="32"/>
      <c r="B2139" s="33" t="s">
        <v>1052</v>
      </c>
      <c r="C2139" s="33" t="s">
        <v>16</v>
      </c>
      <c r="D2139" s="33" t="s">
        <v>27</v>
      </c>
      <c r="E2139" s="21" t="str">
        <f t="shared" si="4"/>
        <v>NSE:NACLIND</v>
      </c>
    </row>
    <row r="2140" ht="15.75" customHeight="1">
      <c r="A2140" s="32"/>
      <c r="B2140" s="33" t="s">
        <v>1053</v>
      </c>
      <c r="C2140" s="33" t="s">
        <v>13</v>
      </c>
      <c r="D2140" s="33" t="s">
        <v>27</v>
      </c>
      <c r="E2140" s="21" t="str">
        <f t="shared" si="4"/>
        <v>NSE:SUMICHEM</v>
      </c>
    </row>
    <row r="2141" ht="15.75" customHeight="1">
      <c r="A2141" s="32"/>
      <c r="B2141" s="33" t="s">
        <v>517</v>
      </c>
      <c r="C2141" s="33" t="s">
        <v>21</v>
      </c>
      <c r="D2141" s="33" t="s">
        <v>27</v>
      </c>
      <c r="E2141" s="21" t="str">
        <f t="shared" si="4"/>
        <v>NSE:JKPAPER</v>
      </c>
    </row>
    <row r="2142" ht="15.75" customHeight="1">
      <c r="A2142" s="32"/>
      <c r="B2142" s="33" t="s">
        <v>654</v>
      </c>
      <c r="C2142" s="33" t="s">
        <v>16</v>
      </c>
      <c r="D2142" s="33" t="s">
        <v>22</v>
      </c>
      <c r="E2142" s="21" t="str">
        <f t="shared" si="4"/>
        <v>NSE:GEPIL</v>
      </c>
    </row>
    <row r="2143" ht="15.75" customHeight="1">
      <c r="A2143" s="32"/>
      <c r="B2143" s="33" t="s">
        <v>405</v>
      </c>
      <c r="C2143" s="33" t="s">
        <v>13</v>
      </c>
      <c r="D2143" s="33" t="s">
        <v>17</v>
      </c>
      <c r="E2143" s="21" t="str">
        <f t="shared" si="4"/>
        <v>NSE:UNOMINDA</v>
      </c>
    </row>
    <row r="2144" ht="15.75" customHeight="1">
      <c r="A2144" s="32"/>
      <c r="B2144" s="33" t="s">
        <v>225</v>
      </c>
      <c r="C2144" s="33" t="s">
        <v>21</v>
      </c>
      <c r="D2144" s="33" t="s">
        <v>50</v>
      </c>
      <c r="E2144" s="21" t="str">
        <f t="shared" si="4"/>
        <v>NSE:PVRINOX</v>
      </c>
    </row>
    <row r="2145" ht="15.75" customHeight="1">
      <c r="A2145" s="32"/>
      <c r="B2145" s="33" t="s">
        <v>411</v>
      </c>
      <c r="C2145" s="33" t="s">
        <v>13</v>
      </c>
      <c r="D2145" s="33" t="s">
        <v>19</v>
      </c>
      <c r="E2145" s="21" t="str">
        <f t="shared" si="4"/>
        <v>NSE:SOLARINDS</v>
      </c>
    </row>
    <row r="2146" ht="15.75" customHeight="1">
      <c r="A2146" s="32"/>
      <c r="B2146" s="33" t="s">
        <v>749</v>
      </c>
      <c r="C2146" s="33" t="s">
        <v>13</v>
      </c>
      <c r="D2146" s="33" t="s">
        <v>37</v>
      </c>
      <c r="E2146" s="21" t="str">
        <f t="shared" si="4"/>
        <v>NSE:NAUKRI</v>
      </c>
    </row>
    <row r="2147" ht="15.75" customHeight="1">
      <c r="A2147" s="32"/>
      <c r="B2147" s="33" t="s">
        <v>815</v>
      </c>
      <c r="C2147" s="33" t="s">
        <v>16</v>
      </c>
      <c r="D2147" s="33" t="s">
        <v>29</v>
      </c>
      <c r="E2147" s="21" t="str">
        <f t="shared" si="4"/>
        <v>NSE:MICEL</v>
      </c>
    </row>
    <row r="2148" ht="15.75" customHeight="1">
      <c r="A2148" s="32"/>
      <c r="B2148" s="33" t="s">
        <v>154</v>
      </c>
      <c r="C2148" s="33" t="s">
        <v>21</v>
      </c>
      <c r="D2148" s="33" t="s">
        <v>27</v>
      </c>
      <c r="E2148" s="21" t="str">
        <f t="shared" si="4"/>
        <v>NSE:INDIGOPNTS</v>
      </c>
    </row>
    <row r="2149" ht="15.75" customHeight="1">
      <c r="A2149" s="32"/>
      <c r="B2149" s="33" t="s">
        <v>1054</v>
      </c>
      <c r="C2149" s="33" t="s">
        <v>13</v>
      </c>
      <c r="D2149" s="33" t="s">
        <v>29</v>
      </c>
      <c r="E2149" s="21" t="str">
        <f t="shared" si="4"/>
        <v>NSE:ABFRL</v>
      </c>
    </row>
    <row r="2150" ht="15.75" customHeight="1">
      <c r="A2150" s="32"/>
      <c r="B2150" s="33" t="s">
        <v>711</v>
      </c>
      <c r="C2150" s="33" t="s">
        <v>13</v>
      </c>
      <c r="D2150" s="33" t="s">
        <v>29</v>
      </c>
      <c r="E2150" s="21" t="str">
        <f t="shared" si="4"/>
        <v>NSE:DABUR</v>
      </c>
    </row>
    <row r="2151" ht="15.75" customHeight="1">
      <c r="A2151" s="32"/>
      <c r="B2151" s="33" t="s">
        <v>1055</v>
      </c>
      <c r="C2151" s="33" t="s">
        <v>13</v>
      </c>
      <c r="D2151" s="33" t="s">
        <v>27</v>
      </c>
      <c r="E2151" s="21" t="str">
        <f t="shared" si="4"/>
        <v>NSE:FINCABLES</v>
      </c>
    </row>
    <row r="2152" ht="15.75" customHeight="1">
      <c r="A2152" s="32"/>
      <c r="B2152" s="33" t="s">
        <v>269</v>
      </c>
      <c r="C2152" s="33" t="s">
        <v>13</v>
      </c>
      <c r="D2152" s="33" t="s">
        <v>27</v>
      </c>
      <c r="E2152" s="21" t="str">
        <f t="shared" si="4"/>
        <v>NSE:ASIANPAINT</v>
      </c>
    </row>
    <row r="2153" ht="15.75" customHeight="1">
      <c r="A2153" s="32"/>
      <c r="B2153" s="33" t="s">
        <v>854</v>
      </c>
      <c r="C2153" s="33" t="s">
        <v>13</v>
      </c>
      <c r="D2153" s="33" t="s">
        <v>29</v>
      </c>
      <c r="E2153" s="21" t="str">
        <f t="shared" si="4"/>
        <v>NSE:ITC</v>
      </c>
    </row>
    <row r="2154" ht="15.75" customHeight="1">
      <c r="A2154" s="32"/>
      <c r="B2154" s="33" t="s">
        <v>1056</v>
      </c>
      <c r="C2154" s="33" t="s">
        <v>16</v>
      </c>
      <c r="D2154" s="33" t="s">
        <v>29</v>
      </c>
      <c r="E2154" s="21" t="str">
        <f t="shared" si="4"/>
        <v>NSE:HIRECT</v>
      </c>
    </row>
    <row r="2155" ht="15.75" customHeight="1">
      <c r="A2155" s="32"/>
      <c r="B2155" s="33" t="s">
        <v>947</v>
      </c>
      <c r="C2155" s="33" t="s">
        <v>16</v>
      </c>
      <c r="D2155" s="33" t="s">
        <v>29</v>
      </c>
      <c r="E2155" s="21" t="str">
        <f t="shared" si="4"/>
        <v>NSE:TIL</v>
      </c>
    </row>
    <row r="2156" ht="15.75" customHeight="1">
      <c r="A2156" s="32"/>
      <c r="B2156" s="33" t="s">
        <v>134</v>
      </c>
      <c r="C2156" s="33" t="s">
        <v>16</v>
      </c>
      <c r="D2156" s="33" t="s">
        <v>29</v>
      </c>
      <c r="E2156" s="21" t="str">
        <f t="shared" si="4"/>
        <v>NSE:WENDT</v>
      </c>
    </row>
    <row r="2157" ht="15.75" customHeight="1">
      <c r="A2157" s="32"/>
      <c r="B2157" s="33" t="s">
        <v>1057</v>
      </c>
      <c r="C2157" s="33" t="s">
        <v>13</v>
      </c>
      <c r="D2157" s="33" t="s">
        <v>17</v>
      </c>
      <c r="E2157" s="21" t="str">
        <f t="shared" si="4"/>
        <v>NSE:MOTHERSON</v>
      </c>
    </row>
    <row r="2158" ht="15.75" customHeight="1">
      <c r="A2158" s="32"/>
      <c r="B2158" s="33" t="s">
        <v>487</v>
      </c>
      <c r="C2158" s="33" t="s">
        <v>16</v>
      </c>
      <c r="D2158" s="33" t="s">
        <v>31</v>
      </c>
      <c r="E2158" s="21" t="str">
        <f t="shared" si="4"/>
        <v>NSE:VENKEYS</v>
      </c>
    </row>
    <row r="2159" ht="15.75" customHeight="1">
      <c r="A2159" s="32"/>
      <c r="B2159" s="33" t="s">
        <v>719</v>
      </c>
      <c r="C2159" s="33" t="s">
        <v>16</v>
      </c>
      <c r="D2159" s="33" t="s">
        <v>29</v>
      </c>
      <c r="E2159" s="21" t="str">
        <f t="shared" si="4"/>
        <v>NSE:IKIO</v>
      </c>
    </row>
    <row r="2160" ht="15.75" customHeight="1">
      <c r="A2160" s="32"/>
      <c r="B2160" s="33" t="s">
        <v>143</v>
      </c>
      <c r="C2160" s="33" t="s">
        <v>16</v>
      </c>
      <c r="D2160" s="33" t="s">
        <v>31</v>
      </c>
      <c r="E2160" s="21" t="str">
        <f t="shared" si="4"/>
        <v>NSE:FLAIR</v>
      </c>
    </row>
    <row r="2161" ht="15.75" customHeight="1">
      <c r="A2161" s="32"/>
      <c r="B2161" s="33" t="s">
        <v>831</v>
      </c>
      <c r="C2161" s="33" t="s">
        <v>16</v>
      </c>
      <c r="D2161" s="33" t="s">
        <v>22</v>
      </c>
      <c r="E2161" s="21" t="str">
        <f t="shared" si="4"/>
        <v>NSE:CAPACITE</v>
      </c>
    </row>
    <row r="2162" ht="15.75" customHeight="1">
      <c r="A2162" s="32"/>
      <c r="B2162" s="33" t="s">
        <v>220</v>
      </c>
      <c r="C2162" s="33" t="s">
        <v>13</v>
      </c>
      <c r="D2162" s="33" t="s">
        <v>39</v>
      </c>
      <c r="E2162" s="21" t="str">
        <f t="shared" si="4"/>
        <v>NSE:360ONE</v>
      </c>
    </row>
    <row r="2163" ht="15.75" customHeight="1">
      <c r="A2163" s="32"/>
      <c r="B2163" s="33" t="s">
        <v>1015</v>
      </c>
      <c r="C2163" s="33" t="s">
        <v>21</v>
      </c>
      <c r="D2163" s="33" t="s">
        <v>37</v>
      </c>
      <c r="E2163" s="21" t="str">
        <f t="shared" si="4"/>
        <v>NSE:HAPPSTMNDS</v>
      </c>
    </row>
    <row r="2164" ht="15.75" customHeight="1">
      <c r="A2164" s="32"/>
      <c r="B2164" s="33" t="s">
        <v>221</v>
      </c>
      <c r="C2164" s="33" t="s">
        <v>13</v>
      </c>
      <c r="D2164" s="33" t="s">
        <v>14</v>
      </c>
      <c r="E2164" s="21" t="str">
        <f t="shared" si="4"/>
        <v>NSE:DIVISLAB</v>
      </c>
    </row>
    <row r="2165" ht="15.75" customHeight="1">
      <c r="A2165" s="32"/>
      <c r="B2165" s="33" t="s">
        <v>833</v>
      </c>
      <c r="C2165" s="33" t="s">
        <v>13</v>
      </c>
      <c r="D2165" s="33" t="s">
        <v>14</v>
      </c>
      <c r="E2165" s="21" t="str">
        <f t="shared" si="4"/>
        <v>NSE:FORTIS</v>
      </c>
    </row>
    <row r="2166" ht="15.75" customHeight="1">
      <c r="A2166" s="32"/>
      <c r="B2166" s="33" t="s">
        <v>532</v>
      </c>
      <c r="C2166" s="33" t="s">
        <v>16</v>
      </c>
      <c r="D2166" s="33" t="s">
        <v>29</v>
      </c>
      <c r="E2166" s="21" t="str">
        <f t="shared" si="4"/>
        <v>NSE:GLOBUSSPR</v>
      </c>
    </row>
    <row r="2167" ht="15.75" customHeight="1">
      <c r="A2167" s="32"/>
      <c r="B2167" s="33" t="s">
        <v>1058</v>
      </c>
      <c r="C2167" s="33" t="s">
        <v>21</v>
      </c>
      <c r="D2167" s="33" t="s">
        <v>91</v>
      </c>
      <c r="E2167" s="21" t="str">
        <f t="shared" si="4"/>
        <v>NSE:GREENLAM</v>
      </c>
    </row>
    <row r="2168" ht="15.75" customHeight="1">
      <c r="A2168" s="32"/>
      <c r="B2168" s="33" t="s">
        <v>783</v>
      </c>
      <c r="C2168" s="33" t="s">
        <v>21</v>
      </c>
      <c r="D2168" s="33" t="s">
        <v>27</v>
      </c>
      <c r="E2168" s="21" t="str">
        <f t="shared" si="4"/>
        <v>NSE:GHCL</v>
      </c>
    </row>
    <row r="2169" ht="15.75" customHeight="1">
      <c r="A2169" s="32"/>
      <c r="B2169" s="33" t="s">
        <v>738</v>
      </c>
      <c r="C2169" s="33" t="s">
        <v>21</v>
      </c>
      <c r="D2169" s="33" t="s">
        <v>17</v>
      </c>
      <c r="E2169" s="21" t="str">
        <f t="shared" si="4"/>
        <v>NSE:GABRIEL</v>
      </c>
    </row>
    <row r="2170" ht="15.75" customHeight="1">
      <c r="A2170" s="32"/>
      <c r="B2170" s="33" t="s">
        <v>279</v>
      </c>
      <c r="C2170" s="33" t="s">
        <v>13</v>
      </c>
      <c r="D2170" s="33" t="s">
        <v>31</v>
      </c>
      <c r="E2170" s="21" t="str">
        <f t="shared" si="4"/>
        <v>NSE:CDSL</v>
      </c>
    </row>
    <row r="2171" ht="15.75" customHeight="1">
      <c r="A2171" s="32"/>
      <c r="B2171" s="33" t="s">
        <v>1059</v>
      </c>
      <c r="C2171" s="33" t="s">
        <v>13</v>
      </c>
      <c r="D2171" s="33" t="s">
        <v>39</v>
      </c>
      <c r="E2171" s="21" t="str">
        <f t="shared" si="4"/>
        <v>NSE:NAM-INDIA</v>
      </c>
    </row>
    <row r="2172" ht="15.75" customHeight="1">
      <c r="A2172" s="32"/>
      <c r="B2172" s="33" t="s">
        <v>601</v>
      </c>
      <c r="C2172" s="33" t="s">
        <v>13</v>
      </c>
      <c r="D2172" s="33" t="s">
        <v>185</v>
      </c>
      <c r="E2172" s="21" t="str">
        <f t="shared" si="4"/>
        <v>NSE:BANDHANBNK</v>
      </c>
    </row>
    <row r="2173" ht="15.75" customHeight="1">
      <c r="A2173" s="32"/>
      <c r="B2173" s="33" t="s">
        <v>819</v>
      </c>
      <c r="C2173" s="33" t="s">
        <v>13</v>
      </c>
      <c r="D2173" s="33" t="s">
        <v>29</v>
      </c>
      <c r="E2173" s="21" t="str">
        <f t="shared" si="4"/>
        <v>NSE:EMAMILTD</v>
      </c>
    </row>
    <row r="2174" ht="15.75" customHeight="1">
      <c r="A2174" s="32"/>
      <c r="B2174" s="33" t="s">
        <v>777</v>
      </c>
      <c r="C2174" s="33" t="s">
        <v>16</v>
      </c>
      <c r="D2174" s="33" t="s">
        <v>53</v>
      </c>
      <c r="E2174" s="21" t="str">
        <f t="shared" si="4"/>
        <v>NSE:FILATFASH</v>
      </c>
    </row>
    <row r="2175" ht="15.75" customHeight="1">
      <c r="A2175" s="32"/>
      <c r="B2175" s="33" t="s">
        <v>767</v>
      </c>
      <c r="C2175" s="33" t="s">
        <v>13</v>
      </c>
      <c r="D2175" s="33" t="s">
        <v>39</v>
      </c>
      <c r="E2175" s="21" t="str">
        <f t="shared" si="4"/>
        <v>NSE:PNBHOUSING</v>
      </c>
    </row>
    <row r="2176" ht="15.75" customHeight="1">
      <c r="A2176" s="32"/>
      <c r="B2176" s="33" t="s">
        <v>946</v>
      </c>
      <c r="C2176" s="33" t="s">
        <v>13</v>
      </c>
      <c r="D2176" s="33" t="s">
        <v>55</v>
      </c>
      <c r="E2176" s="21" t="str">
        <f t="shared" si="4"/>
        <v>NSE:AEGISCHEM</v>
      </c>
    </row>
    <row r="2177" ht="15.75" customHeight="1">
      <c r="A2177" s="32"/>
      <c r="B2177" s="33" t="s">
        <v>736</v>
      </c>
      <c r="C2177" s="33" t="s">
        <v>21</v>
      </c>
      <c r="D2177" s="33" t="s">
        <v>29</v>
      </c>
      <c r="E2177" s="21" t="str">
        <f t="shared" si="4"/>
        <v>NSE:BALRAMCHIN</v>
      </c>
    </row>
    <row r="2178" ht="15.75" customHeight="1">
      <c r="A2178" s="32"/>
      <c r="B2178" s="33" t="s">
        <v>559</v>
      </c>
      <c r="C2178" s="33" t="s">
        <v>13</v>
      </c>
      <c r="D2178" s="33" t="s">
        <v>185</v>
      </c>
      <c r="E2178" s="21" t="str">
        <f t="shared" si="4"/>
        <v>NSE:HDFCBANK</v>
      </c>
    </row>
    <row r="2179" ht="15.75" customHeight="1">
      <c r="A2179" s="32"/>
      <c r="B2179" s="33" t="s">
        <v>321</v>
      </c>
      <c r="C2179" s="33" t="s">
        <v>16</v>
      </c>
      <c r="D2179" s="33" t="s">
        <v>27</v>
      </c>
      <c r="E2179" s="21" t="str">
        <f t="shared" si="4"/>
        <v>NSE:SAURASHCEM</v>
      </c>
    </row>
    <row r="2180" ht="15.75" customHeight="1">
      <c r="A2180" s="32"/>
      <c r="B2180" s="33" t="s">
        <v>682</v>
      </c>
      <c r="C2180" s="33" t="s">
        <v>21</v>
      </c>
      <c r="D2180" s="33" t="s">
        <v>107</v>
      </c>
      <c r="E2180" s="21" t="str">
        <f t="shared" si="4"/>
        <v>NSE:WESTLIFE</v>
      </c>
    </row>
    <row r="2181" ht="15.75" customHeight="1">
      <c r="A2181" s="32"/>
      <c r="B2181" s="33" t="s">
        <v>1060</v>
      </c>
      <c r="C2181" s="33" t="s">
        <v>16</v>
      </c>
      <c r="D2181" s="33" t="s">
        <v>31</v>
      </c>
      <c r="E2181" s="21" t="str">
        <f t="shared" si="4"/>
        <v>NSE:DREAMFOLKS</v>
      </c>
    </row>
    <row r="2182" ht="15.75" customHeight="1">
      <c r="A2182" s="32"/>
      <c r="B2182" s="33" t="s">
        <v>840</v>
      </c>
      <c r="C2182" s="33" t="s">
        <v>16</v>
      </c>
      <c r="D2182" s="33" t="s">
        <v>29</v>
      </c>
      <c r="E2182" s="21" t="str">
        <f t="shared" si="4"/>
        <v>NSE:JCHAC</v>
      </c>
    </row>
    <row r="2183" ht="15.75" customHeight="1">
      <c r="A2183" s="32"/>
      <c r="B2183" s="33" t="s">
        <v>597</v>
      </c>
      <c r="C2183" s="33" t="s">
        <v>21</v>
      </c>
      <c r="D2183" s="33" t="s">
        <v>31</v>
      </c>
      <c r="E2183" s="21" t="str">
        <f t="shared" si="4"/>
        <v>NSE:MAXESTATES</v>
      </c>
    </row>
    <row r="2184" ht="15.75" customHeight="1">
      <c r="A2184" s="32"/>
      <c r="B2184" s="33" t="s">
        <v>1061</v>
      </c>
      <c r="C2184" s="33" t="s">
        <v>21</v>
      </c>
      <c r="D2184" s="33" t="s">
        <v>55</v>
      </c>
      <c r="E2184" s="21" t="str">
        <f t="shared" si="4"/>
        <v>NSE:BLUEDART</v>
      </c>
    </row>
    <row r="2185" ht="15.75" customHeight="1">
      <c r="A2185" s="32"/>
      <c r="B2185" s="33" t="s">
        <v>1050</v>
      </c>
      <c r="C2185" s="33" t="s">
        <v>21</v>
      </c>
      <c r="D2185" s="33" t="s">
        <v>29</v>
      </c>
      <c r="E2185" s="21" t="str">
        <f t="shared" si="4"/>
        <v>NSE:ORIENTELEC</v>
      </c>
    </row>
    <row r="2186" ht="15.75" customHeight="1">
      <c r="A2186" s="32"/>
      <c r="B2186" s="33" t="s">
        <v>510</v>
      </c>
      <c r="C2186" s="33" t="s">
        <v>16</v>
      </c>
      <c r="D2186" s="33" t="s">
        <v>27</v>
      </c>
      <c r="E2186" s="21" t="str">
        <f t="shared" si="4"/>
        <v>NSE:STERTOOLS</v>
      </c>
    </row>
    <row r="2187" ht="15.75" customHeight="1">
      <c r="A2187" s="32"/>
      <c r="B2187" s="33" t="s">
        <v>256</v>
      </c>
      <c r="C2187" s="33" t="s">
        <v>21</v>
      </c>
      <c r="D2187" s="33" t="s">
        <v>50</v>
      </c>
      <c r="E2187" s="21" t="str">
        <f t="shared" si="4"/>
        <v>NSE:SAREGAMA</v>
      </c>
    </row>
    <row r="2188" ht="15.75" customHeight="1">
      <c r="A2188" s="32"/>
      <c r="B2188" s="33" t="s">
        <v>1062</v>
      </c>
      <c r="C2188" s="33" t="s">
        <v>13</v>
      </c>
      <c r="D2188" s="33" t="s">
        <v>185</v>
      </c>
      <c r="E2188" s="21" t="str">
        <f t="shared" si="4"/>
        <v>NSE:AXISBANK</v>
      </c>
    </row>
    <row r="2189" ht="15.75" customHeight="1">
      <c r="A2189" s="32"/>
      <c r="B2189" s="33" t="s">
        <v>919</v>
      </c>
      <c r="C2189" s="33" t="s">
        <v>13</v>
      </c>
      <c r="D2189" s="33" t="s">
        <v>17</v>
      </c>
      <c r="E2189" s="21" t="str">
        <f t="shared" si="4"/>
        <v>NSE:MARUTI</v>
      </c>
    </row>
    <row r="2190" ht="15.75" customHeight="1">
      <c r="A2190" s="32"/>
      <c r="B2190" s="33" t="s">
        <v>258</v>
      </c>
      <c r="C2190" s="33" t="s">
        <v>13</v>
      </c>
      <c r="D2190" s="33" t="s">
        <v>27</v>
      </c>
      <c r="E2190" s="21" t="str">
        <f t="shared" si="4"/>
        <v>NSE:IGL</v>
      </c>
    </row>
    <row r="2191" ht="15.75" customHeight="1">
      <c r="A2191" s="32"/>
      <c r="B2191" s="33" t="s">
        <v>222</v>
      </c>
      <c r="C2191" s="33" t="s">
        <v>13</v>
      </c>
      <c r="D2191" s="33" t="s">
        <v>14</v>
      </c>
      <c r="E2191" s="21" t="str">
        <f t="shared" si="4"/>
        <v>NSE:BIOCON</v>
      </c>
    </row>
    <row r="2192" ht="15.75" customHeight="1">
      <c r="A2192" s="32"/>
      <c r="B2192" s="33" t="s">
        <v>1063</v>
      </c>
      <c r="C2192" s="33" t="s">
        <v>21</v>
      </c>
      <c r="D2192" s="33" t="s">
        <v>55</v>
      </c>
      <c r="E2192" s="21" t="str">
        <f t="shared" si="4"/>
        <v>NSE:PTC</v>
      </c>
    </row>
    <row r="2193" ht="15.75" customHeight="1">
      <c r="A2193" s="32"/>
      <c r="B2193" s="33" t="s">
        <v>1064</v>
      </c>
      <c r="C2193" s="33" t="s">
        <v>21</v>
      </c>
      <c r="D2193" s="33" t="s">
        <v>22</v>
      </c>
      <c r="E2193" s="21" t="str">
        <f t="shared" si="4"/>
        <v>NSE:SOBHA</v>
      </c>
    </row>
    <row r="2194" ht="15.75" customHeight="1">
      <c r="A2194" s="32"/>
      <c r="B2194" s="33" t="s">
        <v>151</v>
      </c>
      <c r="C2194" s="33" t="s">
        <v>16</v>
      </c>
      <c r="D2194" s="33" t="s">
        <v>19</v>
      </c>
      <c r="E2194" s="21" t="str">
        <f t="shared" si="4"/>
        <v>NSE:ROSSELLIND</v>
      </c>
    </row>
    <row r="2195" ht="15.75" customHeight="1">
      <c r="A2195" s="32"/>
      <c r="B2195" s="33" t="s">
        <v>399</v>
      </c>
      <c r="C2195" s="33" t="s">
        <v>13</v>
      </c>
      <c r="D2195" s="33" t="s">
        <v>14</v>
      </c>
      <c r="E2195" s="21" t="str">
        <f t="shared" si="4"/>
        <v>NSE:GLENMARK</v>
      </c>
    </row>
    <row r="2196" ht="15.75" customHeight="1">
      <c r="A2196" s="32"/>
      <c r="B2196" s="33" t="s">
        <v>1065</v>
      </c>
      <c r="C2196" s="33" t="s">
        <v>16</v>
      </c>
      <c r="D2196" s="33" t="s">
        <v>29</v>
      </c>
      <c r="E2196" s="21" t="str">
        <f t="shared" si="4"/>
        <v>NSE:INDOTECH</v>
      </c>
    </row>
    <row r="2197" ht="15.75" customHeight="1">
      <c r="A2197" s="32"/>
      <c r="B2197" s="33" t="s">
        <v>329</v>
      </c>
      <c r="C2197" s="33" t="s">
        <v>13</v>
      </c>
      <c r="D2197" s="33" t="s">
        <v>27</v>
      </c>
      <c r="E2197" s="21" t="str">
        <f t="shared" si="4"/>
        <v>NSE:COROMANDEL</v>
      </c>
    </row>
    <row r="2198" ht="15.75" customHeight="1">
      <c r="A2198" s="32"/>
      <c r="B2198" s="33" t="s">
        <v>773</v>
      </c>
      <c r="C2198" s="33" t="s">
        <v>16</v>
      </c>
      <c r="D2198" s="33" t="s">
        <v>27</v>
      </c>
      <c r="E2198" s="21" t="str">
        <f t="shared" si="4"/>
        <v>NSE:MMFL</v>
      </c>
    </row>
    <row r="2199" ht="15.75" customHeight="1">
      <c r="A2199" s="32"/>
      <c r="B2199" s="33" t="s">
        <v>1066</v>
      </c>
      <c r="C2199" s="33" t="s">
        <v>16</v>
      </c>
      <c r="D2199" s="33" t="s">
        <v>55</v>
      </c>
      <c r="E2199" s="21" t="str">
        <f t="shared" si="4"/>
        <v>NSE:JITFINFRA</v>
      </c>
    </row>
    <row r="2200" ht="15.75" customHeight="1">
      <c r="A2200" s="32"/>
      <c r="B2200" s="33" t="s">
        <v>924</v>
      </c>
      <c r="C2200" s="33" t="s">
        <v>13</v>
      </c>
      <c r="D2200" s="33" t="s">
        <v>29</v>
      </c>
      <c r="E2200" s="21" t="str">
        <f t="shared" si="4"/>
        <v>NSE:JYOTICNC</v>
      </c>
    </row>
    <row r="2201" ht="15.75" customHeight="1">
      <c r="A2201" s="32"/>
      <c r="B2201" s="33" t="s">
        <v>713</v>
      </c>
      <c r="C2201" s="33" t="s">
        <v>21</v>
      </c>
      <c r="D2201" s="33" t="s">
        <v>29</v>
      </c>
      <c r="E2201" s="21" t="str">
        <f t="shared" si="4"/>
        <v>NSE:EIDPARRY</v>
      </c>
    </row>
    <row r="2202" ht="15.75" customHeight="1">
      <c r="A2202" s="32"/>
      <c r="B2202" s="33" t="s">
        <v>1067</v>
      </c>
      <c r="C2202" s="33" t="s">
        <v>16</v>
      </c>
      <c r="D2202" s="33" t="s">
        <v>53</v>
      </c>
      <c r="E2202" s="21" t="str">
        <f t="shared" si="4"/>
        <v>NSE:CENTENKA</v>
      </c>
    </row>
    <row r="2203" ht="15.75" customHeight="1">
      <c r="A2203" s="32"/>
      <c r="B2203" s="33" t="s">
        <v>466</v>
      </c>
      <c r="C2203" s="33" t="s">
        <v>21</v>
      </c>
      <c r="D2203" s="33" t="s">
        <v>27</v>
      </c>
      <c r="E2203" s="21" t="str">
        <f t="shared" si="4"/>
        <v>NSE:DEEPAKFERT</v>
      </c>
    </row>
    <row r="2204" ht="15.75" customHeight="1">
      <c r="A2204" s="32"/>
      <c r="B2204" s="33" t="s">
        <v>857</v>
      </c>
      <c r="C2204" s="33" t="s">
        <v>21</v>
      </c>
      <c r="D2204" s="33" t="s">
        <v>29</v>
      </c>
      <c r="E2204" s="21" t="str">
        <f t="shared" si="4"/>
        <v>NSE:CAMPUS</v>
      </c>
    </row>
    <row r="2205" ht="15.75" customHeight="1">
      <c r="A2205" s="32"/>
      <c r="B2205" s="33" t="s">
        <v>1068</v>
      </c>
      <c r="C2205" s="33" t="s">
        <v>21</v>
      </c>
      <c r="D2205" s="33" t="s">
        <v>25</v>
      </c>
      <c r="E2205" s="21" t="str">
        <f t="shared" si="4"/>
        <v>NSE:USHAMART</v>
      </c>
    </row>
    <row r="2206" ht="15.75" customHeight="1">
      <c r="A2206" s="32"/>
      <c r="B2206" s="33" t="s">
        <v>175</v>
      </c>
      <c r="C2206" s="33" t="s">
        <v>16</v>
      </c>
      <c r="D2206" s="33" t="s">
        <v>29</v>
      </c>
      <c r="E2206" s="21" t="str">
        <f t="shared" si="4"/>
        <v>NSE:KABRAEXTRU</v>
      </c>
    </row>
    <row r="2207" ht="15.75" customHeight="1">
      <c r="A2207" s="32"/>
      <c r="B2207" s="33" t="s">
        <v>1005</v>
      </c>
      <c r="C2207" s="33" t="s">
        <v>13</v>
      </c>
      <c r="D2207" s="33" t="s">
        <v>185</v>
      </c>
      <c r="E2207" s="21" t="str">
        <f t="shared" si="4"/>
        <v>NSE:AUBANK</v>
      </c>
    </row>
    <row r="2208" ht="15.75" customHeight="1">
      <c r="A2208" s="32"/>
      <c r="B2208" s="33" t="s">
        <v>1069</v>
      </c>
      <c r="C2208" s="33" t="s">
        <v>21</v>
      </c>
      <c r="D2208" s="33" t="s">
        <v>31</v>
      </c>
      <c r="E2208" s="21" t="str">
        <f t="shared" si="4"/>
        <v>NSE:DOMS</v>
      </c>
    </row>
    <row r="2209" ht="15.75" customHeight="1">
      <c r="A2209" s="32"/>
      <c r="B2209" s="33" t="s">
        <v>1070</v>
      </c>
      <c r="C2209" s="33" t="s">
        <v>16</v>
      </c>
      <c r="D2209" s="33" t="s">
        <v>37</v>
      </c>
      <c r="E2209" s="21" t="str">
        <f t="shared" si="4"/>
        <v>NSE:E2E</v>
      </c>
    </row>
    <row r="2210" ht="15.75" customHeight="1">
      <c r="A2210" s="32"/>
      <c r="B2210" s="33" t="s">
        <v>389</v>
      </c>
      <c r="C2210" s="33" t="s">
        <v>21</v>
      </c>
      <c r="D2210" s="33" t="s">
        <v>29</v>
      </c>
      <c r="E2210" s="21" t="str">
        <f t="shared" si="4"/>
        <v>NSE:ZYDUSWELL</v>
      </c>
    </row>
    <row r="2211" ht="15.75" customHeight="1">
      <c r="A2211" s="32"/>
      <c r="B2211" s="33" t="s">
        <v>1041</v>
      </c>
      <c r="C2211" s="33" t="s">
        <v>21</v>
      </c>
      <c r="D2211" s="33" t="s">
        <v>25</v>
      </c>
      <c r="E2211" s="21" t="str">
        <f t="shared" si="4"/>
        <v>NSE:TIIL</v>
      </c>
    </row>
    <row r="2212" ht="15.75" customHeight="1">
      <c r="A2212" s="32"/>
      <c r="B2212" s="33" t="s">
        <v>1010</v>
      </c>
      <c r="C2212" s="33" t="s">
        <v>21</v>
      </c>
      <c r="D2212" s="33" t="s">
        <v>14</v>
      </c>
      <c r="E2212" s="21" t="str">
        <f t="shared" si="4"/>
        <v>NSE:VIJAYA</v>
      </c>
    </row>
    <row r="2213" ht="15.75" customHeight="1">
      <c r="A2213" s="32"/>
      <c r="B2213" s="33" t="s">
        <v>1071</v>
      </c>
      <c r="C2213" s="33" t="s">
        <v>16</v>
      </c>
      <c r="D2213" s="33" t="s">
        <v>27</v>
      </c>
      <c r="E2213" s="21" t="str">
        <f t="shared" si="4"/>
        <v>NSE:PUNJABCHEM</v>
      </c>
    </row>
    <row r="2214" ht="15.75" customHeight="1">
      <c r="A2214" s="32"/>
      <c r="B2214" s="33" t="s">
        <v>1072</v>
      </c>
      <c r="C2214" s="33" t="s">
        <v>16</v>
      </c>
      <c r="D2214" s="33" t="s">
        <v>29</v>
      </c>
      <c r="E2214" s="21" t="str">
        <f t="shared" si="4"/>
        <v>NSE:EXICOM</v>
      </c>
    </row>
    <row r="2215" ht="15.75" customHeight="1">
      <c r="A2215" s="32"/>
      <c r="B2215" s="33" t="s">
        <v>819</v>
      </c>
      <c r="C2215" s="33" t="s">
        <v>13</v>
      </c>
      <c r="D2215" s="33" t="s">
        <v>29</v>
      </c>
      <c r="E2215" s="21" t="str">
        <f t="shared" si="4"/>
        <v>NSE:EMAMILTD</v>
      </c>
    </row>
    <row r="2216" ht="15.75" customHeight="1">
      <c r="A2216" s="32"/>
      <c r="B2216" s="33" t="s">
        <v>403</v>
      </c>
      <c r="C2216" s="33" t="s">
        <v>16</v>
      </c>
      <c r="D2216" s="33" t="s">
        <v>37</v>
      </c>
      <c r="E2216" s="21" t="str">
        <f t="shared" si="4"/>
        <v>NSE:MPSLTD</v>
      </c>
    </row>
    <row r="2217" ht="15.75" customHeight="1">
      <c r="A2217" s="32"/>
      <c r="B2217" s="33" t="s">
        <v>943</v>
      </c>
      <c r="C2217" s="33" t="s">
        <v>21</v>
      </c>
      <c r="D2217" s="33" t="s">
        <v>29</v>
      </c>
      <c r="E2217" s="21" t="str">
        <f t="shared" si="4"/>
        <v>NSE:TRIL</v>
      </c>
    </row>
    <row r="2218" ht="15.75" customHeight="1">
      <c r="A2218" s="32"/>
      <c r="B2218" s="33" t="s">
        <v>195</v>
      </c>
      <c r="C2218" s="33" t="s">
        <v>16</v>
      </c>
      <c r="D2218" s="33" t="s">
        <v>55</v>
      </c>
      <c r="E2218" s="21" t="str">
        <f t="shared" si="4"/>
        <v>NSE:TCIEXP</v>
      </c>
    </row>
    <row r="2219" ht="15.75" customHeight="1">
      <c r="A2219" s="32"/>
      <c r="B2219" s="33" t="s">
        <v>1030</v>
      </c>
      <c r="C2219" s="33" t="s">
        <v>16</v>
      </c>
      <c r="D2219" s="33" t="s">
        <v>27</v>
      </c>
      <c r="E2219" s="21" t="str">
        <f t="shared" si="4"/>
        <v>NSE:BHARATRAS</v>
      </c>
    </row>
    <row r="2220" ht="15.75" customHeight="1">
      <c r="A2220" s="32"/>
      <c r="B2220" s="33" t="s">
        <v>134</v>
      </c>
      <c r="C2220" s="33" t="s">
        <v>16</v>
      </c>
      <c r="D2220" s="33" t="s">
        <v>29</v>
      </c>
      <c r="E2220" s="21" t="str">
        <f t="shared" si="4"/>
        <v>NSE:WENDT</v>
      </c>
    </row>
    <row r="2221" ht="15.75" customHeight="1">
      <c r="A2221" s="32"/>
      <c r="B2221" s="33" t="s">
        <v>200</v>
      </c>
      <c r="C2221" s="33" t="s">
        <v>16</v>
      </c>
      <c r="D2221" s="33" t="s">
        <v>27</v>
      </c>
      <c r="E2221" s="21" t="str">
        <f t="shared" si="4"/>
        <v>NSE:AMNPLST</v>
      </c>
    </row>
    <row r="2222" ht="15.75" customHeight="1">
      <c r="A2222" s="32"/>
      <c r="B2222" s="33" t="s">
        <v>758</v>
      </c>
      <c r="C2222" s="33" t="s">
        <v>13</v>
      </c>
      <c r="D2222" s="33" t="s">
        <v>25</v>
      </c>
      <c r="E2222" s="21" t="str">
        <f t="shared" si="4"/>
        <v>NSE:RATNAMANI</v>
      </c>
    </row>
    <row r="2223" ht="15.75" customHeight="1">
      <c r="A2223" s="32"/>
      <c r="B2223" s="33" t="s">
        <v>1073</v>
      </c>
      <c r="C2223" s="33" t="s">
        <v>21</v>
      </c>
      <c r="D2223" s="33" t="s">
        <v>37</v>
      </c>
      <c r="E2223" s="21" t="str">
        <f t="shared" si="4"/>
        <v>NSE:NETWEB</v>
      </c>
    </row>
    <row r="2224" ht="15.75" customHeight="1">
      <c r="A2224" s="32"/>
      <c r="B2224" s="33" t="s">
        <v>380</v>
      </c>
      <c r="C2224" s="33" t="s">
        <v>21</v>
      </c>
      <c r="D2224" s="33" t="s">
        <v>27</v>
      </c>
      <c r="E2224" s="21" t="str">
        <f t="shared" si="4"/>
        <v>NSE:PRIVISCL</v>
      </c>
    </row>
    <row r="2225" ht="15.75" customHeight="1">
      <c r="A2225" s="32"/>
      <c r="B2225" s="33" t="s">
        <v>886</v>
      </c>
      <c r="C2225" s="33" t="s">
        <v>21</v>
      </c>
      <c r="D2225" s="33" t="s">
        <v>22</v>
      </c>
      <c r="E2225" s="21" t="str">
        <f t="shared" si="4"/>
        <v>NSE:TECHNOE</v>
      </c>
    </row>
    <row r="2226" ht="15.75" customHeight="1">
      <c r="A2226" s="32"/>
      <c r="B2226" s="33" t="s">
        <v>1041</v>
      </c>
      <c r="C2226" s="33" t="s">
        <v>21</v>
      </c>
      <c r="D2226" s="33" t="s">
        <v>25</v>
      </c>
      <c r="E2226" s="21" t="str">
        <f t="shared" si="4"/>
        <v>NSE:TIIL</v>
      </c>
    </row>
    <row r="2227" ht="15.75" customHeight="1">
      <c r="A2227" s="32"/>
      <c r="B2227" s="33" t="s">
        <v>833</v>
      </c>
      <c r="C2227" s="33" t="s">
        <v>13</v>
      </c>
      <c r="D2227" s="33" t="s">
        <v>14</v>
      </c>
      <c r="E2227" s="21" t="str">
        <f t="shared" si="4"/>
        <v>NSE:FORTIS</v>
      </c>
    </row>
    <row r="2228" ht="15.75" customHeight="1">
      <c r="A2228" s="32"/>
      <c r="B2228" s="33" t="s">
        <v>1074</v>
      </c>
      <c r="C2228" s="33" t="s">
        <v>13</v>
      </c>
      <c r="D2228" s="33" t="s">
        <v>31</v>
      </c>
      <c r="E2228" s="21" t="str">
        <f t="shared" si="4"/>
        <v>NSE:NHPC</v>
      </c>
    </row>
    <row r="2229" ht="15.75" customHeight="1">
      <c r="A2229" s="32"/>
      <c r="B2229" s="33" t="s">
        <v>979</v>
      </c>
      <c r="C2229" s="33" t="s">
        <v>21</v>
      </c>
      <c r="D2229" s="33" t="s">
        <v>29</v>
      </c>
      <c r="E2229" s="21" t="str">
        <f t="shared" si="4"/>
        <v>NSE:MEDPLUS</v>
      </c>
    </row>
    <row r="2230" ht="15.75" customHeight="1">
      <c r="A2230" s="32"/>
      <c r="B2230" s="33" t="s">
        <v>194</v>
      </c>
      <c r="C2230" s="33" t="s">
        <v>21</v>
      </c>
      <c r="D2230" s="33" t="s">
        <v>31</v>
      </c>
      <c r="E2230" s="21" t="str">
        <f t="shared" si="4"/>
        <v>NSE:CMSINFO</v>
      </c>
    </row>
    <row r="2231" ht="15.75" customHeight="1">
      <c r="A2231" s="32"/>
      <c r="B2231" s="33" t="s">
        <v>736</v>
      </c>
      <c r="C2231" s="33" t="s">
        <v>21</v>
      </c>
      <c r="D2231" s="33" t="s">
        <v>29</v>
      </c>
      <c r="E2231" s="21" t="str">
        <f t="shared" si="4"/>
        <v>NSE:BALRAMCHIN</v>
      </c>
    </row>
    <row r="2232" ht="15.75" customHeight="1">
      <c r="A2232" s="32"/>
      <c r="B2232" s="33" t="s">
        <v>460</v>
      </c>
      <c r="C2232" s="33" t="s">
        <v>13</v>
      </c>
      <c r="D2232" s="33" t="s">
        <v>17</v>
      </c>
      <c r="E2232" s="21" t="str">
        <f t="shared" si="4"/>
        <v>NSE:SUNDRMFAST</v>
      </c>
    </row>
    <row r="2233" ht="15.75" customHeight="1">
      <c r="A2233" s="32"/>
      <c r="B2233" s="33" t="s">
        <v>994</v>
      </c>
      <c r="C2233" s="33" t="s">
        <v>13</v>
      </c>
      <c r="D2233" s="33" t="s">
        <v>29</v>
      </c>
      <c r="E2233" s="21" t="str">
        <f t="shared" si="4"/>
        <v>NSE:FINPIPE</v>
      </c>
    </row>
    <row r="2234" ht="15.75" customHeight="1">
      <c r="A2234" s="32"/>
      <c r="B2234" s="33" t="s">
        <v>566</v>
      </c>
      <c r="C2234" s="33" t="s">
        <v>13</v>
      </c>
      <c r="D2234" s="33" t="s">
        <v>22</v>
      </c>
      <c r="E2234" s="21" t="str">
        <f t="shared" si="4"/>
        <v>NSE:PHOENIXLTD</v>
      </c>
    </row>
    <row r="2235" ht="15.75" customHeight="1">
      <c r="A2235" s="32"/>
      <c r="B2235" s="33" t="s">
        <v>203</v>
      </c>
      <c r="C2235" s="33" t="s">
        <v>21</v>
      </c>
      <c r="D2235" s="33" t="s">
        <v>22</v>
      </c>
      <c r="E2235" s="21" t="str">
        <f t="shared" si="4"/>
        <v>NSE:ITDCEM</v>
      </c>
    </row>
    <row r="2236" ht="15.75" customHeight="1">
      <c r="A2236" s="32"/>
      <c r="B2236" s="33" t="s">
        <v>1012</v>
      </c>
      <c r="C2236" s="33" t="s">
        <v>13</v>
      </c>
      <c r="D2236" s="33" t="s">
        <v>27</v>
      </c>
      <c r="E2236" s="21" t="str">
        <f t="shared" si="4"/>
        <v>NSE:UPL</v>
      </c>
    </row>
    <row r="2237" ht="15.75" customHeight="1">
      <c r="A2237" s="32"/>
      <c r="B2237" s="33" t="s">
        <v>1075</v>
      </c>
      <c r="C2237" s="33" t="s">
        <v>16</v>
      </c>
      <c r="D2237" s="33" t="s">
        <v>29</v>
      </c>
      <c r="E2237" s="21" t="str">
        <f t="shared" si="4"/>
        <v>NSE:DBOL</v>
      </c>
    </row>
    <row r="2238" ht="15.75" customHeight="1">
      <c r="A2238" s="32"/>
      <c r="B2238" s="33" t="s">
        <v>1003</v>
      </c>
      <c r="C2238" s="33" t="s">
        <v>13</v>
      </c>
      <c r="D2238" s="33" t="s">
        <v>39</v>
      </c>
      <c r="E2238" s="21" t="str">
        <f t="shared" si="4"/>
        <v>NSE:FIVESTAR</v>
      </c>
    </row>
    <row r="2239" ht="15.75" customHeight="1">
      <c r="A2239" s="32"/>
      <c r="B2239" s="33" t="s">
        <v>277</v>
      </c>
      <c r="C2239" s="33" t="s">
        <v>21</v>
      </c>
      <c r="D2239" s="33" t="s">
        <v>29</v>
      </c>
      <c r="E2239" s="21" t="str">
        <f t="shared" si="4"/>
        <v>NSE:PRAJIND</v>
      </c>
    </row>
    <row r="2240" ht="15.75" customHeight="1">
      <c r="A2240" s="32"/>
      <c r="B2240" s="33" t="s">
        <v>365</v>
      </c>
      <c r="C2240" s="33" t="s">
        <v>16</v>
      </c>
      <c r="D2240" s="33" t="s">
        <v>31</v>
      </c>
      <c r="E2240" s="21" t="str">
        <f t="shared" si="4"/>
        <v>NSE:MATRIMONY</v>
      </c>
    </row>
    <row r="2241" ht="15.75" customHeight="1">
      <c r="A2241" s="32"/>
      <c r="B2241" s="33" t="s">
        <v>372</v>
      </c>
      <c r="C2241" s="33" t="s">
        <v>21</v>
      </c>
      <c r="D2241" s="33" t="s">
        <v>373</v>
      </c>
      <c r="E2241" s="21" t="str">
        <f t="shared" si="4"/>
        <v>NSE:IEX</v>
      </c>
    </row>
    <row r="2242" ht="15.75" customHeight="1">
      <c r="A2242" s="32"/>
      <c r="B2242" s="33" t="s">
        <v>1076</v>
      </c>
      <c r="C2242" s="33" t="s">
        <v>21</v>
      </c>
      <c r="D2242" s="33" t="s">
        <v>39</v>
      </c>
      <c r="E2242" s="21" t="str">
        <f t="shared" si="4"/>
        <v>NSE:AADHARHFC</v>
      </c>
    </row>
    <row r="2243" ht="15.75" customHeight="1">
      <c r="A2243" s="32"/>
      <c r="B2243" s="33" t="s">
        <v>1077</v>
      </c>
      <c r="C2243" s="33" t="s">
        <v>21</v>
      </c>
      <c r="D2243" s="33" t="s">
        <v>31</v>
      </c>
      <c r="E2243" s="21" t="str">
        <f t="shared" si="4"/>
        <v>NSE:TBOTEK</v>
      </c>
    </row>
    <row r="2244" ht="15.75" customHeight="1">
      <c r="A2244" s="32"/>
      <c r="B2244" s="33" t="s">
        <v>1078</v>
      </c>
      <c r="C2244" s="33" t="s">
        <v>21</v>
      </c>
      <c r="D2244" s="33" t="s">
        <v>39</v>
      </c>
      <c r="E2244" s="21" t="str">
        <f t="shared" si="4"/>
        <v>NSE:CHOICEIN</v>
      </c>
    </row>
    <row r="2245" ht="15.75" customHeight="1">
      <c r="A2245" s="32"/>
      <c r="B2245" s="33" t="s">
        <v>651</v>
      </c>
      <c r="C2245" s="33" t="s">
        <v>16</v>
      </c>
      <c r="D2245" s="33" t="s">
        <v>27</v>
      </c>
      <c r="E2245" s="21" t="str">
        <f t="shared" si="4"/>
        <v>NSE:NEOGEN</v>
      </c>
    </row>
    <row r="2246" ht="15.75" customHeight="1">
      <c r="A2246" s="32"/>
      <c r="B2246" s="33" t="s">
        <v>1079</v>
      </c>
      <c r="C2246" s="33" t="s">
        <v>21</v>
      </c>
      <c r="D2246" s="33" t="s">
        <v>25</v>
      </c>
      <c r="E2246" s="21" t="str">
        <f t="shared" si="4"/>
        <v>NSE:GPIL</v>
      </c>
    </row>
    <row r="2247" ht="15.75" customHeight="1">
      <c r="A2247" s="32"/>
      <c r="B2247" s="33" t="s">
        <v>226</v>
      </c>
      <c r="C2247" s="33" t="s">
        <v>16</v>
      </c>
      <c r="D2247" s="33" t="s">
        <v>17</v>
      </c>
      <c r="E2247" s="21" t="str">
        <f t="shared" si="4"/>
        <v>NSE:FIEMIND</v>
      </c>
    </row>
    <row r="2248" ht="15.75" customHeight="1">
      <c r="A2248" s="32"/>
      <c r="B2248" s="33" t="s">
        <v>1064</v>
      </c>
      <c r="C2248" s="33" t="s">
        <v>21</v>
      </c>
      <c r="D2248" s="33" t="s">
        <v>22</v>
      </c>
      <c r="E2248" s="21" t="str">
        <f t="shared" si="4"/>
        <v>NSE:SOBHA</v>
      </c>
    </row>
    <row r="2249" ht="15.75" customHeight="1">
      <c r="A2249" s="32"/>
      <c r="B2249" s="33" t="s">
        <v>801</v>
      </c>
      <c r="C2249" s="33" t="s">
        <v>13</v>
      </c>
      <c r="D2249" s="33" t="s">
        <v>107</v>
      </c>
      <c r="E2249" s="21" t="str">
        <f t="shared" si="4"/>
        <v>NSE:DEVYANI</v>
      </c>
    </row>
    <row r="2250" ht="15.75" customHeight="1">
      <c r="A2250" s="32"/>
      <c r="B2250" s="33" t="s">
        <v>293</v>
      </c>
      <c r="C2250" s="33" t="s">
        <v>21</v>
      </c>
      <c r="D2250" s="33" t="s">
        <v>27</v>
      </c>
      <c r="E2250" s="21" t="str">
        <f t="shared" si="4"/>
        <v>NSE:NUVOCO</v>
      </c>
    </row>
    <row r="2251" ht="15.75" customHeight="1">
      <c r="A2251" s="32"/>
      <c r="B2251" s="33" t="s">
        <v>882</v>
      </c>
      <c r="C2251" s="33" t="s">
        <v>21</v>
      </c>
      <c r="D2251" s="33" t="s">
        <v>39</v>
      </c>
      <c r="E2251" s="21" t="str">
        <f t="shared" si="4"/>
        <v>NSE:ABSLAMC</v>
      </c>
    </row>
    <row r="2252" ht="15.75" customHeight="1">
      <c r="A2252" s="32"/>
      <c r="B2252" s="33" t="s">
        <v>711</v>
      </c>
      <c r="C2252" s="33" t="s">
        <v>13</v>
      </c>
      <c r="D2252" s="33" t="s">
        <v>29</v>
      </c>
      <c r="E2252" s="21" t="str">
        <f t="shared" si="4"/>
        <v>NSE:DABUR</v>
      </c>
    </row>
    <row r="2253" ht="15.75" customHeight="1">
      <c r="A2253" s="32"/>
      <c r="B2253" s="33" t="s">
        <v>266</v>
      </c>
      <c r="C2253" s="33" t="s">
        <v>21</v>
      </c>
      <c r="D2253" s="33" t="s">
        <v>14</v>
      </c>
      <c r="E2253" s="21" t="str">
        <f t="shared" si="4"/>
        <v>NSE:PGHL</v>
      </c>
    </row>
    <row r="2254" ht="15.75" customHeight="1">
      <c r="A2254" s="32"/>
      <c r="B2254" s="33" t="s">
        <v>112</v>
      </c>
      <c r="C2254" s="33" t="s">
        <v>13</v>
      </c>
      <c r="D2254" s="33" t="s">
        <v>17</v>
      </c>
      <c r="E2254" s="21" t="str">
        <f t="shared" si="4"/>
        <v>NSE:HEROMOTOCO</v>
      </c>
    </row>
    <row r="2255" ht="15.75" customHeight="1">
      <c r="A2255" s="32"/>
      <c r="B2255" s="33" t="s">
        <v>165</v>
      </c>
      <c r="C2255" s="33" t="s">
        <v>13</v>
      </c>
      <c r="D2255" s="33" t="s">
        <v>27</v>
      </c>
      <c r="E2255" s="21" t="str">
        <f t="shared" si="4"/>
        <v>NSE:PIDILITIND</v>
      </c>
    </row>
    <row r="2256" ht="15.75" customHeight="1">
      <c r="A2256" s="32"/>
      <c r="B2256" s="33" t="s">
        <v>1080</v>
      </c>
      <c r="C2256" s="33" t="s">
        <v>13</v>
      </c>
      <c r="D2256" s="33" t="s">
        <v>29</v>
      </c>
      <c r="E2256" s="21" t="str">
        <f t="shared" si="4"/>
        <v>NSE:HINDUNILVR</v>
      </c>
    </row>
    <row r="2257" ht="15.75" customHeight="1">
      <c r="A2257" s="32"/>
      <c r="B2257" s="33" t="s">
        <v>412</v>
      </c>
      <c r="C2257" s="33" t="s">
        <v>13</v>
      </c>
      <c r="D2257" s="33" t="s">
        <v>50</v>
      </c>
      <c r="E2257" s="21" t="str">
        <f t="shared" si="4"/>
        <v>NSE:SUNTV</v>
      </c>
    </row>
    <row r="2258" ht="15.75" customHeight="1">
      <c r="A2258" s="32"/>
      <c r="B2258" s="33" t="s">
        <v>238</v>
      </c>
      <c r="C2258" s="33" t="s">
        <v>13</v>
      </c>
      <c r="D2258" s="33" t="s">
        <v>39</v>
      </c>
      <c r="E2258" s="21" t="str">
        <f t="shared" si="4"/>
        <v>NSE:BAJFINANCE</v>
      </c>
    </row>
    <row r="2259" ht="15.75" customHeight="1">
      <c r="A2259" s="32"/>
      <c r="B2259" s="33" t="s">
        <v>736</v>
      </c>
      <c r="C2259" s="33" t="s">
        <v>21</v>
      </c>
      <c r="D2259" s="33" t="s">
        <v>29</v>
      </c>
      <c r="E2259" s="21" t="str">
        <f t="shared" si="4"/>
        <v>NSE:BALRAMCHIN</v>
      </c>
    </row>
    <row r="2260" ht="15.75" customHeight="1">
      <c r="A2260" s="32"/>
      <c r="B2260" s="33" t="s">
        <v>962</v>
      </c>
      <c r="C2260" s="33" t="s">
        <v>13</v>
      </c>
      <c r="D2260" s="33" t="s">
        <v>17</v>
      </c>
      <c r="E2260" s="21" t="str">
        <f t="shared" si="4"/>
        <v>NSE:M&amp;M</v>
      </c>
    </row>
    <row r="2261" ht="15.75" customHeight="1">
      <c r="A2261" s="32"/>
      <c r="B2261" s="33" t="s">
        <v>268</v>
      </c>
      <c r="C2261" s="33" t="s">
        <v>21</v>
      </c>
      <c r="D2261" s="33" t="s">
        <v>55</v>
      </c>
      <c r="E2261" s="21" t="str">
        <f t="shared" si="4"/>
        <v>NSE:GESHIP</v>
      </c>
    </row>
    <row r="2262" ht="15.75" customHeight="1">
      <c r="A2262" s="32"/>
      <c r="B2262" s="33" t="s">
        <v>1081</v>
      </c>
      <c r="C2262" s="33" t="s">
        <v>21</v>
      </c>
      <c r="D2262" s="33" t="s">
        <v>14</v>
      </c>
      <c r="E2262" s="21" t="str">
        <f t="shared" si="4"/>
        <v>NSE:SANOFI</v>
      </c>
    </row>
    <row r="2263" ht="15.75" customHeight="1">
      <c r="A2263" s="32"/>
      <c r="B2263" s="33" t="s">
        <v>680</v>
      </c>
      <c r="C2263" s="33" t="s">
        <v>13</v>
      </c>
      <c r="D2263" s="33" t="s">
        <v>29</v>
      </c>
      <c r="E2263" s="21" t="str">
        <f t="shared" si="4"/>
        <v>NSE:BRITANNIA</v>
      </c>
    </row>
    <row r="2264" ht="15.75" customHeight="1">
      <c r="A2264" s="32"/>
      <c r="B2264" s="33" t="s">
        <v>320</v>
      </c>
      <c r="C2264" s="33" t="s">
        <v>16</v>
      </c>
      <c r="D2264" s="33" t="s">
        <v>27</v>
      </c>
      <c r="E2264" s="21" t="str">
        <f t="shared" si="4"/>
        <v>NSE:NCLIND</v>
      </c>
    </row>
    <row r="2265" ht="15.75" customHeight="1">
      <c r="A2265" s="32"/>
      <c r="B2265" s="33" t="s">
        <v>1048</v>
      </c>
      <c r="C2265" s="33" t="s">
        <v>21</v>
      </c>
      <c r="D2265" s="33" t="s">
        <v>29</v>
      </c>
      <c r="E2265" s="21" t="str">
        <f t="shared" si="4"/>
        <v>NSE:TI</v>
      </c>
    </row>
    <row r="2266" ht="15.75" customHeight="1">
      <c r="A2266" s="32"/>
      <c r="B2266" s="33" t="s">
        <v>1035</v>
      </c>
      <c r="C2266" s="33" t="s">
        <v>16</v>
      </c>
      <c r="D2266" s="33" t="s">
        <v>27</v>
      </c>
      <c r="E2266" s="21" t="str">
        <f t="shared" si="4"/>
        <v>NSE:VISHNU</v>
      </c>
    </row>
    <row r="2267" ht="15.75" customHeight="1">
      <c r="A2267" s="32"/>
      <c r="B2267" s="33" t="s">
        <v>632</v>
      </c>
      <c r="C2267" s="33" t="s">
        <v>21</v>
      </c>
      <c r="D2267" s="33" t="s">
        <v>29</v>
      </c>
      <c r="E2267" s="21" t="str">
        <f t="shared" si="4"/>
        <v>NSE:HNDFDS</v>
      </c>
    </row>
    <row r="2268" ht="15.75" customHeight="1">
      <c r="A2268" s="32"/>
      <c r="B2268" s="33" t="s">
        <v>1082</v>
      </c>
      <c r="C2268" s="33" t="s">
        <v>21</v>
      </c>
      <c r="D2268" s="33" t="s">
        <v>29</v>
      </c>
      <c r="E2268" s="21" t="str">
        <f t="shared" si="4"/>
        <v>NSE:REDTAPE</v>
      </c>
    </row>
    <row r="2269" ht="15.75" customHeight="1">
      <c r="A2269" s="32"/>
      <c r="B2269" s="33" t="s">
        <v>363</v>
      </c>
      <c r="C2269" s="33" t="s">
        <v>13</v>
      </c>
      <c r="D2269" s="33" t="s">
        <v>14</v>
      </c>
      <c r="E2269" s="21" t="str">
        <f t="shared" si="4"/>
        <v>NSE:AUROPHARMA</v>
      </c>
    </row>
    <row r="2270" ht="15.75" customHeight="1">
      <c r="A2270" s="32"/>
      <c r="B2270" s="33" t="s">
        <v>601</v>
      </c>
      <c r="C2270" s="33" t="s">
        <v>13</v>
      </c>
      <c r="D2270" s="33" t="s">
        <v>185</v>
      </c>
      <c r="E2270" s="21" t="str">
        <f t="shared" si="4"/>
        <v>NSE:BANDHANBNK</v>
      </c>
    </row>
    <row r="2271" ht="15.75" customHeight="1">
      <c r="A2271" s="32"/>
      <c r="B2271" s="33" t="s">
        <v>218</v>
      </c>
      <c r="C2271" s="33" t="s">
        <v>16</v>
      </c>
      <c r="D2271" s="33" t="s">
        <v>17</v>
      </c>
      <c r="E2271" s="21" t="str">
        <f t="shared" si="4"/>
        <v>NSE:VSTTILLERS</v>
      </c>
    </row>
    <row r="2272" ht="15.75" customHeight="1">
      <c r="A2272" s="32"/>
      <c r="B2272" s="33" t="s">
        <v>389</v>
      </c>
      <c r="C2272" s="33" t="s">
        <v>21</v>
      </c>
      <c r="D2272" s="33" t="s">
        <v>29</v>
      </c>
      <c r="E2272" s="21" t="str">
        <f t="shared" si="4"/>
        <v>NSE:ZYDUSWELL</v>
      </c>
    </row>
    <row r="2273" ht="15.75" customHeight="1">
      <c r="A2273" s="32"/>
      <c r="B2273" s="33" t="s">
        <v>1083</v>
      </c>
      <c r="C2273" s="33" t="s">
        <v>13</v>
      </c>
      <c r="D2273" s="33" t="s">
        <v>29</v>
      </c>
      <c r="E2273" s="21" t="str">
        <f t="shared" si="4"/>
        <v>NSE:MARICO</v>
      </c>
    </row>
    <row r="2274" ht="15.75" customHeight="1">
      <c r="A2274" s="32"/>
      <c r="B2274" s="33" t="s">
        <v>397</v>
      </c>
      <c r="C2274" s="33" t="s">
        <v>21</v>
      </c>
      <c r="D2274" s="33" t="s">
        <v>39</v>
      </c>
      <c r="E2274" s="21" t="str">
        <f t="shared" si="4"/>
        <v>NSE:UTIAMC</v>
      </c>
    </row>
    <row r="2275" ht="15.75" customHeight="1">
      <c r="A2275" s="32"/>
      <c r="B2275" s="33" t="s">
        <v>729</v>
      </c>
      <c r="C2275" s="33" t="s">
        <v>13</v>
      </c>
      <c r="D2275" s="33" t="s">
        <v>29</v>
      </c>
      <c r="E2275" s="21" t="str">
        <f t="shared" si="4"/>
        <v>NSE:GODREJCP</v>
      </c>
    </row>
    <row r="2276" ht="15.75" customHeight="1">
      <c r="A2276" s="32"/>
      <c r="B2276" s="33" t="s">
        <v>1084</v>
      </c>
      <c r="C2276" s="33" t="s">
        <v>13</v>
      </c>
      <c r="D2276" s="33" t="s">
        <v>29</v>
      </c>
      <c r="E2276" s="21" t="str">
        <f t="shared" si="4"/>
        <v>NSE:MCDOWELL-N</v>
      </c>
    </row>
    <row r="2277" ht="15.75" customHeight="1">
      <c r="A2277" s="32"/>
      <c r="B2277" s="33" t="s">
        <v>1085</v>
      </c>
      <c r="C2277" s="33" t="s">
        <v>13</v>
      </c>
      <c r="D2277" s="33" t="s">
        <v>29</v>
      </c>
      <c r="E2277" s="21" t="str">
        <f t="shared" si="4"/>
        <v>NSE:UBL</v>
      </c>
    </row>
    <row r="2278" ht="15.75" customHeight="1">
      <c r="A2278" s="32"/>
      <c r="B2278" s="33" t="s">
        <v>1022</v>
      </c>
      <c r="C2278" s="33" t="s">
        <v>21</v>
      </c>
      <c r="D2278" s="33" t="s">
        <v>29</v>
      </c>
      <c r="E2278" s="21" t="str">
        <f t="shared" si="4"/>
        <v>NSE:BECTORFOOD</v>
      </c>
    </row>
    <row r="2279" ht="15.75" customHeight="1">
      <c r="A2279" s="32"/>
      <c r="B2279" s="33" t="s">
        <v>191</v>
      </c>
      <c r="C2279" s="33" t="s">
        <v>21</v>
      </c>
      <c r="D2279" s="33" t="s">
        <v>29</v>
      </c>
      <c r="E2279" s="21" t="str">
        <f t="shared" si="4"/>
        <v>NSE:VMART</v>
      </c>
    </row>
    <row r="2280" ht="15.75" customHeight="1">
      <c r="A2280" s="32"/>
      <c r="B2280" s="33" t="s">
        <v>157</v>
      </c>
      <c r="C2280" s="33" t="s">
        <v>21</v>
      </c>
      <c r="D2280" s="33" t="s">
        <v>17</v>
      </c>
      <c r="E2280" s="21" t="str">
        <f t="shared" si="4"/>
        <v>NSE:SHARDAMOTR</v>
      </c>
    </row>
    <row r="2281" ht="15.75" customHeight="1">
      <c r="A2281" s="32"/>
      <c r="B2281" s="33" t="s">
        <v>1054</v>
      </c>
      <c r="C2281" s="33" t="s">
        <v>13</v>
      </c>
      <c r="D2281" s="33" t="s">
        <v>29</v>
      </c>
      <c r="E2281" s="21" t="str">
        <f t="shared" si="4"/>
        <v>NSE:ABFRL</v>
      </c>
    </row>
    <row r="2282" ht="15.75" customHeight="1">
      <c r="A2282" s="32"/>
      <c r="B2282" s="33" t="s">
        <v>801</v>
      </c>
      <c r="C2282" s="33" t="s">
        <v>13</v>
      </c>
      <c r="D2282" s="33" t="s">
        <v>107</v>
      </c>
      <c r="E2282" s="21" t="str">
        <f t="shared" si="4"/>
        <v>NSE:DEVYANI</v>
      </c>
    </row>
    <row r="2283" ht="15.75" customHeight="1">
      <c r="A2283" s="32"/>
      <c r="B2283" s="33" t="s">
        <v>882</v>
      </c>
      <c r="C2283" s="33" t="s">
        <v>21</v>
      </c>
      <c r="D2283" s="33" t="s">
        <v>39</v>
      </c>
      <c r="E2283" s="21" t="str">
        <f t="shared" si="4"/>
        <v>NSE:ABSLAMC</v>
      </c>
    </row>
    <row r="2284" ht="15.75" customHeight="1">
      <c r="A2284" s="32"/>
      <c r="B2284" s="33" t="s">
        <v>946</v>
      </c>
      <c r="C2284" s="33" t="s">
        <v>13</v>
      </c>
      <c r="D2284" s="33" t="s">
        <v>55</v>
      </c>
      <c r="E2284" s="21" t="str">
        <f t="shared" si="4"/>
        <v>NSE:AEGISCHEM</v>
      </c>
    </row>
    <row r="2285" ht="15.75" customHeight="1">
      <c r="A2285" s="32"/>
      <c r="B2285" s="33" t="s">
        <v>555</v>
      </c>
      <c r="C2285" s="33" t="s">
        <v>21</v>
      </c>
      <c r="D2285" s="33" t="s">
        <v>29</v>
      </c>
      <c r="E2285" s="21" t="str">
        <f t="shared" si="4"/>
        <v>NSE:BAJAJELEC</v>
      </c>
    </row>
    <row r="2286" ht="15.75" customHeight="1">
      <c r="A2286" s="32"/>
      <c r="B2286" s="33" t="s">
        <v>130</v>
      </c>
      <c r="C2286" s="33" t="s">
        <v>16</v>
      </c>
      <c r="D2286" s="33" t="s">
        <v>27</v>
      </c>
      <c r="E2286" s="21" t="str">
        <f t="shared" si="4"/>
        <v>NSE:ANDHRSUGAR</v>
      </c>
    </row>
    <row r="2287" ht="15.75" customHeight="1">
      <c r="A2287" s="32"/>
      <c r="B2287" s="33" t="s">
        <v>306</v>
      </c>
      <c r="C2287" s="33" t="s">
        <v>13</v>
      </c>
      <c r="D2287" s="33" t="s">
        <v>29</v>
      </c>
      <c r="E2287" s="21" t="str">
        <f t="shared" si="4"/>
        <v>NSE:TRENT</v>
      </c>
    </row>
    <row r="2288" ht="15.75" customHeight="1">
      <c r="A2288" s="32"/>
      <c r="B2288" s="33" t="s">
        <v>466</v>
      </c>
      <c r="C2288" s="33" t="s">
        <v>21</v>
      </c>
      <c r="D2288" s="33" t="s">
        <v>27</v>
      </c>
      <c r="E2288" s="21" t="str">
        <f t="shared" si="4"/>
        <v>NSE:DEEPAKFERT</v>
      </c>
    </row>
    <row r="2289" ht="15.75" customHeight="1">
      <c r="A2289" s="32"/>
      <c r="B2289" s="33" t="s">
        <v>628</v>
      </c>
      <c r="C2289" s="33" t="s">
        <v>21</v>
      </c>
      <c r="D2289" s="33" t="s">
        <v>27</v>
      </c>
      <c r="E2289" s="21" t="str">
        <f t="shared" si="4"/>
        <v>NSE:AKZOINDIA</v>
      </c>
    </row>
    <row r="2290" ht="15.75" customHeight="1">
      <c r="A2290" s="32"/>
      <c r="B2290" s="33" t="s">
        <v>270</v>
      </c>
      <c r="C2290" s="33" t="s">
        <v>16</v>
      </c>
      <c r="D2290" s="33" t="s">
        <v>27</v>
      </c>
      <c r="E2290" s="21" t="str">
        <f t="shared" si="4"/>
        <v>NSE:SAGCEM</v>
      </c>
    </row>
    <row r="2291" ht="15.75" customHeight="1">
      <c r="A2291" s="32"/>
      <c r="B2291" s="33" t="s">
        <v>785</v>
      </c>
      <c r="C2291" s="33" t="s">
        <v>21</v>
      </c>
      <c r="D2291" s="33" t="s">
        <v>37</v>
      </c>
      <c r="E2291" s="21" t="str">
        <f t="shared" si="4"/>
        <v>NSE:ZENSARTECH</v>
      </c>
    </row>
    <row r="2292" ht="15.75" customHeight="1">
      <c r="A2292" s="32"/>
      <c r="B2292" s="33" t="s">
        <v>756</v>
      </c>
      <c r="C2292" s="33" t="s">
        <v>16</v>
      </c>
      <c r="D2292" s="33" t="s">
        <v>27</v>
      </c>
      <c r="E2292" s="21" t="str">
        <f t="shared" si="4"/>
        <v>NSE:UNIVCABLES</v>
      </c>
    </row>
    <row r="2293" ht="15.75" customHeight="1">
      <c r="A2293" s="32"/>
      <c r="B2293" s="33" t="s">
        <v>271</v>
      </c>
      <c r="C2293" s="33" t="s">
        <v>13</v>
      </c>
      <c r="D2293" s="33" t="s">
        <v>39</v>
      </c>
      <c r="E2293" s="21" t="str">
        <f t="shared" si="4"/>
        <v>NSE:CHOLAHLDNG</v>
      </c>
    </row>
    <row r="2294" ht="15.75" customHeight="1">
      <c r="A2294" s="32"/>
      <c r="B2294" s="33" t="s">
        <v>134</v>
      </c>
      <c r="C2294" s="33" t="s">
        <v>16</v>
      </c>
      <c r="D2294" s="33" t="s">
        <v>29</v>
      </c>
      <c r="E2294" s="21" t="str">
        <f t="shared" si="4"/>
        <v>NSE:WENDT</v>
      </c>
    </row>
    <row r="2295" ht="15.75" customHeight="1">
      <c r="A2295" s="32"/>
      <c r="B2295" s="33" t="s">
        <v>1086</v>
      </c>
      <c r="C2295" s="33" t="s">
        <v>21</v>
      </c>
      <c r="D2295" s="33" t="s">
        <v>29</v>
      </c>
      <c r="E2295" s="21" t="str">
        <f t="shared" si="4"/>
        <v>NSE:RESPONIND</v>
      </c>
    </row>
    <row r="2296" ht="15.75" customHeight="1">
      <c r="A2296" s="32"/>
      <c r="B2296" s="33" t="s">
        <v>629</v>
      </c>
      <c r="C2296" s="33" t="s">
        <v>21</v>
      </c>
      <c r="D2296" s="33" t="s">
        <v>27</v>
      </c>
      <c r="E2296" s="21" t="str">
        <f t="shared" si="4"/>
        <v>NSE:DHANUKA</v>
      </c>
    </row>
    <row r="2297" ht="15.75" customHeight="1">
      <c r="A2297" s="32"/>
      <c r="B2297" s="33" t="s">
        <v>203</v>
      </c>
      <c r="C2297" s="33" t="s">
        <v>21</v>
      </c>
      <c r="D2297" s="33" t="s">
        <v>22</v>
      </c>
      <c r="E2297" s="21" t="str">
        <f t="shared" si="4"/>
        <v>NSE:ITDCEM</v>
      </c>
    </row>
    <row r="2298" ht="15.75" customHeight="1">
      <c r="A2298" s="32"/>
      <c r="B2298" s="33" t="s">
        <v>824</v>
      </c>
      <c r="C2298" s="33" t="s">
        <v>21</v>
      </c>
      <c r="D2298" s="33" t="s">
        <v>29</v>
      </c>
      <c r="E2298" s="21" t="str">
        <f t="shared" si="4"/>
        <v>NSE:VSTIND</v>
      </c>
    </row>
    <row r="2299" ht="15.75" customHeight="1">
      <c r="A2299" s="32"/>
      <c r="B2299" s="33" t="s">
        <v>685</v>
      </c>
      <c r="C2299" s="33" t="s">
        <v>13</v>
      </c>
      <c r="D2299" s="33" t="s">
        <v>39</v>
      </c>
      <c r="E2299" s="21" t="str">
        <f t="shared" si="4"/>
        <v>NSE:CHOLAFIN</v>
      </c>
    </row>
    <row r="2300" ht="15.75" customHeight="1">
      <c r="A2300" s="32"/>
      <c r="B2300" s="33" t="s">
        <v>1012</v>
      </c>
      <c r="C2300" s="33" t="s">
        <v>13</v>
      </c>
      <c r="D2300" s="33" t="s">
        <v>27</v>
      </c>
      <c r="E2300" s="21" t="str">
        <f t="shared" si="4"/>
        <v>NSE:UPL</v>
      </c>
    </row>
    <row r="2301" ht="15.75" customHeight="1">
      <c r="A2301" s="32"/>
      <c r="B2301" s="33" t="s">
        <v>343</v>
      </c>
      <c r="C2301" s="33" t="s">
        <v>21</v>
      </c>
      <c r="D2301" s="33" t="s">
        <v>29</v>
      </c>
      <c r="E2301" s="21" t="str">
        <f t="shared" si="4"/>
        <v>NSE:AVANTIFEED</v>
      </c>
    </row>
    <row r="2302" ht="15.75" customHeight="1">
      <c r="A2302" s="32"/>
      <c r="B2302" s="33" t="s">
        <v>740</v>
      </c>
      <c r="C2302" s="33" t="s">
        <v>21</v>
      </c>
      <c r="D2302" s="33" t="s">
        <v>31</v>
      </c>
      <c r="E2302" s="21" t="str">
        <f t="shared" si="4"/>
        <v>NSE:NAVA</v>
      </c>
    </row>
    <row r="2303" ht="15.75" customHeight="1">
      <c r="A2303" s="32"/>
      <c r="B2303" s="33" t="s">
        <v>1075</v>
      </c>
      <c r="C2303" s="33" t="s">
        <v>16</v>
      </c>
      <c r="D2303" s="33" t="s">
        <v>29</v>
      </c>
      <c r="E2303" s="21" t="str">
        <f t="shared" si="4"/>
        <v>NSE:DBOL</v>
      </c>
    </row>
    <row r="2304" ht="15.75" customHeight="1">
      <c r="A2304" s="32"/>
      <c r="B2304" s="33" t="s">
        <v>1087</v>
      </c>
      <c r="C2304" s="33" t="s">
        <v>13</v>
      </c>
      <c r="D2304" s="33" t="s">
        <v>39</v>
      </c>
      <c r="E2304" s="21" t="str">
        <f t="shared" si="4"/>
        <v>NSE:TVSHLTD</v>
      </c>
    </row>
    <row r="2305" ht="15.75" customHeight="1">
      <c r="A2305" s="32"/>
      <c r="B2305" s="33" t="s">
        <v>758</v>
      </c>
      <c r="C2305" s="33" t="s">
        <v>13</v>
      </c>
      <c r="D2305" s="33" t="s">
        <v>25</v>
      </c>
      <c r="E2305" s="21" t="str">
        <f t="shared" si="4"/>
        <v>NSE:RATNAMANI</v>
      </c>
    </row>
    <row r="2306" ht="15.75" customHeight="1">
      <c r="A2306" s="32"/>
      <c r="B2306" s="33" t="s">
        <v>590</v>
      </c>
      <c r="C2306" s="33" t="s">
        <v>13</v>
      </c>
      <c r="D2306" s="33" t="s">
        <v>29</v>
      </c>
      <c r="E2306" s="21" t="str">
        <f t="shared" si="4"/>
        <v>NSE:DMART</v>
      </c>
    </row>
    <row r="2307" ht="15.75" customHeight="1">
      <c r="A2307" s="32"/>
      <c r="B2307" s="33" t="s">
        <v>362</v>
      </c>
      <c r="C2307" s="33" t="s">
        <v>13</v>
      </c>
      <c r="D2307" s="33" t="s">
        <v>29</v>
      </c>
      <c r="E2307" s="21" t="str">
        <f t="shared" si="4"/>
        <v>NSE:DIXON</v>
      </c>
    </row>
    <row r="2308" ht="15.75" customHeight="1">
      <c r="A2308" s="32"/>
      <c r="B2308" s="33" t="s">
        <v>1008</v>
      </c>
      <c r="C2308" s="33" t="s">
        <v>16</v>
      </c>
      <c r="D2308" s="33" t="s">
        <v>37</v>
      </c>
      <c r="E2308" s="21" t="str">
        <f t="shared" si="4"/>
        <v>NSE:INFOBEAN</v>
      </c>
    </row>
    <row r="2309" ht="15.75" customHeight="1">
      <c r="A2309" s="32"/>
      <c r="B2309" s="33" t="s">
        <v>372</v>
      </c>
      <c r="C2309" s="33" t="s">
        <v>21</v>
      </c>
      <c r="D2309" s="33" t="s">
        <v>373</v>
      </c>
      <c r="E2309" s="21" t="str">
        <f t="shared" si="4"/>
        <v>NSE:IEX</v>
      </c>
    </row>
    <row r="2310" ht="15.75" customHeight="1">
      <c r="A2310" s="32"/>
      <c r="B2310" s="33" t="s">
        <v>180</v>
      </c>
      <c r="C2310" s="33" t="s">
        <v>21</v>
      </c>
      <c r="D2310" s="33" t="s">
        <v>27</v>
      </c>
      <c r="E2310" s="21" t="str">
        <f t="shared" si="4"/>
        <v>NSE:HAPPYFORGE</v>
      </c>
    </row>
    <row r="2311" ht="15.75" customHeight="1">
      <c r="A2311" s="32"/>
      <c r="B2311" s="33" t="s">
        <v>213</v>
      </c>
      <c r="C2311" s="33" t="s">
        <v>21</v>
      </c>
      <c r="D2311" s="33" t="s">
        <v>27</v>
      </c>
      <c r="E2311" s="21" t="str">
        <f t="shared" si="4"/>
        <v>NSE:GALAXYSURF</v>
      </c>
    </row>
    <row r="2312" ht="15.75" customHeight="1">
      <c r="A2312" s="32"/>
      <c r="B2312" s="33" t="s">
        <v>606</v>
      </c>
      <c r="C2312" s="33" t="s">
        <v>21</v>
      </c>
      <c r="D2312" s="33" t="s">
        <v>14</v>
      </c>
      <c r="E2312" s="21" t="str">
        <f t="shared" si="4"/>
        <v>NSE:SHILPAMED</v>
      </c>
    </row>
    <row r="2313" ht="15.75" customHeight="1">
      <c r="A2313" s="32"/>
      <c r="B2313" s="33" t="s">
        <v>384</v>
      </c>
      <c r="C2313" s="33" t="s">
        <v>21</v>
      </c>
      <c r="D2313" s="33" t="s">
        <v>17</v>
      </c>
      <c r="E2313" s="21" t="str">
        <f t="shared" si="4"/>
        <v>NSE:VARROC</v>
      </c>
    </row>
    <row r="2314" ht="15.75" customHeight="1">
      <c r="A2314" s="32"/>
      <c r="B2314" s="33" t="s">
        <v>1038</v>
      </c>
      <c r="C2314" s="33" t="s">
        <v>16</v>
      </c>
      <c r="D2314" s="33" t="s">
        <v>53</v>
      </c>
      <c r="E2314" s="21" t="str">
        <f t="shared" si="4"/>
        <v>NSE:TCNSBRANDS</v>
      </c>
    </row>
    <row r="2315" ht="15.75" customHeight="1">
      <c r="A2315" s="32"/>
      <c r="B2315" s="33" t="s">
        <v>981</v>
      </c>
      <c r="C2315" s="33" t="s">
        <v>13</v>
      </c>
      <c r="D2315" s="33" t="s">
        <v>156</v>
      </c>
      <c r="E2315" s="21" t="str">
        <f t="shared" si="4"/>
        <v>NSE:BHARTIHEXA</v>
      </c>
    </row>
    <row r="2316" ht="15.75" customHeight="1">
      <c r="A2316" s="32"/>
      <c r="B2316" s="33" t="s">
        <v>1088</v>
      </c>
      <c r="C2316" s="33" t="s">
        <v>13</v>
      </c>
      <c r="D2316" s="33" t="s">
        <v>55</v>
      </c>
      <c r="E2316" s="21" t="str">
        <f t="shared" si="4"/>
        <v>NSE:GODIGIT</v>
      </c>
    </row>
    <row r="2317" ht="15.75" customHeight="1">
      <c r="A2317" s="32"/>
      <c r="B2317" s="33" t="s">
        <v>1089</v>
      </c>
      <c r="C2317" s="33" t="s">
        <v>16</v>
      </c>
      <c r="D2317" s="33" t="s">
        <v>39</v>
      </c>
      <c r="E2317" s="21" t="str">
        <f t="shared" si="4"/>
        <v>NSE:ARMANFIN</v>
      </c>
    </row>
    <row r="2318" ht="15.75" customHeight="1">
      <c r="A2318" s="32"/>
      <c r="B2318" s="33" t="s">
        <v>861</v>
      </c>
      <c r="C2318" s="33" t="s">
        <v>21</v>
      </c>
      <c r="D2318" s="33" t="s">
        <v>14</v>
      </c>
      <c r="E2318" s="21" t="str">
        <f t="shared" si="4"/>
        <v>NSE:METROPOLIS</v>
      </c>
    </row>
    <row r="2319" ht="15.75" customHeight="1">
      <c r="A2319" s="32"/>
      <c r="B2319" s="33" t="s">
        <v>613</v>
      </c>
      <c r="C2319" s="33" t="s">
        <v>16</v>
      </c>
      <c r="D2319" s="33" t="s">
        <v>27</v>
      </c>
      <c r="E2319" s="21" t="str">
        <f t="shared" si="4"/>
        <v>NSE:RAMCOIND</v>
      </c>
    </row>
    <row r="2320" ht="15.75" customHeight="1">
      <c r="A2320" s="32"/>
      <c r="B2320" s="33" t="s">
        <v>523</v>
      </c>
      <c r="C2320" s="33" t="s">
        <v>16</v>
      </c>
      <c r="D2320" s="33" t="s">
        <v>31</v>
      </c>
      <c r="E2320" s="21" t="str">
        <f t="shared" si="4"/>
        <v>NSE:POKARNA</v>
      </c>
    </row>
    <row r="2321" ht="15.75" customHeight="1">
      <c r="A2321" s="32"/>
      <c r="B2321" s="33" t="s">
        <v>225</v>
      </c>
      <c r="C2321" s="33" t="s">
        <v>21</v>
      </c>
      <c r="D2321" s="33" t="s">
        <v>50</v>
      </c>
      <c r="E2321" s="21" t="str">
        <f t="shared" si="4"/>
        <v>NSE:PVRINOX</v>
      </c>
    </row>
    <row r="2322" ht="15.75" customHeight="1">
      <c r="A2322" s="32"/>
      <c r="B2322" s="33" t="s">
        <v>414</v>
      </c>
      <c r="C2322" s="33" t="s">
        <v>13</v>
      </c>
      <c r="D2322" s="33" t="s">
        <v>27</v>
      </c>
      <c r="E2322" s="21" t="str">
        <f t="shared" si="4"/>
        <v>NSE:CIEINDIA</v>
      </c>
    </row>
    <row r="2323" ht="15.75" customHeight="1">
      <c r="A2323" s="32"/>
      <c r="B2323" s="33" t="s">
        <v>226</v>
      </c>
      <c r="C2323" s="33" t="s">
        <v>16</v>
      </c>
      <c r="D2323" s="33" t="s">
        <v>17</v>
      </c>
      <c r="E2323" s="21" t="str">
        <f t="shared" si="4"/>
        <v>NSE:FIEMIND</v>
      </c>
    </row>
    <row r="2324" ht="15.75" customHeight="1">
      <c r="A2324" s="32"/>
      <c r="B2324" s="33" t="s">
        <v>1042</v>
      </c>
      <c r="C2324" s="33" t="s">
        <v>13</v>
      </c>
      <c r="D2324" s="33" t="s">
        <v>22</v>
      </c>
      <c r="E2324" s="21" t="str">
        <f t="shared" si="4"/>
        <v>NSE:BRIGADE</v>
      </c>
    </row>
    <row r="2325" ht="15.75" customHeight="1">
      <c r="A2325" s="32"/>
      <c r="B2325" s="33" t="s">
        <v>228</v>
      </c>
      <c r="C2325" s="33" t="s">
        <v>21</v>
      </c>
      <c r="D2325" s="33" t="s">
        <v>29</v>
      </c>
      <c r="E2325" s="21" t="str">
        <f t="shared" si="4"/>
        <v>NSE:VGUARD</v>
      </c>
    </row>
    <row r="2326" ht="15.75" customHeight="1">
      <c r="A2326" s="32"/>
      <c r="B2326" s="33" t="s">
        <v>425</v>
      </c>
      <c r="C2326" s="33" t="s">
        <v>21</v>
      </c>
      <c r="D2326" s="33" t="s">
        <v>29</v>
      </c>
      <c r="E2326" s="21" t="str">
        <f t="shared" si="4"/>
        <v>NSE:WABAG</v>
      </c>
    </row>
    <row r="2327" ht="15.75" customHeight="1">
      <c r="A2327" s="32"/>
      <c r="B2327" s="33" t="s">
        <v>1090</v>
      </c>
      <c r="C2327" s="33" t="s">
        <v>13</v>
      </c>
      <c r="D2327" s="33" t="s">
        <v>22</v>
      </c>
      <c r="E2327" s="21" t="str">
        <f t="shared" si="4"/>
        <v>NSE:PRESTIGE</v>
      </c>
    </row>
    <row r="2328" ht="15.75" customHeight="1">
      <c r="A2328" s="32"/>
      <c r="B2328" s="33" t="s">
        <v>834</v>
      </c>
      <c r="C2328" s="33" t="s">
        <v>21</v>
      </c>
      <c r="D2328" s="33" t="s">
        <v>25</v>
      </c>
      <c r="E2328" s="21" t="str">
        <f t="shared" si="4"/>
        <v>NSE:GRAVITA</v>
      </c>
    </row>
    <row r="2329" ht="15.75" customHeight="1">
      <c r="A2329" s="32"/>
      <c r="B2329" s="33" t="s">
        <v>540</v>
      </c>
      <c r="C2329" s="33" t="s">
        <v>21</v>
      </c>
      <c r="D2329" s="33" t="s">
        <v>107</v>
      </c>
      <c r="E2329" s="21" t="str">
        <f t="shared" si="4"/>
        <v>NSE:RBA</v>
      </c>
    </row>
    <row r="2330" ht="15.75" customHeight="1">
      <c r="A2330" s="32"/>
      <c r="B2330" s="33" t="s">
        <v>292</v>
      </c>
      <c r="C2330" s="33" t="s">
        <v>16</v>
      </c>
      <c r="D2330" s="33" t="s">
        <v>107</v>
      </c>
      <c r="E2330" s="21" t="str">
        <f t="shared" si="4"/>
        <v>NSE:BARBEQUE</v>
      </c>
    </row>
    <row r="2331" ht="15.75" customHeight="1">
      <c r="A2331" s="32"/>
      <c r="B2331" s="33" t="s">
        <v>293</v>
      </c>
      <c r="C2331" s="33" t="s">
        <v>21</v>
      </c>
      <c r="D2331" s="33" t="s">
        <v>27</v>
      </c>
      <c r="E2331" s="21" t="str">
        <f t="shared" si="4"/>
        <v>NSE:NUVOCO</v>
      </c>
    </row>
    <row r="2332" ht="15.75" customHeight="1">
      <c r="A2332" s="32"/>
      <c r="B2332" s="33" t="s">
        <v>194</v>
      </c>
      <c r="C2332" s="33" t="s">
        <v>21</v>
      </c>
      <c r="D2332" s="33" t="s">
        <v>31</v>
      </c>
      <c r="E2332" s="21" t="str">
        <f t="shared" si="4"/>
        <v>NSE:CMSINFO</v>
      </c>
    </row>
    <row r="2333" ht="15.75" customHeight="1">
      <c r="A2333" s="32"/>
      <c r="B2333" s="33" t="s">
        <v>162</v>
      </c>
      <c r="C2333" s="33" t="s">
        <v>13</v>
      </c>
      <c r="D2333" s="33" t="s">
        <v>17</v>
      </c>
      <c r="E2333" s="21" t="str">
        <f t="shared" si="4"/>
        <v>NSE:ARE&amp;M</v>
      </c>
    </row>
    <row r="2334" ht="15.75" customHeight="1">
      <c r="A2334" s="32"/>
      <c r="B2334" s="33" t="s">
        <v>301</v>
      </c>
      <c r="C2334" s="33" t="s">
        <v>16</v>
      </c>
      <c r="D2334" s="33" t="s">
        <v>27</v>
      </c>
      <c r="E2334" s="21" t="str">
        <f t="shared" si="4"/>
        <v>NSE:OAL</v>
      </c>
    </row>
    <row r="2335" ht="15.75" customHeight="1">
      <c r="A2335" s="32"/>
      <c r="B2335" s="33" t="s">
        <v>1091</v>
      </c>
      <c r="C2335" s="33" t="s">
        <v>13</v>
      </c>
      <c r="D2335" s="33" t="s">
        <v>17</v>
      </c>
      <c r="E2335" s="21" t="str">
        <f t="shared" si="4"/>
        <v>NSE:EXIDEIND</v>
      </c>
    </row>
    <row r="2336" ht="15.75" customHeight="1">
      <c r="A2336" s="32"/>
      <c r="B2336" s="33" t="s">
        <v>1092</v>
      </c>
      <c r="C2336" s="33" t="s">
        <v>16</v>
      </c>
      <c r="D2336" s="33" t="s">
        <v>29</v>
      </c>
      <c r="E2336" s="21" t="str">
        <f t="shared" si="4"/>
        <v>NSE:DALMIASUG</v>
      </c>
    </row>
    <row r="2337" ht="15.75" customHeight="1">
      <c r="A2337" s="32"/>
      <c r="B2337" s="33" t="s">
        <v>1093</v>
      </c>
      <c r="C2337" s="33" t="s">
        <v>21</v>
      </c>
      <c r="D2337" s="33" t="s">
        <v>29</v>
      </c>
      <c r="E2337" s="21" t="str">
        <f t="shared" si="4"/>
        <v>NSE:JISLJALEQS</v>
      </c>
    </row>
    <row r="2338" ht="15.75" customHeight="1">
      <c r="A2338" s="32"/>
      <c r="B2338" s="33" t="s">
        <v>242</v>
      </c>
      <c r="C2338" s="33" t="s">
        <v>13</v>
      </c>
      <c r="D2338" s="33" t="s">
        <v>29</v>
      </c>
      <c r="E2338" s="21" t="str">
        <f t="shared" si="4"/>
        <v>NSE:WHIRLPOOL</v>
      </c>
    </row>
    <row r="2339" ht="15.75" customHeight="1">
      <c r="A2339" s="32"/>
      <c r="B2339" s="33" t="s">
        <v>678</v>
      </c>
      <c r="C2339" s="33" t="s">
        <v>21</v>
      </c>
      <c r="D2339" s="33" t="s">
        <v>53</v>
      </c>
      <c r="E2339" s="21" t="str">
        <f t="shared" si="4"/>
        <v>NSE:RAYMOND</v>
      </c>
    </row>
    <row r="2340" ht="15.75" customHeight="1">
      <c r="A2340" s="32"/>
      <c r="B2340" s="33" t="s">
        <v>313</v>
      </c>
      <c r="C2340" s="33" t="s">
        <v>16</v>
      </c>
      <c r="D2340" s="33" t="s">
        <v>55</v>
      </c>
      <c r="E2340" s="21" t="str">
        <f t="shared" si="4"/>
        <v>NSE:UNIENTER</v>
      </c>
    </row>
    <row r="2341" ht="15.75" customHeight="1">
      <c r="A2341" s="32"/>
      <c r="B2341" s="33" t="s">
        <v>565</v>
      </c>
      <c r="C2341" s="33" t="s">
        <v>13</v>
      </c>
      <c r="D2341" s="33" t="s">
        <v>185</v>
      </c>
      <c r="E2341" s="21" t="str">
        <f t="shared" si="4"/>
        <v>NSE:FEDERALBNK</v>
      </c>
    </row>
    <row r="2342" ht="15.75" customHeight="1">
      <c r="A2342" s="32"/>
      <c r="B2342" s="33" t="s">
        <v>854</v>
      </c>
      <c r="C2342" s="33" t="s">
        <v>13</v>
      </c>
      <c r="D2342" s="33" t="s">
        <v>29</v>
      </c>
      <c r="E2342" s="21" t="str">
        <f t="shared" si="4"/>
        <v>NSE:ITC</v>
      </c>
    </row>
    <row r="2343" ht="15.75" customHeight="1">
      <c r="A2343" s="32"/>
      <c r="B2343" s="33" t="s">
        <v>470</v>
      </c>
      <c r="C2343" s="33" t="s">
        <v>16</v>
      </c>
      <c r="D2343" s="33" t="s">
        <v>27</v>
      </c>
      <c r="E2343" s="21" t="str">
        <f t="shared" si="4"/>
        <v>NSE:SESHAPAPER</v>
      </c>
    </row>
    <row r="2344" ht="15.75" customHeight="1">
      <c r="A2344" s="32"/>
      <c r="B2344" s="33" t="s">
        <v>827</v>
      </c>
      <c r="C2344" s="33" t="s">
        <v>16</v>
      </c>
      <c r="D2344" s="33" t="s">
        <v>29</v>
      </c>
      <c r="E2344" s="21" t="str">
        <f t="shared" si="4"/>
        <v>NSE:ASALCBR</v>
      </c>
    </row>
    <row r="2345" ht="15.75" customHeight="1">
      <c r="A2345" s="32"/>
      <c r="B2345" s="33" t="s">
        <v>474</v>
      </c>
      <c r="C2345" s="33" t="s">
        <v>16</v>
      </c>
      <c r="D2345" s="33" t="s">
        <v>55</v>
      </c>
      <c r="E2345" s="21" t="str">
        <f t="shared" si="4"/>
        <v>NSE:COSMOFIRST</v>
      </c>
    </row>
    <row r="2346" ht="15.75" customHeight="1">
      <c r="A2346" s="32"/>
      <c r="B2346" s="33" t="s">
        <v>246</v>
      </c>
      <c r="C2346" s="33" t="s">
        <v>16</v>
      </c>
      <c r="D2346" s="33" t="s">
        <v>29</v>
      </c>
      <c r="E2346" s="21" t="str">
        <f t="shared" si="4"/>
        <v>NSE:GRPLTD</v>
      </c>
    </row>
    <row r="2347" ht="15.75" customHeight="1">
      <c r="A2347" s="32"/>
      <c r="B2347" s="33" t="s">
        <v>1094</v>
      </c>
      <c r="C2347" s="33" t="s">
        <v>13</v>
      </c>
      <c r="D2347" s="33" t="s">
        <v>29</v>
      </c>
      <c r="E2347" s="21" t="str">
        <f t="shared" si="4"/>
        <v>NSE:MANYAVAR</v>
      </c>
    </row>
    <row r="2348" ht="15.75" customHeight="1">
      <c r="A2348" s="32"/>
      <c r="B2348" s="33" t="s">
        <v>1095</v>
      </c>
      <c r="C2348" s="33" t="s">
        <v>16</v>
      </c>
      <c r="D2348" s="33" t="s">
        <v>25</v>
      </c>
      <c r="E2348" s="21" t="str">
        <f t="shared" si="4"/>
        <v>NSE:PENIND</v>
      </c>
    </row>
    <row r="2349" ht="15.75" customHeight="1">
      <c r="A2349" s="32"/>
      <c r="B2349" s="33" t="s">
        <v>346</v>
      </c>
      <c r="C2349" s="33" t="s">
        <v>16</v>
      </c>
      <c r="D2349" s="33" t="s">
        <v>29</v>
      </c>
      <c r="E2349" s="21" t="str">
        <f t="shared" si="4"/>
        <v>NSE:PITTIENG</v>
      </c>
    </row>
    <row r="2350" ht="15.75" customHeight="1">
      <c r="A2350" s="32"/>
      <c r="B2350" s="33" t="s">
        <v>1023</v>
      </c>
      <c r="C2350" s="33" t="s">
        <v>21</v>
      </c>
      <c r="D2350" s="33" t="s">
        <v>17</v>
      </c>
      <c r="E2350" s="21" t="str">
        <f t="shared" si="4"/>
        <v>NSE:HARSHA</v>
      </c>
    </row>
    <row r="2351" ht="15.75" customHeight="1">
      <c r="A2351" s="32"/>
      <c r="B2351" s="33" t="s">
        <v>352</v>
      </c>
      <c r="C2351" s="33" t="s">
        <v>21</v>
      </c>
      <c r="D2351" s="33" t="s">
        <v>29</v>
      </c>
      <c r="E2351" s="21" t="str">
        <f t="shared" si="4"/>
        <v>NSE:TTKPRESTIG</v>
      </c>
    </row>
    <row r="2352" ht="15.75" customHeight="1">
      <c r="A2352" s="32"/>
      <c r="B2352" s="33" t="s">
        <v>1019</v>
      </c>
      <c r="C2352" s="33" t="s">
        <v>16</v>
      </c>
      <c r="D2352" s="33" t="s">
        <v>29</v>
      </c>
      <c r="E2352" s="21" t="str">
        <f t="shared" si="4"/>
        <v>NSE:MAYURUNIQ</v>
      </c>
    </row>
    <row r="2353" ht="15.75" customHeight="1">
      <c r="A2353" s="32"/>
      <c r="B2353" s="33" t="s">
        <v>1096</v>
      </c>
      <c r="C2353" s="33" t="s">
        <v>16</v>
      </c>
      <c r="D2353" s="33" t="s">
        <v>29</v>
      </c>
      <c r="E2353" s="21" t="str">
        <f t="shared" si="4"/>
        <v>NSE:NILKAMAL</v>
      </c>
    </row>
    <row r="2354" ht="15.75" customHeight="1">
      <c r="A2354" s="32"/>
      <c r="B2354" s="33" t="s">
        <v>1073</v>
      </c>
      <c r="C2354" s="33" t="s">
        <v>21</v>
      </c>
      <c r="D2354" s="33" t="s">
        <v>37</v>
      </c>
      <c r="E2354" s="21" t="str">
        <f t="shared" si="4"/>
        <v>NSE:NETWEB</v>
      </c>
    </row>
    <row r="2355" ht="15.75" customHeight="1">
      <c r="A2355" s="32"/>
      <c r="B2355" s="33" t="s">
        <v>359</v>
      </c>
      <c r="C2355" s="33" t="s">
        <v>16</v>
      </c>
      <c r="D2355" s="33" t="s">
        <v>14</v>
      </c>
      <c r="E2355" s="21" t="str">
        <f t="shared" si="4"/>
        <v>NSE:AARTIDRUGS</v>
      </c>
    </row>
    <row r="2356" ht="15.75" customHeight="1">
      <c r="A2356" s="32"/>
      <c r="B2356" s="33" t="s">
        <v>841</v>
      </c>
      <c r="C2356" s="33" t="s">
        <v>16</v>
      </c>
      <c r="D2356" s="33" t="s">
        <v>25</v>
      </c>
      <c r="E2356" s="21" t="str">
        <f t="shared" si="4"/>
        <v>NSE:AEROFLEX</v>
      </c>
    </row>
    <row r="2357" ht="15.75" customHeight="1">
      <c r="A2357" s="32"/>
      <c r="B2357" s="33" t="s">
        <v>364</v>
      </c>
      <c r="C2357" s="33" t="s">
        <v>13</v>
      </c>
      <c r="D2357" s="33" t="s">
        <v>14</v>
      </c>
      <c r="E2357" s="21" t="str">
        <f t="shared" si="4"/>
        <v>NSE:NATCOPHARM</v>
      </c>
    </row>
    <row r="2358" ht="15.75" customHeight="1">
      <c r="A2358" s="32"/>
      <c r="B2358" s="33" t="s">
        <v>140</v>
      </c>
      <c r="C2358" s="33" t="s">
        <v>16</v>
      </c>
      <c r="D2358" s="33" t="s">
        <v>64</v>
      </c>
      <c r="E2358" s="21" t="str">
        <f t="shared" si="4"/>
        <v>NSE:PANAMAPET</v>
      </c>
    </row>
    <row r="2359" ht="15.75" customHeight="1">
      <c r="A2359" s="32"/>
      <c r="B2359" s="33" t="s">
        <v>638</v>
      </c>
      <c r="C2359" s="33" t="s">
        <v>21</v>
      </c>
      <c r="D2359" s="33" t="s">
        <v>14</v>
      </c>
      <c r="E2359" s="21" t="str">
        <f t="shared" si="4"/>
        <v>NSE:BLUEJET</v>
      </c>
    </row>
    <row r="2360" ht="15.75" customHeight="1">
      <c r="A2360" s="32"/>
      <c r="B2360" s="33" t="s">
        <v>367</v>
      </c>
      <c r="C2360" s="33" t="s">
        <v>21</v>
      </c>
      <c r="D2360" s="33" t="s">
        <v>17</v>
      </c>
      <c r="E2360" s="21" t="str">
        <f t="shared" si="4"/>
        <v>NSE:ASKAUTOLTD</v>
      </c>
    </row>
    <row r="2361" ht="15.75" customHeight="1">
      <c r="A2361" s="32"/>
      <c r="B2361" s="33" t="s">
        <v>142</v>
      </c>
      <c r="C2361" s="33" t="s">
        <v>13</v>
      </c>
      <c r="D2361" s="33" t="s">
        <v>37</v>
      </c>
      <c r="E2361" s="21" t="str">
        <f t="shared" si="4"/>
        <v>NSE:TATATECH</v>
      </c>
    </row>
    <row r="2362" ht="15.75" customHeight="1">
      <c r="A2362" s="32"/>
      <c r="B2362" s="33" t="s">
        <v>179</v>
      </c>
      <c r="C2362" s="33" t="s">
        <v>21</v>
      </c>
      <c r="D2362" s="33" t="s">
        <v>31</v>
      </c>
      <c r="E2362" s="21" t="str">
        <f t="shared" si="4"/>
        <v>NSE:GODREJAGRO</v>
      </c>
    </row>
    <row r="2363" ht="15.75" customHeight="1">
      <c r="A2363" s="32"/>
      <c r="B2363" s="33" t="s">
        <v>643</v>
      </c>
      <c r="C2363" s="33" t="s">
        <v>16</v>
      </c>
      <c r="D2363" s="33" t="s">
        <v>14</v>
      </c>
      <c r="E2363" s="21" t="str">
        <f t="shared" si="4"/>
        <v>NSE:INNOVACAP</v>
      </c>
    </row>
    <row r="2364" ht="15.75" customHeight="1">
      <c r="A2364" s="32"/>
      <c r="B2364" s="33" t="s">
        <v>924</v>
      </c>
      <c r="C2364" s="33" t="s">
        <v>13</v>
      </c>
      <c r="D2364" s="33" t="s">
        <v>29</v>
      </c>
      <c r="E2364" s="21" t="str">
        <f t="shared" si="4"/>
        <v>NSE:JYOTICNC</v>
      </c>
    </row>
    <row r="2365" ht="15.75" customHeight="1">
      <c r="A2365" s="32"/>
      <c r="B2365" s="33" t="s">
        <v>57</v>
      </c>
      <c r="C2365" s="33" t="s">
        <v>21</v>
      </c>
      <c r="D2365" s="33" t="s">
        <v>14</v>
      </c>
      <c r="E2365" s="21" t="str">
        <f t="shared" si="4"/>
        <v>NSE:JUBLPHARMA</v>
      </c>
    </row>
    <row r="2366" ht="15.75" customHeight="1">
      <c r="A2366" s="32"/>
      <c r="B2366" s="33" t="s">
        <v>892</v>
      </c>
      <c r="C2366" s="33" t="s">
        <v>16</v>
      </c>
      <c r="D2366" s="33" t="s">
        <v>64</v>
      </c>
      <c r="E2366" s="21" t="str">
        <f t="shared" si="4"/>
        <v>NSE:SELAN</v>
      </c>
    </row>
    <row r="2367" ht="15.75" customHeight="1">
      <c r="A2367" s="32"/>
      <c r="B2367" s="33" t="s">
        <v>955</v>
      </c>
      <c r="C2367" s="33" t="s">
        <v>21</v>
      </c>
      <c r="D2367" s="33" t="s">
        <v>39</v>
      </c>
      <c r="E2367" s="21" t="str">
        <f t="shared" si="4"/>
        <v>NSE:AAVAS</v>
      </c>
    </row>
    <row r="2368" ht="15.75" customHeight="1">
      <c r="A2368" s="32"/>
      <c r="B2368" s="33" t="s">
        <v>1076</v>
      </c>
      <c r="C2368" s="33" t="s">
        <v>21</v>
      </c>
      <c r="D2368" s="33" t="s">
        <v>39</v>
      </c>
      <c r="E2368" s="21" t="str">
        <f t="shared" si="4"/>
        <v>NSE:AADHARHFC</v>
      </c>
    </row>
    <row r="2369" ht="15.75" customHeight="1">
      <c r="A2369" s="32"/>
      <c r="B2369" s="33" t="s">
        <v>1077</v>
      </c>
      <c r="C2369" s="33" t="s">
        <v>21</v>
      </c>
      <c r="D2369" s="33" t="s">
        <v>31</v>
      </c>
      <c r="E2369" s="21" t="str">
        <f t="shared" si="4"/>
        <v>NSE:TBOTEK</v>
      </c>
    </row>
    <row r="2370" ht="15.75" customHeight="1">
      <c r="A2370" s="32"/>
      <c r="B2370" s="33" t="s">
        <v>388</v>
      </c>
      <c r="C2370" s="33" t="s">
        <v>16</v>
      </c>
      <c r="D2370" s="33" t="s">
        <v>27</v>
      </c>
      <c r="E2370" s="21" t="str">
        <f t="shared" si="4"/>
        <v>NSE:ALICON</v>
      </c>
    </row>
    <row r="2371" ht="15.75" customHeight="1">
      <c r="A2371" s="32"/>
      <c r="B2371" s="33" t="s">
        <v>1078</v>
      </c>
      <c r="C2371" s="33" t="s">
        <v>21</v>
      </c>
      <c r="D2371" s="33" t="s">
        <v>39</v>
      </c>
      <c r="E2371" s="21" t="str">
        <f t="shared" si="4"/>
        <v>NSE:CHOICEIN</v>
      </c>
    </row>
    <row r="2372" ht="15.75" customHeight="1">
      <c r="A2372" s="32"/>
      <c r="B2372" s="33" t="s">
        <v>1097</v>
      </c>
      <c r="C2372" s="33" t="s">
        <v>21</v>
      </c>
      <c r="D2372" s="33" t="s">
        <v>55</v>
      </c>
      <c r="E2372" s="21" t="str">
        <f t="shared" si="4"/>
        <v>NSE:IIFLSEC</v>
      </c>
    </row>
    <row r="2373" ht="15.75" customHeight="1">
      <c r="A2373" s="32"/>
      <c r="B2373" s="33" t="s">
        <v>700</v>
      </c>
      <c r="C2373" s="33" t="s">
        <v>13</v>
      </c>
      <c r="D2373" s="33" t="s">
        <v>39</v>
      </c>
      <c r="E2373" s="21" t="str">
        <f t="shared" si="4"/>
        <v>NSE:SBICARD</v>
      </c>
    </row>
    <row r="2374" ht="15.75" customHeight="1">
      <c r="A2374" s="32"/>
      <c r="B2374" s="33" t="s">
        <v>1015</v>
      </c>
      <c r="C2374" s="33" t="s">
        <v>21</v>
      </c>
      <c r="D2374" s="33" t="s">
        <v>37</v>
      </c>
      <c r="E2374" s="21" t="str">
        <f t="shared" si="4"/>
        <v>NSE:HAPPSTMNDS</v>
      </c>
    </row>
    <row r="2375" ht="15.75" customHeight="1">
      <c r="A2375" s="32"/>
      <c r="B2375" s="33" t="s">
        <v>702</v>
      </c>
      <c r="C2375" s="33" t="s">
        <v>21</v>
      </c>
      <c r="D2375" s="33" t="s">
        <v>27</v>
      </c>
      <c r="E2375" s="21" t="str">
        <f t="shared" si="4"/>
        <v>NSE:CERA</v>
      </c>
    </row>
    <row r="2376" ht="15.75" customHeight="1">
      <c r="A2376" s="32"/>
      <c r="B2376" s="33" t="s">
        <v>522</v>
      </c>
      <c r="C2376" s="33" t="s">
        <v>16</v>
      </c>
      <c r="D2376" s="33" t="s">
        <v>25</v>
      </c>
      <c r="E2376" s="21" t="str">
        <f t="shared" si="4"/>
        <v>NSE:ISMTLTD</v>
      </c>
    </row>
    <row r="2377" ht="15.75" customHeight="1">
      <c r="A2377" s="32"/>
      <c r="B2377" s="33" t="s">
        <v>258</v>
      </c>
      <c r="C2377" s="33" t="s">
        <v>13</v>
      </c>
      <c r="D2377" s="33" t="s">
        <v>27</v>
      </c>
      <c r="E2377" s="21" t="str">
        <f t="shared" si="4"/>
        <v>NSE:IGL</v>
      </c>
    </row>
    <row r="2378" ht="15.75" customHeight="1">
      <c r="A2378" s="32"/>
      <c r="B2378" s="33" t="s">
        <v>222</v>
      </c>
      <c r="C2378" s="33" t="s">
        <v>13</v>
      </c>
      <c r="D2378" s="33" t="s">
        <v>14</v>
      </c>
      <c r="E2378" s="21" t="str">
        <f t="shared" si="4"/>
        <v>NSE:BIOCON</v>
      </c>
    </row>
    <row r="2379" ht="15.75" customHeight="1">
      <c r="A2379" s="32"/>
      <c r="B2379" s="33" t="s">
        <v>1028</v>
      </c>
      <c r="C2379" s="33" t="s">
        <v>21</v>
      </c>
      <c r="D2379" s="33" t="s">
        <v>22</v>
      </c>
      <c r="E2379" s="21" t="str">
        <f t="shared" si="4"/>
        <v>NSE:WELENT</v>
      </c>
    </row>
    <row r="2380" ht="15.75" customHeight="1">
      <c r="A2380" s="32"/>
      <c r="B2380" s="33" t="s">
        <v>790</v>
      </c>
      <c r="C2380" s="33" t="s">
        <v>13</v>
      </c>
      <c r="D2380" s="33" t="s">
        <v>37</v>
      </c>
      <c r="E2380" s="21" t="str">
        <f t="shared" si="4"/>
        <v>NSE:TECHM</v>
      </c>
    </row>
    <row r="2381" ht="15.75" customHeight="1">
      <c r="A2381" s="32"/>
      <c r="B2381" s="33" t="s">
        <v>731</v>
      </c>
      <c r="C2381" s="33" t="s">
        <v>21</v>
      </c>
      <c r="D2381" s="33" t="s">
        <v>29</v>
      </c>
      <c r="E2381" s="21" t="str">
        <f t="shared" si="4"/>
        <v>NSE:LTFOODS</v>
      </c>
    </row>
    <row r="2382" ht="15.75" customHeight="1">
      <c r="A2382" s="32"/>
      <c r="B2382" s="33" t="s">
        <v>1064</v>
      </c>
      <c r="C2382" s="33" t="s">
        <v>21</v>
      </c>
      <c r="D2382" s="33" t="s">
        <v>22</v>
      </c>
      <c r="E2382" s="21" t="str">
        <f t="shared" si="4"/>
        <v>NSE:SOBHA</v>
      </c>
    </row>
    <row r="2383" ht="15.75" customHeight="1">
      <c r="A2383" s="32"/>
      <c r="B2383" s="33" t="s">
        <v>188</v>
      </c>
      <c r="C2383" s="33" t="s">
        <v>16</v>
      </c>
      <c r="D2383" s="33" t="s">
        <v>17</v>
      </c>
      <c r="E2383" s="21" t="str">
        <f t="shared" si="4"/>
        <v>NSE:LUMAXTECH</v>
      </c>
    </row>
    <row r="2384" ht="15.75" customHeight="1">
      <c r="A2384" s="32"/>
      <c r="B2384" s="33" t="s">
        <v>660</v>
      </c>
      <c r="C2384" s="33" t="s">
        <v>16</v>
      </c>
      <c r="D2384" s="33" t="s">
        <v>27</v>
      </c>
      <c r="E2384" s="21" t="str">
        <f t="shared" si="4"/>
        <v>NSE:CAMLINFINE</v>
      </c>
    </row>
    <row r="2385" ht="15.75" customHeight="1">
      <c r="A2385" s="32"/>
      <c r="B2385" s="33" t="s">
        <v>661</v>
      </c>
      <c r="C2385" s="33" t="s">
        <v>16</v>
      </c>
      <c r="D2385" s="33" t="s">
        <v>31</v>
      </c>
      <c r="E2385" s="21" t="str">
        <f t="shared" si="4"/>
        <v>NSE:DELTACORP</v>
      </c>
    </row>
    <row r="2386" ht="15.75" customHeight="1">
      <c r="A2386" s="32"/>
      <c r="B2386" s="33" t="s">
        <v>846</v>
      </c>
      <c r="C2386" s="33" t="s">
        <v>16</v>
      </c>
      <c r="D2386" s="33" t="s">
        <v>31</v>
      </c>
      <c r="E2386" s="21" t="str">
        <f t="shared" si="4"/>
        <v>NSE:KSCL</v>
      </c>
    </row>
    <row r="2387" ht="15.75" customHeight="1">
      <c r="A2387" s="32"/>
      <c r="B2387" s="33" t="s">
        <v>424</v>
      </c>
      <c r="C2387" s="33" t="s">
        <v>16</v>
      </c>
      <c r="D2387" s="33" t="s">
        <v>29</v>
      </c>
      <c r="E2387" s="21" t="str">
        <f t="shared" si="4"/>
        <v>NSE:BAJAJCON</v>
      </c>
    </row>
    <row r="2388" ht="15.75" customHeight="1">
      <c r="A2388" s="32"/>
      <c r="B2388" s="33" t="s">
        <v>1098</v>
      </c>
      <c r="C2388" s="33" t="s">
        <v>21</v>
      </c>
      <c r="D2388" s="33" t="s">
        <v>22</v>
      </c>
      <c r="E2388" s="21" t="str">
        <f t="shared" si="4"/>
        <v>NSE:ASHOKA</v>
      </c>
    </row>
    <row r="2389" ht="15.75" customHeight="1">
      <c r="A2389" s="32"/>
      <c r="B2389" s="33" t="s">
        <v>707</v>
      </c>
      <c r="C2389" s="33" t="s">
        <v>13</v>
      </c>
      <c r="D2389" s="33" t="s">
        <v>39</v>
      </c>
      <c r="E2389" s="21" t="str">
        <f t="shared" si="4"/>
        <v>NSE:MUTHOOTFIN</v>
      </c>
    </row>
    <row r="2390" ht="15.75" customHeight="1">
      <c r="A2390" s="32"/>
      <c r="B2390" s="33" t="s">
        <v>231</v>
      </c>
      <c r="C2390" s="33" t="s">
        <v>21</v>
      </c>
      <c r="D2390" s="33" t="s">
        <v>29</v>
      </c>
      <c r="E2390" s="21" t="str">
        <f t="shared" si="4"/>
        <v>NSE:PGEL</v>
      </c>
    </row>
    <row r="2391" ht="15.75" customHeight="1">
      <c r="A2391" s="32"/>
      <c r="B2391" s="33" t="s">
        <v>666</v>
      </c>
      <c r="C2391" s="33" t="s">
        <v>16</v>
      </c>
      <c r="D2391" s="33" t="s">
        <v>55</v>
      </c>
      <c r="E2391" s="21" t="str">
        <f t="shared" si="4"/>
        <v>NSE:ESSARSHPNG</v>
      </c>
    </row>
    <row r="2392" ht="15.75" customHeight="1">
      <c r="A2392" s="32"/>
      <c r="B2392" s="33" t="s">
        <v>1099</v>
      </c>
      <c r="C2392" s="33" t="s">
        <v>16</v>
      </c>
      <c r="D2392" s="33" t="s">
        <v>55</v>
      </c>
      <c r="E2392" s="21" t="str">
        <f t="shared" si="4"/>
        <v>NSE:SMCGLOBAL</v>
      </c>
    </row>
    <row r="2393" ht="15.75" customHeight="1">
      <c r="A2393" s="32"/>
      <c r="B2393" s="33" t="s">
        <v>193</v>
      </c>
      <c r="C2393" s="33" t="s">
        <v>21</v>
      </c>
      <c r="D2393" s="33" t="s">
        <v>17</v>
      </c>
      <c r="E2393" s="21" t="str">
        <f t="shared" si="4"/>
        <v>NSE:CRAFTSMAN</v>
      </c>
    </row>
    <row r="2394" ht="15.75" customHeight="1">
      <c r="A2394" s="32"/>
      <c r="B2394" s="33" t="s">
        <v>438</v>
      </c>
      <c r="C2394" s="33" t="s">
        <v>21</v>
      </c>
      <c r="D2394" s="33" t="s">
        <v>27</v>
      </c>
      <c r="E2394" s="21" t="str">
        <f t="shared" si="4"/>
        <v>NSE:EPIGRAL</v>
      </c>
    </row>
    <row r="2395" ht="15.75" customHeight="1">
      <c r="A2395" s="32"/>
      <c r="B2395" s="33" t="s">
        <v>1045</v>
      </c>
      <c r="C2395" s="33" t="s">
        <v>21</v>
      </c>
      <c r="D2395" s="33" t="s">
        <v>27</v>
      </c>
      <c r="E2395" s="21" t="str">
        <f t="shared" si="4"/>
        <v>NSE:CHEMPLASTS</v>
      </c>
    </row>
    <row r="2396" ht="15.75" customHeight="1">
      <c r="A2396" s="32"/>
      <c r="B2396" s="33" t="s">
        <v>296</v>
      </c>
      <c r="C2396" s="33" t="s">
        <v>21</v>
      </c>
      <c r="D2396" s="33" t="s">
        <v>27</v>
      </c>
      <c r="E2396" s="21" t="str">
        <f t="shared" si="4"/>
        <v>NSE:ATUL</v>
      </c>
    </row>
    <row r="2397" ht="15.75" customHeight="1">
      <c r="A2397" s="32"/>
      <c r="B2397" s="33" t="s">
        <v>297</v>
      </c>
      <c r="C2397" s="33" t="s">
        <v>16</v>
      </c>
      <c r="D2397" s="33" t="s">
        <v>14</v>
      </c>
      <c r="E2397" s="21" t="str">
        <f t="shared" si="4"/>
        <v>NSE:AMRUTANJAN</v>
      </c>
    </row>
    <row r="2398" ht="15.75" customHeight="1">
      <c r="A2398" s="32"/>
      <c r="B2398" s="33" t="s">
        <v>298</v>
      </c>
      <c r="C2398" s="33" t="s">
        <v>16</v>
      </c>
      <c r="D2398" s="33" t="s">
        <v>37</v>
      </c>
      <c r="E2398" s="21" t="str">
        <f t="shared" si="4"/>
        <v>NSE:SAKSOFT</v>
      </c>
    </row>
    <row r="2399" ht="15.75" customHeight="1">
      <c r="A2399" s="32"/>
      <c r="B2399" s="33" t="s">
        <v>109</v>
      </c>
      <c r="C2399" s="33" t="s">
        <v>13</v>
      </c>
      <c r="D2399" s="33" t="s">
        <v>27</v>
      </c>
      <c r="E2399" s="21" t="str">
        <f t="shared" si="4"/>
        <v>NSE:CHAMBLFERT</v>
      </c>
    </row>
    <row r="2400" ht="15.75" customHeight="1">
      <c r="A2400" s="32"/>
      <c r="B2400" s="33" t="s">
        <v>453</v>
      </c>
      <c r="C2400" s="33" t="s">
        <v>16</v>
      </c>
      <c r="D2400" s="33" t="s">
        <v>17</v>
      </c>
      <c r="E2400" s="21" t="str">
        <f t="shared" si="4"/>
        <v>NSE:WHEELS</v>
      </c>
    </row>
    <row r="2401" ht="15.75" customHeight="1">
      <c r="A2401" s="32"/>
      <c r="B2401" s="33" t="s">
        <v>1100</v>
      </c>
      <c r="C2401" s="33" t="s">
        <v>16</v>
      </c>
      <c r="D2401" s="33" t="s">
        <v>29</v>
      </c>
      <c r="E2401" s="21" t="str">
        <f t="shared" si="4"/>
        <v>NSE:DHAMPURSUG</v>
      </c>
    </row>
    <row r="2402" ht="15.75" customHeight="1">
      <c r="A2402" s="32"/>
      <c r="B2402" s="33" t="s">
        <v>625</v>
      </c>
      <c r="C2402" s="33" t="s">
        <v>16</v>
      </c>
      <c r="D2402" s="33" t="s">
        <v>27</v>
      </c>
      <c r="E2402" s="21" t="str">
        <f t="shared" si="4"/>
        <v>NSE:MADRASFERT</v>
      </c>
    </row>
    <row r="2403" ht="15.75" customHeight="1">
      <c r="A2403" s="32"/>
      <c r="B2403" s="33" t="s">
        <v>454</v>
      </c>
      <c r="C2403" s="33" t="s">
        <v>16</v>
      </c>
      <c r="D2403" s="33" t="s">
        <v>55</v>
      </c>
      <c r="E2403" s="21" t="str">
        <f t="shared" si="4"/>
        <v>NSE:UFLEX</v>
      </c>
    </row>
    <row r="2404" ht="15.75" customHeight="1">
      <c r="A2404" s="32"/>
      <c r="B2404" s="33" t="s">
        <v>677</v>
      </c>
      <c r="C2404" s="33" t="s">
        <v>21</v>
      </c>
      <c r="D2404" s="33" t="s">
        <v>22</v>
      </c>
      <c r="E2404" s="21" t="str">
        <f t="shared" si="4"/>
        <v>NSE:HCC</v>
      </c>
    </row>
    <row r="2405" ht="15.75" customHeight="1">
      <c r="A2405" s="32"/>
      <c r="B2405" s="33" t="s">
        <v>455</v>
      </c>
      <c r="C2405" s="33" t="s">
        <v>16</v>
      </c>
      <c r="D2405" s="33" t="s">
        <v>27</v>
      </c>
      <c r="E2405" s="21" t="str">
        <f t="shared" si="4"/>
        <v>NSE:IGPL</v>
      </c>
    </row>
    <row r="2406" ht="15.75" customHeight="1">
      <c r="A2406" s="32"/>
      <c r="B2406" s="33" t="s">
        <v>561</v>
      </c>
      <c r="C2406" s="33" t="s">
        <v>16</v>
      </c>
      <c r="D2406" s="33" t="s">
        <v>53</v>
      </c>
      <c r="E2406" s="21" t="str">
        <f t="shared" si="4"/>
        <v>NSE:JINDALPOLY</v>
      </c>
    </row>
    <row r="2407" ht="15.75" customHeight="1">
      <c r="A2407" s="32"/>
      <c r="B2407" s="33" t="s">
        <v>737</v>
      </c>
      <c r="C2407" s="33" t="s">
        <v>16</v>
      </c>
      <c r="D2407" s="33" t="s">
        <v>64</v>
      </c>
      <c r="E2407" s="21" t="str">
        <f t="shared" si="4"/>
        <v>NSE:MANALIPETC</v>
      </c>
    </row>
    <row r="2408" ht="15.75" customHeight="1">
      <c r="A2408" s="32"/>
      <c r="B2408" s="33" t="s">
        <v>23</v>
      </c>
      <c r="C2408" s="33" t="s">
        <v>16</v>
      </c>
      <c r="D2408" s="33" t="s">
        <v>14</v>
      </c>
      <c r="E2408" s="21" t="str">
        <f t="shared" si="4"/>
        <v>NSE:MOREPENLAB</v>
      </c>
    </row>
    <row r="2409" ht="15.75" customHeight="1">
      <c r="A2409" s="32"/>
      <c r="B2409" s="33" t="s">
        <v>1047</v>
      </c>
      <c r="C2409" s="33" t="s">
        <v>16</v>
      </c>
      <c r="D2409" s="33" t="s">
        <v>29</v>
      </c>
      <c r="E2409" s="21" t="str">
        <f t="shared" si="4"/>
        <v>NSE:SWARAJENG</v>
      </c>
    </row>
    <row r="2410" ht="15.75" customHeight="1">
      <c r="A2410" s="32"/>
      <c r="B2410" s="33" t="s">
        <v>934</v>
      </c>
      <c r="C2410" s="33" t="s">
        <v>13</v>
      </c>
      <c r="D2410" s="33" t="s">
        <v>25</v>
      </c>
      <c r="E2410" s="21" t="str">
        <f t="shared" si="4"/>
        <v>NSE:TATASTEEL</v>
      </c>
    </row>
    <row r="2411" ht="15.75" customHeight="1">
      <c r="A2411" s="32"/>
      <c r="B2411" s="33" t="s">
        <v>992</v>
      </c>
      <c r="C2411" s="33" t="s">
        <v>13</v>
      </c>
      <c r="D2411" s="33" t="s">
        <v>17</v>
      </c>
      <c r="E2411" s="21" t="str">
        <f t="shared" si="4"/>
        <v>NSE:ASHOKLEY</v>
      </c>
    </row>
    <row r="2412" ht="15.75" customHeight="1">
      <c r="A2412" s="32"/>
      <c r="B2412" s="33" t="s">
        <v>888</v>
      </c>
      <c r="C2412" s="33" t="s">
        <v>13</v>
      </c>
      <c r="D2412" s="33" t="s">
        <v>14</v>
      </c>
      <c r="E2412" s="21" t="str">
        <f t="shared" si="4"/>
        <v>NSE:GLAXO</v>
      </c>
    </row>
    <row r="2413" ht="15.75" customHeight="1">
      <c r="A2413" s="32"/>
      <c r="B2413" s="33" t="s">
        <v>322</v>
      </c>
      <c r="C2413" s="33" t="s">
        <v>16</v>
      </c>
      <c r="D2413" s="33" t="s">
        <v>27</v>
      </c>
      <c r="E2413" s="21" t="str">
        <f t="shared" si="4"/>
        <v>NSE:ANDHRAPAP</v>
      </c>
    </row>
    <row r="2414" ht="15.75" customHeight="1">
      <c r="A2414" s="32"/>
      <c r="B2414" s="33" t="s">
        <v>1002</v>
      </c>
      <c r="C2414" s="33" t="s">
        <v>13</v>
      </c>
      <c r="D2414" s="33" t="s">
        <v>17</v>
      </c>
      <c r="E2414" s="21" t="str">
        <f t="shared" si="4"/>
        <v>NSE:BALKRISIND</v>
      </c>
    </row>
    <row r="2415" ht="15.75" customHeight="1">
      <c r="A2415" s="32"/>
      <c r="B2415" s="33" t="s">
        <v>245</v>
      </c>
      <c r="C2415" s="33" t="s">
        <v>16</v>
      </c>
      <c r="D2415" s="33" t="s">
        <v>53</v>
      </c>
      <c r="E2415" s="21" t="str">
        <f t="shared" si="4"/>
        <v>NSE:SIYSIL</v>
      </c>
    </row>
    <row r="2416" ht="15.75" customHeight="1">
      <c r="A2416" s="32"/>
      <c r="B2416" s="33" t="s">
        <v>326</v>
      </c>
      <c r="C2416" s="33" t="s">
        <v>16</v>
      </c>
      <c r="D2416" s="33" t="s">
        <v>22</v>
      </c>
      <c r="E2416" s="21" t="str">
        <f t="shared" si="4"/>
        <v>NSE:INDIANHUME</v>
      </c>
    </row>
    <row r="2417" ht="15.75" customHeight="1">
      <c r="A2417" s="32"/>
      <c r="B2417" s="33" t="s">
        <v>471</v>
      </c>
      <c r="C2417" s="33" t="s">
        <v>16</v>
      </c>
      <c r="D2417" s="33" t="s">
        <v>17</v>
      </c>
      <c r="E2417" s="21" t="str">
        <f t="shared" si="4"/>
        <v>NSE:AUTOAXLES</v>
      </c>
    </row>
    <row r="2418" ht="15.75" customHeight="1">
      <c r="A2418" s="32"/>
      <c r="B2418" s="33" t="s">
        <v>33</v>
      </c>
      <c r="C2418" s="33" t="s">
        <v>21</v>
      </c>
      <c r="D2418" s="33" t="s">
        <v>22</v>
      </c>
      <c r="E2418" s="21" t="str">
        <f t="shared" si="4"/>
        <v>NSE:NESCO</v>
      </c>
    </row>
    <row r="2419" ht="15.75" customHeight="1">
      <c r="A2419" s="32"/>
      <c r="B2419" s="33" t="s">
        <v>272</v>
      </c>
      <c r="C2419" s="33" t="s">
        <v>16</v>
      </c>
      <c r="D2419" s="33" t="s">
        <v>22</v>
      </c>
      <c r="E2419" s="21" t="str">
        <f t="shared" si="4"/>
        <v>NSE:TEXINFRA</v>
      </c>
    </row>
    <row r="2420" ht="15.75" customHeight="1">
      <c r="A2420" s="32"/>
      <c r="B2420" s="33" t="s">
        <v>738</v>
      </c>
      <c r="C2420" s="33" t="s">
        <v>21</v>
      </c>
      <c r="D2420" s="33" t="s">
        <v>17</v>
      </c>
      <c r="E2420" s="21" t="str">
        <f t="shared" si="4"/>
        <v>NSE:GABRIEL</v>
      </c>
    </row>
    <row r="2421" ht="15.75" customHeight="1">
      <c r="A2421" s="32"/>
      <c r="B2421" s="33" t="s">
        <v>1033</v>
      </c>
      <c r="C2421" s="33" t="s">
        <v>16</v>
      </c>
      <c r="D2421" s="33" t="s">
        <v>17</v>
      </c>
      <c r="E2421" s="21" t="str">
        <f t="shared" si="4"/>
        <v>NSE:FMGOETZE</v>
      </c>
    </row>
    <row r="2422" ht="15.75" customHeight="1">
      <c r="A2422" s="32"/>
      <c r="B2422" s="33" t="s">
        <v>273</v>
      </c>
      <c r="C2422" s="33" t="s">
        <v>16</v>
      </c>
      <c r="D2422" s="33" t="s">
        <v>64</v>
      </c>
      <c r="E2422" s="21" t="str">
        <f t="shared" si="4"/>
        <v>NSE:STYRENIX</v>
      </c>
    </row>
    <row r="2423" ht="15.75" customHeight="1">
      <c r="A2423" s="32"/>
      <c r="B2423" s="33" t="s">
        <v>475</v>
      </c>
      <c r="C2423" s="33" t="s">
        <v>16</v>
      </c>
      <c r="D2423" s="33" t="s">
        <v>14</v>
      </c>
      <c r="E2423" s="21" t="str">
        <f t="shared" si="4"/>
        <v>NSE:GUFICBIO</v>
      </c>
    </row>
    <row r="2424" ht="15.75" customHeight="1">
      <c r="A2424" s="32"/>
      <c r="B2424" s="33" t="s">
        <v>575</v>
      </c>
      <c r="C2424" s="33" t="s">
        <v>21</v>
      </c>
      <c r="D2424" s="33" t="s">
        <v>22</v>
      </c>
      <c r="E2424" s="21" t="str">
        <f t="shared" si="4"/>
        <v>NSE:GMRP&amp;UI</v>
      </c>
    </row>
    <row r="2425" ht="15.75" customHeight="1">
      <c r="A2425" s="32"/>
      <c r="B2425" s="33" t="s">
        <v>1101</v>
      </c>
      <c r="C2425" s="33" t="s">
        <v>13</v>
      </c>
      <c r="D2425" s="33" t="s">
        <v>17</v>
      </c>
      <c r="E2425" s="21" t="str">
        <f t="shared" si="4"/>
        <v>NSE:MSUMI</v>
      </c>
    </row>
    <row r="2426" ht="15.75" customHeight="1">
      <c r="A2426" s="32"/>
      <c r="B2426" s="33" t="s">
        <v>204</v>
      </c>
      <c r="C2426" s="33" t="s">
        <v>21</v>
      </c>
      <c r="D2426" s="33" t="s">
        <v>27</v>
      </c>
      <c r="E2426" s="21" t="str">
        <f t="shared" si="4"/>
        <v>NSE:AETHER</v>
      </c>
    </row>
    <row r="2427" ht="15.75" customHeight="1">
      <c r="A2427" s="32"/>
      <c r="B2427" s="33" t="s">
        <v>757</v>
      </c>
      <c r="C2427" s="33" t="s">
        <v>16</v>
      </c>
      <c r="D2427" s="33" t="s">
        <v>53</v>
      </c>
      <c r="E2427" s="21" t="str">
        <f t="shared" si="4"/>
        <v>NSE:GANECOS</v>
      </c>
    </row>
    <row r="2428" ht="15.75" customHeight="1">
      <c r="A2428" s="32"/>
      <c r="B2428" s="33" t="s">
        <v>989</v>
      </c>
      <c r="C2428" s="33" t="s">
        <v>21</v>
      </c>
      <c r="D2428" s="33" t="s">
        <v>27</v>
      </c>
      <c r="E2428" s="21" t="str">
        <f t="shared" si="4"/>
        <v>NSE:ASAHIINDIA</v>
      </c>
    </row>
    <row r="2429" ht="15.75" customHeight="1">
      <c r="A2429" s="32"/>
      <c r="B2429" s="33" t="s">
        <v>478</v>
      </c>
      <c r="C2429" s="33" t="s">
        <v>21</v>
      </c>
      <c r="D2429" s="33" t="s">
        <v>22</v>
      </c>
      <c r="E2429" s="21" t="str">
        <f t="shared" si="4"/>
        <v>NSE:ANANTRAJ</v>
      </c>
    </row>
    <row r="2430" ht="15.75" customHeight="1">
      <c r="A2430" s="32"/>
      <c r="B2430" s="33" t="s">
        <v>1068</v>
      </c>
      <c r="C2430" s="33" t="s">
        <v>21</v>
      </c>
      <c r="D2430" s="33" t="s">
        <v>25</v>
      </c>
      <c r="E2430" s="21" t="str">
        <f t="shared" si="4"/>
        <v>NSE:USHAMART</v>
      </c>
    </row>
    <row r="2431" ht="15.75" customHeight="1">
      <c r="A2431" s="32"/>
      <c r="B2431" s="33" t="s">
        <v>480</v>
      </c>
      <c r="C2431" s="33" t="s">
        <v>13</v>
      </c>
      <c r="D2431" s="33" t="s">
        <v>14</v>
      </c>
      <c r="E2431" s="21" t="str">
        <f t="shared" si="4"/>
        <v>NSE:PPLPHARMA</v>
      </c>
    </row>
    <row r="2432" ht="15.75" customHeight="1">
      <c r="A2432" s="32"/>
      <c r="B2432" s="33" t="s">
        <v>1024</v>
      </c>
      <c r="C2432" s="33" t="s">
        <v>13</v>
      </c>
      <c r="D2432" s="33" t="s">
        <v>27</v>
      </c>
      <c r="E2432" s="21" t="str">
        <f t="shared" si="4"/>
        <v>NSE:KEI</v>
      </c>
    </row>
    <row r="2433" ht="15.75" customHeight="1">
      <c r="A2433" s="32"/>
      <c r="B2433" s="33" t="s">
        <v>771</v>
      </c>
      <c r="C2433" s="33" t="s">
        <v>16</v>
      </c>
      <c r="D2433" s="33" t="s">
        <v>29</v>
      </c>
      <c r="E2433" s="21" t="str">
        <f t="shared" si="4"/>
        <v>NSE:ELIN</v>
      </c>
    </row>
    <row r="2434" ht="15.75" customHeight="1">
      <c r="A2434" s="32"/>
      <c r="B2434" s="33" t="s">
        <v>356</v>
      </c>
      <c r="C2434" s="33" t="s">
        <v>16</v>
      </c>
      <c r="D2434" s="33" t="s">
        <v>29</v>
      </c>
      <c r="E2434" s="21" t="str">
        <f t="shared" si="4"/>
        <v>NSE:HLEGLAS</v>
      </c>
    </row>
    <row r="2435" ht="15.75" customHeight="1">
      <c r="A2435" s="32"/>
      <c r="B2435" s="33" t="s">
        <v>138</v>
      </c>
      <c r="C2435" s="33" t="s">
        <v>16</v>
      </c>
      <c r="D2435" s="33" t="s">
        <v>55</v>
      </c>
      <c r="E2435" s="21" t="str">
        <f t="shared" si="4"/>
        <v>NSE:EIHAHOTELS</v>
      </c>
    </row>
    <row r="2436" ht="15.75" customHeight="1">
      <c r="A2436" s="32"/>
      <c r="B2436" s="33" t="s">
        <v>635</v>
      </c>
      <c r="C2436" s="33" t="s">
        <v>21</v>
      </c>
      <c r="D2436" s="33" t="s">
        <v>27</v>
      </c>
      <c r="E2436" s="21" t="str">
        <f t="shared" si="4"/>
        <v>NSE:NFL</v>
      </c>
    </row>
    <row r="2437" ht="15.75" customHeight="1">
      <c r="A2437" s="32"/>
      <c r="B2437" s="33" t="s">
        <v>1102</v>
      </c>
      <c r="C2437" s="33" t="s">
        <v>16</v>
      </c>
      <c r="D2437" s="33" t="s">
        <v>22</v>
      </c>
      <c r="E2437" s="21" t="str">
        <f t="shared" si="4"/>
        <v>NSE:ASHIANA</v>
      </c>
    </row>
    <row r="2438" ht="15.75" customHeight="1">
      <c r="A2438" s="32"/>
      <c r="B2438" s="33" t="s">
        <v>719</v>
      </c>
      <c r="C2438" s="33" t="s">
        <v>16</v>
      </c>
      <c r="D2438" s="33" t="s">
        <v>29</v>
      </c>
      <c r="E2438" s="21" t="str">
        <f t="shared" si="4"/>
        <v>NSE:IKIO</v>
      </c>
    </row>
    <row r="2439" ht="15.75" customHeight="1">
      <c r="A2439" s="32"/>
      <c r="B2439" s="33" t="s">
        <v>175</v>
      </c>
      <c r="C2439" s="33" t="s">
        <v>16</v>
      </c>
      <c r="D2439" s="33" t="s">
        <v>29</v>
      </c>
      <c r="E2439" s="21" t="str">
        <f t="shared" si="4"/>
        <v>NSE:KABRAEXTRU</v>
      </c>
    </row>
    <row r="2440" ht="15.75" customHeight="1">
      <c r="A2440" s="32"/>
      <c r="B2440" s="33" t="s">
        <v>587</v>
      </c>
      <c r="C2440" s="33" t="s">
        <v>21</v>
      </c>
      <c r="D2440" s="33" t="s">
        <v>27</v>
      </c>
      <c r="E2440" s="21" t="str">
        <f t="shared" si="4"/>
        <v>NSE:RCF</v>
      </c>
    </row>
    <row r="2441" ht="15.75" customHeight="1">
      <c r="A2441" s="32"/>
      <c r="B2441" s="33" t="s">
        <v>492</v>
      </c>
      <c r="C2441" s="33" t="s">
        <v>16</v>
      </c>
      <c r="D2441" s="33" t="s">
        <v>31</v>
      </c>
      <c r="E2441" s="21" t="str">
        <f t="shared" si="4"/>
        <v>NSE:VIMTALABS</v>
      </c>
    </row>
    <row r="2442" ht="15.75" customHeight="1">
      <c r="A2442" s="32"/>
      <c r="B2442" s="33" t="s">
        <v>1103</v>
      </c>
      <c r="C2442" s="33" t="s">
        <v>13</v>
      </c>
      <c r="D2442" s="33" t="s">
        <v>156</v>
      </c>
      <c r="E2442" s="21" t="str">
        <f t="shared" si="4"/>
        <v>NSE:TEJASNET</v>
      </c>
    </row>
    <row r="2443" ht="15.75" customHeight="1">
      <c r="A2443" s="32"/>
      <c r="B2443" s="33" t="s">
        <v>691</v>
      </c>
      <c r="C2443" s="33" t="s">
        <v>16</v>
      </c>
      <c r="D2443" s="33" t="s">
        <v>14</v>
      </c>
      <c r="E2443" s="21" t="str">
        <f t="shared" si="4"/>
        <v>NSE:HIKAL</v>
      </c>
    </row>
    <row r="2444" ht="15.75" customHeight="1">
      <c r="A2444" s="32"/>
      <c r="B2444" s="33" t="s">
        <v>952</v>
      </c>
      <c r="C2444" s="33" t="s">
        <v>13</v>
      </c>
      <c r="D2444" s="33" t="s">
        <v>39</v>
      </c>
      <c r="E2444" s="21" t="str">
        <f t="shared" si="4"/>
        <v>NSE:ABCAPITAL</v>
      </c>
    </row>
    <row r="2445" ht="15.75" customHeight="1">
      <c r="A2445" s="32"/>
      <c r="B2445" s="33" t="s">
        <v>369</v>
      </c>
      <c r="C2445" s="33" t="s">
        <v>16</v>
      </c>
      <c r="D2445" s="33" t="s">
        <v>39</v>
      </c>
      <c r="E2445" s="21" t="str">
        <f t="shared" si="4"/>
        <v>NSE:FEDFINA</v>
      </c>
    </row>
    <row r="2446" ht="15.75" customHeight="1">
      <c r="A2446" s="32"/>
      <c r="B2446" s="33" t="s">
        <v>831</v>
      </c>
      <c r="C2446" s="33" t="s">
        <v>16</v>
      </c>
      <c r="D2446" s="33" t="s">
        <v>22</v>
      </c>
      <c r="E2446" s="21" t="str">
        <f t="shared" si="4"/>
        <v>NSE:CAPACITE</v>
      </c>
    </row>
    <row r="2447" ht="15.75" customHeight="1">
      <c r="A2447" s="32"/>
      <c r="B2447" s="33" t="s">
        <v>281</v>
      </c>
      <c r="C2447" s="33" t="s">
        <v>16</v>
      </c>
      <c r="D2447" s="33" t="s">
        <v>55</v>
      </c>
      <c r="E2447" s="21" t="str">
        <f t="shared" si="4"/>
        <v>NSE:MAHLOG</v>
      </c>
    </row>
    <row r="2448" ht="15.75" customHeight="1">
      <c r="A2448" s="32"/>
      <c r="B2448" s="33" t="s">
        <v>724</v>
      </c>
      <c r="C2448" s="33" t="s">
        <v>16</v>
      </c>
      <c r="D2448" s="33" t="s">
        <v>39</v>
      </c>
      <c r="E2448" s="21" t="str">
        <f t="shared" si="4"/>
        <v>NSE:MUTHOOTMF</v>
      </c>
    </row>
    <row r="2449" ht="15.75" customHeight="1">
      <c r="A2449" s="32"/>
      <c r="B2449" s="33" t="s">
        <v>374</v>
      </c>
      <c r="C2449" s="33" t="s">
        <v>16</v>
      </c>
      <c r="D2449" s="33" t="s">
        <v>29</v>
      </c>
      <c r="E2449" s="21" t="str">
        <f t="shared" si="4"/>
        <v>NSE:MUFTI</v>
      </c>
    </row>
    <row r="2450" ht="15.75" customHeight="1">
      <c r="A2450" s="32"/>
      <c r="B2450" s="33" t="s">
        <v>210</v>
      </c>
      <c r="C2450" s="33" t="s">
        <v>16</v>
      </c>
      <c r="D2450" s="33" t="s">
        <v>91</v>
      </c>
      <c r="E2450" s="21" t="str">
        <f t="shared" si="4"/>
        <v>NSE:STYLAMIND</v>
      </c>
    </row>
    <row r="2451" ht="15.75" customHeight="1">
      <c r="A2451" s="32"/>
      <c r="B2451" s="33" t="s">
        <v>212</v>
      </c>
      <c r="C2451" s="33" t="s">
        <v>16</v>
      </c>
      <c r="D2451" s="33" t="s">
        <v>29</v>
      </c>
      <c r="E2451" s="21" t="str">
        <f t="shared" si="4"/>
        <v>NSE:EPACK</v>
      </c>
    </row>
    <row r="2452" ht="15.75" customHeight="1">
      <c r="A2452" s="32"/>
      <c r="B2452" s="33" t="s">
        <v>953</v>
      </c>
      <c r="C2452" s="33" t="s">
        <v>21</v>
      </c>
      <c r="D2452" s="33" t="s">
        <v>185</v>
      </c>
      <c r="E2452" s="21" t="str">
        <f t="shared" si="4"/>
        <v>NSE:JSFB</v>
      </c>
    </row>
    <row r="2453" ht="15.75" customHeight="1">
      <c r="A2453" s="32"/>
      <c r="B2453" s="33" t="s">
        <v>381</v>
      </c>
      <c r="C2453" s="33" t="s">
        <v>16</v>
      </c>
      <c r="D2453" s="33" t="s">
        <v>17</v>
      </c>
      <c r="E2453" s="21" t="str">
        <f t="shared" si="4"/>
        <v>NSE:SANDHAR</v>
      </c>
    </row>
    <row r="2454" ht="15.75" customHeight="1">
      <c r="A2454" s="32"/>
      <c r="B2454" s="33" t="s">
        <v>964</v>
      </c>
      <c r="C2454" s="33" t="s">
        <v>16</v>
      </c>
      <c r="D2454" s="33" t="s">
        <v>39</v>
      </c>
      <c r="E2454" s="21" t="str">
        <f t="shared" si="4"/>
        <v>NSE:INDOSTAR</v>
      </c>
    </row>
    <row r="2455" ht="15.75" customHeight="1">
      <c r="A2455" s="32"/>
      <c r="B2455" s="33" t="s">
        <v>509</v>
      </c>
      <c r="C2455" s="33" t="s">
        <v>16</v>
      </c>
      <c r="D2455" s="33" t="s">
        <v>55</v>
      </c>
      <c r="E2455" s="21" t="str">
        <f t="shared" si="4"/>
        <v>NSE:SIRCA</v>
      </c>
    </row>
    <row r="2456" ht="15.75" customHeight="1">
      <c r="A2456" s="32"/>
      <c r="B2456" s="33" t="s">
        <v>216</v>
      </c>
      <c r="C2456" s="33" t="s">
        <v>21</v>
      </c>
      <c r="D2456" s="33" t="s">
        <v>27</v>
      </c>
      <c r="E2456" s="21" t="str">
        <f t="shared" si="4"/>
        <v>NSE:FINEORG</v>
      </c>
    </row>
    <row r="2457" ht="15.75" customHeight="1">
      <c r="A2457" s="32"/>
      <c r="B2457" s="33" t="s">
        <v>860</v>
      </c>
      <c r="C2457" s="33" t="s">
        <v>16</v>
      </c>
      <c r="D2457" s="33" t="s">
        <v>29</v>
      </c>
      <c r="E2457" s="21" t="str">
        <f t="shared" si="4"/>
        <v>NSE:MANORAMA</v>
      </c>
    </row>
    <row r="2458" ht="15.75" customHeight="1">
      <c r="A2458" s="32"/>
      <c r="B2458" s="33" t="s">
        <v>648</v>
      </c>
      <c r="C2458" s="33" t="s">
        <v>16</v>
      </c>
      <c r="D2458" s="33" t="s">
        <v>29</v>
      </c>
      <c r="E2458" s="21" t="str">
        <f t="shared" si="4"/>
        <v>NSE:JNKINDIA</v>
      </c>
    </row>
    <row r="2459" ht="15.75" customHeight="1">
      <c r="A2459" s="32"/>
      <c r="B2459" s="33" t="s">
        <v>608</v>
      </c>
      <c r="C2459" s="33" t="s">
        <v>16</v>
      </c>
      <c r="D2459" s="33" t="s">
        <v>29</v>
      </c>
      <c r="E2459" s="21" t="str">
        <f t="shared" si="4"/>
        <v>NSE:GRMOVER</v>
      </c>
    </row>
    <row r="2460" ht="15.75" customHeight="1">
      <c r="A2460" s="32"/>
      <c r="B2460" s="33" t="s">
        <v>1014</v>
      </c>
      <c r="C2460" s="33" t="s">
        <v>21</v>
      </c>
      <c r="D2460" s="33" t="s">
        <v>14</v>
      </c>
      <c r="E2460" s="21" t="str">
        <f t="shared" si="4"/>
        <v>NSE:POLYMED</v>
      </c>
    </row>
    <row r="2461" ht="15.75" customHeight="1">
      <c r="A2461" s="32"/>
      <c r="B2461" s="33" t="s">
        <v>183</v>
      </c>
      <c r="C2461" s="33" t="s">
        <v>16</v>
      </c>
      <c r="D2461" s="33" t="s">
        <v>17</v>
      </c>
      <c r="E2461" s="21" t="str">
        <f t="shared" si="4"/>
        <v>NSE:ATULAUTO</v>
      </c>
    </row>
    <row r="2462" ht="15.75" customHeight="1">
      <c r="A2462" s="32"/>
      <c r="B2462" s="33" t="s">
        <v>514</v>
      </c>
      <c r="C2462" s="33" t="s">
        <v>21</v>
      </c>
      <c r="D2462" s="33" t="s">
        <v>29</v>
      </c>
      <c r="E2462" s="21" t="str">
        <f t="shared" si="4"/>
        <v>NSE:PRINCEPIPE</v>
      </c>
    </row>
    <row r="2463" ht="15.75" customHeight="1">
      <c r="A2463" s="32"/>
      <c r="B2463" s="33" t="s">
        <v>610</v>
      </c>
      <c r="C2463" s="33" t="s">
        <v>16</v>
      </c>
      <c r="D2463" s="33" t="s">
        <v>64</v>
      </c>
      <c r="E2463" s="21" t="str">
        <f t="shared" si="4"/>
        <v>NSE:AGARIND</v>
      </c>
    </row>
    <row r="2464" ht="15.75" customHeight="1">
      <c r="A2464" s="32"/>
      <c r="B2464" s="33" t="s">
        <v>1104</v>
      </c>
      <c r="C2464" s="33" t="s">
        <v>16</v>
      </c>
      <c r="D2464" s="33" t="s">
        <v>27</v>
      </c>
      <c r="E2464" s="21" t="str">
        <f t="shared" si="4"/>
        <v>NSE:ROSSARI</v>
      </c>
    </row>
    <row r="2465" ht="15.75" customHeight="1">
      <c r="A2465" s="32"/>
      <c r="B2465" s="33" t="s">
        <v>1105</v>
      </c>
      <c r="C2465" s="33" t="s">
        <v>16</v>
      </c>
      <c r="D2465" s="33" t="s">
        <v>22</v>
      </c>
      <c r="E2465" s="21" t="str">
        <f t="shared" si="4"/>
        <v>NSE:LIKHITHA</v>
      </c>
    </row>
    <row r="2466" ht="15.75" customHeight="1">
      <c r="A2466" s="32"/>
      <c r="B2466" s="33" t="s">
        <v>400</v>
      </c>
      <c r="C2466" s="33" t="s">
        <v>21</v>
      </c>
      <c r="D2466" s="33" t="s">
        <v>55</v>
      </c>
      <c r="E2466" s="21" t="str">
        <f t="shared" si="4"/>
        <v>NSE:TCI</v>
      </c>
    </row>
    <row r="2467" ht="15.75" customHeight="1">
      <c r="A2467" s="32"/>
      <c r="B2467" s="33" t="s">
        <v>402</v>
      </c>
      <c r="C2467" s="33" t="s">
        <v>21</v>
      </c>
      <c r="D2467" s="33" t="s">
        <v>27</v>
      </c>
      <c r="E2467" s="21" t="str">
        <f t="shared" si="4"/>
        <v>NSE:STLTECH</v>
      </c>
    </row>
    <row r="2468" ht="15.75" customHeight="1">
      <c r="A2468" s="32"/>
      <c r="B2468" s="33" t="s">
        <v>844</v>
      </c>
      <c r="C2468" s="33" t="s">
        <v>16</v>
      </c>
      <c r="D2468" s="33" t="s">
        <v>37</v>
      </c>
      <c r="E2468" s="21" t="str">
        <f t="shared" si="4"/>
        <v>NSE:APTECHT</v>
      </c>
    </row>
    <row r="2469" ht="15.75" customHeight="1">
      <c r="A2469" s="32"/>
      <c r="B2469" s="33" t="s">
        <v>614</v>
      </c>
      <c r="C2469" s="33" t="s">
        <v>21</v>
      </c>
      <c r="D2469" s="33" t="s">
        <v>27</v>
      </c>
      <c r="E2469" s="21" t="str">
        <f t="shared" si="4"/>
        <v>NSE:NAVINFLUOR</v>
      </c>
    </row>
    <row r="2470" ht="15.75" customHeight="1">
      <c r="A2470" s="32"/>
      <c r="B2470" s="33" t="s">
        <v>1106</v>
      </c>
      <c r="C2470" s="33" t="s">
        <v>16</v>
      </c>
      <c r="D2470" s="33" t="s">
        <v>50</v>
      </c>
      <c r="E2470" s="21" t="str">
        <f t="shared" si="4"/>
        <v>NSE:NDTV</v>
      </c>
    </row>
    <row r="2471" ht="15.75" customHeight="1">
      <c r="A2471" s="32"/>
      <c r="B2471" s="33" t="s">
        <v>408</v>
      </c>
      <c r="C2471" s="33" t="s">
        <v>16</v>
      </c>
      <c r="D2471" s="33" t="s">
        <v>17</v>
      </c>
      <c r="E2471" s="21" t="str">
        <f t="shared" si="4"/>
        <v>NSE:RML</v>
      </c>
    </row>
    <row r="2472" ht="15.75" customHeight="1">
      <c r="A2472" s="32"/>
      <c r="B2472" s="33" t="s">
        <v>285</v>
      </c>
      <c r="C2472" s="33" t="s">
        <v>13</v>
      </c>
      <c r="D2472" s="33" t="s">
        <v>29</v>
      </c>
      <c r="E2472" s="21" t="str">
        <f t="shared" si="4"/>
        <v>NSE:KEC</v>
      </c>
    </row>
    <row r="2473" ht="15.75" customHeight="1">
      <c r="A2473" s="32"/>
      <c r="B2473" s="33" t="s">
        <v>1079</v>
      </c>
      <c r="C2473" s="33" t="s">
        <v>21</v>
      </c>
      <c r="D2473" s="33" t="s">
        <v>25</v>
      </c>
      <c r="E2473" s="21" t="str">
        <f t="shared" si="4"/>
        <v>NSE:GPIL</v>
      </c>
    </row>
    <row r="2474" ht="15.75" customHeight="1">
      <c r="A2474" s="32"/>
      <c r="B2474" s="33" t="s">
        <v>416</v>
      </c>
      <c r="C2474" s="33" t="s">
        <v>21</v>
      </c>
      <c r="D2474" s="33" t="s">
        <v>37</v>
      </c>
      <c r="E2474" s="21" t="str">
        <f t="shared" si="4"/>
        <v>NSE:TANLA</v>
      </c>
    </row>
    <row r="2475" ht="15.75" customHeight="1">
      <c r="A2475" s="32"/>
      <c r="B2475" s="33" t="s">
        <v>662</v>
      </c>
      <c r="C2475" s="33" t="s">
        <v>16</v>
      </c>
      <c r="D2475" s="33" t="s">
        <v>27</v>
      </c>
      <c r="E2475" s="21" t="str">
        <f t="shared" si="4"/>
        <v>NSE:INSECTICID</v>
      </c>
    </row>
    <row r="2476" ht="15.75" customHeight="1">
      <c r="A2476" s="32"/>
      <c r="B2476" s="33" t="s">
        <v>929</v>
      </c>
      <c r="C2476" s="33" t="s">
        <v>16</v>
      </c>
      <c r="D2476" s="33" t="s">
        <v>25</v>
      </c>
      <c r="E2476" s="21" t="str">
        <f t="shared" si="4"/>
        <v>NSE:IMFA</v>
      </c>
    </row>
    <row r="2477" ht="15.75" customHeight="1">
      <c r="A2477" s="32"/>
      <c r="B2477" s="33" t="s">
        <v>532</v>
      </c>
      <c r="C2477" s="33" t="s">
        <v>16</v>
      </c>
      <c r="D2477" s="33" t="s">
        <v>29</v>
      </c>
      <c r="E2477" s="21" t="str">
        <f t="shared" si="4"/>
        <v>NSE:GLOBUSSPR</v>
      </c>
    </row>
    <row r="2478" ht="15.75" customHeight="1">
      <c r="A2478" s="32"/>
      <c r="B2478" s="33" t="s">
        <v>1107</v>
      </c>
      <c r="C2478" s="33" t="s">
        <v>21</v>
      </c>
      <c r="D2478" s="33" t="s">
        <v>50</v>
      </c>
      <c r="E2478" s="21" t="str">
        <f t="shared" si="4"/>
        <v>NSE:DBCORP</v>
      </c>
    </row>
    <row r="2479" ht="15.75" customHeight="1">
      <c r="A2479" s="32"/>
      <c r="B2479" s="33" t="s">
        <v>124</v>
      </c>
      <c r="C2479" s="33" t="s">
        <v>16</v>
      </c>
      <c r="D2479" s="33" t="s">
        <v>53</v>
      </c>
      <c r="E2479" s="21" t="str">
        <f t="shared" si="4"/>
        <v>NSE:CANTABIL</v>
      </c>
    </row>
    <row r="2480" ht="15.75" customHeight="1">
      <c r="A2480" s="32"/>
      <c r="B2480" s="33" t="s">
        <v>426</v>
      </c>
      <c r="C2480" s="33" t="s">
        <v>16</v>
      </c>
      <c r="D2480" s="33" t="s">
        <v>39</v>
      </c>
      <c r="E2480" s="21" t="str">
        <f t="shared" si="4"/>
        <v>NSE:BFINVEST</v>
      </c>
    </row>
    <row r="2481" ht="15.75" customHeight="1">
      <c r="A2481" s="32"/>
      <c r="B2481" s="33" t="s">
        <v>433</v>
      </c>
      <c r="C2481" s="33" t="s">
        <v>16</v>
      </c>
      <c r="D2481" s="33" t="s">
        <v>29</v>
      </c>
      <c r="E2481" s="21" t="str">
        <f t="shared" si="4"/>
        <v>NSE:STOVEKRAFT</v>
      </c>
    </row>
    <row r="2482" ht="15.75" customHeight="1">
      <c r="A2482" s="32"/>
      <c r="B2482" s="33" t="s">
        <v>542</v>
      </c>
      <c r="C2482" s="33" t="s">
        <v>16</v>
      </c>
      <c r="D2482" s="33" t="s">
        <v>27</v>
      </c>
      <c r="E2482" s="21" t="str">
        <f t="shared" si="4"/>
        <v>NSE:HERANBA</v>
      </c>
    </row>
    <row r="2483" ht="15.75" customHeight="1">
      <c r="A2483" s="32"/>
      <c r="B2483" s="33" t="s">
        <v>192</v>
      </c>
      <c r="C2483" s="33" t="s">
        <v>16</v>
      </c>
      <c r="D2483" s="33" t="s">
        <v>39</v>
      </c>
      <c r="E2483" s="21" t="str">
        <f t="shared" si="4"/>
        <v>NSE:REPCOHOME</v>
      </c>
    </row>
    <row r="2484" ht="15.75" customHeight="1">
      <c r="A2484" s="32"/>
      <c r="B2484" s="33" t="s">
        <v>1108</v>
      </c>
      <c r="C2484" s="33" t="s">
        <v>21</v>
      </c>
      <c r="D2484" s="33" t="s">
        <v>37</v>
      </c>
      <c r="E2484" s="21" t="str">
        <f t="shared" si="4"/>
        <v>NSE:JUSTDIAL</v>
      </c>
    </row>
    <row r="2485" ht="15.75" customHeight="1">
      <c r="A2485" s="32"/>
      <c r="B2485" s="33" t="s">
        <v>545</v>
      </c>
      <c r="C2485" s="33" t="s">
        <v>16</v>
      </c>
      <c r="D2485" s="33" t="s">
        <v>14</v>
      </c>
      <c r="E2485" s="21" t="str">
        <f t="shared" si="4"/>
        <v>NSE:KRSNAA</v>
      </c>
    </row>
    <row r="2486" ht="15.75" customHeight="1">
      <c r="A2486" s="32"/>
      <c r="B2486" s="33" t="s">
        <v>440</v>
      </c>
      <c r="C2486" s="33" t="s">
        <v>16</v>
      </c>
      <c r="D2486" s="33" t="s">
        <v>31</v>
      </c>
      <c r="E2486" s="21" t="str">
        <f t="shared" si="4"/>
        <v>NSE:TARSONS</v>
      </c>
    </row>
    <row r="2487" ht="15.75" customHeight="1">
      <c r="A2487" s="32"/>
      <c r="B2487" s="33" t="s">
        <v>78</v>
      </c>
      <c r="C2487" s="33" t="s">
        <v>21</v>
      </c>
      <c r="D2487" s="33" t="s">
        <v>27</v>
      </c>
      <c r="E2487" s="21" t="str">
        <f t="shared" si="4"/>
        <v>NSE:TEGA</v>
      </c>
    </row>
    <row r="2488" ht="15.75" customHeight="1">
      <c r="A2488" s="32"/>
      <c r="B2488" s="33" t="s">
        <v>766</v>
      </c>
      <c r="C2488" s="33" t="s">
        <v>16</v>
      </c>
      <c r="D2488" s="33" t="s">
        <v>55</v>
      </c>
      <c r="E2488" s="21" t="str">
        <f t="shared" si="4"/>
        <v>NSE:VRLLOG</v>
      </c>
    </row>
    <row r="2489" ht="15.75" customHeight="1">
      <c r="A2489" s="32"/>
      <c r="B2489" s="33" t="s">
        <v>1109</v>
      </c>
      <c r="C2489" s="33" t="s">
        <v>21</v>
      </c>
      <c r="D2489" s="33" t="s">
        <v>14</v>
      </c>
      <c r="E2489" s="21" t="str">
        <f t="shared" si="4"/>
        <v>NSE:HCG</v>
      </c>
    </row>
    <row r="2490" ht="15.75" customHeight="1">
      <c r="A2490" s="32"/>
      <c r="B2490" s="33" t="s">
        <v>129</v>
      </c>
      <c r="C2490" s="33" t="s">
        <v>16</v>
      </c>
      <c r="D2490" s="33" t="s">
        <v>29</v>
      </c>
      <c r="E2490" s="21" t="str">
        <f t="shared" si="4"/>
        <v>NSE:BANARISUG</v>
      </c>
    </row>
    <row r="2491" ht="15.75" customHeight="1">
      <c r="A2491" s="32"/>
      <c r="B2491" s="33" t="s">
        <v>556</v>
      </c>
      <c r="C2491" s="33" t="s">
        <v>13</v>
      </c>
      <c r="D2491" s="33" t="s">
        <v>27</v>
      </c>
      <c r="E2491" s="21" t="str">
        <f t="shared" si="4"/>
        <v>NSE:BASF</v>
      </c>
    </row>
    <row r="2492" ht="15.75" customHeight="1">
      <c r="A2492" s="32"/>
      <c r="B2492" s="33" t="s">
        <v>971</v>
      </c>
      <c r="C2492" s="33" t="s">
        <v>13</v>
      </c>
      <c r="D2492" s="33" t="s">
        <v>29</v>
      </c>
      <c r="E2492" s="21" t="str">
        <f t="shared" si="4"/>
        <v>NSE:BLUESTARCO</v>
      </c>
    </row>
    <row r="2493" ht="15.75" customHeight="1">
      <c r="A2493" s="32"/>
      <c r="B2493" s="33" t="s">
        <v>781</v>
      </c>
      <c r="C2493" s="33" t="s">
        <v>21</v>
      </c>
      <c r="D2493" s="33" t="s">
        <v>39</v>
      </c>
      <c r="E2493" s="21" t="str">
        <f t="shared" si="4"/>
        <v>NSE:IFCI</v>
      </c>
    </row>
    <row r="2494" ht="15.75" customHeight="1">
      <c r="A2494" s="32"/>
      <c r="B2494" s="33" t="s">
        <v>754</v>
      </c>
      <c r="C2494" s="33" t="s">
        <v>21</v>
      </c>
      <c r="D2494" s="33" t="s">
        <v>29</v>
      </c>
      <c r="E2494" s="21" t="str">
        <f t="shared" si="4"/>
        <v>NSE:ESABINDIA</v>
      </c>
    </row>
    <row r="2495" ht="15.75" customHeight="1">
      <c r="A2495" s="32"/>
      <c r="B2495" s="33" t="s">
        <v>240</v>
      </c>
      <c r="C2495" s="33" t="s">
        <v>21</v>
      </c>
      <c r="D2495" s="33" t="s">
        <v>55</v>
      </c>
      <c r="E2495" s="21" t="str">
        <f t="shared" si="4"/>
        <v>NSE:EPL</v>
      </c>
    </row>
    <row r="2496" ht="15.75" customHeight="1">
      <c r="A2496" s="32"/>
      <c r="B2496" s="33" t="s">
        <v>783</v>
      </c>
      <c r="C2496" s="33" t="s">
        <v>21</v>
      </c>
      <c r="D2496" s="33" t="s">
        <v>27</v>
      </c>
      <c r="E2496" s="21" t="str">
        <f t="shared" si="4"/>
        <v>NSE:GHCL</v>
      </c>
    </row>
    <row r="2497" ht="15.75" customHeight="1">
      <c r="A2497" s="32"/>
      <c r="B2497" s="33" t="s">
        <v>20</v>
      </c>
      <c r="C2497" s="33" t="s">
        <v>21</v>
      </c>
      <c r="D2497" s="33" t="s">
        <v>22</v>
      </c>
      <c r="E2497" s="21" t="str">
        <f t="shared" si="4"/>
        <v>NSE:HFCL</v>
      </c>
    </row>
    <row r="2498" ht="15.75" customHeight="1">
      <c r="A2498" s="32"/>
      <c r="B2498" s="33" t="s">
        <v>241</v>
      </c>
      <c r="C2498" s="33" t="s">
        <v>13</v>
      </c>
      <c r="D2498" s="33" t="s">
        <v>25</v>
      </c>
      <c r="E2498" s="21" t="str">
        <f t="shared" si="4"/>
        <v>NSE:JSWSTEEL</v>
      </c>
    </row>
    <row r="2499" ht="15.75" customHeight="1">
      <c r="A2499" s="32"/>
      <c r="B2499" s="33" t="s">
        <v>305</v>
      </c>
      <c r="C2499" s="33" t="s">
        <v>13</v>
      </c>
      <c r="D2499" s="33" t="s">
        <v>27</v>
      </c>
      <c r="E2499" s="21" t="str">
        <f t="shared" si="4"/>
        <v>NSE:KAJARIACER</v>
      </c>
    </row>
    <row r="2500" ht="15.75" customHeight="1">
      <c r="A2500" s="32"/>
      <c r="B2500" s="33" t="s">
        <v>755</v>
      </c>
      <c r="C2500" s="33" t="s">
        <v>13</v>
      </c>
      <c r="D2500" s="33" t="s">
        <v>53</v>
      </c>
      <c r="E2500" s="21" t="str">
        <f t="shared" si="4"/>
        <v>NSE:GRASIM</v>
      </c>
    </row>
    <row r="2501" ht="15.75" customHeight="1">
      <c r="A2501" s="32"/>
      <c r="B2501" s="33" t="s">
        <v>459</v>
      </c>
      <c r="C2501" s="33" t="s">
        <v>16</v>
      </c>
      <c r="D2501" s="33" t="s">
        <v>22</v>
      </c>
      <c r="E2501" s="21" t="str">
        <f t="shared" si="4"/>
        <v>NSE:SPMLINFRA</v>
      </c>
    </row>
    <row r="2502" ht="15.75" customHeight="1">
      <c r="A2502" s="32"/>
      <c r="B2502" s="33" t="s">
        <v>464</v>
      </c>
      <c r="C2502" s="33" t="s">
        <v>16</v>
      </c>
      <c r="D2502" s="33" t="s">
        <v>39</v>
      </c>
      <c r="E2502" s="21" t="str">
        <f t="shared" si="4"/>
        <v>NSE:VHL</v>
      </c>
    </row>
    <row r="2503" ht="15.75" customHeight="1">
      <c r="A2503" s="32"/>
      <c r="B2503" s="33" t="s">
        <v>1110</v>
      </c>
      <c r="C2503" s="33" t="s">
        <v>13</v>
      </c>
      <c r="D2503" s="33" t="s">
        <v>17</v>
      </c>
      <c r="E2503" s="21" t="str">
        <f t="shared" si="4"/>
        <v>NSE:ESCORTS</v>
      </c>
    </row>
    <row r="2504" ht="15.75" customHeight="1">
      <c r="A2504" s="32"/>
      <c r="B2504" s="33" t="s">
        <v>321</v>
      </c>
      <c r="C2504" s="33" t="s">
        <v>16</v>
      </c>
      <c r="D2504" s="33" t="s">
        <v>27</v>
      </c>
      <c r="E2504" s="21" t="str">
        <f t="shared" si="4"/>
        <v>NSE:SAURASHCEM</v>
      </c>
    </row>
    <row r="2505" ht="15.75" customHeight="1">
      <c r="A2505" s="32"/>
      <c r="B2505" s="33" t="s">
        <v>568</v>
      </c>
      <c r="C2505" s="33" t="s">
        <v>16</v>
      </c>
      <c r="D2505" s="33" t="s">
        <v>156</v>
      </c>
      <c r="E2505" s="21" t="str">
        <f t="shared" si="4"/>
        <v>NSE:NELCO</v>
      </c>
    </row>
    <row r="2506" ht="15.75" customHeight="1">
      <c r="A2506" s="32"/>
      <c r="B2506" s="33" t="s">
        <v>327</v>
      </c>
      <c r="C2506" s="33" t="s">
        <v>21</v>
      </c>
      <c r="D2506" s="33" t="s">
        <v>29</v>
      </c>
      <c r="E2506" s="21" t="str">
        <f t="shared" si="4"/>
        <v>NSE:GMMPFAUDLR</v>
      </c>
    </row>
    <row r="2507" ht="15.75" customHeight="1">
      <c r="A2507" s="32"/>
      <c r="B2507" s="33" t="s">
        <v>1032</v>
      </c>
      <c r="C2507" s="33" t="s">
        <v>21</v>
      </c>
      <c r="D2507" s="33" t="s">
        <v>29</v>
      </c>
      <c r="E2507" s="21" t="str">
        <f t="shared" si="4"/>
        <v>NSE:ELECON</v>
      </c>
    </row>
    <row r="2508" ht="15.75" customHeight="1">
      <c r="A2508" s="32"/>
      <c r="B2508" s="33" t="s">
        <v>717</v>
      </c>
      <c r="C2508" s="33" t="s">
        <v>16</v>
      </c>
      <c r="D2508" s="33" t="s">
        <v>27</v>
      </c>
      <c r="E2508" s="21" t="str">
        <f t="shared" si="4"/>
        <v>NSE:SADHNANIQ</v>
      </c>
    </row>
    <row r="2509" ht="15.75" customHeight="1">
      <c r="A2509" s="32"/>
      <c r="B2509" s="33" t="s">
        <v>35</v>
      </c>
      <c r="C2509" s="33" t="s">
        <v>21</v>
      </c>
      <c r="D2509" s="33" t="s">
        <v>14</v>
      </c>
      <c r="E2509" s="21" t="str">
        <f t="shared" si="4"/>
        <v>NSE:ASTRAZEN</v>
      </c>
    </row>
    <row r="2510" ht="15.75" customHeight="1">
      <c r="A2510" s="32"/>
      <c r="B2510" s="33" t="s">
        <v>1111</v>
      </c>
      <c r="C2510" s="33" t="s">
        <v>13</v>
      </c>
      <c r="D2510" s="33" t="s">
        <v>29</v>
      </c>
      <c r="E2510" s="21" t="str">
        <f t="shared" si="4"/>
        <v>NSE:SUPREMEIND</v>
      </c>
    </row>
    <row r="2511" ht="15.75" customHeight="1">
      <c r="A2511" s="32"/>
      <c r="B2511" s="33" t="s">
        <v>576</v>
      </c>
      <c r="C2511" s="33" t="s">
        <v>16</v>
      </c>
      <c r="D2511" s="33" t="s">
        <v>25</v>
      </c>
      <c r="E2511" s="21" t="str">
        <f t="shared" si="4"/>
        <v>NSE:HARIOMPIPE</v>
      </c>
    </row>
    <row r="2512" ht="15.75" customHeight="1">
      <c r="A2512" s="32"/>
      <c r="B2512" s="33" t="s">
        <v>476</v>
      </c>
      <c r="C2512" s="33" t="s">
        <v>21</v>
      </c>
      <c r="D2512" s="33" t="s">
        <v>55</v>
      </c>
      <c r="E2512" s="21" t="str">
        <f t="shared" si="4"/>
        <v>NSE:PRUDENT</v>
      </c>
    </row>
    <row r="2513" ht="15.75" customHeight="1">
      <c r="A2513" s="32"/>
      <c r="B2513" s="33" t="s">
        <v>345</v>
      </c>
      <c r="C2513" s="33" t="s">
        <v>21</v>
      </c>
      <c r="D2513" s="33" t="s">
        <v>37</v>
      </c>
      <c r="E2513" s="21" t="str">
        <f t="shared" si="4"/>
        <v>NSE:EMUDHRA</v>
      </c>
    </row>
    <row r="2514" ht="15.75" customHeight="1">
      <c r="A2514" s="32"/>
      <c r="B2514" s="33" t="s">
        <v>479</v>
      </c>
      <c r="C2514" s="33" t="s">
        <v>16</v>
      </c>
      <c r="D2514" s="33" t="s">
        <v>17</v>
      </c>
      <c r="E2514" s="21" t="str">
        <f t="shared" si="4"/>
        <v>NSE:LUMAXIND</v>
      </c>
    </row>
    <row r="2515" ht="15.75" customHeight="1">
      <c r="A2515" s="32"/>
      <c r="B2515" s="33" t="s">
        <v>136</v>
      </c>
      <c r="C2515" s="33" t="s">
        <v>16</v>
      </c>
      <c r="D2515" s="33" t="s">
        <v>29</v>
      </c>
      <c r="E2515" s="21" t="str">
        <f t="shared" si="4"/>
        <v>NSE:IGARASHI</v>
      </c>
    </row>
    <row r="2516" ht="15.75" customHeight="1">
      <c r="A2516" s="32"/>
      <c r="B2516" s="33" t="s">
        <v>174</v>
      </c>
      <c r="C2516" s="33" t="s">
        <v>13</v>
      </c>
      <c r="D2516" s="33" t="s">
        <v>29</v>
      </c>
      <c r="E2516" s="21" t="str">
        <f t="shared" si="4"/>
        <v>NSE:KAYNES</v>
      </c>
    </row>
    <row r="2517" ht="15.75" customHeight="1">
      <c r="A2517" s="32"/>
      <c r="B2517" s="33" t="s">
        <v>581</v>
      </c>
      <c r="C2517" s="33" t="s">
        <v>16</v>
      </c>
      <c r="D2517" s="33" t="s">
        <v>17</v>
      </c>
      <c r="E2517" s="21" t="str">
        <f t="shared" si="4"/>
        <v>NSE:ASAL</v>
      </c>
    </row>
    <row r="2518" ht="15.75" customHeight="1">
      <c r="A2518" s="32"/>
      <c r="B2518" s="33" t="s">
        <v>487</v>
      </c>
      <c r="C2518" s="33" t="s">
        <v>16</v>
      </c>
      <c r="D2518" s="33" t="s">
        <v>31</v>
      </c>
      <c r="E2518" s="21" t="str">
        <f t="shared" si="4"/>
        <v>NSE:VENKEYS</v>
      </c>
    </row>
    <row r="2519" ht="15.75" customHeight="1">
      <c r="A2519" s="32"/>
      <c r="B2519" s="33" t="s">
        <v>488</v>
      </c>
      <c r="C2519" s="33" t="s">
        <v>16</v>
      </c>
      <c r="D2519" s="33" t="s">
        <v>31</v>
      </c>
      <c r="E2519" s="21" t="str">
        <f t="shared" si="4"/>
        <v>NSE:DREDGECORP</v>
      </c>
    </row>
    <row r="2520" ht="15.75" customHeight="1">
      <c r="A2520" s="32"/>
      <c r="B2520" s="33" t="s">
        <v>139</v>
      </c>
      <c r="C2520" s="33" t="s">
        <v>16</v>
      </c>
      <c r="D2520" s="33" t="s">
        <v>19</v>
      </c>
      <c r="E2520" s="21" t="str">
        <f t="shared" si="4"/>
        <v>NSE:IDEAFORGE</v>
      </c>
    </row>
    <row r="2521" ht="15.75" customHeight="1">
      <c r="A2521" s="32"/>
      <c r="B2521" s="33" t="s">
        <v>585</v>
      </c>
      <c r="C2521" s="33" t="s">
        <v>16</v>
      </c>
      <c r="D2521" s="33" t="s">
        <v>55</v>
      </c>
      <c r="E2521" s="21" t="str">
        <f t="shared" si="4"/>
        <v>NSE:POLYPLEX</v>
      </c>
    </row>
    <row r="2522" ht="15.75" customHeight="1">
      <c r="A2522" s="32"/>
      <c r="B2522" s="33" t="s">
        <v>637</v>
      </c>
      <c r="C2522" s="33" t="s">
        <v>21</v>
      </c>
      <c r="D2522" s="33" t="s">
        <v>27</v>
      </c>
      <c r="E2522" s="21" t="str">
        <f t="shared" si="4"/>
        <v>NSE:VINATIORGA</v>
      </c>
    </row>
    <row r="2523" ht="15.75" customHeight="1">
      <c r="A2523" s="32"/>
      <c r="B2523" s="33" t="s">
        <v>496</v>
      </c>
      <c r="C2523" s="33" t="s">
        <v>16</v>
      </c>
      <c r="D2523" s="33" t="s">
        <v>27</v>
      </c>
      <c r="E2523" s="21" t="str">
        <f t="shared" si="4"/>
        <v>NSE:MBAPL</v>
      </c>
    </row>
    <row r="2524" ht="15.75" customHeight="1">
      <c r="A2524" s="32"/>
      <c r="B2524" s="33" t="s">
        <v>745</v>
      </c>
      <c r="C2524" s="33" t="s">
        <v>16</v>
      </c>
      <c r="D2524" s="33" t="s">
        <v>29</v>
      </c>
      <c r="E2524" s="21" t="str">
        <f t="shared" si="4"/>
        <v>NSE:MAGADSUGAR</v>
      </c>
    </row>
    <row r="2525" ht="15.75" customHeight="1">
      <c r="A2525" s="32"/>
      <c r="B2525" s="33" t="s">
        <v>597</v>
      </c>
      <c r="C2525" s="33" t="s">
        <v>21</v>
      </c>
      <c r="D2525" s="33" t="s">
        <v>31</v>
      </c>
      <c r="E2525" s="21" t="str">
        <f t="shared" si="4"/>
        <v>NSE:MAXESTATES</v>
      </c>
    </row>
    <row r="2526" ht="15.75" customHeight="1">
      <c r="A2526" s="32"/>
      <c r="B2526" s="33" t="s">
        <v>1112</v>
      </c>
      <c r="C2526" s="33" t="s">
        <v>16</v>
      </c>
      <c r="D2526" s="33" t="s">
        <v>27</v>
      </c>
      <c r="E2526" s="21" t="str">
        <f t="shared" si="4"/>
        <v>NSE:SANGHIIND</v>
      </c>
    </row>
    <row r="2527" ht="15.75" customHeight="1">
      <c r="A2527" s="32"/>
      <c r="B2527" s="33" t="s">
        <v>1061</v>
      </c>
      <c r="C2527" s="33" t="s">
        <v>21</v>
      </c>
      <c r="D2527" s="33" t="s">
        <v>55</v>
      </c>
      <c r="E2527" s="21" t="str">
        <f t="shared" si="4"/>
        <v>NSE:BLUEDART</v>
      </c>
    </row>
    <row r="2528" ht="15.75" customHeight="1">
      <c r="A2528" s="32"/>
      <c r="B2528" s="33" t="s">
        <v>1113</v>
      </c>
      <c r="C2528" s="33" t="s">
        <v>16</v>
      </c>
      <c r="D2528" s="33" t="s">
        <v>22</v>
      </c>
      <c r="E2528" s="21" t="str">
        <f t="shared" si="4"/>
        <v>NSE:BAJEL</v>
      </c>
    </row>
    <row r="2529" ht="15.75" customHeight="1">
      <c r="A2529" s="32"/>
      <c r="B2529" s="33" t="s">
        <v>377</v>
      </c>
      <c r="C2529" s="33" t="s">
        <v>16</v>
      </c>
      <c r="D2529" s="33" t="s">
        <v>27</v>
      </c>
      <c r="E2529" s="21" t="str">
        <f t="shared" si="4"/>
        <v>NSE:LAOPALA</v>
      </c>
    </row>
    <row r="2530" ht="15.75" customHeight="1">
      <c r="A2530" s="32"/>
      <c r="B2530" s="33" t="s">
        <v>1114</v>
      </c>
      <c r="C2530" s="33" t="s">
        <v>16</v>
      </c>
      <c r="D2530" s="33" t="s">
        <v>27</v>
      </c>
      <c r="E2530" s="21" t="str">
        <f t="shared" si="4"/>
        <v>NSE:ASHAPURMIN</v>
      </c>
    </row>
    <row r="2531" ht="15.75" customHeight="1">
      <c r="A2531" s="32"/>
      <c r="B2531" s="33" t="s">
        <v>379</v>
      </c>
      <c r="C2531" s="33" t="s">
        <v>16</v>
      </c>
      <c r="D2531" s="33" t="s">
        <v>53</v>
      </c>
      <c r="E2531" s="21" t="str">
        <f t="shared" si="4"/>
        <v>NSE:FAZE3Q</v>
      </c>
    </row>
    <row r="2532" ht="15.75" customHeight="1">
      <c r="A2532" s="32"/>
      <c r="B2532" s="33" t="s">
        <v>997</v>
      </c>
      <c r="C2532" s="33" t="s">
        <v>21</v>
      </c>
      <c r="D2532" s="33" t="s">
        <v>22</v>
      </c>
      <c r="E2532" s="21" t="str">
        <f t="shared" si="4"/>
        <v>NSE:HGINFRA</v>
      </c>
    </row>
    <row r="2533" ht="15.75" customHeight="1">
      <c r="A2533" s="32"/>
      <c r="B2533" s="33" t="s">
        <v>985</v>
      </c>
      <c r="C2533" s="33" t="s">
        <v>16</v>
      </c>
      <c r="D2533" s="33" t="s">
        <v>27</v>
      </c>
      <c r="E2533" s="21" t="str">
        <f t="shared" si="4"/>
        <v>NSE:PLATIND</v>
      </c>
    </row>
    <row r="2534" ht="15.75" customHeight="1">
      <c r="A2534" s="32"/>
      <c r="B2534" s="33" t="s">
        <v>385</v>
      </c>
      <c r="C2534" s="33" t="s">
        <v>16</v>
      </c>
      <c r="D2534" s="33" t="s">
        <v>53</v>
      </c>
      <c r="E2534" s="21" t="str">
        <f t="shared" si="4"/>
        <v>NSE:RAJRILTD</v>
      </c>
    </row>
    <row r="2535" ht="15.75" customHeight="1">
      <c r="A2535" s="32"/>
      <c r="B2535" s="33" t="s">
        <v>510</v>
      </c>
      <c r="C2535" s="33" t="s">
        <v>16</v>
      </c>
      <c r="D2535" s="33" t="s">
        <v>27</v>
      </c>
      <c r="E2535" s="21" t="str">
        <f t="shared" si="4"/>
        <v>NSE:STERTOOLS</v>
      </c>
    </row>
    <row r="2536" ht="15.75" customHeight="1">
      <c r="A2536" s="32"/>
      <c r="B2536" s="33" t="s">
        <v>512</v>
      </c>
      <c r="C2536" s="33" t="s">
        <v>16</v>
      </c>
      <c r="D2536" s="33" t="s">
        <v>27</v>
      </c>
      <c r="E2536" s="21" t="str">
        <f t="shared" si="4"/>
        <v>NSE:BALUFORGE</v>
      </c>
    </row>
    <row r="2537" ht="15.75" customHeight="1">
      <c r="A2537" s="32"/>
      <c r="B2537" s="33" t="s">
        <v>797</v>
      </c>
      <c r="C2537" s="33" t="s">
        <v>21</v>
      </c>
      <c r="D2537" s="33" t="s">
        <v>53</v>
      </c>
      <c r="E2537" s="21" t="str">
        <f t="shared" si="4"/>
        <v>NSE:JINDWORLD</v>
      </c>
    </row>
    <row r="2538" ht="15.75" customHeight="1">
      <c r="A2538" s="32"/>
      <c r="B2538" s="33" t="s">
        <v>746</v>
      </c>
      <c r="C2538" s="33" t="s">
        <v>21</v>
      </c>
      <c r="D2538" s="33" t="s">
        <v>37</v>
      </c>
      <c r="E2538" s="21" t="str">
        <f t="shared" si="4"/>
        <v>NSE:AFFLE</v>
      </c>
    </row>
    <row r="2539" ht="15.75" customHeight="1">
      <c r="A2539" s="32"/>
      <c r="B2539" s="33" t="s">
        <v>653</v>
      </c>
      <c r="C2539" s="33" t="s">
        <v>16</v>
      </c>
      <c r="D2539" s="33" t="s">
        <v>29</v>
      </c>
      <c r="E2539" s="21" t="str">
        <f t="shared" si="4"/>
        <v>NSE:HINDWAREAP</v>
      </c>
    </row>
    <row r="2540" ht="15.75" customHeight="1">
      <c r="A2540" s="32"/>
      <c r="B2540" s="33" t="s">
        <v>612</v>
      </c>
      <c r="C2540" s="33" t="s">
        <v>13</v>
      </c>
      <c r="D2540" s="33" t="s">
        <v>29</v>
      </c>
      <c r="E2540" s="21" t="str">
        <f t="shared" si="4"/>
        <v>NSE:APARINDS</v>
      </c>
    </row>
    <row r="2541" ht="15.75" customHeight="1">
      <c r="A2541" s="32"/>
      <c r="B2541" s="33" t="s">
        <v>654</v>
      </c>
      <c r="C2541" s="33" t="s">
        <v>16</v>
      </c>
      <c r="D2541" s="33" t="s">
        <v>22</v>
      </c>
      <c r="E2541" s="21" t="str">
        <f t="shared" si="4"/>
        <v>NSE:GEPIL</v>
      </c>
    </row>
    <row r="2542" ht="15.75" customHeight="1">
      <c r="A2542" s="32"/>
      <c r="B2542" s="33" t="s">
        <v>519</v>
      </c>
      <c r="C2542" s="33" t="s">
        <v>13</v>
      </c>
      <c r="D2542" s="33" t="s">
        <v>14</v>
      </c>
      <c r="E2542" s="21" t="str">
        <f t="shared" si="4"/>
        <v>NSE:ZYDUSLIFE</v>
      </c>
    </row>
    <row r="2543" ht="15.75" customHeight="1">
      <c r="A2543" s="32"/>
      <c r="B2543" s="33" t="s">
        <v>728</v>
      </c>
      <c r="C2543" s="33" t="s">
        <v>21</v>
      </c>
      <c r="D2543" s="33" t="s">
        <v>29</v>
      </c>
      <c r="E2543" s="21" t="str">
        <f t="shared" si="4"/>
        <v>NSE:TRIVENI</v>
      </c>
    </row>
    <row r="2544" ht="15.75" customHeight="1">
      <c r="A2544" s="32"/>
      <c r="B2544" s="33" t="s">
        <v>284</v>
      </c>
      <c r="C2544" s="33" t="s">
        <v>13</v>
      </c>
      <c r="D2544" s="33" t="s">
        <v>27</v>
      </c>
      <c r="E2544" s="21" t="str">
        <f t="shared" si="4"/>
        <v>NSE:PETRONET</v>
      </c>
    </row>
    <row r="2545" ht="15.75" customHeight="1">
      <c r="A2545" s="32"/>
      <c r="B2545" s="33" t="s">
        <v>68</v>
      </c>
      <c r="C2545" s="33" t="s">
        <v>21</v>
      </c>
      <c r="D2545" s="33" t="s">
        <v>25</v>
      </c>
      <c r="E2545" s="21" t="str">
        <f t="shared" si="4"/>
        <v>NSE:GALLANTT</v>
      </c>
    </row>
    <row r="2546" ht="15.75" customHeight="1">
      <c r="A2546" s="32"/>
      <c r="B2546" s="33" t="s">
        <v>144</v>
      </c>
      <c r="C2546" s="33" t="s">
        <v>13</v>
      </c>
      <c r="D2546" s="33" t="s">
        <v>29</v>
      </c>
      <c r="E2546" s="21" t="str">
        <f t="shared" si="4"/>
        <v>NSE:ASTRAL</v>
      </c>
    </row>
    <row r="2547" ht="15.75" customHeight="1">
      <c r="A2547" s="32"/>
      <c r="B2547" s="33" t="s">
        <v>791</v>
      </c>
      <c r="C2547" s="33" t="s">
        <v>21</v>
      </c>
      <c r="D2547" s="33" t="s">
        <v>29</v>
      </c>
      <c r="E2547" s="21" t="str">
        <f t="shared" si="4"/>
        <v>NSE:TIMETECHNO</v>
      </c>
    </row>
    <row r="2548" ht="15.75" customHeight="1">
      <c r="A2548" s="32"/>
      <c r="B2548" s="33" t="s">
        <v>423</v>
      </c>
      <c r="C2548" s="33" t="s">
        <v>16</v>
      </c>
      <c r="D2548" s="33" t="s">
        <v>55</v>
      </c>
      <c r="E2548" s="21" t="str">
        <f t="shared" si="4"/>
        <v>NSE:DLINKINDIA</v>
      </c>
    </row>
    <row r="2549" ht="15.75" customHeight="1">
      <c r="A2549" s="32"/>
      <c r="B2549" s="33" t="s">
        <v>1115</v>
      </c>
      <c r="C2549" s="33" t="s">
        <v>13</v>
      </c>
      <c r="D2549" s="33" t="s">
        <v>29</v>
      </c>
      <c r="E2549" s="21" t="str">
        <f t="shared" si="4"/>
        <v>NSE:JWL</v>
      </c>
    </row>
    <row r="2550" ht="15.75" customHeight="1">
      <c r="A2550" s="32"/>
      <c r="B2550" s="33" t="s">
        <v>536</v>
      </c>
      <c r="C2550" s="33" t="s">
        <v>21</v>
      </c>
      <c r="D2550" s="33" t="s">
        <v>29</v>
      </c>
      <c r="E2550" s="21" t="str">
        <f t="shared" si="4"/>
        <v>NSE:TDPOWERSYS</v>
      </c>
    </row>
    <row r="2551" ht="15.75" customHeight="1">
      <c r="A2551" s="32"/>
      <c r="B2551" s="33" t="s">
        <v>541</v>
      </c>
      <c r="C2551" s="33" t="s">
        <v>21</v>
      </c>
      <c r="D2551" s="33" t="s">
        <v>22</v>
      </c>
      <c r="E2551" s="21" t="str">
        <f t="shared" si="4"/>
        <v>NSE:TARC</v>
      </c>
    </row>
    <row r="2552" ht="15.75" customHeight="1">
      <c r="A2552" s="32"/>
      <c r="B2552" s="33" t="s">
        <v>434</v>
      </c>
      <c r="C2552" s="33" t="s">
        <v>21</v>
      </c>
      <c r="D2552" s="33" t="s">
        <v>27</v>
      </c>
      <c r="E2552" s="21" t="str">
        <f t="shared" si="4"/>
        <v>NSE:LXCHEM</v>
      </c>
    </row>
    <row r="2553" ht="15.75" customHeight="1">
      <c r="A2553" s="32"/>
      <c r="B2553" s="33" t="s">
        <v>233</v>
      </c>
      <c r="C2553" s="33" t="s">
        <v>21</v>
      </c>
      <c r="D2553" s="33" t="s">
        <v>22</v>
      </c>
      <c r="E2553" s="21" t="str">
        <f t="shared" si="4"/>
        <v>NSE:GRINFRA</v>
      </c>
    </row>
    <row r="2554" ht="15.75" customHeight="1">
      <c r="A2554" s="32"/>
      <c r="B2554" s="33" t="s">
        <v>544</v>
      </c>
      <c r="C2554" s="33" t="s">
        <v>21</v>
      </c>
      <c r="D2554" s="33" t="s">
        <v>27</v>
      </c>
      <c r="E2554" s="21" t="str">
        <f t="shared" si="4"/>
        <v>NSE:CLEAN</v>
      </c>
    </row>
    <row r="2555" ht="15.75" customHeight="1">
      <c r="A2555" s="32"/>
      <c r="B2555" s="33" t="s">
        <v>619</v>
      </c>
      <c r="C2555" s="33" t="s">
        <v>21</v>
      </c>
      <c r="D2555" s="33" t="s">
        <v>14</v>
      </c>
      <c r="E2555" s="21" t="str">
        <f t="shared" si="4"/>
        <v>NSE:AMIORG</v>
      </c>
    </row>
    <row r="2556" ht="15.75" customHeight="1">
      <c r="A2556" s="32"/>
      <c r="B2556" s="33" t="s">
        <v>439</v>
      </c>
      <c r="C2556" s="33" t="s">
        <v>16</v>
      </c>
      <c r="D2556" s="33" t="s">
        <v>27</v>
      </c>
      <c r="E2556" s="21" t="str">
        <f t="shared" si="4"/>
        <v>NSE:SHARDACROP</v>
      </c>
    </row>
    <row r="2557" ht="15.75" customHeight="1">
      <c r="A2557" s="32"/>
      <c r="B2557" s="33" t="s">
        <v>1058</v>
      </c>
      <c r="C2557" s="33" t="s">
        <v>21</v>
      </c>
      <c r="D2557" s="33" t="s">
        <v>91</v>
      </c>
      <c r="E2557" s="21" t="str">
        <f t="shared" si="4"/>
        <v>NSE:GREENLAM</v>
      </c>
    </row>
    <row r="2558" ht="15.75" customHeight="1">
      <c r="A2558" s="32"/>
      <c r="B2558" s="33" t="s">
        <v>553</v>
      </c>
      <c r="C2558" s="33" t="s">
        <v>16</v>
      </c>
      <c r="D2558" s="33" t="s">
        <v>27</v>
      </c>
      <c r="E2558" s="21" t="str">
        <f t="shared" si="4"/>
        <v>NSE:PDMJEPAPER</v>
      </c>
    </row>
    <row r="2559" ht="15.75" customHeight="1">
      <c r="A2559" s="32"/>
      <c r="B2559" s="33" t="s">
        <v>448</v>
      </c>
      <c r="C2559" s="33" t="s">
        <v>16</v>
      </c>
      <c r="D2559" s="33" t="s">
        <v>39</v>
      </c>
      <c r="E2559" s="21" t="str">
        <f t="shared" si="4"/>
        <v>NSE:MAXIND</v>
      </c>
    </row>
    <row r="2560" ht="15.75" customHeight="1">
      <c r="A2560" s="32"/>
      <c r="B2560" s="33" t="s">
        <v>161</v>
      </c>
      <c r="C2560" s="33" t="s">
        <v>21</v>
      </c>
      <c r="D2560" s="33" t="s">
        <v>29</v>
      </c>
      <c r="E2560" s="21" t="str">
        <f t="shared" si="4"/>
        <v>NSE:LLOYDSENGG</v>
      </c>
    </row>
    <row r="2561" ht="15.75" customHeight="1">
      <c r="A2561" s="32"/>
      <c r="B2561" s="33" t="s">
        <v>767</v>
      </c>
      <c r="C2561" s="33" t="s">
        <v>13</v>
      </c>
      <c r="D2561" s="33" t="s">
        <v>39</v>
      </c>
      <c r="E2561" s="21" t="str">
        <f t="shared" si="4"/>
        <v>NSE:PNBHOUSING</v>
      </c>
    </row>
    <row r="2562" ht="15.75" customHeight="1">
      <c r="A2562" s="32"/>
      <c r="B2562" s="33" t="s">
        <v>851</v>
      </c>
      <c r="C2562" s="33" t="s">
        <v>16</v>
      </c>
      <c r="D2562" s="33" t="s">
        <v>27</v>
      </c>
      <c r="E2562" s="21" t="str">
        <f t="shared" si="4"/>
        <v>NSE:TIDEWATER</v>
      </c>
    </row>
    <row r="2563" ht="15.75" customHeight="1">
      <c r="A2563" s="32"/>
      <c r="B2563" s="33" t="s">
        <v>301</v>
      </c>
      <c r="C2563" s="33" t="s">
        <v>16</v>
      </c>
      <c r="D2563" s="33" t="s">
        <v>27</v>
      </c>
      <c r="E2563" s="21" t="str">
        <f t="shared" si="4"/>
        <v>NSE:OAL</v>
      </c>
    </row>
    <row r="2564" ht="15.75" customHeight="1">
      <c r="A2564" s="32"/>
      <c r="B2564" s="33" t="s">
        <v>676</v>
      </c>
      <c r="C2564" s="33" t="s">
        <v>16</v>
      </c>
      <c r="D2564" s="33" t="s">
        <v>27</v>
      </c>
      <c r="E2564" s="21" t="str">
        <f t="shared" si="4"/>
        <v>NSE:FOSECOIND</v>
      </c>
    </row>
    <row r="2565" ht="15.75" customHeight="1">
      <c r="A2565" s="32"/>
      <c r="B2565" s="33" t="s">
        <v>457</v>
      </c>
      <c r="C2565" s="33" t="s">
        <v>21</v>
      </c>
      <c r="D2565" s="33" t="s">
        <v>29</v>
      </c>
      <c r="E2565" s="21" t="str">
        <f t="shared" si="4"/>
        <v>NSE:KIRLOSBROS</v>
      </c>
    </row>
    <row r="2566" ht="15.75" customHeight="1">
      <c r="A2566" s="32"/>
      <c r="B2566" s="33" t="s">
        <v>868</v>
      </c>
      <c r="C2566" s="33" t="s">
        <v>21</v>
      </c>
      <c r="D2566" s="33" t="s">
        <v>25</v>
      </c>
      <c r="E2566" s="21" t="str">
        <f t="shared" si="4"/>
        <v>NSE:JINDALSAW</v>
      </c>
    </row>
    <row r="2567" ht="15.75" customHeight="1">
      <c r="A2567" s="32"/>
      <c r="B2567" s="33" t="s">
        <v>1116</v>
      </c>
      <c r="C2567" s="33" t="s">
        <v>16</v>
      </c>
      <c r="D2567" s="33" t="s">
        <v>27</v>
      </c>
      <c r="E2567" s="21" t="str">
        <f t="shared" si="4"/>
        <v>NSE:EXCELINDUS</v>
      </c>
    </row>
    <row r="2568" ht="15.75" customHeight="1">
      <c r="A2568" s="32"/>
      <c r="B2568" s="33" t="s">
        <v>1117</v>
      </c>
      <c r="C2568" s="33" t="s">
        <v>16</v>
      </c>
      <c r="D2568" s="33" t="s">
        <v>22</v>
      </c>
      <c r="E2568" s="21" t="str">
        <f t="shared" si="4"/>
        <v>NSE:PENINLAND</v>
      </c>
    </row>
    <row r="2569" ht="15.75" customHeight="1">
      <c r="A2569" s="32"/>
      <c r="B2569" s="33" t="s">
        <v>1018</v>
      </c>
      <c r="C2569" s="33" t="s">
        <v>21</v>
      </c>
      <c r="D2569" s="33" t="s">
        <v>29</v>
      </c>
      <c r="E2569" s="21" t="str">
        <f t="shared" si="4"/>
        <v>NSE:KIRLPNU</v>
      </c>
    </row>
    <row r="2570" ht="15.75" customHeight="1">
      <c r="A2570" s="32"/>
      <c r="B2570" s="33" t="s">
        <v>169</v>
      </c>
      <c r="C2570" s="33" t="s">
        <v>16</v>
      </c>
      <c r="D2570" s="33" t="s">
        <v>39</v>
      </c>
      <c r="E2570" s="21" t="str">
        <f t="shared" si="4"/>
        <v>NSE:RANEHOLDIN</v>
      </c>
    </row>
    <row r="2571" ht="15.75" customHeight="1">
      <c r="A2571" s="32"/>
      <c r="B2571" s="33" t="s">
        <v>473</v>
      </c>
      <c r="C2571" s="33" t="s">
        <v>16</v>
      </c>
      <c r="D2571" s="33" t="s">
        <v>22</v>
      </c>
      <c r="E2571" s="21" t="str">
        <f t="shared" si="4"/>
        <v>NSE:ALEMBICLTD</v>
      </c>
    </row>
    <row r="2572" ht="15.75" customHeight="1">
      <c r="A2572" s="32"/>
      <c r="B2572" s="33" t="s">
        <v>348</v>
      </c>
      <c r="C2572" s="33" t="s">
        <v>21</v>
      </c>
      <c r="D2572" s="33" t="s">
        <v>17</v>
      </c>
      <c r="E2572" s="21" t="str">
        <f t="shared" si="4"/>
        <v>NSE:PRICOLLTD</v>
      </c>
    </row>
    <row r="2573" ht="15.75" customHeight="1">
      <c r="A2573" s="32"/>
      <c r="B2573" s="33" t="s">
        <v>351</v>
      </c>
      <c r="C2573" s="33" t="s">
        <v>16</v>
      </c>
      <c r="D2573" s="33" t="s">
        <v>29</v>
      </c>
      <c r="E2573" s="21" t="str">
        <f t="shared" si="4"/>
        <v>NSE:ROTO</v>
      </c>
    </row>
    <row r="2574" ht="15.75" customHeight="1">
      <c r="A2574" s="32"/>
      <c r="B2574" s="33" t="s">
        <v>84</v>
      </c>
      <c r="C2574" s="33" t="s">
        <v>21</v>
      </c>
      <c r="D2574" s="33" t="s">
        <v>14</v>
      </c>
      <c r="E2574" s="21" t="str">
        <f t="shared" si="4"/>
        <v>NSE:AARTIPHARM</v>
      </c>
    </row>
    <row r="2575" ht="15.75" customHeight="1">
      <c r="A2575" s="32"/>
      <c r="B2575" s="33" t="s">
        <v>634</v>
      </c>
      <c r="C2575" s="33" t="s">
        <v>16</v>
      </c>
      <c r="D2575" s="33" t="s">
        <v>29</v>
      </c>
      <c r="E2575" s="21" t="str">
        <f t="shared" si="4"/>
        <v>NSE:HONDAPOWER</v>
      </c>
    </row>
    <row r="2576" ht="15.75" customHeight="1">
      <c r="A2576" s="32"/>
      <c r="B2576" s="33" t="s">
        <v>977</v>
      </c>
      <c r="C2576" s="33" t="s">
        <v>13</v>
      </c>
      <c r="D2576" s="33" t="s">
        <v>29</v>
      </c>
      <c r="E2576" s="21" t="str">
        <f t="shared" si="4"/>
        <v>NSE:GET&amp;D</v>
      </c>
    </row>
    <row r="2577" ht="15.75" customHeight="1">
      <c r="A2577" s="32"/>
      <c r="B2577" s="33" t="s">
        <v>1118</v>
      </c>
      <c r="C2577" s="33" t="s">
        <v>16</v>
      </c>
      <c r="D2577" s="33" t="s">
        <v>25</v>
      </c>
      <c r="E2577" s="21" t="str">
        <f t="shared" si="4"/>
        <v>NSE:RAMRAT</v>
      </c>
    </row>
    <row r="2578" ht="15.75" customHeight="1">
      <c r="A2578" s="32"/>
      <c r="B2578" s="33" t="s">
        <v>1049</v>
      </c>
      <c r="C2578" s="33" t="s">
        <v>21</v>
      </c>
      <c r="D2578" s="33" t="s">
        <v>29</v>
      </c>
      <c r="E2578" s="21" t="str">
        <f t="shared" si="4"/>
        <v>NSE:SAFARI</v>
      </c>
    </row>
    <row r="2579" ht="15.75" customHeight="1">
      <c r="A2579" s="32"/>
      <c r="B2579" s="33" t="s">
        <v>357</v>
      </c>
      <c r="C2579" s="33" t="s">
        <v>16</v>
      </c>
      <c r="D2579" s="33" t="s">
        <v>31</v>
      </c>
      <c r="E2579" s="21" t="str">
        <f t="shared" si="4"/>
        <v>NSE:KOKUYOCMLN</v>
      </c>
    </row>
    <row r="2580" ht="15.75" customHeight="1">
      <c r="A2580" s="32"/>
      <c r="B2580" s="33" t="s">
        <v>1119</v>
      </c>
      <c r="C2580" s="33" t="s">
        <v>16</v>
      </c>
      <c r="D2580" s="33" t="s">
        <v>22</v>
      </c>
      <c r="E2580" s="21" t="str">
        <f t="shared" si="4"/>
        <v>NSE:ELDEHSG</v>
      </c>
    </row>
    <row r="2581" ht="15.75" customHeight="1">
      <c r="A2581" s="32"/>
      <c r="B2581" s="33" t="s">
        <v>829</v>
      </c>
      <c r="C2581" s="33" t="s">
        <v>21</v>
      </c>
      <c r="D2581" s="33" t="s">
        <v>31</v>
      </c>
      <c r="E2581" s="21" t="str">
        <f t="shared" si="4"/>
        <v>NSE:DCMSHRIRAM</v>
      </c>
    </row>
    <row r="2582" ht="15.75" customHeight="1">
      <c r="A2582" s="32"/>
      <c r="B2582" s="33" t="s">
        <v>1120</v>
      </c>
      <c r="C2582" s="33" t="s">
        <v>21</v>
      </c>
      <c r="D2582" s="33" t="s">
        <v>55</v>
      </c>
      <c r="E2582" s="21" t="str">
        <f t="shared" si="4"/>
        <v>NSE:SCI</v>
      </c>
    </row>
    <row r="2583" ht="15.75" customHeight="1">
      <c r="A2583" s="32"/>
      <c r="B2583" s="33" t="s">
        <v>584</v>
      </c>
      <c r="C2583" s="33" t="s">
        <v>16</v>
      </c>
      <c r="D2583" s="33" t="s">
        <v>29</v>
      </c>
      <c r="E2583" s="21" t="str">
        <f t="shared" si="4"/>
        <v>NSE:EIMCOELECO</v>
      </c>
    </row>
    <row r="2584" ht="15.75" customHeight="1">
      <c r="A2584" s="32"/>
      <c r="B2584" s="33" t="s">
        <v>589</v>
      </c>
      <c r="C2584" s="33" t="s">
        <v>21</v>
      </c>
      <c r="D2584" s="33" t="s">
        <v>55</v>
      </c>
      <c r="E2584" s="21" t="str">
        <f t="shared" si="4"/>
        <v>NSE:TVSSCS</v>
      </c>
    </row>
    <row r="2585" ht="15.75" customHeight="1">
      <c r="A2585" s="32"/>
      <c r="B2585" s="33" t="s">
        <v>591</v>
      </c>
      <c r="C2585" s="33" t="s">
        <v>13</v>
      </c>
      <c r="D2585" s="33" t="s">
        <v>39</v>
      </c>
      <c r="E2585" s="21" t="str">
        <f t="shared" si="4"/>
        <v>NSE:HUDCO</v>
      </c>
    </row>
    <row r="2586" ht="15.75" customHeight="1">
      <c r="A2586" s="32"/>
      <c r="B2586" s="33" t="s">
        <v>1052</v>
      </c>
      <c r="C2586" s="33" t="s">
        <v>16</v>
      </c>
      <c r="D2586" s="33" t="s">
        <v>27</v>
      </c>
      <c r="E2586" s="21" t="str">
        <f t="shared" si="4"/>
        <v>NSE:NACLIND</v>
      </c>
    </row>
    <row r="2587" ht="15.75" customHeight="1">
      <c r="A2587" s="32"/>
      <c r="B2587" s="33" t="s">
        <v>143</v>
      </c>
      <c r="C2587" s="33" t="s">
        <v>16</v>
      </c>
      <c r="D2587" s="33" t="s">
        <v>31</v>
      </c>
      <c r="E2587" s="21" t="str">
        <f t="shared" si="4"/>
        <v>NSE:FLAIR</v>
      </c>
    </row>
    <row r="2588" ht="15.75" customHeight="1">
      <c r="A2588" s="32"/>
      <c r="B2588" s="33" t="s">
        <v>1059</v>
      </c>
      <c r="C2588" s="33" t="s">
        <v>13</v>
      </c>
      <c r="D2588" s="33" t="s">
        <v>39</v>
      </c>
      <c r="E2588" s="21" t="str">
        <f t="shared" si="4"/>
        <v>NSE:NAM-INDIA</v>
      </c>
    </row>
    <row r="2589" ht="15.75" customHeight="1">
      <c r="A2589" s="32"/>
      <c r="B2589" s="33" t="s">
        <v>1013</v>
      </c>
      <c r="C2589" s="33" t="s">
        <v>16</v>
      </c>
      <c r="D2589" s="33" t="s">
        <v>27</v>
      </c>
      <c r="E2589" s="21" t="str">
        <f t="shared" si="4"/>
        <v>NSE:DYCL</v>
      </c>
    </row>
    <row r="2590" ht="15.75" customHeight="1">
      <c r="A2590" s="32"/>
      <c r="B2590" s="33" t="s">
        <v>886</v>
      </c>
      <c r="C2590" s="33" t="s">
        <v>21</v>
      </c>
      <c r="D2590" s="33" t="s">
        <v>22</v>
      </c>
      <c r="E2590" s="21" t="str">
        <f t="shared" si="4"/>
        <v>NSE:TECHNOE</v>
      </c>
    </row>
    <row r="2591" ht="15.75" customHeight="1">
      <c r="A2591" s="32"/>
      <c r="B2591" s="33" t="s">
        <v>1039</v>
      </c>
      <c r="C2591" s="33" t="s">
        <v>13</v>
      </c>
      <c r="D2591" s="33" t="s">
        <v>55</v>
      </c>
      <c r="E2591" s="21" t="str">
        <f t="shared" si="4"/>
        <v>NSE:CONCOR</v>
      </c>
    </row>
    <row r="2592" ht="15.75" customHeight="1">
      <c r="A2592" s="32"/>
      <c r="B2592" s="33" t="s">
        <v>1014</v>
      </c>
      <c r="C2592" s="33" t="s">
        <v>21</v>
      </c>
      <c r="D2592" s="33" t="s">
        <v>14</v>
      </c>
      <c r="E2592" s="21" t="str">
        <f t="shared" si="4"/>
        <v>NSE:POLYMED</v>
      </c>
    </row>
    <row r="2593" ht="15.75" customHeight="1">
      <c r="A2593" s="32"/>
      <c r="B2593" s="33" t="s">
        <v>516</v>
      </c>
      <c r="C2593" s="33" t="s">
        <v>21</v>
      </c>
      <c r="D2593" s="33" t="s">
        <v>373</v>
      </c>
      <c r="E2593" s="21" t="str">
        <f t="shared" si="4"/>
        <v>NSE:CAMS</v>
      </c>
    </row>
    <row r="2594" ht="15.75" customHeight="1">
      <c r="A2594" s="32"/>
      <c r="B2594" s="33" t="s">
        <v>1027</v>
      </c>
      <c r="C2594" s="33" t="s">
        <v>21</v>
      </c>
      <c r="D2594" s="33" t="s">
        <v>19</v>
      </c>
      <c r="E2594" s="21" t="str">
        <f t="shared" si="4"/>
        <v>NSE:ASTRAMICRO</v>
      </c>
    </row>
    <row r="2595" ht="15.75" customHeight="1">
      <c r="A2595" s="32"/>
      <c r="B2595" s="33" t="s">
        <v>833</v>
      </c>
      <c r="C2595" s="33" t="s">
        <v>13</v>
      </c>
      <c r="D2595" s="33" t="s">
        <v>14</v>
      </c>
      <c r="E2595" s="21" t="str">
        <f t="shared" si="4"/>
        <v>NSE:FORTIS</v>
      </c>
    </row>
    <row r="2596" ht="15.75" customHeight="1">
      <c r="A2596" s="32"/>
      <c r="B2596" s="33" t="s">
        <v>815</v>
      </c>
      <c r="C2596" s="33" t="s">
        <v>16</v>
      </c>
      <c r="D2596" s="33" t="s">
        <v>29</v>
      </c>
      <c r="E2596" s="21" t="str">
        <f t="shared" si="4"/>
        <v>NSE:MICEL</v>
      </c>
    </row>
    <row r="2597" ht="15.75" customHeight="1">
      <c r="A2597" s="32"/>
      <c r="B2597" s="33" t="s">
        <v>189</v>
      </c>
      <c r="C2597" s="33" t="s">
        <v>16</v>
      </c>
      <c r="D2597" s="33" t="s">
        <v>39</v>
      </c>
      <c r="E2597" s="21" t="str">
        <f t="shared" si="4"/>
        <v>NSE:DHANI</v>
      </c>
    </row>
    <row r="2598" ht="15.75" customHeight="1">
      <c r="A2598" s="32"/>
      <c r="B2598" s="33" t="s">
        <v>617</v>
      </c>
      <c r="C2598" s="33" t="s">
        <v>21</v>
      </c>
      <c r="D2598" s="33" t="s">
        <v>22</v>
      </c>
      <c r="E2598" s="21" t="str">
        <f t="shared" si="4"/>
        <v>NSE:ISGEC</v>
      </c>
    </row>
    <row r="2599" ht="15.75" customHeight="1">
      <c r="A2599" s="32"/>
      <c r="B2599" s="33" t="s">
        <v>149</v>
      </c>
      <c r="C2599" s="33" t="s">
        <v>13</v>
      </c>
      <c r="D2599" s="33" t="s">
        <v>22</v>
      </c>
      <c r="E2599" s="21" t="str">
        <f t="shared" si="4"/>
        <v>NSE:GODREJPROP</v>
      </c>
    </row>
    <row r="2600" ht="15.75" customHeight="1">
      <c r="A2600" s="32"/>
      <c r="B2600" s="33" t="s">
        <v>152</v>
      </c>
      <c r="C2600" s="33" t="s">
        <v>21</v>
      </c>
      <c r="D2600" s="33" t="s">
        <v>29</v>
      </c>
      <c r="E2600" s="21" t="str">
        <f t="shared" si="4"/>
        <v>NSE:TEXRAIL</v>
      </c>
    </row>
    <row r="2601" ht="15.75" customHeight="1">
      <c r="A2601" s="32"/>
      <c r="B2601" s="33" t="s">
        <v>1031</v>
      </c>
      <c r="C2601" s="33" t="s">
        <v>16</v>
      </c>
      <c r="D2601" s="33" t="s">
        <v>25</v>
      </c>
      <c r="E2601" s="21" t="str">
        <f t="shared" si="4"/>
        <v>NSE:MAITHANALL</v>
      </c>
    </row>
    <row r="2602" ht="15.75" customHeight="1">
      <c r="A2602" s="32"/>
      <c r="B2602" s="33" t="s">
        <v>468</v>
      </c>
      <c r="C2602" s="33" t="s">
        <v>16</v>
      </c>
      <c r="D2602" s="33" t="s">
        <v>29</v>
      </c>
      <c r="E2602" s="21" t="str">
        <f t="shared" si="4"/>
        <v>NSE:SHAILY</v>
      </c>
    </row>
    <row r="2603" ht="15.75" customHeight="1">
      <c r="A2603" s="32"/>
      <c r="B2603" s="33" t="s">
        <v>469</v>
      </c>
      <c r="C2603" s="33" t="s">
        <v>16</v>
      </c>
      <c r="D2603" s="33" t="s">
        <v>27</v>
      </c>
      <c r="E2603" s="21" t="str">
        <f t="shared" si="4"/>
        <v>NSE:ORIENTPPR</v>
      </c>
    </row>
    <row r="2604" ht="15.75" customHeight="1">
      <c r="A2604" s="32"/>
      <c r="B2604" s="33" t="s">
        <v>995</v>
      </c>
      <c r="C2604" s="33" t="s">
        <v>13</v>
      </c>
      <c r="D2604" s="33" t="s">
        <v>29</v>
      </c>
      <c r="E2604" s="21" t="str">
        <f t="shared" si="4"/>
        <v>NSE:CARBORUNIV</v>
      </c>
    </row>
    <row r="2605" ht="15.75" customHeight="1">
      <c r="A2605" s="32"/>
      <c r="B2605" s="33" t="s">
        <v>481</v>
      </c>
      <c r="C2605" s="33" t="s">
        <v>16</v>
      </c>
      <c r="D2605" s="33" t="s">
        <v>19</v>
      </c>
      <c r="E2605" s="21" t="str">
        <f t="shared" si="4"/>
        <v>NSE:DCXINDIA</v>
      </c>
    </row>
    <row r="2606" ht="15.75" customHeight="1">
      <c r="A2606" s="32"/>
      <c r="B2606" s="33" t="s">
        <v>1121</v>
      </c>
      <c r="C2606" s="33" t="s">
        <v>16</v>
      </c>
      <c r="D2606" s="33" t="s">
        <v>29</v>
      </c>
      <c r="E2606" s="21" t="str">
        <f t="shared" si="4"/>
        <v>NSE:DCMSRIND</v>
      </c>
    </row>
    <row r="2607" ht="15.75" customHeight="1">
      <c r="A2607" s="32"/>
      <c r="B2607" s="33" t="s">
        <v>859</v>
      </c>
      <c r="C2607" s="33" t="s">
        <v>16</v>
      </c>
      <c r="D2607" s="33" t="s">
        <v>22</v>
      </c>
      <c r="E2607" s="21" t="str">
        <f t="shared" si="4"/>
        <v>NSE:SURAJEST</v>
      </c>
    </row>
    <row r="2608" ht="15.75" customHeight="1">
      <c r="A2608" s="32"/>
      <c r="B2608" s="33" t="s">
        <v>376</v>
      </c>
      <c r="C2608" s="33" t="s">
        <v>16</v>
      </c>
      <c r="D2608" s="33" t="s">
        <v>17</v>
      </c>
      <c r="E2608" s="21" t="str">
        <f t="shared" si="4"/>
        <v>NSE:SUNCLAY</v>
      </c>
    </row>
    <row r="2609" ht="15.75" customHeight="1">
      <c r="A2609" s="32"/>
      <c r="B2609" s="33" t="s">
        <v>382</v>
      </c>
      <c r="C2609" s="33" t="s">
        <v>21</v>
      </c>
      <c r="D2609" s="33" t="s">
        <v>29</v>
      </c>
      <c r="E2609" s="21" t="str">
        <f t="shared" si="4"/>
        <v>NSE:GENUSPOWER</v>
      </c>
    </row>
    <row r="2610" ht="15.75" customHeight="1">
      <c r="A2610" s="32"/>
      <c r="B2610" s="33" t="s">
        <v>1122</v>
      </c>
      <c r="C2610" s="33" t="s">
        <v>16</v>
      </c>
      <c r="D2610" s="33" t="s">
        <v>37</v>
      </c>
      <c r="E2610" s="21" t="str">
        <f t="shared" si="4"/>
        <v>NSE:ALLSEC</v>
      </c>
    </row>
    <row r="2611" ht="15.75" customHeight="1">
      <c r="A2611" s="32"/>
      <c r="B2611" s="33" t="s">
        <v>411</v>
      </c>
      <c r="C2611" s="33" t="s">
        <v>13</v>
      </c>
      <c r="D2611" s="33" t="s">
        <v>19</v>
      </c>
      <c r="E2611" s="21" t="str">
        <f t="shared" si="4"/>
        <v>NSE:SOLARINDS</v>
      </c>
    </row>
    <row r="2612" ht="15.75" customHeight="1">
      <c r="A2612" s="32"/>
      <c r="B2612" s="33" t="s">
        <v>147</v>
      </c>
      <c r="C2612" s="33" t="s">
        <v>13</v>
      </c>
      <c r="D2612" s="33" t="s">
        <v>31</v>
      </c>
      <c r="E2612" s="21" t="str">
        <f t="shared" si="4"/>
        <v>NSE:POWERGRID</v>
      </c>
    </row>
    <row r="2613" ht="15.75" customHeight="1">
      <c r="A2613" s="32"/>
      <c r="B2613" s="33" t="s">
        <v>1123</v>
      </c>
      <c r="C2613" s="33" t="s">
        <v>13</v>
      </c>
      <c r="D2613" s="33" t="s">
        <v>29</v>
      </c>
      <c r="E2613" s="21" t="str">
        <f t="shared" si="4"/>
        <v>NSE:TITAGARH</v>
      </c>
    </row>
    <row r="2614" ht="15.75" customHeight="1">
      <c r="A2614" s="32"/>
      <c r="B2614" s="33" t="s">
        <v>154</v>
      </c>
      <c r="C2614" s="33" t="s">
        <v>21</v>
      </c>
      <c r="D2614" s="33" t="s">
        <v>27</v>
      </c>
      <c r="E2614" s="21" t="str">
        <f t="shared" si="4"/>
        <v>NSE:INDIGOPNTS</v>
      </c>
    </row>
    <row r="2615" ht="15.75" customHeight="1">
      <c r="A2615" s="32"/>
      <c r="B2615" s="33" t="s">
        <v>620</v>
      </c>
      <c r="C2615" s="33" t="s">
        <v>21</v>
      </c>
      <c r="D2615" s="33" t="s">
        <v>19</v>
      </c>
      <c r="E2615" s="21" t="str">
        <f t="shared" si="4"/>
        <v>NSE:PARAS</v>
      </c>
    </row>
    <row r="2616" ht="15.75" customHeight="1">
      <c r="A2616" s="32"/>
      <c r="B2616" s="33" t="s">
        <v>1124</v>
      </c>
      <c r="C2616" s="33" t="s">
        <v>13</v>
      </c>
      <c r="D2616" s="33" t="s">
        <v>29</v>
      </c>
      <c r="E2616" s="21" t="str">
        <f t="shared" si="4"/>
        <v>NSE:CROMPTON</v>
      </c>
    </row>
    <row r="2617" ht="15.75" customHeight="1">
      <c r="A2617" s="32"/>
      <c r="B2617" s="33" t="s">
        <v>908</v>
      </c>
      <c r="C2617" s="33" t="s">
        <v>13</v>
      </c>
      <c r="D2617" s="33" t="s">
        <v>27</v>
      </c>
      <c r="E2617" s="21" t="str">
        <f t="shared" si="4"/>
        <v>NSE:CENTURYTEX</v>
      </c>
    </row>
    <row r="2618" ht="15.75" customHeight="1">
      <c r="A2618" s="32"/>
      <c r="B2618" s="33" t="s">
        <v>18</v>
      </c>
      <c r="C2618" s="33" t="s">
        <v>13</v>
      </c>
      <c r="D2618" s="33" t="s">
        <v>19</v>
      </c>
      <c r="E2618" s="21" t="str">
        <f t="shared" si="4"/>
        <v>NSE:BEL</v>
      </c>
    </row>
    <row r="2619" ht="15.75" customHeight="1">
      <c r="A2619" s="32"/>
      <c r="B2619" s="33" t="s">
        <v>754</v>
      </c>
      <c r="C2619" s="33" t="s">
        <v>21</v>
      </c>
      <c r="D2619" s="33" t="s">
        <v>29</v>
      </c>
      <c r="E2619" s="21" t="str">
        <f t="shared" si="4"/>
        <v>NSE:ESABINDIA</v>
      </c>
    </row>
    <row r="2620" ht="15.75" customHeight="1">
      <c r="A2620" s="32"/>
      <c r="B2620" s="33" t="s">
        <v>1067</v>
      </c>
      <c r="C2620" s="33" t="s">
        <v>16</v>
      </c>
      <c r="D2620" s="33" t="s">
        <v>53</v>
      </c>
      <c r="E2620" s="21" t="str">
        <f t="shared" si="4"/>
        <v>NSE:CENTENKA</v>
      </c>
    </row>
    <row r="2621" ht="15.75" customHeight="1">
      <c r="A2621" s="32"/>
      <c r="B2621" s="33" t="s">
        <v>1009</v>
      </c>
      <c r="C2621" s="33" t="s">
        <v>13</v>
      </c>
      <c r="D2621" s="33" t="s">
        <v>27</v>
      </c>
      <c r="E2621" s="21" t="str">
        <f t="shared" si="4"/>
        <v>NSE:SKFINDIA</v>
      </c>
    </row>
    <row r="2622" ht="15.75" customHeight="1">
      <c r="A2622" s="32"/>
      <c r="B2622" s="33" t="s">
        <v>1125</v>
      </c>
      <c r="C2622" s="33" t="s">
        <v>13</v>
      </c>
      <c r="D2622" s="33" t="s">
        <v>27</v>
      </c>
      <c r="E2622" s="21" t="str">
        <f t="shared" si="4"/>
        <v>NSE:BHARATFORG</v>
      </c>
    </row>
    <row r="2623" ht="15.75" customHeight="1">
      <c r="A2623" s="32"/>
      <c r="B2623" s="33" t="s">
        <v>921</v>
      </c>
      <c r="C2623" s="33" t="s">
        <v>13</v>
      </c>
      <c r="D2623" s="33" t="s">
        <v>29</v>
      </c>
      <c r="E2623" s="21" t="str">
        <f t="shared" si="4"/>
        <v>NSE:SIEMENS</v>
      </c>
    </row>
    <row r="2624" ht="15.75" customHeight="1">
      <c r="A2624" s="32"/>
      <c r="B2624" s="33" t="s">
        <v>28</v>
      </c>
      <c r="C2624" s="33" t="s">
        <v>16</v>
      </c>
      <c r="D2624" s="33" t="s">
        <v>29</v>
      </c>
      <c r="E2624" s="21" t="str">
        <f t="shared" si="4"/>
        <v>NSE:BBL</v>
      </c>
    </row>
    <row r="2625" ht="15.75" customHeight="1">
      <c r="A2625" s="32"/>
      <c r="B2625" s="33" t="s">
        <v>274</v>
      </c>
      <c r="C2625" s="33" t="s">
        <v>16</v>
      </c>
      <c r="D2625" s="33" t="s">
        <v>31</v>
      </c>
      <c r="E2625" s="21" t="str">
        <f t="shared" si="4"/>
        <v>NSE:NAVNETEDUL</v>
      </c>
    </row>
    <row r="2626" ht="15.75" customHeight="1">
      <c r="A2626" s="32"/>
      <c r="B2626" s="33" t="s">
        <v>935</v>
      </c>
      <c r="C2626" s="33" t="s">
        <v>13</v>
      </c>
      <c r="D2626" s="33" t="s">
        <v>29</v>
      </c>
      <c r="E2626" s="21" t="str">
        <f t="shared" si="4"/>
        <v>NSE:HONAUT</v>
      </c>
    </row>
    <row r="2627" ht="15.75" customHeight="1">
      <c r="A2627" s="32"/>
      <c r="B2627" s="33" t="s">
        <v>353</v>
      </c>
      <c r="C2627" s="33" t="s">
        <v>16</v>
      </c>
      <c r="D2627" s="33" t="s">
        <v>39</v>
      </c>
      <c r="E2627" s="21" t="str">
        <f t="shared" si="4"/>
        <v>NSE:AHL</v>
      </c>
    </row>
    <row r="2628" ht="15.75" customHeight="1">
      <c r="A2628" s="32"/>
      <c r="B2628" s="33" t="s">
        <v>1126</v>
      </c>
      <c r="C2628" s="33" t="s">
        <v>13</v>
      </c>
      <c r="D2628" s="33" t="s">
        <v>27</v>
      </c>
      <c r="E2628" s="21" t="str">
        <f t="shared" si="4"/>
        <v>NSE:TIMKEN</v>
      </c>
    </row>
    <row r="2629" ht="15.75" customHeight="1">
      <c r="A2629" s="32"/>
      <c r="B2629" s="33" t="s">
        <v>818</v>
      </c>
      <c r="C2629" s="33" t="s">
        <v>16</v>
      </c>
      <c r="D2629" s="33" t="s">
        <v>29</v>
      </c>
      <c r="E2629" s="21" t="str">
        <f t="shared" si="4"/>
        <v>NSE:KINGFA</v>
      </c>
    </row>
    <row r="2630" ht="15.75" customHeight="1">
      <c r="A2630" s="32"/>
      <c r="B2630" s="33" t="s">
        <v>366</v>
      </c>
      <c r="C2630" s="33" t="s">
        <v>13</v>
      </c>
      <c r="D2630" s="33" t="s">
        <v>27</v>
      </c>
      <c r="E2630" s="21" t="str">
        <f t="shared" si="4"/>
        <v>NSE:JSWINFRA</v>
      </c>
    </row>
    <row r="2631" ht="15.75" customHeight="1">
      <c r="A2631" s="32"/>
      <c r="B2631" s="33" t="s">
        <v>182</v>
      </c>
      <c r="C2631" s="33" t="s">
        <v>21</v>
      </c>
      <c r="D2631" s="33" t="s">
        <v>19</v>
      </c>
      <c r="E2631" s="21" t="str">
        <f t="shared" si="4"/>
        <v>NSE:GRSE</v>
      </c>
    </row>
    <row r="2632" ht="15.75" customHeight="1">
      <c r="A2632" s="32"/>
      <c r="B2632" s="33" t="s">
        <v>257</v>
      </c>
      <c r="C2632" s="33" t="s">
        <v>13</v>
      </c>
      <c r="D2632" s="33" t="s">
        <v>27</v>
      </c>
      <c r="E2632" s="21" t="str">
        <f t="shared" si="4"/>
        <v>NSE:MAZDOCK</v>
      </c>
    </row>
    <row r="2633" ht="15.75" customHeight="1">
      <c r="A2633" s="32"/>
      <c r="B2633" s="33" t="s">
        <v>398</v>
      </c>
      <c r="C2633" s="33" t="s">
        <v>21</v>
      </c>
      <c r="D2633" s="33" t="s">
        <v>22</v>
      </c>
      <c r="E2633" s="21" t="str">
        <f t="shared" si="4"/>
        <v>NSE:ENGINERSIN</v>
      </c>
    </row>
    <row r="2634" ht="15.75" customHeight="1">
      <c r="A2634" s="32"/>
      <c r="B2634" s="33" t="s">
        <v>1127</v>
      </c>
      <c r="C2634" s="33" t="s">
        <v>16</v>
      </c>
      <c r="D2634" s="33" t="s">
        <v>29</v>
      </c>
      <c r="E2634" s="21" t="str">
        <f t="shared" si="4"/>
        <v>NSE:ACLGATI</v>
      </c>
    </row>
    <row r="2635" ht="15.75" customHeight="1">
      <c r="A2635" s="32"/>
      <c r="B2635" s="33" t="s">
        <v>967</v>
      </c>
      <c r="C2635" s="33" t="s">
        <v>16</v>
      </c>
      <c r="D2635" s="33" t="s">
        <v>31</v>
      </c>
      <c r="E2635" s="21" t="str">
        <f t="shared" si="4"/>
        <v>NSE:BFUTILITIE</v>
      </c>
    </row>
    <row r="2636" ht="15.75" customHeight="1">
      <c r="A2636" s="32"/>
      <c r="B2636" s="33" t="s">
        <v>151</v>
      </c>
      <c r="C2636" s="33" t="s">
        <v>16</v>
      </c>
      <c r="D2636" s="33" t="s">
        <v>19</v>
      </c>
      <c r="E2636" s="21" t="str">
        <f t="shared" si="4"/>
        <v>NSE:ROSSELLIND</v>
      </c>
    </row>
    <row r="2637" ht="15.75" customHeight="1">
      <c r="A2637" s="32"/>
      <c r="B2637" s="33" t="s">
        <v>153</v>
      </c>
      <c r="C2637" s="33" t="s">
        <v>16</v>
      </c>
      <c r="D2637" s="33" t="s">
        <v>22</v>
      </c>
      <c r="E2637" s="21" t="str">
        <f t="shared" si="4"/>
        <v>NSE:GPTINFRA</v>
      </c>
    </row>
    <row r="2638" ht="15.75" customHeight="1">
      <c r="A2638" s="32"/>
      <c r="B2638" s="33" t="s">
        <v>131</v>
      </c>
      <c r="C2638" s="33" t="s">
        <v>13</v>
      </c>
      <c r="D2638" s="33" t="s">
        <v>29</v>
      </c>
      <c r="E2638" s="21" t="str">
        <f t="shared" si="4"/>
        <v>NSE:GODFRYPHLP</v>
      </c>
    </row>
    <row r="2639" ht="15.75" customHeight="1">
      <c r="A2639" s="32"/>
      <c r="B2639" s="33" t="s">
        <v>84</v>
      </c>
      <c r="C2639" s="33" t="s">
        <v>21</v>
      </c>
      <c r="D2639" s="33" t="s">
        <v>14</v>
      </c>
      <c r="E2639" s="21" t="str">
        <f t="shared" si="4"/>
        <v>NSE:AARTIPHARM</v>
      </c>
    </row>
    <row r="2640" ht="15.75" customHeight="1">
      <c r="A2640" s="32"/>
      <c r="B2640" s="33" t="s">
        <v>1128</v>
      </c>
      <c r="C2640" s="33" t="s">
        <v>21</v>
      </c>
      <c r="D2640" s="33" t="s">
        <v>27</v>
      </c>
      <c r="E2640" s="21" t="str">
        <f t="shared" si="4"/>
        <v>NSE:DIACABS</v>
      </c>
    </row>
    <row r="2641" ht="15.75" customHeight="1">
      <c r="A2641" s="32"/>
      <c r="B2641" s="33" t="s">
        <v>1129</v>
      </c>
      <c r="C2641" s="33" t="s">
        <v>13</v>
      </c>
      <c r="D2641" s="33" t="s">
        <v>22</v>
      </c>
      <c r="E2641" s="21" t="str">
        <f t="shared" si="4"/>
        <v>NSE:IRCON</v>
      </c>
    </row>
    <row r="2642" ht="15.75" customHeight="1">
      <c r="A2642" s="32"/>
      <c r="B2642" s="33" t="s">
        <v>391</v>
      </c>
      <c r="C2642" s="33" t="s">
        <v>21</v>
      </c>
      <c r="D2642" s="33" t="s">
        <v>29</v>
      </c>
      <c r="E2642" s="21" t="str">
        <f t="shared" si="4"/>
        <v>NSE:SHAKTIPUMP</v>
      </c>
    </row>
    <row r="2643" ht="15.75" customHeight="1">
      <c r="A2643" s="32"/>
      <c r="B2643" s="33" t="s">
        <v>220</v>
      </c>
      <c r="C2643" s="33" t="s">
        <v>13</v>
      </c>
      <c r="D2643" s="33" t="s">
        <v>39</v>
      </c>
      <c r="E2643" s="21" t="str">
        <f t="shared" si="4"/>
        <v>NSE:360ONE</v>
      </c>
    </row>
    <row r="2644" ht="15.75" customHeight="1">
      <c r="A2644" s="32"/>
      <c r="B2644" s="33" t="s">
        <v>543</v>
      </c>
      <c r="C2644" s="33" t="s">
        <v>21</v>
      </c>
      <c r="D2644" s="33" t="s">
        <v>19</v>
      </c>
      <c r="E2644" s="21" t="str">
        <f t="shared" si="4"/>
        <v>NSE:MTARTECH</v>
      </c>
    </row>
    <row r="2645" ht="15.75" customHeight="1">
      <c r="A2645" s="32"/>
      <c r="B2645" s="33" t="s">
        <v>670</v>
      </c>
      <c r="C2645" s="33" t="s">
        <v>13</v>
      </c>
      <c r="D2645" s="33" t="s">
        <v>29</v>
      </c>
      <c r="E2645" s="21" t="str">
        <f t="shared" si="4"/>
        <v>NSE:METROBRAND</v>
      </c>
    </row>
    <row r="2646" ht="15.75" customHeight="1">
      <c r="A2646" s="32"/>
      <c r="B2646" s="33" t="s">
        <v>643</v>
      </c>
      <c r="C2646" s="33" t="s">
        <v>16</v>
      </c>
      <c r="D2646" s="33" t="s">
        <v>14</v>
      </c>
      <c r="E2646" s="21" t="str">
        <f t="shared" si="4"/>
        <v>NSE:INNOVACAP</v>
      </c>
    </row>
    <row r="2647" ht="15.75" customHeight="1">
      <c r="A2647" s="32"/>
      <c r="B2647" s="33" t="s">
        <v>1062</v>
      </c>
      <c r="C2647" s="33" t="s">
        <v>13</v>
      </c>
      <c r="D2647" s="33" t="s">
        <v>185</v>
      </c>
      <c r="E2647" s="21" t="str">
        <f t="shared" si="4"/>
        <v>NSE:AXISBANK</v>
      </c>
    </row>
    <row r="2648" ht="15.75" customHeight="1">
      <c r="A2648" s="32"/>
      <c r="B2648" s="33" t="s">
        <v>232</v>
      </c>
      <c r="C2648" s="33" t="s">
        <v>21</v>
      </c>
      <c r="D2648" s="33" t="s">
        <v>29</v>
      </c>
      <c r="E2648" s="21" t="str">
        <f t="shared" si="4"/>
        <v>NSE:TRITURBINE</v>
      </c>
    </row>
    <row r="2649" ht="15.75" customHeight="1">
      <c r="A2649" s="32"/>
      <c r="B2649" s="33" t="s">
        <v>947</v>
      </c>
      <c r="C2649" s="33" t="s">
        <v>16</v>
      </c>
      <c r="D2649" s="33" t="s">
        <v>29</v>
      </c>
      <c r="E2649" s="21" t="str">
        <f t="shared" si="4"/>
        <v>NSE:TIL</v>
      </c>
    </row>
    <row r="2650" ht="15.75" customHeight="1">
      <c r="A2650" s="32"/>
      <c r="B2650" s="33" t="s">
        <v>1082</v>
      </c>
      <c r="C2650" s="33" t="s">
        <v>21</v>
      </c>
      <c r="D2650" s="33" t="s">
        <v>29</v>
      </c>
      <c r="E2650" s="21" t="str">
        <f t="shared" si="4"/>
        <v>NSE:REDTAPE</v>
      </c>
    </row>
    <row r="2651" ht="15.75" customHeight="1">
      <c r="A2651" s="32"/>
      <c r="B2651" s="33" t="s">
        <v>845</v>
      </c>
      <c r="C2651" s="33" t="s">
        <v>21</v>
      </c>
      <c r="D2651" s="33" t="s">
        <v>29</v>
      </c>
      <c r="E2651" s="21" t="str">
        <f t="shared" si="4"/>
        <v>NSE:GOKEX</v>
      </c>
    </row>
    <row r="2652" ht="15.75" customHeight="1">
      <c r="A2652" s="32"/>
      <c r="B2652" s="33" t="s">
        <v>407</v>
      </c>
      <c r="C2652" s="33" t="s">
        <v>21</v>
      </c>
      <c r="D2652" s="33" t="s">
        <v>29</v>
      </c>
      <c r="E2652" s="21" t="str">
        <f t="shared" si="4"/>
        <v>NSE:SHOPERSTOP</v>
      </c>
    </row>
    <row r="2653" ht="15.75" customHeight="1">
      <c r="A2653" s="32"/>
      <c r="B2653" s="33" t="s">
        <v>758</v>
      </c>
      <c r="C2653" s="33" t="s">
        <v>13</v>
      </c>
      <c r="D2653" s="33" t="s">
        <v>25</v>
      </c>
      <c r="E2653" s="21" t="str">
        <f t="shared" si="4"/>
        <v>NSE:RATNAMANI</v>
      </c>
    </row>
    <row r="2654" ht="15.75" customHeight="1">
      <c r="A2654" s="32"/>
      <c r="B2654" s="33" t="s">
        <v>1129</v>
      </c>
      <c r="C2654" s="33" t="s">
        <v>13</v>
      </c>
      <c r="D2654" s="33" t="s">
        <v>22</v>
      </c>
      <c r="E2654" s="21" t="str">
        <f t="shared" si="4"/>
        <v>NSE:IRCON</v>
      </c>
    </row>
    <row r="2655" ht="15.75" customHeight="1">
      <c r="A2655" s="32"/>
      <c r="B2655" s="33" t="s">
        <v>656</v>
      </c>
      <c r="C2655" s="33" t="s">
        <v>13</v>
      </c>
      <c r="D2655" s="33" t="s">
        <v>29</v>
      </c>
      <c r="E2655" s="21" t="str">
        <f t="shared" si="4"/>
        <v>NSE:SUZLON</v>
      </c>
    </row>
    <row r="2656" ht="15.75" customHeight="1">
      <c r="A2656" s="32"/>
      <c r="B2656" s="33" t="s">
        <v>73</v>
      </c>
      <c r="C2656" s="33" t="s">
        <v>21</v>
      </c>
      <c r="D2656" s="33" t="s">
        <v>29</v>
      </c>
      <c r="E2656" s="21" t="str">
        <f t="shared" si="4"/>
        <v>NSE:KIRLOSENG</v>
      </c>
    </row>
    <row r="2657" ht="15.75" customHeight="1">
      <c r="A2657" s="32"/>
      <c r="B2657" s="33" t="s">
        <v>1007</v>
      </c>
      <c r="C2657" s="33" t="s">
        <v>13</v>
      </c>
      <c r="D2657" s="33" t="s">
        <v>25</v>
      </c>
      <c r="E2657" s="21" t="str">
        <f t="shared" si="4"/>
        <v>NSE:APLAPOLLO</v>
      </c>
    </row>
    <row r="2658" ht="15.75" customHeight="1">
      <c r="A2658" s="32"/>
      <c r="B2658" s="33" t="s">
        <v>1017</v>
      </c>
      <c r="C2658" s="33" t="s">
        <v>16</v>
      </c>
      <c r="D2658" s="33" t="s">
        <v>25</v>
      </c>
      <c r="E2658" s="21" t="str">
        <f t="shared" si="4"/>
        <v>NSE:VSSL</v>
      </c>
    </row>
  </sheetData>
  <mergeCells count="3">
    <mergeCell ref="A1:H1"/>
    <mergeCell ref="A2:H2"/>
    <mergeCell ref="F7:J7"/>
  </mergeCells>
  <conditionalFormatting sqref="F9:J108">
    <cfRule type="containsText" dxfId="0" priority="1" operator="containsText" text="Failed">
      <formula>NOT(ISERROR(SEARCH(("Failed"),(F9))))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3.75"/>
    <col customWidth="1" min="3" max="3" width="7.0"/>
    <col customWidth="1" min="4" max="4" width="6.88"/>
    <col customWidth="1" min="5" max="5" width="11.25"/>
    <col customWidth="1" min="6" max="6" width="11.13"/>
    <col customWidth="1" min="7" max="7" width="7.0"/>
    <col customWidth="1" min="9" max="9" width="11.25"/>
    <col customWidth="1" min="10" max="10" width="16.0"/>
    <col customWidth="1" min="11" max="11" width="7.0"/>
    <col customWidth="1" min="13" max="13" width="11.25"/>
    <col customWidth="1" min="14" max="14" width="16.38"/>
    <col customWidth="1" min="15" max="15" width="7.0"/>
    <col customWidth="1" min="17" max="17" width="11.25"/>
    <col customWidth="1" min="18" max="18" width="13.5"/>
    <col customWidth="1" min="19" max="19" width="7.0"/>
    <col customWidth="1" min="21" max="21" width="11.25"/>
    <col customWidth="1" min="22" max="22" width="17.0"/>
    <col customWidth="1" min="23" max="23" width="7.0"/>
    <col customWidth="1" min="25" max="25" width="11.25"/>
    <col customWidth="1" min="26" max="26" width="14.88"/>
    <col customWidth="1" min="27" max="27" width="7.0"/>
    <col customWidth="1" min="29" max="29" width="11.25"/>
    <col customWidth="1" min="30" max="30" width="13.0"/>
    <col customWidth="1" min="31" max="31" width="7.0"/>
    <col customWidth="1" min="33" max="33" width="11.25"/>
    <col customWidth="1" min="34" max="34" width="11.13"/>
    <col customWidth="1" min="35" max="35" width="7.0"/>
    <col customWidth="1" min="37" max="37" width="11.25"/>
    <col customWidth="1" min="38" max="38" width="14.25"/>
    <col customWidth="1" min="39" max="39" width="7.0"/>
    <col customWidth="1" min="41" max="41" width="11.25"/>
    <col customWidth="1" min="42" max="42" width="11.0"/>
    <col customWidth="1" min="43" max="43" width="7.0"/>
  </cols>
  <sheetData>
    <row r="1" ht="12.0" customHeight="1">
      <c r="A1" s="14" t="s">
        <v>1130</v>
      </c>
      <c r="B1" s="34" t="str">
        <f>Summary!E9</f>
        <v>NSE:LAURUSLABS</v>
      </c>
      <c r="D1" s="14"/>
      <c r="E1" s="14" t="s">
        <v>1130</v>
      </c>
      <c r="F1" s="34" t="str">
        <f>Summary!E10</f>
        <v>NSE:BANCOINDIA</v>
      </c>
      <c r="H1" s="14"/>
      <c r="I1" s="14" t="s">
        <v>1130</v>
      </c>
      <c r="J1" s="34" t="str">
        <f>Summary!E11</f>
        <v>NSE:BEL</v>
      </c>
      <c r="L1" s="14"/>
      <c r="M1" s="14" t="s">
        <v>1130</v>
      </c>
      <c r="N1" s="34" t="str">
        <f>Summary!E12</f>
        <v>NSE:HFCL</v>
      </c>
      <c r="P1" s="14"/>
      <c r="Q1" s="14" t="s">
        <v>1130</v>
      </c>
      <c r="R1" s="34" t="str">
        <f>Summary!E13</f>
        <v>NSE:MOREPENLAB</v>
      </c>
      <c r="T1" s="14"/>
      <c r="U1" s="14" t="s">
        <v>1130</v>
      </c>
      <c r="V1" s="34" t="str">
        <f>Summary!E14</f>
        <v>NSE:SURYAROSNI</v>
      </c>
      <c r="X1" s="14"/>
      <c r="Y1" s="14" t="s">
        <v>1130</v>
      </c>
      <c r="Z1" s="34" t="str">
        <f>Summary!E15</f>
        <v>NSE:CASTROLIND</v>
      </c>
      <c r="AB1" s="14"/>
      <c r="AC1" s="14" t="s">
        <v>1130</v>
      </c>
      <c r="AD1" s="34" t="str">
        <f>Summary!E16</f>
        <v>NSE:BBL</v>
      </c>
      <c r="AF1" s="14"/>
      <c r="AG1" s="14" t="s">
        <v>1130</v>
      </c>
      <c r="AH1" s="34" t="str">
        <f>Summary!E17</f>
        <v>NSE:NIPPOBATRY</v>
      </c>
      <c r="AJ1" s="14"/>
      <c r="AK1" s="14" t="s">
        <v>1130</v>
      </c>
      <c r="AL1" s="34" t="str">
        <f>Summary!E18</f>
        <v>NSE:DYNAMATECH</v>
      </c>
      <c r="AN1" s="14"/>
      <c r="AO1" s="14" t="s">
        <v>1130</v>
      </c>
      <c r="AP1" s="34" t="str">
        <f>Summary!E19</f>
        <v>NSE:NESCO</v>
      </c>
      <c r="AR1" s="14"/>
      <c r="AS1" s="14" t="s">
        <v>1130</v>
      </c>
      <c r="AT1" s="34" t="str">
        <f>Summary!E20</f>
        <v>NSE:DEEPAKNTR</v>
      </c>
      <c r="AV1" s="14"/>
      <c r="AW1" s="14" t="s">
        <v>1130</v>
      </c>
      <c r="AX1" s="34" t="str">
        <f>Summary!E21</f>
        <v>NSE:ASTRAZEN</v>
      </c>
      <c r="AZ1" s="14"/>
      <c r="BA1" s="14" t="s">
        <v>1130</v>
      </c>
      <c r="BB1" s="34" t="str">
        <f>Summary!E22</f>
        <v>NSE:WIPRO</v>
      </c>
      <c r="BD1" s="14"/>
      <c r="BE1" s="14" t="s">
        <v>1130</v>
      </c>
      <c r="BF1" s="34" t="str">
        <f>Summary!E23</f>
        <v>NSE:STARTECK</v>
      </c>
      <c r="BH1" s="14"/>
      <c r="BI1" s="14" t="s">
        <v>1130</v>
      </c>
      <c r="BJ1" s="34" t="str">
        <f>Summary!E24</f>
        <v>NSE:SHAHALLOYS</v>
      </c>
      <c r="BL1" s="14"/>
      <c r="BM1" s="14" t="s">
        <v>1130</v>
      </c>
      <c r="BN1" s="34" t="str">
        <f>Summary!E25</f>
        <v>NSE:NLCINDIA</v>
      </c>
      <c r="BP1" s="14"/>
      <c r="BQ1" s="14" t="s">
        <v>1130</v>
      </c>
      <c r="BR1" s="34" t="str">
        <f>Summary!E26</f>
        <v>NSE:MADHAV</v>
      </c>
      <c r="BT1" s="14"/>
      <c r="BU1" s="14" t="s">
        <v>1130</v>
      </c>
      <c r="BV1" s="34" t="str">
        <f>Summary!E27</f>
        <v>NSE:HERITGFOOD</v>
      </c>
      <c r="BX1" s="14"/>
      <c r="BY1" s="14" t="s">
        <v>1130</v>
      </c>
      <c r="BZ1" s="34" t="str">
        <f>Summary!E28</f>
        <v>NSE:WEL</v>
      </c>
      <c r="CB1" s="14"/>
      <c r="CC1" s="14" t="s">
        <v>1130</v>
      </c>
      <c r="CD1" s="34" t="str">
        <f>Summary!E29</f>
        <v>NSE:BALMLAWRIE</v>
      </c>
      <c r="CF1" s="14"/>
      <c r="CG1" s="14" t="s">
        <v>1130</v>
      </c>
      <c r="CH1" s="34" t="str">
        <f>Summary!E30</f>
        <v>NSE:AARTIIND</v>
      </c>
      <c r="CJ1" s="14"/>
      <c r="CK1" s="14" t="s">
        <v>1130</v>
      </c>
      <c r="CL1" s="34" t="str">
        <f>Summary!E31</f>
        <v>NSE:STEL</v>
      </c>
      <c r="CN1" s="14"/>
      <c r="CO1" s="14" t="s">
        <v>1130</v>
      </c>
      <c r="CP1" s="34" t="str">
        <f>Summary!E32</f>
        <v>NSE:SYNCOMF</v>
      </c>
      <c r="CR1" s="14"/>
      <c r="CS1" s="14" t="s">
        <v>1130</v>
      </c>
      <c r="CT1" s="34" t="str">
        <f>Summary!E33</f>
        <v>NSE:GTPL</v>
      </c>
      <c r="CV1" s="14"/>
      <c r="CW1" s="14" t="s">
        <v>1130</v>
      </c>
      <c r="CX1" s="34" t="str">
        <f>Summary!E34</f>
        <v>NSE:COCHINSHIP</v>
      </c>
      <c r="CZ1" s="14"/>
      <c r="DA1" s="14" t="s">
        <v>1130</v>
      </c>
      <c r="DB1" s="34" t="str">
        <f>Summary!E35</f>
        <v>NSE:LAXMICOT</v>
      </c>
      <c r="DD1" s="14"/>
      <c r="DE1" s="14" t="s">
        <v>1130</v>
      </c>
      <c r="DF1" s="34" t="str">
        <f>Summary!E36</f>
        <v>NSE:GTECJAINX</v>
      </c>
      <c r="DH1" s="14"/>
      <c r="DI1" s="14" t="s">
        <v>1130</v>
      </c>
      <c r="DJ1" s="34" t="str">
        <f>Summary!E37</f>
        <v>NSE:JASH</v>
      </c>
      <c r="DL1" s="14"/>
      <c r="DM1" s="14" t="s">
        <v>1130</v>
      </c>
      <c r="DN1" s="34" t="str">
        <f>Summary!E38</f>
        <v>NSE:JUBLPHARMA</v>
      </c>
      <c r="DP1" s="14"/>
      <c r="DQ1" s="14" t="s">
        <v>1130</v>
      </c>
      <c r="DR1" s="34" t="str">
        <f>Summary!E39</f>
        <v>NSE:THEMISMED</v>
      </c>
      <c r="DT1" s="14"/>
      <c r="DU1" s="14" t="s">
        <v>1130</v>
      </c>
      <c r="DV1" s="34" t="str">
        <f>Summary!E40</f>
        <v>NSE:BDL</v>
      </c>
      <c r="DX1" s="14"/>
      <c r="DY1" s="14" t="s">
        <v>1130</v>
      </c>
      <c r="DZ1" s="34" t="str">
        <f>Summary!E41</f>
        <v>NSE:KRITIKA</v>
      </c>
      <c r="EB1" s="14"/>
      <c r="EC1" s="14" t="s">
        <v>1130</v>
      </c>
      <c r="ED1" s="34" t="str">
        <f>Summary!E42</f>
        <v>NSE:BALAMINES</v>
      </c>
      <c r="EF1" s="14"/>
      <c r="EG1" s="14" t="s">
        <v>1130</v>
      </c>
      <c r="EH1" s="34" t="str">
        <f>Summary!E43</f>
        <v>NSE:MSTCLTD</v>
      </c>
      <c r="EJ1" s="14"/>
      <c r="EK1" s="14" t="s">
        <v>1130</v>
      </c>
      <c r="EL1" s="34" t="str">
        <f>Summary!E44</f>
        <v>NSE:DEEPENR</v>
      </c>
      <c r="EN1" s="14"/>
      <c r="EO1" s="14" t="s">
        <v>1130</v>
      </c>
      <c r="EP1" s="34" t="str">
        <f>Summary!E45</f>
        <v>NSE:GAIL</v>
      </c>
      <c r="ER1" s="14"/>
      <c r="ES1" s="14" t="s">
        <v>1130</v>
      </c>
      <c r="ET1" s="34" t="str">
        <f>Summary!E46</f>
        <v>NSE:CYBERTECH</v>
      </c>
      <c r="EV1" s="14"/>
      <c r="EW1" s="14" t="s">
        <v>1130</v>
      </c>
      <c r="EX1" s="34" t="str">
        <f>Summary!E47</f>
        <v>NSE:STAR</v>
      </c>
      <c r="EZ1" s="14"/>
      <c r="FA1" s="14" t="s">
        <v>1130</v>
      </c>
      <c r="FB1" s="34" t="str">
        <f>Summary!E48</f>
        <v>NSE:GALLANTT</v>
      </c>
      <c r="FD1" s="14"/>
      <c r="FE1" s="14" t="s">
        <v>1130</v>
      </c>
      <c r="FF1" s="34" t="str">
        <f>Summary!E49</f>
        <v>NSE:V2RETAIL</v>
      </c>
      <c r="FH1" s="14"/>
      <c r="FI1" s="14" t="s">
        <v>1130</v>
      </c>
      <c r="FJ1" s="34" t="str">
        <f>Summary!E50</f>
        <v>NSE:JKIL</v>
      </c>
      <c r="FL1" s="14"/>
      <c r="FM1" s="14" t="s">
        <v>1130</v>
      </c>
      <c r="FN1" s="34" t="str">
        <f>Summary!E51</f>
        <v>NSE:HMVL</v>
      </c>
      <c r="FP1" s="14"/>
      <c r="FQ1" s="14" t="s">
        <v>1130</v>
      </c>
      <c r="FR1" s="34" t="str">
        <f>Summary!E52</f>
        <v>NSE:SHAH</v>
      </c>
      <c r="FT1" s="14"/>
      <c r="FU1" s="14" t="s">
        <v>1130</v>
      </c>
      <c r="FV1" s="34" t="str">
        <f>Summary!E53</f>
        <v>NSE:KIRLOSENG</v>
      </c>
      <c r="FX1" s="14"/>
      <c r="FY1" s="14" t="s">
        <v>1130</v>
      </c>
      <c r="FZ1" s="34" t="str">
        <f>Summary!E54</f>
        <v>NSE:BROOKS</v>
      </c>
      <c r="GB1" s="14"/>
      <c r="GC1" s="14" t="s">
        <v>1130</v>
      </c>
      <c r="GD1" s="34" t="str">
        <f>Summary!E55</f>
        <v>NSE:NURECA</v>
      </c>
      <c r="GF1" s="14"/>
      <c r="GG1" s="14" t="s">
        <v>1130</v>
      </c>
      <c r="GH1" s="34" t="str">
        <f>Summary!E56</f>
        <v>NSE:IWEL</v>
      </c>
      <c r="GJ1" s="14"/>
      <c r="GK1" s="14" t="s">
        <v>1130</v>
      </c>
      <c r="GL1" s="34" t="str">
        <f>Summary!E57</f>
        <v>NSE:SIKKO</v>
      </c>
      <c r="GN1" s="14"/>
      <c r="GO1" s="14" t="s">
        <v>1130</v>
      </c>
      <c r="GP1" s="34" t="str">
        <f>Summary!E58</f>
        <v>NSE:TEGA</v>
      </c>
      <c r="GR1" s="14"/>
      <c r="GS1" s="14" t="s">
        <v>1130</v>
      </c>
      <c r="GT1" s="34" t="str">
        <f>Summary!E59</f>
        <v>NSE:NAGAFERT</v>
      </c>
      <c r="GV1" s="14"/>
      <c r="GW1" s="14" t="s">
        <v>1130</v>
      </c>
      <c r="GX1" s="34" t="str">
        <f>Summary!E60</f>
        <v>NSE:HEADSUP</v>
      </c>
      <c r="GZ1" s="14"/>
      <c r="HA1" s="14" t="s">
        <v>1130</v>
      </c>
      <c r="HB1" s="34" t="str">
        <f>Summary!E61</f>
        <v>NSE:HINDALCO</v>
      </c>
      <c r="HD1" s="14"/>
      <c r="HE1" s="35" t="s">
        <v>1130</v>
      </c>
      <c r="HF1" s="34" t="str">
        <f>Summary!E62</f>
        <v>NSE:BBL</v>
      </c>
      <c r="HH1" s="14"/>
      <c r="HI1" s="14" t="s">
        <v>1130</v>
      </c>
      <c r="HJ1" s="34" t="str">
        <f>Summary!E63</f>
        <v>NSE:DYNAMATECH</v>
      </c>
      <c r="HL1" s="14"/>
      <c r="HM1" s="14" t="s">
        <v>1130</v>
      </c>
      <c r="HN1" s="34" t="str">
        <f>Summary!E64</f>
        <v>NSE:JAICORPLTD</v>
      </c>
      <c r="HP1" s="14"/>
      <c r="HQ1" s="14" t="s">
        <v>1130</v>
      </c>
      <c r="HR1" s="34" t="str">
        <f>Summary!E65</f>
        <v>NSE:NLCINDIA</v>
      </c>
      <c r="HT1" s="14"/>
      <c r="HU1" s="14" t="s">
        <v>1130</v>
      </c>
      <c r="HV1" s="34" t="str">
        <f>Summary!E66</f>
        <v>NSE:MADHAV</v>
      </c>
      <c r="HX1" s="14"/>
      <c r="HY1" s="14" t="s">
        <v>1130</v>
      </c>
      <c r="HZ1" s="34" t="str">
        <f>Summary!E67</f>
        <v>NSE:WEL</v>
      </c>
      <c r="IB1" s="14"/>
      <c r="IC1" s="14" t="s">
        <v>1130</v>
      </c>
      <c r="ID1" s="34" t="str">
        <f>Summary!E68</f>
        <v>NSE:SURYALAXMI</v>
      </c>
      <c r="IF1" s="14"/>
      <c r="IG1" s="14" t="s">
        <v>1130</v>
      </c>
      <c r="IH1" s="34" t="str">
        <f>Summary!E69</f>
        <v>NSE:AARTIPHARM</v>
      </c>
      <c r="IJ1" s="14"/>
      <c r="IK1" s="14" t="s">
        <v>1130</v>
      </c>
      <c r="IL1" s="34" t="str">
        <f>Summary!E70</f>
        <v>NSE:SHANTIGEAR</v>
      </c>
      <c r="IN1" s="14"/>
      <c r="IO1" s="14" t="s">
        <v>1130</v>
      </c>
      <c r="IP1" s="34" t="str">
        <f>Summary!E71</f>
        <v>NSE:DOLPHIN</v>
      </c>
      <c r="IR1" s="14"/>
      <c r="IS1" s="14" t="s">
        <v>1130</v>
      </c>
      <c r="IT1" s="34" t="str">
        <f>Summary!E72</f>
        <v>NSE:CONTROLPR</v>
      </c>
      <c r="IV1" s="14"/>
      <c r="IW1" s="14" t="s">
        <v>1130</v>
      </c>
      <c r="IX1" s="34" t="str">
        <f>Summary!E73</f>
        <v>NSE:BLAL</v>
      </c>
      <c r="IZ1" s="14"/>
      <c r="JA1" s="14" t="s">
        <v>1130</v>
      </c>
      <c r="JB1" s="34" t="str">
        <f>Summary!E74</f>
        <v>NSE:3MINDIA</v>
      </c>
      <c r="JD1" s="14"/>
      <c r="JE1" s="14" t="s">
        <v>1130</v>
      </c>
      <c r="JF1" s="34" t="str">
        <f>Summary!E75</f>
        <v>NSE:AARTIIND</v>
      </c>
      <c r="JH1" s="14"/>
      <c r="JI1" s="14" t="s">
        <v>1130</v>
      </c>
      <c r="JJ1" s="34" t="str">
        <f>Summary!E76</f>
        <v>NSE:STEL</v>
      </c>
      <c r="JL1" s="14"/>
      <c r="JM1" s="14" t="s">
        <v>1130</v>
      </c>
      <c r="JN1" s="34" t="str">
        <f>Summary!E77</f>
        <v>NSE:SYNCOMF</v>
      </c>
      <c r="JP1" s="14"/>
      <c r="JQ1" s="14" t="s">
        <v>1130</v>
      </c>
      <c r="JR1" s="34" t="str">
        <f>Summary!E78</f>
        <v>NSE:GTECJAINX</v>
      </c>
      <c r="JT1" s="14"/>
      <c r="JU1" s="14" t="s">
        <v>1130</v>
      </c>
      <c r="JV1" s="34" t="str">
        <f>Summary!E79</f>
        <v>NSE:GREENPLY</v>
      </c>
      <c r="JX1" s="14"/>
      <c r="JY1" s="14" t="s">
        <v>1130</v>
      </c>
      <c r="JZ1" s="34" t="str">
        <f>Summary!E80</f>
        <v>NSE:5PAISA</v>
      </c>
      <c r="KB1" s="14"/>
      <c r="KC1" s="14" t="s">
        <v>1130</v>
      </c>
      <c r="KD1" s="34" t="str">
        <f>Summary!E81</f>
        <v>NSE:BDL</v>
      </c>
      <c r="KF1" s="14"/>
      <c r="KG1" s="14" t="s">
        <v>1130</v>
      </c>
      <c r="KH1" s="34" t="str">
        <f>Summary!E82</f>
        <v>NSE:AVG</v>
      </c>
      <c r="KJ1" s="14"/>
      <c r="KK1" s="14" t="s">
        <v>1130</v>
      </c>
      <c r="KL1" s="34" t="str">
        <f>Summary!E83</f>
        <v>NSE:NILAINFRA</v>
      </c>
      <c r="KN1" s="14"/>
      <c r="KO1" s="14" t="s">
        <v>1130</v>
      </c>
      <c r="KP1" s="34" t="str">
        <f>Summary!E84</f>
        <v>NSE:SVLL</v>
      </c>
      <c r="KR1" s="14"/>
      <c r="KS1" s="14" t="s">
        <v>1130</v>
      </c>
      <c r="KT1" s="34" t="str">
        <f>Summary!E85</f>
        <v>NSE:KRITIKA</v>
      </c>
      <c r="KV1" s="14"/>
      <c r="KW1" s="14" t="s">
        <v>1130</v>
      </c>
      <c r="KX1" s="34" t="str">
        <f>Summary!E86</f>
        <v>NSE:BALAMINES</v>
      </c>
      <c r="KZ1" s="14"/>
      <c r="LA1" s="14" t="s">
        <v>1130</v>
      </c>
      <c r="LB1" s="34" t="str">
        <f>Summary!E87</f>
        <v>NSE:ALANKIT</v>
      </c>
      <c r="LD1" s="14"/>
      <c r="LE1" s="14" t="s">
        <v>1130</v>
      </c>
      <c r="LF1" s="34" t="str">
        <f>Summary!E88</f>
        <v>NSE:XELPMOC</v>
      </c>
      <c r="LH1" s="14"/>
      <c r="LI1" s="14" t="s">
        <v>1130</v>
      </c>
      <c r="LJ1" s="34" t="str">
        <f>Summary!E89</f>
        <v>NSE:AARTISURF</v>
      </c>
      <c r="LL1" s="14"/>
      <c r="LM1" s="14" t="s">
        <v>1130</v>
      </c>
      <c r="LN1" s="34" t="str">
        <f>Summary!E90</f>
        <v>NSE:NDRAUTO</v>
      </c>
      <c r="LP1" s="14"/>
      <c r="LQ1" s="14" t="s">
        <v>1130</v>
      </c>
      <c r="LR1" s="34" t="str">
        <f>Summary!E91</f>
        <v>NSE:KAMDHENU</v>
      </c>
      <c r="LT1" s="14"/>
      <c r="LU1" s="14" t="s">
        <v>1130</v>
      </c>
      <c r="LV1" s="34" t="str">
        <f>Summary!E92</f>
        <v>NSE:GLOBALVECT</v>
      </c>
      <c r="LX1" s="14"/>
      <c r="LY1" s="14" t="s">
        <v>1130</v>
      </c>
      <c r="LZ1" s="34" t="str">
        <f>Summary!E93</f>
        <v>NSE:JKIL</v>
      </c>
      <c r="MB1" s="14"/>
      <c r="MC1" s="14" t="s">
        <v>1130</v>
      </c>
      <c r="MD1" s="34" t="str">
        <f>Summary!E94</f>
        <v>NSE:SPYL</v>
      </c>
      <c r="MF1" s="14"/>
      <c r="MG1" s="14" t="s">
        <v>1130</v>
      </c>
      <c r="MH1" s="34" t="str">
        <f>Summary!E95</f>
        <v>NSE:GLAND</v>
      </c>
      <c r="MJ1" s="14"/>
      <c r="MK1" s="14" t="s">
        <v>1130</v>
      </c>
      <c r="ML1" s="34" t="str">
        <f>Summary!E96</f>
        <v>NSE:SREEL</v>
      </c>
      <c r="MN1" s="14"/>
      <c r="MO1" s="14" t="s">
        <v>1130</v>
      </c>
      <c r="MP1" s="34" t="str">
        <f>Summary!E97</f>
        <v>NSE:GULFOILLUB</v>
      </c>
      <c r="MR1" s="14"/>
      <c r="MS1" s="14" t="s">
        <v>1130</v>
      </c>
      <c r="MT1" s="34" t="str">
        <f>Summary!E98</f>
        <v>NSE:COFFEEDAY</v>
      </c>
      <c r="MV1" s="14"/>
      <c r="MW1" s="14" t="s">
        <v>1130</v>
      </c>
      <c r="MX1" s="34" t="str">
        <f>Summary!E99</f>
        <v>NSE:TEAMLEASE</v>
      </c>
      <c r="MZ1" s="14"/>
      <c r="NA1" s="14" t="s">
        <v>1130</v>
      </c>
      <c r="NB1" s="34" t="str">
        <f>Summary!E100</f>
        <v>NSE:NAGAFERT</v>
      </c>
      <c r="ND1" s="14"/>
      <c r="NE1" s="14" t="s">
        <v>1130</v>
      </c>
      <c r="NF1" s="34" t="str">
        <f>Summary!E101</f>
        <v>NSE:CHAMBLFERT</v>
      </c>
      <c r="NH1" s="14"/>
      <c r="NI1" s="14" t="s">
        <v>1130</v>
      </c>
      <c r="NJ1" s="34" t="str">
        <f>Summary!E102</f>
        <v>NSE:HINDPETRO</v>
      </c>
      <c r="NL1" s="14"/>
      <c r="NM1" s="14" t="s">
        <v>1130</v>
      </c>
      <c r="NN1" s="34" t="str">
        <f>Summary!E103</f>
        <v>NSE:SAIL</v>
      </c>
      <c r="NP1" s="14"/>
      <c r="NQ1" s="14" t="s">
        <v>1130</v>
      </c>
      <c r="NR1" s="34" t="str">
        <f>Summary!E104</f>
        <v>NSE:HEROMOTOCO</v>
      </c>
      <c r="NT1" s="14"/>
      <c r="NU1" s="14" t="s">
        <v>1130</v>
      </c>
      <c r="NV1" s="34" t="str">
        <f>Summary!E105</f>
        <v>NSE:PILITA</v>
      </c>
      <c r="NX1" s="14"/>
      <c r="NY1" s="14" t="s">
        <v>1130</v>
      </c>
      <c r="NZ1" s="34" t="str">
        <f>Summary!E106</f>
        <v>NSE:GSFC</v>
      </c>
      <c r="OB1" s="14"/>
      <c r="OC1" s="14" t="s">
        <v>1130</v>
      </c>
      <c r="OD1" s="34" t="str">
        <f>Summary!E107</f>
        <v>NSE:TATACONSUM</v>
      </c>
      <c r="OF1" s="14"/>
      <c r="OG1" s="14" t="s">
        <v>1130</v>
      </c>
      <c r="OH1" s="34" t="str">
        <f>Summary!E108</f>
        <v>NSE:BBL</v>
      </c>
      <c r="OJ1" s="14"/>
      <c r="OK1" s="14" t="s">
        <v>1130</v>
      </c>
      <c r="OL1" s="34" t="str">
        <f>Summary!OO9</f>
        <v/>
      </c>
      <c r="ON1" s="14"/>
    </row>
    <row r="2" ht="12.0" customHeight="1">
      <c r="A2" s="36" t="s">
        <v>1131</v>
      </c>
      <c r="B2" s="37">
        <f>Summary!A9</f>
        <v>45286</v>
      </c>
      <c r="C2" s="38"/>
      <c r="D2" s="36"/>
      <c r="E2" s="36" t="s">
        <v>1131</v>
      </c>
      <c r="F2" s="37">
        <f>Summary!A10</f>
        <v>45286</v>
      </c>
      <c r="G2" s="39"/>
      <c r="H2" s="36"/>
      <c r="I2" s="36" t="s">
        <v>1131</v>
      </c>
      <c r="J2" s="37">
        <f>Summary!A11</f>
        <v>45286</v>
      </c>
      <c r="K2" s="39"/>
      <c r="L2" s="36"/>
      <c r="M2" s="36" t="s">
        <v>1131</v>
      </c>
      <c r="N2" s="37">
        <f>Summary!A12</f>
        <v>45286</v>
      </c>
      <c r="O2" s="39"/>
      <c r="P2" s="36"/>
      <c r="Q2" s="36" t="s">
        <v>1131</v>
      </c>
      <c r="R2" s="37">
        <f>Summary!A13</f>
        <v>45286</v>
      </c>
      <c r="S2" s="39"/>
      <c r="T2" s="36"/>
      <c r="U2" s="36" t="s">
        <v>1131</v>
      </c>
      <c r="V2" s="37">
        <f>Summary!A14</f>
        <v>45286</v>
      </c>
      <c r="W2" s="39"/>
      <c r="X2" s="36"/>
      <c r="Y2" s="36" t="s">
        <v>1131</v>
      </c>
      <c r="Z2" s="37">
        <f>Summary!A15</f>
        <v>45286</v>
      </c>
      <c r="AA2" s="39"/>
      <c r="AB2" s="36"/>
      <c r="AC2" s="36" t="s">
        <v>1131</v>
      </c>
      <c r="AD2" s="37">
        <f>Summary!A16</f>
        <v>45286</v>
      </c>
      <c r="AE2" s="39"/>
      <c r="AF2" s="36"/>
      <c r="AG2" s="36" t="s">
        <v>1131</v>
      </c>
      <c r="AH2" s="37">
        <f>Summary!A17</f>
        <v>45286</v>
      </c>
      <c r="AI2" s="39"/>
      <c r="AJ2" s="36"/>
      <c r="AK2" s="36" t="s">
        <v>1131</v>
      </c>
      <c r="AL2" s="37">
        <f>Summary!A18</f>
        <v>45286</v>
      </c>
      <c r="AM2" s="39"/>
      <c r="AN2" s="36"/>
      <c r="AO2" s="36" t="s">
        <v>1131</v>
      </c>
      <c r="AP2" s="37">
        <f>Summary!A19</f>
        <v>45286</v>
      </c>
      <c r="AQ2" s="39"/>
      <c r="AR2" s="36"/>
      <c r="AS2" s="36" t="s">
        <v>1131</v>
      </c>
      <c r="AT2" s="37">
        <f>Summary!A20</f>
        <v>45286</v>
      </c>
      <c r="AU2" s="39"/>
      <c r="AV2" s="36"/>
      <c r="AW2" s="36" t="s">
        <v>1131</v>
      </c>
      <c r="AX2" s="37">
        <f>Summary!A21</f>
        <v>45286</v>
      </c>
      <c r="AY2" s="39"/>
      <c r="AZ2" s="36"/>
      <c r="BA2" s="36" t="s">
        <v>1131</v>
      </c>
      <c r="BB2" s="37">
        <f>Summary!A22</f>
        <v>45286</v>
      </c>
      <c r="BC2" s="39"/>
      <c r="BD2" s="36"/>
      <c r="BE2" s="36" t="s">
        <v>1131</v>
      </c>
      <c r="BF2" s="37">
        <f>Summary!A23</f>
        <v>45286</v>
      </c>
      <c r="BG2" s="39"/>
      <c r="BH2" s="36"/>
      <c r="BI2" s="36" t="s">
        <v>1131</v>
      </c>
      <c r="BJ2" s="37">
        <f>Summary!A24</f>
        <v>45286</v>
      </c>
      <c r="BK2" s="39"/>
      <c r="BL2" s="36"/>
      <c r="BM2" s="36" t="s">
        <v>1131</v>
      </c>
      <c r="BN2" s="37">
        <f>Summary!A25</f>
        <v>45286</v>
      </c>
      <c r="BO2" s="39"/>
      <c r="BP2" s="36"/>
      <c r="BQ2" s="36" t="s">
        <v>1131</v>
      </c>
      <c r="BR2" s="37">
        <f>Summary!A26</f>
        <v>45286</v>
      </c>
      <c r="BS2" s="39"/>
      <c r="BT2" s="36"/>
      <c r="BU2" s="36" t="s">
        <v>1131</v>
      </c>
      <c r="BV2" s="37">
        <f>Summary!A27</f>
        <v>45286</v>
      </c>
      <c r="BW2" s="39"/>
      <c r="BX2" s="36"/>
      <c r="BY2" s="36" t="s">
        <v>1131</v>
      </c>
      <c r="BZ2" s="37">
        <f>Summary!A28</f>
        <v>45286</v>
      </c>
      <c r="CA2" s="39"/>
      <c r="CB2" s="36"/>
      <c r="CC2" s="36" t="s">
        <v>1131</v>
      </c>
      <c r="CD2" s="37">
        <f>Summary!A29</f>
        <v>45286</v>
      </c>
      <c r="CE2" s="39"/>
      <c r="CF2" s="36"/>
      <c r="CG2" s="36" t="s">
        <v>1131</v>
      </c>
      <c r="CH2" s="37">
        <f>Summary!A30</f>
        <v>45286</v>
      </c>
      <c r="CI2" s="39"/>
      <c r="CJ2" s="36"/>
      <c r="CK2" s="36" t="s">
        <v>1131</v>
      </c>
      <c r="CL2" s="37">
        <f>Summary!A31</f>
        <v>45286</v>
      </c>
      <c r="CM2" s="39"/>
      <c r="CN2" s="36"/>
      <c r="CO2" s="36" t="s">
        <v>1131</v>
      </c>
      <c r="CP2" s="37">
        <f>Summary!A32</f>
        <v>45286</v>
      </c>
      <c r="CQ2" s="39"/>
      <c r="CR2" s="36"/>
      <c r="CS2" s="36" t="s">
        <v>1131</v>
      </c>
      <c r="CT2" s="37">
        <f>Summary!A33</f>
        <v>45286</v>
      </c>
      <c r="CU2" s="39"/>
      <c r="CV2" s="36"/>
      <c r="CW2" s="36" t="s">
        <v>1131</v>
      </c>
      <c r="CX2" s="37">
        <f>Summary!A34</f>
        <v>45286</v>
      </c>
      <c r="CY2" s="39"/>
      <c r="CZ2" s="36"/>
      <c r="DA2" s="36" t="s">
        <v>1131</v>
      </c>
      <c r="DB2" s="37">
        <f>Summary!A35</f>
        <v>45286</v>
      </c>
      <c r="DC2" s="39"/>
      <c r="DD2" s="36"/>
      <c r="DE2" s="36" t="s">
        <v>1131</v>
      </c>
      <c r="DF2" s="37">
        <f>Summary!A36</f>
        <v>45286</v>
      </c>
      <c r="DG2" s="39"/>
      <c r="DH2" s="36"/>
      <c r="DI2" s="36" t="s">
        <v>1131</v>
      </c>
      <c r="DJ2" s="37">
        <f>Summary!A37</f>
        <v>45286</v>
      </c>
      <c r="DK2" s="39"/>
      <c r="DL2" s="36"/>
      <c r="DM2" s="36" t="s">
        <v>1131</v>
      </c>
      <c r="DN2" s="37">
        <f>Summary!A38</f>
        <v>45286</v>
      </c>
      <c r="DO2" s="39"/>
      <c r="DP2" s="36"/>
      <c r="DQ2" s="36" t="s">
        <v>1131</v>
      </c>
      <c r="DR2" s="37">
        <f>Summary!A39</f>
        <v>45286</v>
      </c>
      <c r="DS2" s="39"/>
      <c r="DT2" s="36"/>
      <c r="DU2" s="36" t="s">
        <v>1131</v>
      </c>
      <c r="DV2" s="37">
        <f>Summary!A40</f>
        <v>45286</v>
      </c>
      <c r="DW2" s="39"/>
      <c r="DX2" s="36"/>
      <c r="DY2" s="36" t="s">
        <v>1131</v>
      </c>
      <c r="DZ2" s="37">
        <f>Summary!A41</f>
        <v>45286</v>
      </c>
      <c r="EA2" s="39"/>
      <c r="EB2" s="36"/>
      <c r="EC2" s="36" t="s">
        <v>1131</v>
      </c>
      <c r="ED2" s="37">
        <f>Summary!A42</f>
        <v>45286</v>
      </c>
      <c r="EE2" s="39"/>
      <c r="EF2" s="36"/>
      <c r="EG2" s="36" t="s">
        <v>1131</v>
      </c>
      <c r="EH2" s="37">
        <f>Summary!A43</f>
        <v>45286</v>
      </c>
      <c r="EI2" s="39"/>
      <c r="EJ2" s="36"/>
      <c r="EK2" s="36" t="s">
        <v>1131</v>
      </c>
      <c r="EL2" s="37">
        <f>Summary!A44</f>
        <v>45286</v>
      </c>
      <c r="EM2" s="39"/>
      <c r="EN2" s="36"/>
      <c r="EO2" s="36" t="s">
        <v>1131</v>
      </c>
      <c r="EP2" s="37">
        <f>Summary!A45</f>
        <v>45286</v>
      </c>
      <c r="EQ2" s="39"/>
      <c r="ER2" s="36"/>
      <c r="ES2" s="36" t="s">
        <v>1131</v>
      </c>
      <c r="ET2" s="37">
        <f>Summary!A46</f>
        <v>45286</v>
      </c>
      <c r="EU2" s="39"/>
      <c r="EV2" s="36"/>
      <c r="EW2" s="36" t="s">
        <v>1131</v>
      </c>
      <c r="EX2" s="37">
        <f>Summary!A47</f>
        <v>45286</v>
      </c>
      <c r="EY2" s="39"/>
      <c r="EZ2" s="36"/>
      <c r="FA2" s="36" t="s">
        <v>1131</v>
      </c>
      <c r="FB2" s="37">
        <f>Summary!A48</f>
        <v>45286</v>
      </c>
      <c r="FC2" s="39"/>
      <c r="FD2" s="36"/>
      <c r="FE2" s="36" t="s">
        <v>1131</v>
      </c>
      <c r="FF2" s="37">
        <f>Summary!A49</f>
        <v>45286</v>
      </c>
      <c r="FG2" s="39"/>
      <c r="FH2" s="36"/>
      <c r="FI2" s="36" t="s">
        <v>1131</v>
      </c>
      <c r="FJ2" s="37">
        <f>Summary!A50</f>
        <v>45286</v>
      </c>
      <c r="FK2" s="39"/>
      <c r="FL2" s="36"/>
      <c r="FM2" s="36" t="s">
        <v>1131</v>
      </c>
      <c r="FN2" s="37">
        <f>Summary!A51</f>
        <v>45286</v>
      </c>
      <c r="FO2" s="39"/>
      <c r="FP2" s="36"/>
      <c r="FQ2" s="36" t="s">
        <v>1131</v>
      </c>
      <c r="FR2" s="37">
        <f>Summary!A52</f>
        <v>45286</v>
      </c>
      <c r="FS2" s="39"/>
      <c r="FT2" s="36"/>
      <c r="FU2" s="36" t="s">
        <v>1131</v>
      </c>
      <c r="FV2" s="37">
        <f>Summary!A53</f>
        <v>45286</v>
      </c>
      <c r="FW2" s="39"/>
      <c r="FX2" s="36"/>
      <c r="FY2" s="36" t="s">
        <v>1131</v>
      </c>
      <c r="FZ2" s="37">
        <f>Summary!A54</f>
        <v>45286</v>
      </c>
      <c r="GA2" s="39"/>
      <c r="GB2" s="36"/>
      <c r="GC2" s="36" t="s">
        <v>1131</v>
      </c>
      <c r="GD2" s="37">
        <f>Summary!A55</f>
        <v>45286</v>
      </c>
      <c r="GE2" s="39"/>
      <c r="GF2" s="36"/>
      <c r="GG2" s="36" t="s">
        <v>1131</v>
      </c>
      <c r="GH2" s="37">
        <f>Summary!A56</f>
        <v>45286</v>
      </c>
      <c r="GI2" s="39"/>
      <c r="GJ2" s="36"/>
      <c r="GK2" s="36" t="s">
        <v>1131</v>
      </c>
      <c r="GL2" s="37">
        <f>Summary!A57</f>
        <v>45286</v>
      </c>
      <c r="GM2" s="39"/>
      <c r="GN2" s="36"/>
      <c r="GO2" s="36" t="s">
        <v>1131</v>
      </c>
      <c r="GP2" s="37">
        <f>Summary!A58</f>
        <v>45286</v>
      </c>
      <c r="GQ2" s="39"/>
      <c r="GR2" s="36"/>
      <c r="GS2" s="36" t="s">
        <v>1131</v>
      </c>
      <c r="GT2" s="37">
        <f>Summary!A59</f>
        <v>45286</v>
      </c>
      <c r="GU2" s="39"/>
      <c r="GV2" s="36"/>
      <c r="GW2" s="36" t="s">
        <v>1131</v>
      </c>
      <c r="GX2" s="37">
        <f>Summary!A60</f>
        <v>45287</v>
      </c>
      <c r="GY2" s="39"/>
      <c r="GZ2" s="36"/>
      <c r="HA2" s="36" t="s">
        <v>1131</v>
      </c>
      <c r="HB2" s="37">
        <f>Summary!A61</f>
        <v>45287</v>
      </c>
      <c r="HC2" s="39"/>
      <c r="HD2" s="36"/>
      <c r="HE2" s="40" t="s">
        <v>1131</v>
      </c>
      <c r="HF2" s="37">
        <f>Summary!A62</f>
        <v>45287</v>
      </c>
      <c r="HG2" s="39"/>
      <c r="HH2" s="36"/>
      <c r="HI2" s="36" t="s">
        <v>1131</v>
      </c>
      <c r="HJ2" s="37">
        <f>Summary!A63</f>
        <v>45287</v>
      </c>
      <c r="HK2" s="39"/>
      <c r="HL2" s="36"/>
      <c r="HM2" s="36" t="s">
        <v>1131</v>
      </c>
      <c r="HN2" s="37">
        <f>Summary!A64</f>
        <v>45287</v>
      </c>
      <c r="HO2" s="39"/>
      <c r="HP2" s="36"/>
      <c r="HQ2" s="36" t="s">
        <v>1131</v>
      </c>
      <c r="HR2" s="37">
        <f>Summary!A65</f>
        <v>45287</v>
      </c>
      <c r="HS2" s="39"/>
      <c r="HT2" s="36"/>
      <c r="HU2" s="36" t="s">
        <v>1131</v>
      </c>
      <c r="HV2" s="37">
        <f>Summary!A66</f>
        <v>45287</v>
      </c>
      <c r="HW2" s="39"/>
      <c r="HX2" s="36"/>
      <c r="HY2" s="36" t="s">
        <v>1131</v>
      </c>
      <c r="HZ2" s="37">
        <f>Summary!A67</f>
        <v>45287</v>
      </c>
      <c r="IA2" s="39"/>
      <c r="IB2" s="36"/>
      <c r="IC2" s="36" t="s">
        <v>1131</v>
      </c>
      <c r="ID2" s="37">
        <f>Summary!A68</f>
        <v>45287</v>
      </c>
      <c r="IE2" s="39"/>
      <c r="IF2" s="36"/>
      <c r="IG2" s="36" t="s">
        <v>1131</v>
      </c>
      <c r="IH2" s="37">
        <f>Summary!A69</f>
        <v>45287</v>
      </c>
      <c r="II2" s="39"/>
      <c r="IJ2" s="36"/>
      <c r="IK2" s="36" t="s">
        <v>1131</v>
      </c>
      <c r="IL2" s="37">
        <f>Summary!A70</f>
        <v>45287</v>
      </c>
      <c r="IM2" s="39"/>
      <c r="IN2" s="36"/>
      <c r="IO2" s="36" t="s">
        <v>1131</v>
      </c>
      <c r="IP2" s="37">
        <f>Summary!A71</f>
        <v>45287</v>
      </c>
      <c r="IQ2" s="39"/>
      <c r="IR2" s="36"/>
      <c r="IS2" s="36" t="s">
        <v>1131</v>
      </c>
      <c r="IT2" s="37">
        <f>Summary!A72</f>
        <v>45287</v>
      </c>
      <c r="IU2" s="39"/>
      <c r="IV2" s="36"/>
      <c r="IW2" s="36" t="s">
        <v>1131</v>
      </c>
      <c r="IX2" s="37">
        <f>Summary!A73</f>
        <v>45287</v>
      </c>
      <c r="IY2" s="39"/>
      <c r="IZ2" s="36"/>
      <c r="JA2" s="36" t="s">
        <v>1131</v>
      </c>
      <c r="JB2" s="37">
        <f>Summary!A74</f>
        <v>45287</v>
      </c>
      <c r="JC2" s="39"/>
      <c r="JD2" s="36"/>
      <c r="JE2" s="36" t="s">
        <v>1131</v>
      </c>
      <c r="JF2" s="37">
        <f>Summary!A75</f>
        <v>45287</v>
      </c>
      <c r="JG2" s="39"/>
      <c r="JH2" s="36"/>
      <c r="JI2" s="36" t="s">
        <v>1131</v>
      </c>
      <c r="JJ2" s="37">
        <f>Summary!A76</f>
        <v>45287</v>
      </c>
      <c r="JK2" s="39"/>
      <c r="JL2" s="36"/>
      <c r="JM2" s="36" t="s">
        <v>1131</v>
      </c>
      <c r="JN2" s="37">
        <f>Summary!A77</f>
        <v>45287</v>
      </c>
      <c r="JO2" s="39"/>
      <c r="JP2" s="36"/>
      <c r="JQ2" s="36" t="s">
        <v>1131</v>
      </c>
      <c r="JR2" s="37">
        <f>Summary!A78</f>
        <v>45287</v>
      </c>
      <c r="JS2" s="39"/>
      <c r="JT2" s="36"/>
      <c r="JU2" s="36" t="s">
        <v>1131</v>
      </c>
      <c r="JV2" s="37">
        <f>Summary!A79</f>
        <v>45287</v>
      </c>
      <c r="JW2" s="39"/>
      <c r="JX2" s="36"/>
      <c r="JY2" s="36" t="s">
        <v>1131</v>
      </c>
      <c r="JZ2" s="37">
        <f>Summary!A80</f>
        <v>45287</v>
      </c>
      <c r="KA2" s="39"/>
      <c r="KB2" s="36"/>
      <c r="KC2" s="36" t="s">
        <v>1131</v>
      </c>
      <c r="KD2" s="37">
        <f>Summary!A81</f>
        <v>45287</v>
      </c>
      <c r="KE2" s="39"/>
      <c r="KF2" s="36"/>
      <c r="KG2" s="36" t="s">
        <v>1131</v>
      </c>
      <c r="KH2" s="37">
        <f>Summary!A82</f>
        <v>45287</v>
      </c>
      <c r="KI2" s="39"/>
      <c r="KJ2" s="36"/>
      <c r="KK2" s="36" t="s">
        <v>1131</v>
      </c>
      <c r="KL2" s="37">
        <f>Summary!A83</f>
        <v>45287</v>
      </c>
      <c r="KM2" s="39"/>
      <c r="KN2" s="36"/>
      <c r="KO2" s="36" t="s">
        <v>1131</v>
      </c>
      <c r="KP2" s="37">
        <f>Summary!A84</f>
        <v>45287</v>
      </c>
      <c r="KQ2" s="39"/>
      <c r="KR2" s="36"/>
      <c r="KS2" s="36" t="s">
        <v>1131</v>
      </c>
      <c r="KT2" s="37">
        <f>Summary!A85</f>
        <v>45287</v>
      </c>
      <c r="KU2" s="39"/>
      <c r="KV2" s="36"/>
      <c r="KW2" s="36" t="s">
        <v>1131</v>
      </c>
      <c r="KX2" s="37">
        <f>Summary!A86</f>
        <v>45287</v>
      </c>
      <c r="KY2" s="39"/>
      <c r="KZ2" s="36"/>
      <c r="LA2" s="36" t="s">
        <v>1131</v>
      </c>
      <c r="LB2" s="37">
        <f>Summary!A87</f>
        <v>45287</v>
      </c>
      <c r="LC2" s="39"/>
      <c r="LD2" s="36"/>
      <c r="LE2" s="36" t="s">
        <v>1131</v>
      </c>
      <c r="LF2" s="37">
        <f>Summary!A88</f>
        <v>45287</v>
      </c>
      <c r="LG2" s="39"/>
      <c r="LH2" s="36"/>
      <c r="LI2" s="36" t="s">
        <v>1131</v>
      </c>
      <c r="LJ2" s="37">
        <f>Summary!A89</f>
        <v>45287</v>
      </c>
      <c r="LK2" s="39"/>
      <c r="LL2" s="36"/>
      <c r="LM2" s="36" t="s">
        <v>1131</v>
      </c>
      <c r="LN2" s="37">
        <f>Summary!A90</f>
        <v>45287</v>
      </c>
      <c r="LO2" s="39"/>
      <c r="LP2" s="36"/>
      <c r="LQ2" s="36" t="s">
        <v>1131</v>
      </c>
      <c r="LR2" s="37">
        <f>Summary!A91</f>
        <v>45287</v>
      </c>
      <c r="LS2" s="39"/>
      <c r="LT2" s="36"/>
      <c r="LU2" s="36" t="s">
        <v>1131</v>
      </c>
      <c r="LV2" s="37">
        <f>Summary!A92</f>
        <v>45287</v>
      </c>
      <c r="LW2" s="39"/>
      <c r="LX2" s="36"/>
      <c r="LY2" s="36" t="s">
        <v>1131</v>
      </c>
      <c r="LZ2" s="37">
        <f>Summary!A93</f>
        <v>45287</v>
      </c>
      <c r="MA2" s="39"/>
      <c r="MB2" s="36"/>
      <c r="MC2" s="36" t="s">
        <v>1131</v>
      </c>
      <c r="MD2" s="37">
        <f>Summary!A94</f>
        <v>45287</v>
      </c>
      <c r="ME2" s="39"/>
      <c r="MF2" s="36"/>
      <c r="MG2" s="36" t="s">
        <v>1131</v>
      </c>
      <c r="MH2" s="37">
        <f>Summary!A95</f>
        <v>45287</v>
      </c>
      <c r="MI2" s="39"/>
      <c r="MJ2" s="36"/>
      <c r="MK2" s="36" t="s">
        <v>1131</v>
      </c>
      <c r="ML2" s="37">
        <f>Summary!A96</f>
        <v>45287</v>
      </c>
      <c r="MM2" s="39"/>
      <c r="MN2" s="36"/>
      <c r="MO2" s="36" t="s">
        <v>1131</v>
      </c>
      <c r="MP2" s="37">
        <f>Summary!A97</f>
        <v>45287</v>
      </c>
      <c r="MQ2" s="39"/>
      <c r="MR2" s="36"/>
      <c r="MS2" s="36" t="s">
        <v>1131</v>
      </c>
      <c r="MT2" s="37">
        <f>Summary!A98</f>
        <v>45287</v>
      </c>
      <c r="MU2" s="39"/>
      <c r="MV2" s="36"/>
      <c r="MW2" s="36" t="s">
        <v>1131</v>
      </c>
      <c r="MX2" s="37">
        <f>Summary!A99</f>
        <v>45287</v>
      </c>
      <c r="MY2" s="39"/>
      <c r="MZ2" s="36"/>
      <c r="NA2" s="36" t="s">
        <v>1131</v>
      </c>
      <c r="NB2" s="37">
        <f>Summary!A100</f>
        <v>45287</v>
      </c>
      <c r="NC2" s="39"/>
      <c r="ND2" s="36"/>
      <c r="NE2" s="36" t="s">
        <v>1131</v>
      </c>
      <c r="NF2" s="37">
        <f>Summary!A101</f>
        <v>45288</v>
      </c>
      <c r="NG2" s="39"/>
      <c r="NH2" s="36"/>
      <c r="NI2" s="36" t="s">
        <v>1131</v>
      </c>
      <c r="NJ2" s="37">
        <f>Summary!A102</f>
        <v>45288</v>
      </c>
      <c r="NK2" s="39"/>
      <c r="NL2" s="36"/>
      <c r="NM2" s="36" t="s">
        <v>1131</v>
      </c>
      <c r="NN2" s="37">
        <f>Summary!A103</f>
        <v>45288</v>
      </c>
      <c r="NO2" s="39"/>
      <c r="NP2" s="36"/>
      <c r="NQ2" s="36" t="s">
        <v>1131</v>
      </c>
      <c r="NR2" s="37">
        <f>Summary!A104</f>
        <v>45288</v>
      </c>
      <c r="NS2" s="39"/>
      <c r="NT2" s="36"/>
      <c r="NU2" s="36" t="s">
        <v>1131</v>
      </c>
      <c r="NV2" s="37">
        <f>Summary!A105</f>
        <v>45288</v>
      </c>
      <c r="NW2" s="39"/>
      <c r="NX2" s="36"/>
      <c r="NY2" s="36" t="s">
        <v>1131</v>
      </c>
      <c r="NZ2" s="37">
        <f>Summary!A106</f>
        <v>45288</v>
      </c>
      <c r="OA2" s="39"/>
      <c r="OB2" s="36"/>
      <c r="OC2" s="36" t="s">
        <v>1131</v>
      </c>
      <c r="OD2" s="37">
        <f>Summary!A107</f>
        <v>45288</v>
      </c>
      <c r="OE2" s="39"/>
      <c r="OF2" s="36"/>
      <c r="OG2" s="36" t="s">
        <v>1131</v>
      </c>
      <c r="OH2" s="37">
        <f>Summary!A108</f>
        <v>45288</v>
      </c>
      <c r="OI2" s="39"/>
      <c r="OJ2" s="36"/>
      <c r="OK2" s="36" t="s">
        <v>1131</v>
      </c>
      <c r="OL2" s="37" t="str">
        <f>Summary!OM9</f>
        <v/>
      </c>
      <c r="OM2" s="39"/>
      <c r="ON2" s="36"/>
    </row>
    <row r="3" ht="12.0" customHeight="1">
      <c r="A3" s="36" t="s">
        <v>1132</v>
      </c>
      <c r="B3" s="37">
        <f>EDATE(B2,2)</f>
        <v>45348</v>
      </c>
      <c r="C3" s="39"/>
      <c r="D3" s="36"/>
      <c r="E3" s="36" t="s">
        <v>1132</v>
      </c>
      <c r="F3" s="37">
        <f>EDATE(F2,2)</f>
        <v>45348</v>
      </c>
      <c r="G3" s="39"/>
      <c r="H3" s="36"/>
      <c r="I3" s="36" t="s">
        <v>1132</v>
      </c>
      <c r="J3" s="37">
        <f>EDATE(J2,2)</f>
        <v>45348</v>
      </c>
      <c r="K3" s="39"/>
      <c r="L3" s="36"/>
      <c r="M3" s="36" t="s">
        <v>1132</v>
      </c>
      <c r="N3" s="37">
        <f>EDATE(N2,2)</f>
        <v>45348</v>
      </c>
      <c r="O3" s="39"/>
      <c r="P3" s="36"/>
      <c r="Q3" s="36" t="s">
        <v>1132</v>
      </c>
      <c r="R3" s="37">
        <f>EDATE(R2,2)</f>
        <v>45348</v>
      </c>
      <c r="S3" s="39"/>
      <c r="T3" s="36"/>
      <c r="U3" s="36" t="s">
        <v>1132</v>
      </c>
      <c r="V3" s="37">
        <f>EDATE(V2,2)</f>
        <v>45348</v>
      </c>
      <c r="W3" s="39"/>
      <c r="X3" s="36"/>
      <c r="Y3" s="36" t="s">
        <v>1132</v>
      </c>
      <c r="Z3" s="37">
        <f>EDATE(Z2,2)</f>
        <v>45348</v>
      </c>
      <c r="AA3" s="39"/>
      <c r="AB3" s="36"/>
      <c r="AC3" s="36" t="s">
        <v>1132</v>
      </c>
      <c r="AD3" s="37">
        <f>EDATE(AD2,2)</f>
        <v>45348</v>
      </c>
      <c r="AE3" s="39"/>
      <c r="AF3" s="36"/>
      <c r="AG3" s="36" t="s">
        <v>1132</v>
      </c>
      <c r="AH3" s="37">
        <f>EDATE(AH2,2)</f>
        <v>45348</v>
      </c>
      <c r="AI3" s="39"/>
      <c r="AJ3" s="36"/>
      <c r="AK3" s="36" t="s">
        <v>1132</v>
      </c>
      <c r="AL3" s="37">
        <f>EDATE(AL2,2)</f>
        <v>45348</v>
      </c>
      <c r="AM3" s="39"/>
      <c r="AN3" s="36"/>
      <c r="AO3" s="36" t="s">
        <v>1132</v>
      </c>
      <c r="AP3" s="37">
        <f>EDATE(AP2,2)</f>
        <v>45348</v>
      </c>
      <c r="AQ3" s="39"/>
      <c r="AR3" s="36"/>
      <c r="AS3" s="36" t="s">
        <v>1132</v>
      </c>
      <c r="AT3" s="37">
        <f>EDATE(AT2,2)</f>
        <v>45348</v>
      </c>
      <c r="AU3" s="39"/>
      <c r="AV3" s="36"/>
      <c r="AW3" s="36" t="s">
        <v>1132</v>
      </c>
      <c r="AX3" s="37">
        <f>EDATE(AX2,2)</f>
        <v>45348</v>
      </c>
      <c r="AY3" s="39"/>
      <c r="AZ3" s="36"/>
      <c r="BA3" s="36" t="s">
        <v>1132</v>
      </c>
      <c r="BB3" s="37">
        <f>EDATE(BB2,2)</f>
        <v>45348</v>
      </c>
      <c r="BC3" s="39"/>
      <c r="BD3" s="36"/>
      <c r="BE3" s="36" t="s">
        <v>1132</v>
      </c>
      <c r="BF3" s="37">
        <f>EDATE(BF2,2)</f>
        <v>45348</v>
      </c>
      <c r="BG3" s="39"/>
      <c r="BH3" s="36"/>
      <c r="BI3" s="36" t="s">
        <v>1132</v>
      </c>
      <c r="BJ3" s="37">
        <f>EDATE(BJ2,2)</f>
        <v>45348</v>
      </c>
      <c r="BK3" s="39"/>
      <c r="BL3" s="36"/>
      <c r="BM3" s="36" t="s">
        <v>1132</v>
      </c>
      <c r="BN3" s="37">
        <f>EDATE(BN2,2)</f>
        <v>45348</v>
      </c>
      <c r="BO3" s="39"/>
      <c r="BP3" s="36"/>
      <c r="BQ3" s="36" t="s">
        <v>1132</v>
      </c>
      <c r="BR3" s="37">
        <f>EDATE(BR2,2)</f>
        <v>45348</v>
      </c>
      <c r="BS3" s="39"/>
      <c r="BT3" s="36"/>
      <c r="BU3" s="36" t="s">
        <v>1132</v>
      </c>
      <c r="BV3" s="37">
        <f>EDATE(BV2,2)</f>
        <v>45348</v>
      </c>
      <c r="BW3" s="39"/>
      <c r="BX3" s="36"/>
      <c r="BY3" s="36" t="s">
        <v>1132</v>
      </c>
      <c r="BZ3" s="37">
        <f>EDATE(BZ2,2)</f>
        <v>45348</v>
      </c>
      <c r="CA3" s="39"/>
      <c r="CB3" s="36"/>
      <c r="CC3" s="36" t="s">
        <v>1132</v>
      </c>
      <c r="CD3" s="37">
        <f>EDATE(CD2,2)</f>
        <v>45348</v>
      </c>
      <c r="CE3" s="39"/>
      <c r="CF3" s="36"/>
      <c r="CG3" s="36" t="s">
        <v>1132</v>
      </c>
      <c r="CH3" s="37">
        <f>EDATE(CH2,2)</f>
        <v>45348</v>
      </c>
      <c r="CI3" s="39"/>
      <c r="CJ3" s="36"/>
      <c r="CK3" s="36" t="s">
        <v>1132</v>
      </c>
      <c r="CL3" s="37">
        <f>EDATE(CL2,2)</f>
        <v>45348</v>
      </c>
      <c r="CM3" s="39"/>
      <c r="CN3" s="36"/>
      <c r="CO3" s="36" t="s">
        <v>1132</v>
      </c>
      <c r="CP3" s="37">
        <f>EDATE(CP2,2)</f>
        <v>45348</v>
      </c>
      <c r="CQ3" s="39"/>
      <c r="CR3" s="36"/>
      <c r="CS3" s="36" t="s">
        <v>1132</v>
      </c>
      <c r="CT3" s="37">
        <f>EDATE(CT2,2)</f>
        <v>45348</v>
      </c>
      <c r="CU3" s="39"/>
      <c r="CV3" s="36"/>
      <c r="CW3" s="36" t="s">
        <v>1132</v>
      </c>
      <c r="CX3" s="37">
        <f>EDATE(CX2,2)</f>
        <v>45348</v>
      </c>
      <c r="CY3" s="39"/>
      <c r="CZ3" s="36"/>
      <c r="DA3" s="36" t="s">
        <v>1132</v>
      </c>
      <c r="DB3" s="37">
        <f>EDATE(DB2,2)</f>
        <v>45348</v>
      </c>
      <c r="DC3" s="39"/>
      <c r="DD3" s="36"/>
      <c r="DE3" s="36" t="s">
        <v>1132</v>
      </c>
      <c r="DF3" s="37">
        <f>EDATE(DF2,2)</f>
        <v>45348</v>
      </c>
      <c r="DG3" s="39"/>
      <c r="DH3" s="36"/>
      <c r="DI3" s="36" t="s">
        <v>1132</v>
      </c>
      <c r="DJ3" s="37">
        <f>EDATE(DJ2,2)</f>
        <v>45348</v>
      </c>
      <c r="DK3" s="39"/>
      <c r="DL3" s="36"/>
      <c r="DM3" s="36" t="s">
        <v>1132</v>
      </c>
      <c r="DN3" s="37">
        <f>EDATE(DN2,2)</f>
        <v>45348</v>
      </c>
      <c r="DO3" s="39"/>
      <c r="DP3" s="36"/>
      <c r="DQ3" s="36" t="s">
        <v>1132</v>
      </c>
      <c r="DR3" s="37">
        <f>EDATE(DR2,2)</f>
        <v>45348</v>
      </c>
      <c r="DS3" s="39"/>
      <c r="DT3" s="36"/>
      <c r="DU3" s="36" t="s">
        <v>1132</v>
      </c>
      <c r="DV3" s="37">
        <f>EDATE(DV2,2)</f>
        <v>45348</v>
      </c>
      <c r="DW3" s="39"/>
      <c r="DX3" s="36"/>
      <c r="DY3" s="36" t="s">
        <v>1132</v>
      </c>
      <c r="DZ3" s="37">
        <f>EDATE(DZ2,2)</f>
        <v>45348</v>
      </c>
      <c r="EA3" s="39"/>
      <c r="EB3" s="36"/>
      <c r="EC3" s="36" t="s">
        <v>1132</v>
      </c>
      <c r="ED3" s="37">
        <f>EDATE(ED2,2)</f>
        <v>45348</v>
      </c>
      <c r="EE3" s="39"/>
      <c r="EF3" s="36"/>
      <c r="EG3" s="36" t="s">
        <v>1132</v>
      </c>
      <c r="EH3" s="37">
        <f>EDATE(EH2,2)</f>
        <v>45348</v>
      </c>
      <c r="EI3" s="39"/>
      <c r="EJ3" s="36"/>
      <c r="EK3" s="36" t="s">
        <v>1132</v>
      </c>
      <c r="EL3" s="37">
        <f>EDATE(EL2,2)</f>
        <v>45348</v>
      </c>
      <c r="EM3" s="39"/>
      <c r="EN3" s="36"/>
      <c r="EO3" s="36" t="s">
        <v>1132</v>
      </c>
      <c r="EP3" s="37">
        <f>EDATE(EP2,2)</f>
        <v>45348</v>
      </c>
      <c r="EQ3" s="39"/>
      <c r="ER3" s="36"/>
      <c r="ES3" s="36" t="s">
        <v>1132</v>
      </c>
      <c r="ET3" s="37">
        <f>EDATE(ET2,2)</f>
        <v>45348</v>
      </c>
      <c r="EU3" s="39"/>
      <c r="EV3" s="36"/>
      <c r="EW3" s="36" t="s">
        <v>1132</v>
      </c>
      <c r="EX3" s="37">
        <f>EDATE(EX2,2)</f>
        <v>45348</v>
      </c>
      <c r="EY3" s="39"/>
      <c r="EZ3" s="36"/>
      <c r="FA3" s="36" t="s">
        <v>1132</v>
      </c>
      <c r="FB3" s="37">
        <f>EDATE(FB2,2)</f>
        <v>45348</v>
      </c>
      <c r="FC3" s="39"/>
      <c r="FD3" s="36"/>
      <c r="FE3" s="36" t="s">
        <v>1132</v>
      </c>
      <c r="FF3" s="37">
        <f>EDATE(FF2,2)</f>
        <v>45348</v>
      </c>
      <c r="FG3" s="39"/>
      <c r="FH3" s="36"/>
      <c r="FI3" s="36" t="s">
        <v>1132</v>
      </c>
      <c r="FJ3" s="37">
        <f>EDATE(FJ2,2)</f>
        <v>45348</v>
      </c>
      <c r="FK3" s="39"/>
      <c r="FL3" s="36"/>
      <c r="FM3" s="36" t="s">
        <v>1132</v>
      </c>
      <c r="FN3" s="37">
        <f>EDATE(FN2,2)</f>
        <v>45348</v>
      </c>
      <c r="FO3" s="39"/>
      <c r="FP3" s="36"/>
      <c r="FQ3" s="36" t="s">
        <v>1132</v>
      </c>
      <c r="FR3" s="37">
        <f>EDATE(FR2,2)</f>
        <v>45348</v>
      </c>
      <c r="FS3" s="39"/>
      <c r="FT3" s="36"/>
      <c r="FU3" s="36" t="s">
        <v>1132</v>
      </c>
      <c r="FV3" s="37">
        <f>EDATE(FV2,2)</f>
        <v>45348</v>
      </c>
      <c r="FW3" s="39"/>
      <c r="FX3" s="36"/>
      <c r="FY3" s="36" t="s">
        <v>1132</v>
      </c>
      <c r="FZ3" s="37">
        <f>EDATE(FZ2,2)</f>
        <v>45348</v>
      </c>
      <c r="GA3" s="39"/>
      <c r="GB3" s="36"/>
      <c r="GC3" s="36" t="s">
        <v>1132</v>
      </c>
      <c r="GD3" s="37">
        <f>EDATE(GD2,2)</f>
        <v>45348</v>
      </c>
      <c r="GE3" s="39"/>
      <c r="GF3" s="36"/>
      <c r="GG3" s="36" t="s">
        <v>1132</v>
      </c>
      <c r="GH3" s="37">
        <f>EDATE(GH2,2)</f>
        <v>45348</v>
      </c>
      <c r="GI3" s="39"/>
      <c r="GJ3" s="36"/>
      <c r="GK3" s="36" t="s">
        <v>1132</v>
      </c>
      <c r="GL3" s="37">
        <f>EDATE(GL2,2)</f>
        <v>45348</v>
      </c>
      <c r="GM3" s="39"/>
      <c r="GN3" s="36"/>
      <c r="GO3" s="36" t="s">
        <v>1132</v>
      </c>
      <c r="GP3" s="37">
        <f>EDATE(GP2,2)</f>
        <v>45348</v>
      </c>
      <c r="GQ3" s="39"/>
      <c r="GR3" s="36"/>
      <c r="GS3" s="36" t="s">
        <v>1132</v>
      </c>
      <c r="GT3" s="37">
        <f>EDATE(GT2,2)</f>
        <v>45348</v>
      </c>
      <c r="GU3" s="39"/>
      <c r="GV3" s="36"/>
      <c r="GW3" s="36" t="s">
        <v>1132</v>
      </c>
      <c r="GX3" s="37">
        <f>EDATE(GX2,2)</f>
        <v>45349</v>
      </c>
      <c r="GY3" s="39"/>
      <c r="GZ3" s="36"/>
      <c r="HA3" s="36" t="s">
        <v>1132</v>
      </c>
      <c r="HB3" s="37">
        <f>EDATE(HB2,2)</f>
        <v>45349</v>
      </c>
      <c r="HC3" s="39"/>
      <c r="HD3" s="36"/>
      <c r="HE3" s="40" t="s">
        <v>1132</v>
      </c>
      <c r="HF3" s="37">
        <f>EDATE(HF2,2)</f>
        <v>45349</v>
      </c>
      <c r="HG3" s="39"/>
      <c r="HH3" s="36"/>
      <c r="HI3" s="36" t="s">
        <v>1132</v>
      </c>
      <c r="HJ3" s="37">
        <f>EDATE(HJ2,2)</f>
        <v>45349</v>
      </c>
      <c r="HK3" s="39"/>
      <c r="HL3" s="36"/>
      <c r="HM3" s="36" t="s">
        <v>1132</v>
      </c>
      <c r="HN3" s="37">
        <f>EDATE(HN2,2)</f>
        <v>45349</v>
      </c>
      <c r="HO3" s="39"/>
      <c r="HP3" s="36"/>
      <c r="HQ3" s="36" t="s">
        <v>1132</v>
      </c>
      <c r="HR3" s="37">
        <f>EDATE(HR2,2)</f>
        <v>45349</v>
      </c>
      <c r="HS3" s="39"/>
      <c r="HT3" s="36"/>
      <c r="HU3" s="36" t="s">
        <v>1132</v>
      </c>
      <c r="HV3" s="37">
        <f>EDATE(HV2,2)</f>
        <v>45349</v>
      </c>
      <c r="HW3" s="39"/>
      <c r="HX3" s="36"/>
      <c r="HY3" s="36" t="s">
        <v>1132</v>
      </c>
      <c r="HZ3" s="37">
        <f>EDATE(HZ2,2)</f>
        <v>45349</v>
      </c>
      <c r="IA3" s="39"/>
      <c r="IB3" s="36"/>
      <c r="IC3" s="36" t="s">
        <v>1132</v>
      </c>
      <c r="ID3" s="37">
        <f>EDATE(ID2,2)</f>
        <v>45349</v>
      </c>
      <c r="IE3" s="39"/>
      <c r="IF3" s="36"/>
      <c r="IG3" s="36" t="s">
        <v>1132</v>
      </c>
      <c r="IH3" s="37">
        <f>EDATE(IH2,2)</f>
        <v>45349</v>
      </c>
      <c r="II3" s="39"/>
      <c r="IJ3" s="36"/>
      <c r="IK3" s="36" t="s">
        <v>1132</v>
      </c>
      <c r="IL3" s="37">
        <f>EDATE(IL2,2)</f>
        <v>45349</v>
      </c>
      <c r="IM3" s="39"/>
      <c r="IN3" s="36"/>
      <c r="IO3" s="36" t="s">
        <v>1132</v>
      </c>
      <c r="IP3" s="37">
        <f>EDATE(IP2,2)</f>
        <v>45349</v>
      </c>
      <c r="IQ3" s="39"/>
      <c r="IR3" s="36"/>
      <c r="IS3" s="36" t="s">
        <v>1132</v>
      </c>
      <c r="IT3" s="37">
        <f>EDATE(IT2,2)</f>
        <v>45349</v>
      </c>
      <c r="IU3" s="39"/>
      <c r="IV3" s="36"/>
      <c r="IW3" s="36" t="s">
        <v>1132</v>
      </c>
      <c r="IX3" s="37">
        <f>EDATE(IX2,2)</f>
        <v>45349</v>
      </c>
      <c r="IY3" s="39"/>
      <c r="IZ3" s="36"/>
      <c r="JA3" s="36" t="s">
        <v>1132</v>
      </c>
      <c r="JB3" s="37">
        <f>EDATE(JB2,2)</f>
        <v>45349</v>
      </c>
      <c r="JC3" s="39"/>
      <c r="JD3" s="36"/>
      <c r="JE3" s="36" t="s">
        <v>1132</v>
      </c>
      <c r="JF3" s="37">
        <f>EDATE(JF2,2)</f>
        <v>45349</v>
      </c>
      <c r="JG3" s="39"/>
      <c r="JH3" s="36"/>
      <c r="JI3" s="36" t="s">
        <v>1132</v>
      </c>
      <c r="JJ3" s="37">
        <f>EDATE(JJ2,2)</f>
        <v>45349</v>
      </c>
      <c r="JK3" s="39"/>
      <c r="JL3" s="36"/>
      <c r="JM3" s="36" t="s">
        <v>1132</v>
      </c>
      <c r="JN3" s="37">
        <f>EDATE(JN2,2)</f>
        <v>45349</v>
      </c>
      <c r="JO3" s="39"/>
      <c r="JP3" s="36"/>
      <c r="JQ3" s="36" t="s">
        <v>1132</v>
      </c>
      <c r="JR3" s="37">
        <f>EDATE(JR2,2)</f>
        <v>45349</v>
      </c>
      <c r="JS3" s="39"/>
      <c r="JT3" s="36"/>
      <c r="JU3" s="36" t="s">
        <v>1132</v>
      </c>
      <c r="JV3" s="37">
        <f>EDATE(JV2,2)</f>
        <v>45349</v>
      </c>
      <c r="JW3" s="39"/>
      <c r="JX3" s="36"/>
      <c r="JY3" s="36" t="s">
        <v>1132</v>
      </c>
      <c r="JZ3" s="37">
        <f>EDATE(JZ2,2)</f>
        <v>45349</v>
      </c>
      <c r="KA3" s="39"/>
      <c r="KB3" s="36"/>
      <c r="KC3" s="36" t="s">
        <v>1132</v>
      </c>
      <c r="KD3" s="37">
        <f>EDATE(KD2,2)</f>
        <v>45349</v>
      </c>
      <c r="KE3" s="39"/>
      <c r="KF3" s="36"/>
      <c r="KG3" s="36" t="s">
        <v>1132</v>
      </c>
      <c r="KH3" s="37">
        <f>EDATE(KH2,2)</f>
        <v>45349</v>
      </c>
      <c r="KI3" s="39"/>
      <c r="KJ3" s="36"/>
      <c r="KK3" s="36" t="s">
        <v>1132</v>
      </c>
      <c r="KL3" s="37">
        <f>EDATE(KL2,2)</f>
        <v>45349</v>
      </c>
      <c r="KM3" s="39"/>
      <c r="KN3" s="36"/>
      <c r="KO3" s="36" t="s">
        <v>1132</v>
      </c>
      <c r="KP3" s="37">
        <f>EDATE(KP2,2)</f>
        <v>45349</v>
      </c>
      <c r="KQ3" s="39"/>
      <c r="KR3" s="36"/>
      <c r="KS3" s="36" t="s">
        <v>1132</v>
      </c>
      <c r="KT3" s="37">
        <f>EDATE(KT2,2)</f>
        <v>45349</v>
      </c>
      <c r="KU3" s="39"/>
      <c r="KV3" s="36"/>
      <c r="KW3" s="36" t="s">
        <v>1132</v>
      </c>
      <c r="KX3" s="37">
        <f>EDATE(KX2,2)</f>
        <v>45349</v>
      </c>
      <c r="KY3" s="39"/>
      <c r="KZ3" s="36"/>
      <c r="LA3" s="36" t="s">
        <v>1132</v>
      </c>
      <c r="LB3" s="37">
        <f>EDATE(LB2,2)</f>
        <v>45349</v>
      </c>
      <c r="LC3" s="39"/>
      <c r="LD3" s="36"/>
      <c r="LE3" s="36" t="s">
        <v>1132</v>
      </c>
      <c r="LF3" s="37">
        <f>EDATE(LF2,2)</f>
        <v>45349</v>
      </c>
      <c r="LG3" s="39"/>
      <c r="LH3" s="36"/>
      <c r="LI3" s="36" t="s">
        <v>1132</v>
      </c>
      <c r="LJ3" s="37">
        <f>EDATE(LJ2,2)</f>
        <v>45349</v>
      </c>
      <c r="LK3" s="39"/>
      <c r="LL3" s="36"/>
      <c r="LM3" s="36" t="s">
        <v>1132</v>
      </c>
      <c r="LN3" s="37">
        <f>EDATE(LN2,2)</f>
        <v>45349</v>
      </c>
      <c r="LO3" s="39"/>
      <c r="LP3" s="36"/>
      <c r="LQ3" s="36" t="s">
        <v>1132</v>
      </c>
      <c r="LR3" s="37">
        <f>EDATE(LR2,2)</f>
        <v>45349</v>
      </c>
      <c r="LS3" s="39"/>
      <c r="LT3" s="36"/>
      <c r="LU3" s="36" t="s">
        <v>1132</v>
      </c>
      <c r="LV3" s="37">
        <f>EDATE(LV2,2)</f>
        <v>45349</v>
      </c>
      <c r="LW3" s="39"/>
      <c r="LX3" s="36"/>
      <c r="LY3" s="36" t="s">
        <v>1132</v>
      </c>
      <c r="LZ3" s="37">
        <f>EDATE(LZ2,2)</f>
        <v>45349</v>
      </c>
      <c r="MA3" s="39"/>
      <c r="MB3" s="36"/>
      <c r="MC3" s="36" t="s">
        <v>1132</v>
      </c>
      <c r="MD3" s="37">
        <f>EDATE(MD2,2)</f>
        <v>45349</v>
      </c>
      <c r="ME3" s="39"/>
      <c r="MF3" s="36"/>
      <c r="MG3" s="36" t="s">
        <v>1132</v>
      </c>
      <c r="MH3" s="37">
        <f>EDATE(MH2,2)</f>
        <v>45349</v>
      </c>
      <c r="MI3" s="39"/>
      <c r="MJ3" s="36"/>
      <c r="MK3" s="36" t="s">
        <v>1132</v>
      </c>
      <c r="ML3" s="37">
        <f>EDATE(ML2,2)</f>
        <v>45349</v>
      </c>
      <c r="MM3" s="39"/>
      <c r="MN3" s="36"/>
      <c r="MO3" s="36" t="s">
        <v>1132</v>
      </c>
      <c r="MP3" s="37">
        <f>EDATE(MP2,2)</f>
        <v>45349</v>
      </c>
      <c r="MQ3" s="39"/>
      <c r="MR3" s="36"/>
      <c r="MS3" s="36" t="s">
        <v>1132</v>
      </c>
      <c r="MT3" s="37">
        <f>EDATE(MT2,2)</f>
        <v>45349</v>
      </c>
      <c r="MU3" s="39"/>
      <c r="MV3" s="36"/>
      <c r="MW3" s="36" t="s">
        <v>1132</v>
      </c>
      <c r="MX3" s="37">
        <f>EDATE(MX2,2)</f>
        <v>45349</v>
      </c>
      <c r="MY3" s="39"/>
      <c r="MZ3" s="36"/>
      <c r="NA3" s="36" t="s">
        <v>1132</v>
      </c>
      <c r="NB3" s="37">
        <f>EDATE(NB2,2)</f>
        <v>45349</v>
      </c>
      <c r="NC3" s="39"/>
      <c r="ND3" s="36"/>
      <c r="NE3" s="36" t="s">
        <v>1132</v>
      </c>
      <c r="NF3" s="37">
        <f>EDATE(NF2,2)</f>
        <v>45350</v>
      </c>
      <c r="NG3" s="39"/>
      <c r="NH3" s="36"/>
      <c r="NI3" s="36" t="s">
        <v>1132</v>
      </c>
      <c r="NJ3" s="37">
        <f>EDATE(NJ2,2)</f>
        <v>45350</v>
      </c>
      <c r="NK3" s="39"/>
      <c r="NL3" s="36"/>
      <c r="NM3" s="36" t="s">
        <v>1132</v>
      </c>
      <c r="NN3" s="37">
        <f>EDATE(NN2,2)</f>
        <v>45350</v>
      </c>
      <c r="NO3" s="39"/>
      <c r="NP3" s="36"/>
      <c r="NQ3" s="36" t="s">
        <v>1132</v>
      </c>
      <c r="NR3" s="37">
        <f>EDATE(NR2,2)</f>
        <v>45350</v>
      </c>
      <c r="NS3" s="39"/>
      <c r="NT3" s="36"/>
      <c r="NU3" s="36" t="s">
        <v>1132</v>
      </c>
      <c r="NV3" s="37">
        <f>EDATE(NV2,2)</f>
        <v>45350</v>
      </c>
      <c r="NW3" s="39"/>
      <c r="NX3" s="36"/>
      <c r="NY3" s="36" t="s">
        <v>1132</v>
      </c>
      <c r="NZ3" s="37">
        <f>EDATE(NZ2,2)</f>
        <v>45350</v>
      </c>
      <c r="OA3" s="39"/>
      <c r="OB3" s="36"/>
      <c r="OC3" s="36" t="s">
        <v>1132</v>
      </c>
      <c r="OD3" s="37">
        <f>EDATE(OD2,2)</f>
        <v>45350</v>
      </c>
      <c r="OE3" s="39"/>
      <c r="OF3" s="36"/>
      <c r="OG3" s="36" t="s">
        <v>1132</v>
      </c>
      <c r="OH3" s="37">
        <f>EDATE(OH2,2)</f>
        <v>45350</v>
      </c>
      <c r="OI3" s="39"/>
      <c r="OJ3" s="36"/>
      <c r="OK3" s="36" t="s">
        <v>1132</v>
      </c>
      <c r="OL3" s="37">
        <f>EDATE(OL2,2)</f>
        <v>60</v>
      </c>
      <c r="OM3" s="39"/>
      <c r="ON3" s="36"/>
    </row>
    <row r="4" ht="12.0" customHeight="1">
      <c r="A4" s="41" t="str">
        <f>IFERROR(__xludf.DUMMYFUNCTION("GOOGLEFINANCE(B1, ""open"",A8, A8,""DAILY"")"),"Date")</f>
        <v>Date</v>
      </c>
      <c r="B4" s="42" t="str">
        <f>IFERROR(__xludf.DUMMYFUNCTION("""COMPUTED_VALUE"""),"Open")</f>
        <v>Open</v>
      </c>
      <c r="D4" s="41"/>
      <c r="E4" s="41" t="str">
        <f>IFERROR(__xludf.DUMMYFUNCTION("GOOGLEFINANCE(F1, ""open"",E8, E8,""DAILY"")"),"Date")</f>
        <v>Date</v>
      </c>
      <c r="F4" s="42" t="str">
        <f>IFERROR(__xludf.DUMMYFUNCTION("""COMPUTED_VALUE"""),"Open")</f>
        <v>Open</v>
      </c>
      <c r="H4" s="41"/>
      <c r="I4" s="41" t="str">
        <f>IFERROR(__xludf.DUMMYFUNCTION("GOOGLEFINANCE(J1, ""open"",I8, I8,""DAILY"")"),"Date")</f>
        <v>Date</v>
      </c>
      <c r="J4" s="42" t="str">
        <f>IFERROR(__xludf.DUMMYFUNCTION("""COMPUTED_VALUE"""),"Open")</f>
        <v>Open</v>
      </c>
      <c r="L4" s="41"/>
      <c r="M4" s="41" t="str">
        <f>IFERROR(__xludf.DUMMYFUNCTION("GOOGLEFINANCE(N1, ""open"",M8, M8,""DAILY"")"),"Date")</f>
        <v>Date</v>
      </c>
      <c r="N4" s="42" t="str">
        <f>IFERROR(__xludf.DUMMYFUNCTION("""COMPUTED_VALUE"""),"Open")</f>
        <v>Open</v>
      </c>
      <c r="P4" s="41"/>
      <c r="Q4" s="41" t="str">
        <f>IFERROR(__xludf.DUMMYFUNCTION("GOOGLEFINANCE(R1, ""open"",Q8, Q8,""DAILY"")"),"Date")</f>
        <v>Date</v>
      </c>
      <c r="R4" s="42" t="str">
        <f>IFERROR(__xludf.DUMMYFUNCTION("""COMPUTED_VALUE"""),"Open")</f>
        <v>Open</v>
      </c>
      <c r="T4" s="41"/>
      <c r="U4" s="41" t="str">
        <f>IFERROR(__xludf.DUMMYFUNCTION("GOOGLEFINANCE(V1, ""open"",U8, U8,""DAILY"")"),"Date")</f>
        <v>Date</v>
      </c>
      <c r="V4" s="42" t="str">
        <f>IFERROR(__xludf.DUMMYFUNCTION("""COMPUTED_VALUE"""),"Open")</f>
        <v>Open</v>
      </c>
      <c r="X4" s="41"/>
      <c r="Y4" s="41" t="str">
        <f>IFERROR(__xludf.DUMMYFUNCTION("GOOGLEFINANCE(Z1, ""open"",Y8, Y8,""DAILY"")"),"Date")</f>
        <v>Date</v>
      </c>
      <c r="Z4" s="42" t="str">
        <f>IFERROR(__xludf.DUMMYFUNCTION("""COMPUTED_VALUE"""),"Open")</f>
        <v>Open</v>
      </c>
      <c r="AB4" s="41"/>
      <c r="AC4" s="41" t="str">
        <f>IFERROR(__xludf.DUMMYFUNCTION("GOOGLEFINANCE(AD1, ""open"",AC8, AC8,""DAILY"")"),"Date")</f>
        <v>Date</v>
      </c>
      <c r="AD4" s="42" t="str">
        <f>IFERROR(__xludf.DUMMYFUNCTION("""COMPUTED_VALUE"""),"Open")</f>
        <v>Open</v>
      </c>
      <c r="AF4" s="41"/>
      <c r="AG4" s="41" t="str">
        <f>IFERROR(__xludf.DUMMYFUNCTION("GOOGLEFINANCE(AH1, ""open"",AG8, AG8,""DAILY"")"),"Date")</f>
        <v>Date</v>
      </c>
      <c r="AH4" s="42" t="str">
        <f>IFERROR(__xludf.DUMMYFUNCTION("""COMPUTED_VALUE"""),"Open")</f>
        <v>Open</v>
      </c>
      <c r="AJ4" s="41"/>
      <c r="AK4" s="41" t="str">
        <f>IFERROR(__xludf.DUMMYFUNCTION("GOOGLEFINANCE(AL1, ""open"",AK8, AK8,""DAILY"")"),"Date")</f>
        <v>Date</v>
      </c>
      <c r="AL4" s="42" t="str">
        <f>IFERROR(__xludf.DUMMYFUNCTION("""COMPUTED_VALUE"""),"Open")</f>
        <v>Open</v>
      </c>
      <c r="AN4" s="41"/>
      <c r="AO4" s="41" t="str">
        <f>IFERROR(__xludf.DUMMYFUNCTION("GOOGLEFINANCE(AP1, ""open"",AO8, AO8,""DAILY"")"),"Date")</f>
        <v>Date</v>
      </c>
      <c r="AP4" s="42" t="str">
        <f>IFERROR(__xludf.DUMMYFUNCTION("""COMPUTED_VALUE"""),"Open")</f>
        <v>Open</v>
      </c>
      <c r="AR4" s="41"/>
      <c r="AS4" s="41" t="str">
        <f>IFERROR(__xludf.DUMMYFUNCTION("GOOGLEFINANCE(AT1, ""open"",AS8, AS8,""DAILY"")"),"Date")</f>
        <v>Date</v>
      </c>
      <c r="AT4" s="42" t="str">
        <f>IFERROR(__xludf.DUMMYFUNCTION("""COMPUTED_VALUE"""),"Open")</f>
        <v>Open</v>
      </c>
      <c r="AV4" s="41"/>
      <c r="AW4" s="41" t="str">
        <f>IFERROR(__xludf.DUMMYFUNCTION("GOOGLEFINANCE(AX1, ""open"",AW8, AW8,""DAILY"")"),"Date")</f>
        <v>Date</v>
      </c>
      <c r="AX4" s="42" t="str">
        <f>IFERROR(__xludf.DUMMYFUNCTION("""COMPUTED_VALUE"""),"Open")</f>
        <v>Open</v>
      </c>
      <c r="AZ4" s="41"/>
      <c r="BA4" s="41" t="str">
        <f>IFERROR(__xludf.DUMMYFUNCTION("GOOGLEFINANCE(BB1, ""open"",BA8, BA8,""DAILY"")"),"Date")</f>
        <v>Date</v>
      </c>
      <c r="BB4" s="42" t="str">
        <f>IFERROR(__xludf.DUMMYFUNCTION("""COMPUTED_VALUE"""),"Open")</f>
        <v>Open</v>
      </c>
      <c r="BD4" s="41"/>
      <c r="BE4" s="41" t="str">
        <f>IFERROR(__xludf.DUMMYFUNCTION("GOOGLEFINANCE(BF1, ""open"",BE8, BE8,""DAILY"")"),"Date")</f>
        <v>Date</v>
      </c>
      <c r="BF4" s="42" t="str">
        <f>IFERROR(__xludf.DUMMYFUNCTION("""COMPUTED_VALUE"""),"Open")</f>
        <v>Open</v>
      </c>
      <c r="BH4" s="41"/>
      <c r="BI4" s="41" t="str">
        <f>IFERROR(__xludf.DUMMYFUNCTION("GOOGLEFINANCE(BJ1, ""open"",BI8, BI8,""DAILY"")"),"Date")</f>
        <v>Date</v>
      </c>
      <c r="BJ4" s="42" t="str">
        <f>IFERROR(__xludf.DUMMYFUNCTION("""COMPUTED_VALUE"""),"Open")</f>
        <v>Open</v>
      </c>
      <c r="BL4" s="41"/>
      <c r="BM4" s="41" t="str">
        <f>IFERROR(__xludf.DUMMYFUNCTION("GOOGLEFINANCE(BN1, ""open"",BM8, BM8,""DAILY"")"),"Date")</f>
        <v>Date</v>
      </c>
      <c r="BN4" s="42" t="str">
        <f>IFERROR(__xludf.DUMMYFUNCTION("""COMPUTED_VALUE"""),"Open")</f>
        <v>Open</v>
      </c>
      <c r="BP4" s="41"/>
      <c r="BQ4" s="41" t="str">
        <f>IFERROR(__xludf.DUMMYFUNCTION("GOOGLEFINANCE(BR1, ""open"",BQ8, BQ8,""DAILY"")"),"Date")</f>
        <v>Date</v>
      </c>
      <c r="BR4" s="42" t="str">
        <f>IFERROR(__xludf.DUMMYFUNCTION("""COMPUTED_VALUE"""),"Open")</f>
        <v>Open</v>
      </c>
      <c r="BT4" s="41"/>
      <c r="BU4" s="41" t="str">
        <f>IFERROR(__xludf.DUMMYFUNCTION("GOOGLEFINANCE(BV1, ""open"",BU8, BU8,""DAILY"")"),"Date")</f>
        <v>Date</v>
      </c>
      <c r="BV4" s="42" t="str">
        <f>IFERROR(__xludf.DUMMYFUNCTION("""COMPUTED_VALUE"""),"Open")</f>
        <v>Open</v>
      </c>
      <c r="BX4" s="41"/>
      <c r="BY4" s="41" t="str">
        <f>IFERROR(__xludf.DUMMYFUNCTION("GOOGLEFINANCE(BZ1, ""open"",BY8, BY8,""DAILY"")"),"Date")</f>
        <v>Date</v>
      </c>
      <c r="BZ4" s="42" t="str">
        <f>IFERROR(__xludf.DUMMYFUNCTION("""COMPUTED_VALUE"""),"Open")</f>
        <v>Open</v>
      </c>
      <c r="CB4" s="41"/>
      <c r="CC4" s="41" t="str">
        <f>IFERROR(__xludf.DUMMYFUNCTION("GOOGLEFINANCE(CD1, ""open"",CC8, CC8,""DAILY"")"),"Date")</f>
        <v>Date</v>
      </c>
      <c r="CD4" s="42" t="str">
        <f>IFERROR(__xludf.DUMMYFUNCTION("""COMPUTED_VALUE"""),"Open")</f>
        <v>Open</v>
      </c>
      <c r="CF4" s="41"/>
      <c r="CG4" s="41" t="str">
        <f>IFERROR(__xludf.DUMMYFUNCTION("GOOGLEFINANCE(CH1, ""open"",CG8, CG8,""DAILY"")"),"Date")</f>
        <v>Date</v>
      </c>
      <c r="CH4" s="42" t="str">
        <f>IFERROR(__xludf.DUMMYFUNCTION("""COMPUTED_VALUE"""),"Open")</f>
        <v>Open</v>
      </c>
      <c r="CJ4" s="41"/>
      <c r="CK4" s="41" t="str">
        <f>IFERROR(__xludf.DUMMYFUNCTION("GOOGLEFINANCE(CL1, ""open"",CK8, CK8,""DAILY"")"),"Date")</f>
        <v>Date</v>
      </c>
      <c r="CL4" s="42" t="str">
        <f>IFERROR(__xludf.DUMMYFUNCTION("""COMPUTED_VALUE"""),"Open")</f>
        <v>Open</v>
      </c>
      <c r="CN4" s="41"/>
      <c r="CO4" s="41" t="str">
        <f>IFERROR(__xludf.DUMMYFUNCTION("GOOGLEFINANCE(CP1, ""open"",CO8, CO8,""DAILY"")"),"Date")</f>
        <v>Date</v>
      </c>
      <c r="CP4" s="42" t="str">
        <f>IFERROR(__xludf.DUMMYFUNCTION("""COMPUTED_VALUE"""),"Open")</f>
        <v>Open</v>
      </c>
      <c r="CR4" s="41"/>
      <c r="CS4" s="41" t="str">
        <f>IFERROR(__xludf.DUMMYFUNCTION("GOOGLEFINANCE(CT1, ""open"",CS8, CS8,""DAILY"")"),"Date")</f>
        <v>Date</v>
      </c>
      <c r="CT4" s="42" t="str">
        <f>IFERROR(__xludf.DUMMYFUNCTION("""COMPUTED_VALUE"""),"Open")</f>
        <v>Open</v>
      </c>
      <c r="CV4" s="41"/>
      <c r="CW4" s="41" t="str">
        <f>IFERROR(__xludf.DUMMYFUNCTION("GOOGLEFINANCE(CX1, ""open"",CW8, CW8,""DAILY"")"),"Date")</f>
        <v>Date</v>
      </c>
      <c r="CX4" s="42" t="str">
        <f>IFERROR(__xludf.DUMMYFUNCTION("""COMPUTED_VALUE"""),"Open")</f>
        <v>Open</v>
      </c>
      <c r="CZ4" s="41"/>
      <c r="DA4" s="41" t="str">
        <f>IFERROR(__xludf.DUMMYFUNCTION("GOOGLEFINANCE(DB1, ""open"",DA8, DA8,""DAILY"")"),"Date")</f>
        <v>Date</v>
      </c>
      <c r="DB4" s="42" t="str">
        <f>IFERROR(__xludf.DUMMYFUNCTION("""COMPUTED_VALUE"""),"Open")</f>
        <v>Open</v>
      </c>
      <c r="DD4" s="41"/>
      <c r="DE4" s="41" t="str">
        <f>IFERROR(__xludf.DUMMYFUNCTION("GOOGLEFINANCE(DF1, ""open"",DE8, DE8,""DAILY"")"),"Date")</f>
        <v>Date</v>
      </c>
      <c r="DF4" s="42" t="str">
        <f>IFERROR(__xludf.DUMMYFUNCTION("""COMPUTED_VALUE"""),"Open")</f>
        <v>Open</v>
      </c>
      <c r="DH4" s="41"/>
      <c r="DI4" s="41" t="str">
        <f>IFERROR(__xludf.DUMMYFUNCTION("GOOGLEFINANCE(DJ1, ""open"",DI8, DI8,""DAILY"")"),"Date")</f>
        <v>Date</v>
      </c>
      <c r="DJ4" s="42" t="str">
        <f>IFERROR(__xludf.DUMMYFUNCTION("""COMPUTED_VALUE"""),"Open")</f>
        <v>Open</v>
      </c>
      <c r="DL4" s="41"/>
      <c r="DM4" s="41" t="str">
        <f>IFERROR(__xludf.DUMMYFUNCTION("GOOGLEFINANCE(DN1, ""open"",DM8, DM8,""DAILY"")"),"Date")</f>
        <v>Date</v>
      </c>
      <c r="DN4" s="42" t="str">
        <f>IFERROR(__xludf.DUMMYFUNCTION("""COMPUTED_VALUE"""),"Open")</f>
        <v>Open</v>
      </c>
      <c r="DP4" s="41"/>
      <c r="DQ4" s="41" t="str">
        <f>IFERROR(__xludf.DUMMYFUNCTION("GOOGLEFINANCE(DR1, ""open"",DQ8, DQ8,""DAILY"")"),"Date")</f>
        <v>Date</v>
      </c>
      <c r="DR4" s="42" t="str">
        <f>IFERROR(__xludf.DUMMYFUNCTION("""COMPUTED_VALUE"""),"Open")</f>
        <v>Open</v>
      </c>
      <c r="DT4" s="41"/>
      <c r="DU4" s="41" t="str">
        <f>IFERROR(__xludf.DUMMYFUNCTION("GOOGLEFINANCE(DV1, ""open"",DU8, DU8,""DAILY"")"),"Date")</f>
        <v>Date</v>
      </c>
      <c r="DV4" s="42" t="str">
        <f>IFERROR(__xludf.DUMMYFUNCTION("""COMPUTED_VALUE"""),"Open")</f>
        <v>Open</v>
      </c>
      <c r="DX4" s="41"/>
      <c r="DY4" s="41" t="str">
        <f>IFERROR(__xludf.DUMMYFUNCTION("GOOGLEFINANCE(DZ1, ""open"",DY8, DY8,""DAILY"")"),"Date")</f>
        <v>Date</v>
      </c>
      <c r="DZ4" s="42" t="str">
        <f>IFERROR(__xludf.DUMMYFUNCTION("""COMPUTED_VALUE"""),"Open")</f>
        <v>Open</v>
      </c>
      <c r="EB4" s="41"/>
      <c r="EC4" s="41" t="str">
        <f>IFERROR(__xludf.DUMMYFUNCTION("GOOGLEFINANCE(ED1, ""open"",EC8, EC8,""DAILY"")"),"Date")</f>
        <v>Date</v>
      </c>
      <c r="ED4" s="42" t="str">
        <f>IFERROR(__xludf.DUMMYFUNCTION("""COMPUTED_VALUE"""),"Open")</f>
        <v>Open</v>
      </c>
      <c r="EF4" s="41"/>
      <c r="EG4" s="41" t="str">
        <f>IFERROR(__xludf.DUMMYFUNCTION("GOOGLEFINANCE(EH1, ""open"",EG8, EG8,""DAILY"")"),"Date")</f>
        <v>Date</v>
      </c>
      <c r="EH4" s="42" t="str">
        <f>IFERROR(__xludf.DUMMYFUNCTION("""COMPUTED_VALUE"""),"Open")</f>
        <v>Open</v>
      </c>
      <c r="EJ4" s="41"/>
      <c r="EK4" s="41" t="str">
        <f>IFERROR(__xludf.DUMMYFUNCTION("GOOGLEFINANCE(EL1, ""open"",EK8, EK8,""DAILY"")"),"Date")</f>
        <v>Date</v>
      </c>
      <c r="EL4" s="42" t="str">
        <f>IFERROR(__xludf.DUMMYFUNCTION("""COMPUTED_VALUE"""),"Open")</f>
        <v>Open</v>
      </c>
      <c r="EN4" s="41"/>
      <c r="EO4" s="41" t="str">
        <f>IFERROR(__xludf.DUMMYFUNCTION("GOOGLEFINANCE(EP1, ""open"",EO8, EO8,""DAILY"")"),"Date")</f>
        <v>Date</v>
      </c>
      <c r="EP4" s="42" t="str">
        <f>IFERROR(__xludf.DUMMYFUNCTION("""COMPUTED_VALUE"""),"Open")</f>
        <v>Open</v>
      </c>
      <c r="ER4" s="41"/>
      <c r="ES4" s="41" t="str">
        <f>IFERROR(__xludf.DUMMYFUNCTION("GOOGLEFINANCE(ET1, ""open"",ES8, ES8,""DAILY"")"),"Date")</f>
        <v>Date</v>
      </c>
      <c r="ET4" s="42" t="str">
        <f>IFERROR(__xludf.DUMMYFUNCTION("""COMPUTED_VALUE"""),"Open")</f>
        <v>Open</v>
      </c>
      <c r="EV4" s="41"/>
      <c r="EW4" s="41" t="str">
        <f>IFERROR(__xludf.DUMMYFUNCTION("GOOGLEFINANCE(EX1, ""open"",EW8, EW8,""DAILY"")"),"Date")</f>
        <v>Date</v>
      </c>
      <c r="EX4" s="42" t="str">
        <f>IFERROR(__xludf.DUMMYFUNCTION("""COMPUTED_VALUE"""),"Open")</f>
        <v>Open</v>
      </c>
      <c r="EZ4" s="41"/>
      <c r="FA4" s="41" t="str">
        <f>IFERROR(__xludf.DUMMYFUNCTION("GOOGLEFINANCE(FB1, ""open"",FA8, FA8,""DAILY"")"),"Date")</f>
        <v>Date</v>
      </c>
      <c r="FB4" s="42" t="str">
        <f>IFERROR(__xludf.DUMMYFUNCTION("""COMPUTED_VALUE"""),"Open")</f>
        <v>Open</v>
      </c>
      <c r="FD4" s="41"/>
      <c r="FE4" s="41" t="str">
        <f>IFERROR(__xludf.DUMMYFUNCTION("GOOGLEFINANCE(FF1, ""open"",FE8, FE8,""DAILY"")"),"Date")</f>
        <v>Date</v>
      </c>
      <c r="FF4" s="42" t="str">
        <f>IFERROR(__xludf.DUMMYFUNCTION("""COMPUTED_VALUE"""),"Open")</f>
        <v>Open</v>
      </c>
      <c r="FH4" s="41"/>
      <c r="FI4" s="41" t="str">
        <f>IFERROR(__xludf.DUMMYFUNCTION("GOOGLEFINANCE(FJ1, ""open"",FI8, FI8,""DAILY"")"),"Date")</f>
        <v>Date</v>
      </c>
      <c r="FJ4" s="42" t="str">
        <f>IFERROR(__xludf.DUMMYFUNCTION("""COMPUTED_VALUE"""),"Open")</f>
        <v>Open</v>
      </c>
      <c r="FL4" s="41"/>
      <c r="FM4" s="41" t="str">
        <f>IFERROR(__xludf.DUMMYFUNCTION("GOOGLEFINANCE(FN1, ""open"",FM8, FM8,""DAILY"")"),"Date")</f>
        <v>Date</v>
      </c>
      <c r="FN4" s="42" t="str">
        <f>IFERROR(__xludf.DUMMYFUNCTION("""COMPUTED_VALUE"""),"Open")</f>
        <v>Open</v>
      </c>
      <c r="FP4" s="41"/>
      <c r="FQ4" s="41" t="str">
        <f>IFERROR(__xludf.DUMMYFUNCTION("GOOGLEFINANCE(FR1, ""open"",FQ8, FQ8,""DAILY"")"),"Date")</f>
        <v>Date</v>
      </c>
      <c r="FR4" s="42" t="str">
        <f>IFERROR(__xludf.DUMMYFUNCTION("""COMPUTED_VALUE"""),"Open")</f>
        <v>Open</v>
      </c>
      <c r="FT4" s="41"/>
      <c r="FU4" s="41" t="str">
        <f>IFERROR(__xludf.DUMMYFUNCTION("GOOGLEFINANCE(FV1, ""open"",FU8, FU8,""DAILY"")"),"Date")</f>
        <v>Date</v>
      </c>
      <c r="FV4" s="42" t="str">
        <f>IFERROR(__xludf.DUMMYFUNCTION("""COMPUTED_VALUE"""),"Open")</f>
        <v>Open</v>
      </c>
      <c r="FX4" s="41"/>
      <c r="FY4" s="41" t="str">
        <f>IFERROR(__xludf.DUMMYFUNCTION("GOOGLEFINANCE(FZ1, ""open"",FY8, FY8,""DAILY"")"),"Date")</f>
        <v>Date</v>
      </c>
      <c r="FZ4" s="42" t="str">
        <f>IFERROR(__xludf.DUMMYFUNCTION("""COMPUTED_VALUE"""),"Open")</f>
        <v>Open</v>
      </c>
      <c r="GB4" s="41"/>
      <c r="GC4" s="41" t="str">
        <f>IFERROR(__xludf.DUMMYFUNCTION("GOOGLEFINANCE(GD1, ""open"",GC8, GC8,""DAILY"")"),"Date")</f>
        <v>Date</v>
      </c>
      <c r="GD4" s="42" t="str">
        <f>IFERROR(__xludf.DUMMYFUNCTION("""COMPUTED_VALUE"""),"Open")</f>
        <v>Open</v>
      </c>
      <c r="GF4" s="41"/>
      <c r="GG4" s="41" t="str">
        <f>IFERROR(__xludf.DUMMYFUNCTION("GOOGLEFINANCE(GH1, ""open"",GG8, GG8,""DAILY"")"),"Date")</f>
        <v>Date</v>
      </c>
      <c r="GH4" s="42" t="str">
        <f>IFERROR(__xludf.DUMMYFUNCTION("""COMPUTED_VALUE"""),"Open")</f>
        <v>Open</v>
      </c>
      <c r="GJ4" s="41"/>
      <c r="GK4" s="41" t="str">
        <f>IFERROR(__xludf.DUMMYFUNCTION("GOOGLEFINANCE(GL1, ""open"",GK8, GK8,""DAILY"")"),"Date")</f>
        <v>Date</v>
      </c>
      <c r="GL4" s="42" t="str">
        <f>IFERROR(__xludf.DUMMYFUNCTION("""COMPUTED_VALUE"""),"Open")</f>
        <v>Open</v>
      </c>
      <c r="GN4" s="41"/>
      <c r="GO4" s="41" t="str">
        <f>IFERROR(__xludf.DUMMYFUNCTION("GOOGLEFINANCE(GP1, ""open"",GP2, GP2,""DAILY"")"),"Date")</f>
        <v>Date</v>
      </c>
      <c r="GP4" s="42" t="str">
        <f>IFERROR(__xludf.DUMMYFUNCTION("""COMPUTED_VALUE"""),"Open")</f>
        <v>Open</v>
      </c>
      <c r="GR4" s="41"/>
      <c r="GS4" s="41" t="str">
        <f>IFERROR(__xludf.DUMMYFUNCTION("GOOGLEFINANCE(GT1, ""open"",GS8, GS8,""DAILY"")"),"Date")</f>
        <v>Date</v>
      </c>
      <c r="GT4" s="42" t="str">
        <f>IFERROR(__xludf.DUMMYFUNCTION("""COMPUTED_VALUE"""),"Open")</f>
        <v>Open</v>
      </c>
      <c r="GV4" s="41"/>
      <c r="GW4" s="41" t="str">
        <f>IFERROR(__xludf.DUMMYFUNCTION("GOOGLEFINANCE(GX1, ""open"",GW8, GW8,""DAILY"")"),"Date")</f>
        <v>Date</v>
      </c>
      <c r="GX4" s="42" t="str">
        <f>IFERROR(__xludf.DUMMYFUNCTION("""COMPUTED_VALUE"""),"Open")</f>
        <v>Open</v>
      </c>
      <c r="GZ4" s="41"/>
      <c r="HA4" s="41" t="str">
        <f>IFERROR(__xludf.DUMMYFUNCTION("GOOGLEFINANCE(HB1, ""open"",HA8, HA8,""DAILY"")"),"Date")</f>
        <v>Date</v>
      </c>
      <c r="HB4" s="42" t="str">
        <f>IFERROR(__xludf.DUMMYFUNCTION("""COMPUTED_VALUE"""),"Open")</f>
        <v>Open</v>
      </c>
      <c r="HD4" s="41"/>
      <c r="HE4" s="41">
        <f>IFERROR(__xludf.DUMMYFUNCTION("IFNA(IFERROR(IF(GOOGLEFINANCE(HF1,""PRICE""), GOOGLEFINANCE(HF1,""PRICE""), GOOGLEFINANCE(HF1,""PRICE"")), GOOGLEFINANCE(HF1,""PRICE"")))"),4816.0)</f>
        <v>4816</v>
      </c>
      <c r="HF4" s="42"/>
      <c r="HH4" s="41"/>
      <c r="HI4" s="41" t="str">
        <f>IFERROR(__xludf.DUMMYFUNCTION("GOOGLEFINANCE(HJ1, ""open"",HI8, HI8,""DAILY"")"),"Date")</f>
        <v>Date</v>
      </c>
      <c r="HJ4" s="42" t="str">
        <f>IFERROR(__xludf.DUMMYFUNCTION("""COMPUTED_VALUE"""),"Open")</f>
        <v>Open</v>
      </c>
      <c r="HL4" s="41"/>
      <c r="HM4" s="41" t="str">
        <f>IFERROR(__xludf.DUMMYFUNCTION("GOOGLEFINANCE(HN1, ""open"",HM8, HM8,""DAILY"")"),"Date")</f>
        <v>Date</v>
      </c>
      <c r="HN4" s="42" t="str">
        <f>IFERROR(__xludf.DUMMYFUNCTION("""COMPUTED_VALUE"""),"Open")</f>
        <v>Open</v>
      </c>
      <c r="HP4" s="41"/>
      <c r="HQ4" s="41" t="str">
        <f>IFERROR(__xludf.DUMMYFUNCTION("GOOGLEFINANCE(HR1, ""open"",HQ8, HQ8,""DAILY"")"),"Date")</f>
        <v>Date</v>
      </c>
      <c r="HR4" s="42" t="str">
        <f>IFERROR(__xludf.DUMMYFUNCTION("""COMPUTED_VALUE"""),"Open")</f>
        <v>Open</v>
      </c>
      <c r="HT4" s="41"/>
      <c r="HU4" s="41" t="str">
        <f>IFERROR(__xludf.DUMMYFUNCTION("GOOGLEFINANCE(HV1, ""open"",HU8, HU8,""DAILY"")"),"Date")</f>
        <v>Date</v>
      </c>
      <c r="HV4" s="42" t="str">
        <f>IFERROR(__xludf.DUMMYFUNCTION("""COMPUTED_VALUE"""),"Open")</f>
        <v>Open</v>
      </c>
      <c r="HX4" s="41"/>
      <c r="HY4" s="41" t="str">
        <f>IFERROR(__xludf.DUMMYFUNCTION("GOOGLEFINANCE(HZ1, ""open"",HY8, HY8,""DAILY"")"),"Date")</f>
        <v>Date</v>
      </c>
      <c r="HZ4" s="42" t="str">
        <f>IFERROR(__xludf.DUMMYFUNCTION("""COMPUTED_VALUE"""),"Open")</f>
        <v>Open</v>
      </c>
      <c r="IB4" s="41"/>
      <c r="IC4" s="41" t="str">
        <f>IFERROR(__xludf.DUMMYFUNCTION("GOOGLEFINANCE(B1, ""open"",A8, A8,""DAILY"")"),"Date")</f>
        <v>Date</v>
      </c>
      <c r="ID4" s="42" t="str">
        <f>IFERROR(__xludf.DUMMYFUNCTION("""COMPUTED_VALUE"""),"Open")</f>
        <v>Open</v>
      </c>
      <c r="IF4" s="41"/>
      <c r="IG4" s="41" t="str">
        <f>IFERROR(__xludf.DUMMYFUNCTION("GOOGLEFINANCE(IH1, ""open"",IG8, IG8,""DAILY"")"),"Date")</f>
        <v>Date</v>
      </c>
      <c r="IH4" s="42" t="str">
        <f>IFERROR(__xludf.DUMMYFUNCTION("""COMPUTED_VALUE"""),"Open")</f>
        <v>Open</v>
      </c>
      <c r="IJ4" s="41"/>
      <c r="IK4" s="41" t="str">
        <f>IFERROR(__xludf.DUMMYFUNCTION("GOOGLEFINANCE(IL1, ""open"",IK8, IK8,""DAILY"")"),"Date")</f>
        <v>Date</v>
      </c>
      <c r="IL4" s="42" t="str">
        <f>IFERROR(__xludf.DUMMYFUNCTION("""COMPUTED_VALUE"""),"Open")</f>
        <v>Open</v>
      </c>
      <c r="IN4" s="41"/>
      <c r="IO4" s="41" t="str">
        <f>IFERROR(__xludf.DUMMYFUNCTION("GOOGLEFINANCE(IP1, ""open"",IO8, IO8,""DAILY"")"),"Date")</f>
        <v>Date</v>
      </c>
      <c r="IP4" s="42" t="str">
        <f>IFERROR(__xludf.DUMMYFUNCTION("""COMPUTED_VALUE"""),"Open")</f>
        <v>Open</v>
      </c>
      <c r="IR4" s="41"/>
      <c r="IS4" s="41" t="str">
        <f>IFERROR(__xludf.DUMMYFUNCTION("GOOGLEFINANCE(IT1, ""open"",IS8, IS8,""DAILY"")"),"Date")</f>
        <v>Date</v>
      </c>
      <c r="IT4" s="42" t="str">
        <f>IFERROR(__xludf.DUMMYFUNCTION("""COMPUTED_VALUE"""),"Open")</f>
        <v>Open</v>
      </c>
      <c r="IV4" s="41"/>
      <c r="IW4" s="41" t="str">
        <f>IFERROR(__xludf.DUMMYFUNCTION("GOOGLEFINANCE(IX1, ""open"",IW8, IW8,""DAILY"")"),"Date")</f>
        <v>Date</v>
      </c>
      <c r="IX4" s="42" t="str">
        <f>IFERROR(__xludf.DUMMYFUNCTION("""COMPUTED_VALUE"""),"Open")</f>
        <v>Open</v>
      </c>
      <c r="IZ4" s="41"/>
      <c r="JA4" s="41" t="str">
        <f>IFERROR(__xludf.DUMMYFUNCTION("GOOGLEFINANCE(JB1, ""open"",JA8, JA8,""DAILY"")"),"Date")</f>
        <v>Date</v>
      </c>
      <c r="JB4" s="42" t="str">
        <f>IFERROR(__xludf.DUMMYFUNCTION("""COMPUTED_VALUE"""),"Open")</f>
        <v>Open</v>
      </c>
      <c r="JD4" s="41"/>
      <c r="JE4" s="41" t="str">
        <f>IFERROR(__xludf.DUMMYFUNCTION("GOOGLEFINANCE(JF1, ""open"",JE8, JE8,""DAILY"")"),"Date")</f>
        <v>Date</v>
      </c>
      <c r="JF4" s="42" t="str">
        <f>IFERROR(__xludf.DUMMYFUNCTION("""COMPUTED_VALUE"""),"Open")</f>
        <v>Open</v>
      </c>
      <c r="JH4" s="41"/>
      <c r="JI4" s="41" t="str">
        <f>IFERROR(__xludf.DUMMYFUNCTION("GOOGLEFINANCE(JJ1, ""open"",JI8, JI8,""DAILY"")"),"Date")</f>
        <v>Date</v>
      </c>
      <c r="JJ4" s="42" t="str">
        <f>IFERROR(__xludf.DUMMYFUNCTION("""COMPUTED_VALUE"""),"Open")</f>
        <v>Open</v>
      </c>
      <c r="JL4" s="41"/>
      <c r="JM4" s="41" t="str">
        <f>IFERROR(__xludf.DUMMYFUNCTION("GOOGLEFINANCE(B1, ""open"",A8, A8,""DAILY"")"),"Date")</f>
        <v>Date</v>
      </c>
      <c r="JN4" s="42" t="str">
        <f>IFERROR(__xludf.DUMMYFUNCTION("""COMPUTED_VALUE"""),"Open")</f>
        <v>Open</v>
      </c>
      <c r="JP4" s="41"/>
      <c r="JQ4" s="41" t="str">
        <f>IFERROR(__xludf.DUMMYFUNCTION("GOOGLEFINANCE(JR1, ""open"",JQ8, JQ8,""DAILY"")"),"Date")</f>
        <v>Date</v>
      </c>
      <c r="JR4" s="42" t="str">
        <f>IFERROR(__xludf.DUMMYFUNCTION("""COMPUTED_VALUE"""),"Open")</f>
        <v>Open</v>
      </c>
      <c r="JT4" s="41"/>
      <c r="JU4" s="41" t="str">
        <f>IFERROR(__xludf.DUMMYFUNCTION("GOOGLEFINANCE(B1, ""open"",A8, A8,""DAILY"")"),"Date")</f>
        <v>Date</v>
      </c>
      <c r="JV4" s="42" t="str">
        <f>IFERROR(__xludf.DUMMYFUNCTION("""COMPUTED_VALUE"""),"Open")</f>
        <v>Open</v>
      </c>
      <c r="JX4" s="41"/>
      <c r="JY4" s="41" t="str">
        <f>IFERROR(__xludf.DUMMYFUNCTION("GOOGLEFINANCE(JZ1, ""open"",JY8, JY8,""DAILY"")"),"Date")</f>
        <v>Date</v>
      </c>
      <c r="JZ4" s="42" t="str">
        <f>IFERROR(__xludf.DUMMYFUNCTION("""COMPUTED_VALUE"""),"Open")</f>
        <v>Open</v>
      </c>
      <c r="KB4" s="41"/>
      <c r="KC4" s="41" t="str">
        <f>IFERROR(__xludf.DUMMYFUNCTION("GOOGLEFINANCE(KD1, ""open"",KC8, KC8,""DAILY"")"),"Date")</f>
        <v>Date</v>
      </c>
      <c r="KD4" s="42" t="str">
        <f>IFERROR(__xludf.DUMMYFUNCTION("""COMPUTED_VALUE"""),"Open")</f>
        <v>Open</v>
      </c>
      <c r="KF4" s="41"/>
      <c r="KG4" s="41" t="str">
        <f>IFERROR(__xludf.DUMMYFUNCTION("GOOGLEFINANCE(KH1, ""open"",KG8, KG8,""DAILY"")"),"Date")</f>
        <v>Date</v>
      </c>
      <c r="KH4" s="42" t="str">
        <f>IFERROR(__xludf.DUMMYFUNCTION("""COMPUTED_VALUE"""),"Open")</f>
        <v>Open</v>
      </c>
      <c r="KJ4" s="41"/>
      <c r="KK4" s="41" t="str">
        <f>IFERROR(__xludf.DUMMYFUNCTION("GOOGLEFINANCE(KL1, ""open"",KK8, KK8,""DAILY"")"),"Date")</f>
        <v>Date</v>
      </c>
      <c r="KL4" s="42" t="str">
        <f>IFERROR(__xludf.DUMMYFUNCTION("""COMPUTED_VALUE"""),"Open")</f>
        <v>Open</v>
      </c>
      <c r="KN4" s="41"/>
      <c r="KO4" s="41" t="str">
        <f>IFERROR(__xludf.DUMMYFUNCTION("GOOGLEFINANCE(KP1, ""open"",KO8, KO8,""DAILY"")"),"Date")</f>
        <v>Date</v>
      </c>
      <c r="KP4" s="42" t="str">
        <f>IFERROR(__xludf.DUMMYFUNCTION("""COMPUTED_VALUE"""),"Open")</f>
        <v>Open</v>
      </c>
      <c r="KR4" s="41"/>
      <c r="KS4" s="41" t="str">
        <f>IFERROR(__xludf.DUMMYFUNCTION("GOOGLEFINANCE(KT1, ""open"",KS8, KS8,""DAILY"")"),"Date")</f>
        <v>Date</v>
      </c>
      <c r="KT4" s="42" t="str">
        <f>IFERROR(__xludf.DUMMYFUNCTION("""COMPUTED_VALUE"""),"Open")</f>
        <v>Open</v>
      </c>
      <c r="KV4" s="41"/>
      <c r="KW4" s="41" t="str">
        <f>IFERROR(__xludf.DUMMYFUNCTION("GOOGLEFINANCE(KX1, ""open"",KW8, KW8,""DAILY"")"),"Date")</f>
        <v>Date</v>
      </c>
      <c r="KX4" s="42" t="str">
        <f>IFERROR(__xludf.DUMMYFUNCTION("""COMPUTED_VALUE"""),"Open")</f>
        <v>Open</v>
      </c>
      <c r="KZ4" s="41"/>
      <c r="LA4" s="41" t="str">
        <f>IFERROR(__xludf.DUMMYFUNCTION("GOOGLEFINANCE(LB1, ""open"",LA8, LA8,""DAILY"")"),"Date")</f>
        <v>Date</v>
      </c>
      <c r="LB4" s="42" t="str">
        <f>IFERROR(__xludf.DUMMYFUNCTION("""COMPUTED_VALUE"""),"Open")</f>
        <v>Open</v>
      </c>
      <c r="LD4" s="41"/>
      <c r="LE4" s="41" t="str">
        <f>IFERROR(__xludf.DUMMYFUNCTION("GOOGLEFINANCE(LF1, ""open"",LE8, LE8,""DAILY"")"),"Date")</f>
        <v>Date</v>
      </c>
      <c r="LF4" s="42" t="str">
        <f>IFERROR(__xludf.DUMMYFUNCTION("""COMPUTED_VALUE"""),"Open")</f>
        <v>Open</v>
      </c>
      <c r="LH4" s="41"/>
      <c r="LI4" s="41" t="str">
        <f>IFERROR(__xludf.DUMMYFUNCTION("GOOGLEFINANCE(LJ1, ""open"",LI8, LI8,""DAILY"")"),"Date")</f>
        <v>Date</v>
      </c>
      <c r="LJ4" s="42" t="str">
        <f>IFERROR(__xludf.DUMMYFUNCTION("""COMPUTED_VALUE"""),"Open")</f>
        <v>Open</v>
      </c>
      <c r="LL4" s="41"/>
      <c r="LM4" s="41" t="str">
        <f>IFERROR(__xludf.DUMMYFUNCTION("GOOGLEFINANCE(LN1, ""open"",LM8, LM8,""DAILY"")"),"Date")</f>
        <v>Date</v>
      </c>
      <c r="LN4" s="42" t="str">
        <f>IFERROR(__xludf.DUMMYFUNCTION("""COMPUTED_VALUE"""),"Open")</f>
        <v>Open</v>
      </c>
      <c r="LP4" s="41"/>
      <c r="LQ4" s="41" t="str">
        <f>IFERROR(__xludf.DUMMYFUNCTION("GOOGLEFINANCE(LR1, ""open"",LQ8, LQ8,""DAILY"")"),"Date")</f>
        <v>Date</v>
      </c>
      <c r="LR4" s="42" t="str">
        <f>IFERROR(__xludf.DUMMYFUNCTION("""COMPUTED_VALUE"""),"Open")</f>
        <v>Open</v>
      </c>
      <c r="LT4" s="41"/>
      <c r="LU4" s="41" t="str">
        <f>IFERROR(__xludf.DUMMYFUNCTION("GOOGLEFINANCE(LV1, ""open"",LU8, LU8,""DAILY"")"),"Date")</f>
        <v>Date</v>
      </c>
      <c r="LV4" s="42" t="str">
        <f>IFERROR(__xludf.DUMMYFUNCTION("""COMPUTED_VALUE"""),"Open")</f>
        <v>Open</v>
      </c>
      <c r="LX4" s="41"/>
      <c r="LY4" s="41" t="str">
        <f>IFERROR(__xludf.DUMMYFUNCTION("GOOGLEFINANCE(LZ1, ""open"",LY8, LY8,""DAILY"")"),"Date")</f>
        <v>Date</v>
      </c>
      <c r="LZ4" s="42" t="str">
        <f>IFERROR(__xludf.DUMMYFUNCTION("""COMPUTED_VALUE"""),"Open")</f>
        <v>Open</v>
      </c>
      <c r="MB4" s="41"/>
      <c r="MC4" s="41" t="str">
        <f>IFERROR(__xludf.DUMMYFUNCTION("GOOGLEFINANCE(MD1, ""open"",MC8, MC8,""DAILY"")"),"#N/A")</f>
        <v>#N/A</v>
      </c>
      <c r="MD4" s="42"/>
      <c r="MF4" s="41"/>
      <c r="MG4" s="41" t="str">
        <f>IFERROR(__xludf.DUMMYFUNCTION("GOOGLEFINANCE(MH1, ""open"",MG8, MG8,""DAILY"")"),"Date")</f>
        <v>Date</v>
      </c>
      <c r="MH4" s="42" t="str">
        <f>IFERROR(__xludf.DUMMYFUNCTION("""COMPUTED_VALUE"""),"Open")</f>
        <v>Open</v>
      </c>
      <c r="MJ4" s="41"/>
      <c r="MK4" s="41" t="str">
        <f>IFERROR(__xludf.DUMMYFUNCTION("GOOGLEFINANCE(ML1, ""open"",MK8, MK8,""DAILY"")"),"Date")</f>
        <v>Date</v>
      </c>
      <c r="ML4" s="42" t="str">
        <f>IFERROR(__xludf.DUMMYFUNCTION("""COMPUTED_VALUE"""),"Open")</f>
        <v>Open</v>
      </c>
      <c r="MN4" s="41"/>
      <c r="MO4" s="41" t="str">
        <f>IFERROR(__xludf.DUMMYFUNCTION("GOOGLEFINANCE(MP1, ""open"",MO8, MO8,""DAILY"")"),"Date")</f>
        <v>Date</v>
      </c>
      <c r="MP4" s="42" t="str">
        <f>IFERROR(__xludf.DUMMYFUNCTION("""COMPUTED_VALUE"""),"Open")</f>
        <v>Open</v>
      </c>
      <c r="MR4" s="41"/>
      <c r="MS4" s="41" t="str">
        <f>IFERROR(__xludf.DUMMYFUNCTION("GOOGLEFINANCE(MT1, ""open"",MS8, MS8,""DAILY"")"),"Date")</f>
        <v>Date</v>
      </c>
      <c r="MT4" s="42" t="str">
        <f>IFERROR(__xludf.DUMMYFUNCTION("""COMPUTED_VALUE"""),"Open")</f>
        <v>Open</v>
      </c>
      <c r="MV4" s="41"/>
      <c r="MW4" s="41" t="str">
        <f>IFERROR(__xludf.DUMMYFUNCTION("GOOGLEFINANCE(MX1, ""open"",MW8, MW8,""DAILY"")"),"Date")</f>
        <v>Date</v>
      </c>
      <c r="MX4" s="42" t="str">
        <f>IFERROR(__xludf.DUMMYFUNCTION("""COMPUTED_VALUE"""),"Open")</f>
        <v>Open</v>
      </c>
      <c r="MZ4" s="41"/>
      <c r="NA4" s="41" t="str">
        <f>IFERROR(__xludf.DUMMYFUNCTION("GOOGLEFINANCE(NB1, ""open"",NA8, NA8,""DAILY"")"),"Date")</f>
        <v>Date</v>
      </c>
      <c r="NB4" s="42" t="str">
        <f>IFERROR(__xludf.DUMMYFUNCTION("""COMPUTED_VALUE"""),"Open")</f>
        <v>Open</v>
      </c>
      <c r="ND4" s="41"/>
      <c r="NE4" s="41" t="str">
        <f>IFERROR(__xludf.DUMMYFUNCTION("GOOGLEFINANCE(NF1, ""open"",NE8, NE8,""DAILY"")"),"Date")</f>
        <v>Date</v>
      </c>
      <c r="NF4" s="42" t="str">
        <f>IFERROR(__xludf.DUMMYFUNCTION("""COMPUTED_VALUE"""),"Open")</f>
        <v>Open</v>
      </c>
      <c r="NH4" s="41"/>
      <c r="NI4" s="41" t="str">
        <f>IFERROR(__xludf.DUMMYFUNCTION("GOOGLEFINANCE(NJ1, ""open"",NI8, NI8,""DAILY"")"),"Date")</f>
        <v>Date</v>
      </c>
      <c r="NJ4" s="42" t="str">
        <f>IFERROR(__xludf.DUMMYFUNCTION("""COMPUTED_VALUE"""),"Open")</f>
        <v>Open</v>
      </c>
      <c r="NL4" s="41"/>
      <c r="NM4" s="41" t="str">
        <f>IFERROR(__xludf.DUMMYFUNCTION("GOOGLEFINANCE(NN1, ""open"",NM8, NM8,""DAILY"")"),"Date")</f>
        <v>Date</v>
      </c>
      <c r="NN4" s="42" t="str">
        <f>IFERROR(__xludf.DUMMYFUNCTION("""COMPUTED_VALUE"""),"Open")</f>
        <v>Open</v>
      </c>
      <c r="NP4" s="41"/>
      <c r="NQ4" s="41" t="str">
        <f>IFERROR(__xludf.DUMMYFUNCTION("GOOGLEFINANCE(NR1, ""open"",NQ8, NQ8,""DAILY"")"),"Date")</f>
        <v>Date</v>
      </c>
      <c r="NR4" s="42" t="str">
        <f>IFERROR(__xludf.DUMMYFUNCTION("""COMPUTED_VALUE"""),"Open")</f>
        <v>Open</v>
      </c>
      <c r="NT4" s="41"/>
      <c r="NU4" s="41" t="str">
        <f>IFERROR(__xludf.DUMMYFUNCTION("GOOGLEFINANCE(NV1, ""open"",NU8, NU8,""DAILY"")"),"Date")</f>
        <v>Date</v>
      </c>
      <c r="NV4" s="42" t="str">
        <f>IFERROR(__xludf.DUMMYFUNCTION("""COMPUTED_VALUE"""),"Open")</f>
        <v>Open</v>
      </c>
      <c r="NX4" s="41"/>
      <c r="NY4" s="41" t="str">
        <f>IFERROR(__xludf.DUMMYFUNCTION("GOOGLEFINANCE(NZ1, ""open"",NY8, NY8,""DAILY"")"),"Date")</f>
        <v>Date</v>
      </c>
      <c r="NZ4" s="42" t="str">
        <f>IFERROR(__xludf.DUMMYFUNCTION("""COMPUTED_VALUE"""),"Open")</f>
        <v>Open</v>
      </c>
      <c r="OB4" s="41"/>
      <c r="OC4" s="41" t="str">
        <f>IFERROR(__xludf.DUMMYFUNCTION("GOOGLEFINANCE(OD1, ""open"",OC8, OC8,""DAILY"")"),"Date")</f>
        <v>Date</v>
      </c>
      <c r="OD4" s="42" t="str">
        <f>IFERROR(__xludf.DUMMYFUNCTION("""COMPUTED_VALUE"""),"Open")</f>
        <v>Open</v>
      </c>
      <c r="OF4" s="41"/>
      <c r="OG4" s="41" t="str">
        <f>IFERROR(__xludf.DUMMYFUNCTION("GOOGLEFINANCE(OH1, ""open"",OG8, OG8,""DAILY"")"),"Date")</f>
        <v>Date</v>
      </c>
      <c r="OH4" s="42" t="str">
        <f>IFERROR(__xludf.DUMMYFUNCTION("""COMPUTED_VALUE"""),"Open")</f>
        <v>Open</v>
      </c>
      <c r="OJ4" s="41"/>
      <c r="OK4" s="41" t="str">
        <f>IFERROR(__xludf.DUMMYFUNCTION("GOOGLEFINANCE(OL1, ""open"",OK8, OK8,""DAILY"")"),"#N/A")</f>
        <v>#N/A</v>
      </c>
      <c r="OL4" s="42"/>
      <c r="ON4" s="41"/>
    </row>
    <row r="5" ht="12.0" customHeight="1">
      <c r="A5" s="37">
        <f>IFERROR(__xludf.DUMMYFUNCTION("""COMPUTED_VALUE"""),45287.64583333333)</f>
        <v>45287.64583</v>
      </c>
      <c r="B5" s="42">
        <f>IFERROR(__xludf.DUMMYFUNCTION("""COMPUTED_VALUE"""),438.75)</f>
        <v>438.75</v>
      </c>
      <c r="D5" s="41"/>
      <c r="E5" s="37">
        <f>IFERROR(__xludf.DUMMYFUNCTION("""COMPUTED_VALUE"""),45287.64583333333)</f>
        <v>45287.64583</v>
      </c>
      <c r="F5" s="42">
        <f>IFERROR(__xludf.DUMMYFUNCTION("""COMPUTED_VALUE"""),655.0)</f>
        <v>655</v>
      </c>
      <c r="H5" s="41"/>
      <c r="I5" s="37">
        <f>IFERROR(__xludf.DUMMYFUNCTION("""COMPUTED_VALUE"""),45287.64583333333)</f>
        <v>45287.64583</v>
      </c>
      <c r="J5" s="42">
        <f>IFERROR(__xludf.DUMMYFUNCTION("""COMPUTED_VALUE"""),184.0)</f>
        <v>184</v>
      </c>
      <c r="L5" s="41"/>
      <c r="M5" s="37">
        <f>IFERROR(__xludf.DUMMYFUNCTION("""COMPUTED_VALUE"""),45287.64583333333)</f>
        <v>45287.64583</v>
      </c>
      <c r="N5" s="42">
        <f>IFERROR(__xludf.DUMMYFUNCTION("""COMPUTED_VALUE"""),86.4)</f>
        <v>86.4</v>
      </c>
      <c r="P5" s="41"/>
      <c r="Q5" s="37">
        <f>IFERROR(__xludf.DUMMYFUNCTION("""COMPUTED_VALUE"""),45287.64583333333)</f>
        <v>45287.64583</v>
      </c>
      <c r="R5" s="42">
        <f>IFERROR(__xludf.DUMMYFUNCTION("""COMPUTED_VALUE"""),52.5)</f>
        <v>52.5</v>
      </c>
      <c r="T5" s="41"/>
      <c r="U5" s="37">
        <f>IFERROR(__xludf.DUMMYFUNCTION("""COMPUTED_VALUE"""),45287.64583333333)</f>
        <v>45287.64583</v>
      </c>
      <c r="V5" s="42">
        <f>IFERROR(__xludf.DUMMYFUNCTION("""COMPUTED_VALUE"""),662.4)</f>
        <v>662.4</v>
      </c>
      <c r="X5" s="41"/>
      <c r="Y5" s="37">
        <f>IFERROR(__xludf.DUMMYFUNCTION("""COMPUTED_VALUE"""),45287.64583333333)</f>
        <v>45287.64583</v>
      </c>
      <c r="Z5" s="42">
        <f>IFERROR(__xludf.DUMMYFUNCTION("""COMPUTED_VALUE"""),185.0)</f>
        <v>185</v>
      </c>
      <c r="AB5" s="41"/>
      <c r="AC5" s="37">
        <f>IFERROR(__xludf.DUMMYFUNCTION("""COMPUTED_VALUE"""),45287.64583333333)</f>
        <v>45287.64583</v>
      </c>
      <c r="AD5" s="42">
        <f>IFERROR(__xludf.DUMMYFUNCTION("""COMPUTED_VALUE"""),2374.5)</f>
        <v>2374.5</v>
      </c>
      <c r="AF5" s="41"/>
      <c r="AG5" s="37">
        <f>IFERROR(__xludf.DUMMYFUNCTION("""COMPUTED_VALUE"""),45287.64583333333)</f>
        <v>45287.64583</v>
      </c>
      <c r="AH5" s="42">
        <f>IFERROR(__xludf.DUMMYFUNCTION("""COMPUTED_VALUE"""),840.0)</f>
        <v>840</v>
      </c>
      <c r="AJ5" s="41"/>
      <c r="AK5" s="37">
        <f>IFERROR(__xludf.DUMMYFUNCTION("""COMPUTED_VALUE"""),45287.64583333333)</f>
        <v>45287.64583</v>
      </c>
      <c r="AL5" s="42">
        <f>IFERROR(__xludf.DUMMYFUNCTION("""COMPUTED_VALUE"""),5200.0)</f>
        <v>5200</v>
      </c>
      <c r="AN5" s="41"/>
      <c r="AO5" s="37">
        <f>IFERROR(__xludf.DUMMYFUNCTION("""COMPUTED_VALUE"""),45287.64583333333)</f>
        <v>45287.64583</v>
      </c>
      <c r="AP5" s="42">
        <f>IFERROR(__xludf.DUMMYFUNCTION("""COMPUTED_VALUE"""),910.0)</f>
        <v>910</v>
      </c>
      <c r="AR5" s="41"/>
      <c r="AS5" s="37">
        <f>IFERROR(__xludf.DUMMYFUNCTION("""COMPUTED_VALUE"""),45287.64583333333)</f>
        <v>45287.64583</v>
      </c>
      <c r="AT5" s="42">
        <f>IFERROR(__xludf.DUMMYFUNCTION("""COMPUTED_VALUE"""),2483.9)</f>
        <v>2483.9</v>
      </c>
      <c r="AV5" s="41"/>
      <c r="AW5" s="37">
        <f>IFERROR(__xludf.DUMMYFUNCTION("""COMPUTED_VALUE"""),45287.64583333333)</f>
        <v>45287.64583</v>
      </c>
      <c r="AX5" s="42">
        <f>IFERROR(__xludf.DUMMYFUNCTION("""COMPUTED_VALUE"""),5644.6)</f>
        <v>5644.6</v>
      </c>
      <c r="AZ5" s="41"/>
      <c r="BA5" s="37">
        <f>IFERROR(__xludf.DUMMYFUNCTION("""COMPUTED_VALUE"""),45287.64583333333)</f>
        <v>45287.64583</v>
      </c>
      <c r="BB5" s="42">
        <f>IFERROR(__xludf.DUMMYFUNCTION("""COMPUTED_VALUE"""),468.5)</f>
        <v>468.5</v>
      </c>
      <c r="BD5" s="41"/>
      <c r="BE5" s="37">
        <f>IFERROR(__xludf.DUMMYFUNCTION("""COMPUTED_VALUE"""),45287.64583333333)</f>
        <v>45287.64583</v>
      </c>
      <c r="BF5" s="42">
        <f>IFERROR(__xludf.DUMMYFUNCTION("""COMPUTED_VALUE"""),407.0)</f>
        <v>407</v>
      </c>
      <c r="BH5" s="41"/>
      <c r="BI5" s="37">
        <f>IFERROR(__xludf.DUMMYFUNCTION("""COMPUTED_VALUE"""),45287.64583333333)</f>
        <v>45287.64583</v>
      </c>
      <c r="BJ5" s="42">
        <f>IFERROR(__xludf.DUMMYFUNCTION("""COMPUTED_VALUE"""),69.45)</f>
        <v>69.45</v>
      </c>
      <c r="BL5" s="41"/>
      <c r="BM5" s="37">
        <f>IFERROR(__xludf.DUMMYFUNCTION("""COMPUTED_VALUE"""),45287.64583333333)</f>
        <v>45287.64583</v>
      </c>
      <c r="BN5" s="42">
        <f>IFERROR(__xludf.DUMMYFUNCTION("""COMPUTED_VALUE"""),256.0)</f>
        <v>256</v>
      </c>
      <c r="BP5" s="41"/>
      <c r="BQ5" s="37">
        <f>IFERROR(__xludf.DUMMYFUNCTION("""COMPUTED_VALUE"""),45287.64583333333)</f>
        <v>45287.64583</v>
      </c>
      <c r="BR5" s="42">
        <f>IFERROR(__xludf.DUMMYFUNCTION("""COMPUTED_VALUE"""),60.9)</f>
        <v>60.9</v>
      </c>
      <c r="BT5" s="41"/>
      <c r="BU5" s="37">
        <f>IFERROR(__xludf.DUMMYFUNCTION("""COMPUTED_VALUE"""),45287.64583333333)</f>
        <v>45287.64583</v>
      </c>
      <c r="BV5" s="42">
        <f>IFERROR(__xludf.DUMMYFUNCTION("""COMPUTED_VALUE"""),309.4)</f>
        <v>309.4</v>
      </c>
      <c r="BX5" s="41"/>
      <c r="BY5" s="37">
        <f>IFERROR(__xludf.DUMMYFUNCTION("""COMPUTED_VALUE"""),45287.64583333333)</f>
        <v>45287.64583</v>
      </c>
      <c r="BZ5" s="42">
        <f>IFERROR(__xludf.DUMMYFUNCTION("""COMPUTED_VALUE"""),409.5)</f>
        <v>409.5</v>
      </c>
      <c r="CB5" s="41"/>
      <c r="CC5" s="37">
        <f>IFERROR(__xludf.DUMMYFUNCTION("""COMPUTED_VALUE"""),45287.64583333333)</f>
        <v>45287.64583</v>
      </c>
      <c r="CD5" s="42">
        <f>IFERROR(__xludf.DUMMYFUNCTION("""COMPUTED_VALUE"""),231.7)</f>
        <v>231.7</v>
      </c>
      <c r="CF5" s="41"/>
      <c r="CG5" s="37">
        <f>IFERROR(__xludf.DUMMYFUNCTION("""COMPUTED_VALUE"""),45287.64583333333)</f>
        <v>45287.64583</v>
      </c>
      <c r="CH5" s="42">
        <f>IFERROR(__xludf.DUMMYFUNCTION("""COMPUTED_VALUE"""),636.0)</f>
        <v>636</v>
      </c>
      <c r="CJ5" s="41"/>
      <c r="CK5" s="37">
        <f>IFERROR(__xludf.DUMMYFUNCTION("""COMPUTED_VALUE"""),45287.64583333333)</f>
        <v>45287.64583</v>
      </c>
      <c r="CL5" s="42">
        <f>IFERROR(__xludf.DUMMYFUNCTION("""COMPUTED_VALUE"""),337.0)</f>
        <v>337</v>
      </c>
      <c r="CN5" s="41"/>
      <c r="CO5" s="37">
        <f>IFERROR(__xludf.DUMMYFUNCTION("""COMPUTED_VALUE"""),45287.64583333333)</f>
        <v>45287.64583</v>
      </c>
      <c r="CP5" s="42">
        <f>IFERROR(__xludf.DUMMYFUNCTION("""COMPUTED_VALUE"""),14.8)</f>
        <v>14.8</v>
      </c>
      <c r="CR5" s="41"/>
      <c r="CS5" s="37">
        <f>IFERROR(__xludf.DUMMYFUNCTION("""COMPUTED_VALUE"""),45287.64583333333)</f>
        <v>45287.64583</v>
      </c>
      <c r="CT5" s="42">
        <f>IFERROR(__xludf.DUMMYFUNCTION("""COMPUTED_VALUE"""),198.0)</f>
        <v>198</v>
      </c>
      <c r="CV5" s="41"/>
      <c r="CW5" s="37">
        <f>IFERROR(__xludf.DUMMYFUNCTION("""COMPUTED_VALUE"""),45287.64583333333)</f>
        <v>45287.64583</v>
      </c>
      <c r="CX5" s="42">
        <f>IFERROR(__xludf.DUMMYFUNCTION("""COMPUTED_VALUE"""),691.78)</f>
        <v>691.78</v>
      </c>
      <c r="CZ5" s="41"/>
      <c r="DA5" s="37">
        <f>IFERROR(__xludf.DUMMYFUNCTION("""COMPUTED_VALUE"""),45287.64583333333)</f>
        <v>45287.64583</v>
      </c>
      <c r="DB5" s="42">
        <f>IFERROR(__xludf.DUMMYFUNCTION("""COMPUTED_VALUE"""),27.9)</f>
        <v>27.9</v>
      </c>
      <c r="DD5" s="41"/>
      <c r="DE5" s="37">
        <f>IFERROR(__xludf.DUMMYFUNCTION("""COMPUTED_VALUE"""),45287.64583333333)</f>
        <v>45287.64583</v>
      </c>
      <c r="DF5" s="42">
        <f>IFERROR(__xludf.DUMMYFUNCTION("""COMPUTED_VALUE"""),113.3)</f>
        <v>113.3</v>
      </c>
      <c r="DH5" s="41"/>
      <c r="DI5" s="37">
        <f>IFERROR(__xludf.DUMMYFUNCTION("""COMPUTED_VALUE"""),45287.64583333333)</f>
        <v>45287.64583</v>
      </c>
      <c r="DJ5" s="42">
        <f>IFERROR(__xludf.DUMMYFUNCTION("""COMPUTED_VALUE"""),1604.8)</f>
        <v>1604.8</v>
      </c>
      <c r="DL5" s="41"/>
      <c r="DM5" s="37">
        <f>IFERROR(__xludf.DUMMYFUNCTION("""COMPUTED_VALUE"""),45287.64583333333)</f>
        <v>45287.64583</v>
      </c>
      <c r="DN5" s="42">
        <f>IFERROR(__xludf.DUMMYFUNCTION("""COMPUTED_VALUE"""),536.15)</f>
        <v>536.15</v>
      </c>
      <c r="DP5" s="41"/>
      <c r="DQ5" s="37">
        <f>IFERROR(__xludf.DUMMYFUNCTION("""COMPUTED_VALUE"""),45287.64583333333)</f>
        <v>45287.64583</v>
      </c>
      <c r="DR5" s="42">
        <f>IFERROR(__xludf.DUMMYFUNCTION("""COMPUTED_VALUE"""),218.0)</f>
        <v>218</v>
      </c>
      <c r="DT5" s="41"/>
      <c r="DU5" s="37">
        <f>IFERROR(__xludf.DUMMYFUNCTION("""COMPUTED_VALUE"""),45287.64583333333)</f>
        <v>45287.64583</v>
      </c>
      <c r="DV5" s="42">
        <f>IFERROR(__xludf.DUMMYFUNCTION("""COMPUTED_VALUE"""),850.5)</f>
        <v>850.5</v>
      </c>
      <c r="DX5" s="41"/>
      <c r="DY5" s="37">
        <f>IFERROR(__xludf.DUMMYFUNCTION("""COMPUTED_VALUE"""),45287.64583333333)</f>
        <v>45287.64583</v>
      </c>
      <c r="DZ5" s="42">
        <f>IFERROR(__xludf.DUMMYFUNCTION("""COMPUTED_VALUE"""),10.85)</f>
        <v>10.85</v>
      </c>
      <c r="EB5" s="41"/>
      <c r="EC5" s="37">
        <f>IFERROR(__xludf.DUMMYFUNCTION("""COMPUTED_VALUE"""),45287.64583333333)</f>
        <v>45287.64583</v>
      </c>
      <c r="ED5" s="42">
        <f>IFERROR(__xludf.DUMMYFUNCTION("""COMPUTED_VALUE"""),2645.0)</f>
        <v>2645</v>
      </c>
      <c r="EF5" s="41"/>
      <c r="EG5" s="37">
        <f>IFERROR(__xludf.DUMMYFUNCTION("""COMPUTED_VALUE"""),45287.64583333333)</f>
        <v>45287.64583</v>
      </c>
      <c r="EH5" s="42">
        <f>IFERROR(__xludf.DUMMYFUNCTION("""COMPUTED_VALUE"""),648.6)</f>
        <v>648.6</v>
      </c>
      <c r="EJ5" s="41"/>
      <c r="EK5" s="37">
        <f>IFERROR(__xludf.DUMMYFUNCTION("""COMPUTED_VALUE"""),45287.64583333333)</f>
        <v>45287.64583</v>
      </c>
      <c r="EL5" s="42">
        <f>IFERROR(__xludf.DUMMYFUNCTION("""COMPUTED_VALUE"""),202.0)</f>
        <v>202</v>
      </c>
      <c r="EN5" s="41"/>
      <c r="EO5" s="37">
        <f>IFERROR(__xludf.DUMMYFUNCTION("""COMPUTED_VALUE"""),45287.64583333333)</f>
        <v>45287.64583</v>
      </c>
      <c r="EP5" s="42">
        <f>IFERROR(__xludf.DUMMYFUNCTION("""COMPUTED_VALUE"""),154.95)</f>
        <v>154.95</v>
      </c>
      <c r="ER5" s="41"/>
      <c r="ES5" s="37">
        <f>IFERROR(__xludf.DUMMYFUNCTION("""COMPUTED_VALUE"""),45287.64583333333)</f>
        <v>45287.64583</v>
      </c>
      <c r="ET5" s="42">
        <f>IFERROR(__xludf.DUMMYFUNCTION("""COMPUTED_VALUE"""),194.35)</f>
        <v>194.35</v>
      </c>
      <c r="EV5" s="41"/>
      <c r="EW5" s="37">
        <f>IFERROR(__xludf.DUMMYFUNCTION("""COMPUTED_VALUE"""),45287.64583333333)</f>
        <v>45287.64583</v>
      </c>
      <c r="EX5" s="42">
        <f>IFERROR(__xludf.DUMMYFUNCTION("""COMPUTED_VALUE"""),648.0)</f>
        <v>648</v>
      </c>
      <c r="EZ5" s="41"/>
      <c r="FA5" s="37">
        <f>IFERROR(__xludf.DUMMYFUNCTION("""COMPUTED_VALUE"""),45287.64583333333)</f>
        <v>45287.64583</v>
      </c>
      <c r="FB5" s="42">
        <f>IFERROR(__xludf.DUMMYFUNCTION("""COMPUTED_VALUE"""),174.4)</f>
        <v>174.4</v>
      </c>
      <c r="FD5" s="41"/>
      <c r="FE5" s="37">
        <f>IFERROR(__xludf.DUMMYFUNCTION("""COMPUTED_VALUE"""),45287.64583333333)</f>
        <v>45287.64583</v>
      </c>
      <c r="FF5" s="42">
        <f>IFERROR(__xludf.DUMMYFUNCTION("""COMPUTED_VALUE"""),304.8)</f>
        <v>304.8</v>
      </c>
      <c r="FH5" s="41"/>
      <c r="FI5" s="37">
        <f>IFERROR(__xludf.DUMMYFUNCTION("""COMPUTED_VALUE"""),45287.64583333333)</f>
        <v>45287.64583</v>
      </c>
      <c r="FJ5" s="42">
        <f>IFERROR(__xludf.DUMMYFUNCTION("""COMPUTED_VALUE"""),606.05)</f>
        <v>606.05</v>
      </c>
      <c r="FL5" s="41"/>
      <c r="FM5" s="37">
        <f>IFERROR(__xludf.DUMMYFUNCTION("""COMPUTED_VALUE"""),45287.64583333333)</f>
        <v>45287.64583</v>
      </c>
      <c r="FN5" s="42">
        <f>IFERROR(__xludf.DUMMYFUNCTION("""COMPUTED_VALUE"""),95.0)</f>
        <v>95</v>
      </c>
      <c r="FP5" s="41"/>
      <c r="FQ5" s="37">
        <f>IFERROR(__xludf.DUMMYFUNCTION("""COMPUTED_VALUE"""),45287.64583333333)</f>
        <v>45287.64583</v>
      </c>
      <c r="FR5" s="42">
        <f>IFERROR(__xludf.DUMMYFUNCTION("""COMPUTED_VALUE"""),5.5)</f>
        <v>5.5</v>
      </c>
      <c r="FT5" s="41"/>
      <c r="FU5" s="37">
        <f>IFERROR(__xludf.DUMMYFUNCTION("""COMPUTED_VALUE"""),45287.64583333333)</f>
        <v>45287.64583</v>
      </c>
      <c r="FV5" s="42">
        <f>IFERROR(__xludf.DUMMYFUNCTION("""COMPUTED_VALUE"""),667.55)</f>
        <v>667.55</v>
      </c>
      <c r="FX5" s="41"/>
      <c r="FY5" s="37">
        <f>IFERROR(__xludf.DUMMYFUNCTION("""COMPUTED_VALUE"""),45287.64583333333)</f>
        <v>45287.64583</v>
      </c>
      <c r="FZ5" s="42">
        <f>IFERROR(__xludf.DUMMYFUNCTION("""COMPUTED_VALUE"""),169.8)</f>
        <v>169.8</v>
      </c>
      <c r="GB5" s="41"/>
      <c r="GC5" s="37">
        <f>IFERROR(__xludf.DUMMYFUNCTION("""COMPUTED_VALUE"""),45287.64583333333)</f>
        <v>45287.64583</v>
      </c>
      <c r="GD5" s="42">
        <f>IFERROR(__xludf.DUMMYFUNCTION("""COMPUTED_VALUE"""),461.9)</f>
        <v>461.9</v>
      </c>
      <c r="GF5" s="41"/>
      <c r="GG5" s="37">
        <f>IFERROR(__xludf.DUMMYFUNCTION("""COMPUTED_VALUE"""),45287.64583333333)</f>
        <v>45287.64583</v>
      </c>
      <c r="GH5" s="42">
        <f>IFERROR(__xludf.DUMMYFUNCTION("""COMPUTED_VALUE"""),5299.0)</f>
        <v>5299</v>
      </c>
      <c r="GJ5" s="41"/>
      <c r="GK5" s="37">
        <f>IFERROR(__xludf.DUMMYFUNCTION("""COMPUTED_VALUE"""),45287.64583333333)</f>
        <v>45287.64583</v>
      </c>
      <c r="GL5" s="42">
        <f>IFERROR(__xludf.DUMMYFUNCTION("""COMPUTED_VALUE"""),113.4)</f>
        <v>113.4</v>
      </c>
      <c r="GN5" s="41"/>
      <c r="GO5" s="37">
        <f>IFERROR(__xludf.DUMMYFUNCTION("""COMPUTED_VALUE"""),45286.64583333333)</f>
        <v>45286.64583</v>
      </c>
      <c r="GP5" s="42">
        <f>IFERROR(__xludf.DUMMYFUNCTION("""COMPUTED_VALUE"""),1099.55)</f>
        <v>1099.55</v>
      </c>
      <c r="GR5" s="41"/>
      <c r="GS5" s="37">
        <f>IFERROR(__xludf.DUMMYFUNCTION("""COMPUTED_VALUE"""),45287.64583333333)</f>
        <v>45287.64583</v>
      </c>
      <c r="GT5" s="42">
        <f>IFERROR(__xludf.DUMMYFUNCTION("""COMPUTED_VALUE"""),12.95)</f>
        <v>12.95</v>
      </c>
      <c r="GV5" s="41"/>
      <c r="GW5" s="37">
        <f>IFERROR(__xludf.DUMMYFUNCTION("""COMPUTED_VALUE"""),45288.64583333333)</f>
        <v>45288.64583</v>
      </c>
      <c r="GX5" s="42">
        <f>IFERROR(__xludf.DUMMYFUNCTION("""COMPUTED_VALUE"""),16.5)</f>
        <v>16.5</v>
      </c>
      <c r="GZ5" s="41"/>
      <c r="HA5" s="37">
        <f>IFERROR(__xludf.DUMMYFUNCTION("""COMPUTED_VALUE"""),45288.64583333333)</f>
        <v>45288.64583</v>
      </c>
      <c r="HB5" s="42">
        <f>IFERROR(__xludf.DUMMYFUNCTION("""COMPUTED_VALUE"""),608.0)</f>
        <v>608</v>
      </c>
      <c r="HD5" s="41"/>
      <c r="HE5" s="43">
        <v>45247.64583333333</v>
      </c>
      <c r="HF5" s="42"/>
      <c r="HH5" s="41"/>
      <c r="HI5" s="37">
        <f>IFERROR(__xludf.DUMMYFUNCTION("""COMPUTED_VALUE"""),45288.64583333333)</f>
        <v>45288.64583</v>
      </c>
      <c r="HJ5" s="42">
        <f>IFERROR(__xludf.DUMMYFUNCTION("""COMPUTED_VALUE"""),5110.05)</f>
        <v>5110.05</v>
      </c>
      <c r="HL5" s="41"/>
      <c r="HM5" s="37">
        <f>IFERROR(__xludf.DUMMYFUNCTION("""COMPUTED_VALUE"""),45288.64583333333)</f>
        <v>45288.64583</v>
      </c>
      <c r="HN5" s="42">
        <f>IFERROR(__xludf.DUMMYFUNCTION("""COMPUTED_VALUE"""),406.55)</f>
        <v>406.55</v>
      </c>
      <c r="HP5" s="41"/>
      <c r="HQ5" s="37">
        <f>IFERROR(__xludf.DUMMYFUNCTION("""COMPUTED_VALUE"""),45288.64583333333)</f>
        <v>45288.64583</v>
      </c>
      <c r="HR5" s="42">
        <f>IFERROR(__xludf.DUMMYFUNCTION("""COMPUTED_VALUE"""),254.3)</f>
        <v>254.3</v>
      </c>
      <c r="HT5" s="41"/>
      <c r="HU5" s="37">
        <f>IFERROR(__xludf.DUMMYFUNCTION("""COMPUTED_VALUE"""),45288.64583333333)</f>
        <v>45288.64583</v>
      </c>
      <c r="HV5" s="42">
        <f>IFERROR(__xludf.DUMMYFUNCTION("""COMPUTED_VALUE"""),62.4)</f>
        <v>62.4</v>
      </c>
      <c r="HX5" s="41"/>
      <c r="HY5" s="37">
        <f>IFERROR(__xludf.DUMMYFUNCTION("""COMPUTED_VALUE"""),45288.64583333333)</f>
        <v>45288.64583</v>
      </c>
      <c r="HZ5" s="42">
        <f>IFERROR(__xludf.DUMMYFUNCTION("""COMPUTED_VALUE"""),465.0)</f>
        <v>465</v>
      </c>
      <c r="IB5" s="41"/>
      <c r="IC5" s="37">
        <f>IFERROR(__xludf.DUMMYFUNCTION("""COMPUTED_VALUE"""),45287.64583333333)</f>
        <v>45287.64583</v>
      </c>
      <c r="ID5" s="42">
        <f>IFERROR(__xludf.DUMMYFUNCTION("""COMPUTED_VALUE"""),438.75)</f>
        <v>438.75</v>
      </c>
      <c r="IF5" s="41"/>
      <c r="IG5" s="37">
        <f>IFERROR(__xludf.DUMMYFUNCTION("""COMPUTED_VALUE"""),45288.64583333333)</f>
        <v>45288.64583</v>
      </c>
      <c r="IH5" s="42">
        <f>IFERROR(__xludf.DUMMYFUNCTION("""COMPUTED_VALUE"""),533.0)</f>
        <v>533</v>
      </c>
      <c r="IJ5" s="41"/>
      <c r="IK5" s="37">
        <f>IFERROR(__xludf.DUMMYFUNCTION("""COMPUTED_VALUE"""),45288.64583333333)</f>
        <v>45288.64583</v>
      </c>
      <c r="IL5" s="42">
        <f>IFERROR(__xludf.DUMMYFUNCTION("""COMPUTED_VALUE"""),617.95)</f>
        <v>617.95</v>
      </c>
      <c r="IN5" s="41"/>
      <c r="IO5" s="37">
        <f>IFERROR(__xludf.DUMMYFUNCTION("""COMPUTED_VALUE"""),45288.64583333333)</f>
        <v>45288.64583</v>
      </c>
      <c r="IP5" s="42">
        <f>IFERROR(__xludf.DUMMYFUNCTION("""COMPUTED_VALUE"""),125.69)</f>
        <v>125.69</v>
      </c>
      <c r="IR5" s="41"/>
      <c r="IS5" s="37">
        <f>IFERROR(__xludf.DUMMYFUNCTION("""COMPUTED_VALUE"""),45288.64583333333)</f>
        <v>45288.64583</v>
      </c>
      <c r="IT5" s="42">
        <f>IFERROR(__xludf.DUMMYFUNCTION("""COMPUTED_VALUE"""),1004.0)</f>
        <v>1004</v>
      </c>
      <c r="IV5" s="41"/>
      <c r="IW5" s="37">
        <f>IFERROR(__xludf.DUMMYFUNCTION("""COMPUTED_VALUE"""),45288.64583333333)</f>
        <v>45288.64583</v>
      </c>
      <c r="IX5" s="42">
        <f>IFERROR(__xludf.DUMMYFUNCTION("""COMPUTED_VALUE"""),205.95)</f>
        <v>205.95</v>
      </c>
      <c r="IZ5" s="41"/>
      <c r="JA5" s="37">
        <f>IFERROR(__xludf.DUMMYFUNCTION("""COMPUTED_VALUE"""),45288.64583333333)</f>
        <v>45288.64583</v>
      </c>
      <c r="JB5" s="42">
        <f>IFERROR(__xludf.DUMMYFUNCTION("""COMPUTED_VALUE"""),35402.65)</f>
        <v>35402.65</v>
      </c>
      <c r="JD5" s="41"/>
      <c r="JE5" s="37">
        <f>IFERROR(__xludf.DUMMYFUNCTION("""COMPUTED_VALUE"""),45288.64583333333)</f>
        <v>45288.64583</v>
      </c>
      <c r="JF5" s="42">
        <f>IFERROR(__xludf.DUMMYFUNCTION("""COMPUTED_VALUE"""),645.0)</f>
        <v>645</v>
      </c>
      <c r="JH5" s="41"/>
      <c r="JI5" s="37">
        <f>IFERROR(__xludf.DUMMYFUNCTION("""COMPUTED_VALUE"""),45288.64583333333)</f>
        <v>45288.64583</v>
      </c>
      <c r="JJ5" s="42">
        <f>IFERROR(__xludf.DUMMYFUNCTION("""COMPUTED_VALUE"""),333.95)</f>
        <v>333.95</v>
      </c>
      <c r="JL5" s="41"/>
      <c r="JM5" s="37">
        <f>IFERROR(__xludf.DUMMYFUNCTION("""COMPUTED_VALUE"""),45287.64583333333)</f>
        <v>45287.64583</v>
      </c>
      <c r="JN5" s="42">
        <f>IFERROR(__xludf.DUMMYFUNCTION("""COMPUTED_VALUE"""),438.75)</f>
        <v>438.75</v>
      </c>
      <c r="JP5" s="41"/>
      <c r="JQ5" s="37">
        <f>IFERROR(__xludf.DUMMYFUNCTION("""COMPUTED_VALUE"""),45288.64583333333)</f>
        <v>45288.64583</v>
      </c>
      <c r="JR5" s="42">
        <f>IFERROR(__xludf.DUMMYFUNCTION("""COMPUTED_VALUE"""),136.0)</f>
        <v>136</v>
      </c>
      <c r="JT5" s="41"/>
      <c r="JU5" s="37">
        <f>IFERROR(__xludf.DUMMYFUNCTION("""COMPUTED_VALUE"""),45287.64583333333)</f>
        <v>45287.64583</v>
      </c>
      <c r="JV5" s="42">
        <f>IFERROR(__xludf.DUMMYFUNCTION("""COMPUTED_VALUE"""),438.75)</f>
        <v>438.75</v>
      </c>
      <c r="JX5" s="41"/>
      <c r="JY5" s="37">
        <f>IFERROR(__xludf.DUMMYFUNCTION("""COMPUTED_VALUE"""),45288.64583333333)</f>
        <v>45288.64583</v>
      </c>
      <c r="JZ5" s="42">
        <f>IFERROR(__xludf.DUMMYFUNCTION("""COMPUTED_VALUE"""),551.0)</f>
        <v>551</v>
      </c>
      <c r="KB5" s="41"/>
      <c r="KC5" s="37">
        <f>IFERROR(__xludf.DUMMYFUNCTION("""COMPUTED_VALUE"""),45288.64583333333)</f>
        <v>45288.64583</v>
      </c>
      <c r="KD5" s="42">
        <f>IFERROR(__xludf.DUMMYFUNCTION("""COMPUTED_VALUE"""),873.55)</f>
        <v>873.55</v>
      </c>
      <c r="KF5" s="41"/>
      <c r="KG5" s="37">
        <f>IFERROR(__xludf.DUMMYFUNCTION("""COMPUTED_VALUE"""),45288.64583333333)</f>
        <v>45288.64583</v>
      </c>
      <c r="KH5" s="42">
        <f>IFERROR(__xludf.DUMMYFUNCTION("""COMPUTED_VALUE"""),390.0)</f>
        <v>390</v>
      </c>
      <c r="KJ5" s="41"/>
      <c r="KK5" s="37">
        <f>IFERROR(__xludf.DUMMYFUNCTION("""COMPUTED_VALUE"""),45288.64583333333)</f>
        <v>45288.64583</v>
      </c>
      <c r="KL5" s="42">
        <f>IFERROR(__xludf.DUMMYFUNCTION("""COMPUTED_VALUE"""),9.3)</f>
        <v>9.3</v>
      </c>
      <c r="KN5" s="41"/>
      <c r="KO5" s="37">
        <f>IFERROR(__xludf.DUMMYFUNCTION("""COMPUTED_VALUE"""),45288.64583333333)</f>
        <v>45288.64583</v>
      </c>
      <c r="KP5" s="42">
        <f>IFERROR(__xludf.DUMMYFUNCTION("""COMPUTED_VALUE"""),203.3)</f>
        <v>203.3</v>
      </c>
      <c r="KR5" s="41"/>
      <c r="KS5" s="37">
        <f>IFERROR(__xludf.DUMMYFUNCTION("""COMPUTED_VALUE"""),45288.64583333333)</f>
        <v>45288.64583</v>
      </c>
      <c r="KT5" s="42">
        <f>IFERROR(__xludf.DUMMYFUNCTION("""COMPUTED_VALUE"""),11.05)</f>
        <v>11.05</v>
      </c>
      <c r="KV5" s="41"/>
      <c r="KW5" s="37">
        <f>IFERROR(__xludf.DUMMYFUNCTION("""COMPUTED_VALUE"""),45288.64583333333)</f>
        <v>45288.64583</v>
      </c>
      <c r="KX5" s="42">
        <f>IFERROR(__xludf.DUMMYFUNCTION("""COMPUTED_VALUE"""),2669.95)</f>
        <v>2669.95</v>
      </c>
      <c r="KZ5" s="41"/>
      <c r="LA5" s="37">
        <f>IFERROR(__xludf.DUMMYFUNCTION("""COMPUTED_VALUE"""),45288.64583333333)</f>
        <v>45288.64583</v>
      </c>
      <c r="LB5" s="42">
        <f>IFERROR(__xludf.DUMMYFUNCTION("""COMPUTED_VALUE"""),18.85)</f>
        <v>18.85</v>
      </c>
      <c r="LD5" s="41"/>
      <c r="LE5" s="37">
        <f>IFERROR(__xludf.DUMMYFUNCTION("""COMPUTED_VALUE"""),45288.64583333333)</f>
        <v>45288.64583</v>
      </c>
      <c r="LF5" s="42">
        <f>IFERROR(__xludf.DUMMYFUNCTION("""COMPUTED_VALUE"""),125.0)</f>
        <v>125</v>
      </c>
      <c r="LH5" s="41"/>
      <c r="LI5" s="37">
        <f>IFERROR(__xludf.DUMMYFUNCTION("""COMPUTED_VALUE"""),45288.64583333333)</f>
        <v>45288.64583</v>
      </c>
      <c r="LJ5" s="42">
        <f>IFERROR(__xludf.DUMMYFUNCTION("""COMPUTED_VALUE"""),728.0)</f>
        <v>728</v>
      </c>
      <c r="LL5" s="41"/>
      <c r="LM5" s="37">
        <f>IFERROR(__xludf.DUMMYFUNCTION("""COMPUTED_VALUE"""),45288.64583333333)</f>
        <v>45288.64583</v>
      </c>
      <c r="LN5" s="42">
        <f>IFERROR(__xludf.DUMMYFUNCTION("""COMPUTED_VALUE"""),855.0)</f>
        <v>855</v>
      </c>
      <c r="LP5" s="41"/>
      <c r="LQ5" s="37">
        <f>IFERROR(__xludf.DUMMYFUNCTION("""COMPUTED_VALUE"""),45288.64583333333)</f>
        <v>45288.64583</v>
      </c>
      <c r="LR5" s="42">
        <f>IFERROR(__xludf.DUMMYFUNCTION("""COMPUTED_VALUE"""),365.4)</f>
        <v>365.4</v>
      </c>
      <c r="LT5" s="41"/>
      <c r="LU5" s="37">
        <f>IFERROR(__xludf.DUMMYFUNCTION("""COMPUTED_VALUE"""),45288.64583333333)</f>
        <v>45288.64583</v>
      </c>
      <c r="LV5" s="42">
        <f>IFERROR(__xludf.DUMMYFUNCTION("""COMPUTED_VALUE"""),136.8)</f>
        <v>136.8</v>
      </c>
      <c r="LX5" s="41"/>
      <c r="LY5" s="37">
        <f>IFERROR(__xludf.DUMMYFUNCTION("""COMPUTED_VALUE"""),45288.64583333333)</f>
        <v>45288.64583</v>
      </c>
      <c r="LZ5" s="42">
        <f>IFERROR(__xludf.DUMMYFUNCTION("""COMPUTED_VALUE"""),620.0)</f>
        <v>620</v>
      </c>
      <c r="MB5" s="41"/>
      <c r="MC5" s="37"/>
      <c r="MD5" s="42"/>
      <c r="MF5" s="41"/>
      <c r="MG5" s="37">
        <f>IFERROR(__xludf.DUMMYFUNCTION("""COMPUTED_VALUE"""),45288.64583333333)</f>
        <v>45288.64583</v>
      </c>
      <c r="MH5" s="42">
        <f>IFERROR(__xludf.DUMMYFUNCTION("""COMPUTED_VALUE"""),1960.95)</f>
        <v>1960.95</v>
      </c>
      <c r="MJ5" s="41"/>
      <c r="MK5" s="37">
        <f>IFERROR(__xludf.DUMMYFUNCTION("""COMPUTED_VALUE"""),45288.64583333333)</f>
        <v>45288.64583</v>
      </c>
      <c r="ML5" s="42">
        <f>IFERROR(__xludf.DUMMYFUNCTION("""COMPUTED_VALUE"""),399.95)</f>
        <v>399.95</v>
      </c>
      <c r="MN5" s="41"/>
      <c r="MO5" s="37">
        <f>IFERROR(__xludf.DUMMYFUNCTION("""COMPUTED_VALUE"""),45288.64583333333)</f>
        <v>45288.64583</v>
      </c>
      <c r="MP5" s="42">
        <f>IFERROR(__xludf.DUMMYFUNCTION("""COMPUTED_VALUE"""),740.0)</f>
        <v>740</v>
      </c>
      <c r="MR5" s="41"/>
      <c r="MS5" s="37">
        <f>IFERROR(__xludf.DUMMYFUNCTION("""COMPUTED_VALUE"""),45288.64583333333)</f>
        <v>45288.64583</v>
      </c>
      <c r="MT5" s="42">
        <f>IFERROR(__xludf.DUMMYFUNCTION("""COMPUTED_VALUE"""),66.15)</f>
        <v>66.15</v>
      </c>
      <c r="MV5" s="41"/>
      <c r="MW5" s="37">
        <f>IFERROR(__xludf.DUMMYFUNCTION("""COMPUTED_VALUE"""),45288.64583333333)</f>
        <v>45288.64583</v>
      </c>
      <c r="MX5" s="42">
        <f>IFERROR(__xludf.DUMMYFUNCTION("""COMPUTED_VALUE"""),3147.0)</f>
        <v>3147</v>
      </c>
      <c r="MZ5" s="41"/>
      <c r="NA5" s="37">
        <f>IFERROR(__xludf.DUMMYFUNCTION("""COMPUTED_VALUE"""),45288.64583333333)</f>
        <v>45288.64583</v>
      </c>
      <c r="NB5" s="42">
        <f>IFERROR(__xludf.DUMMYFUNCTION("""COMPUTED_VALUE"""),12.65)</f>
        <v>12.65</v>
      </c>
      <c r="ND5" s="41"/>
      <c r="NE5" s="37">
        <f>IFERROR(__xludf.DUMMYFUNCTION("""COMPUTED_VALUE"""),45289.64583333333)</f>
        <v>45289.64583</v>
      </c>
      <c r="NF5" s="42">
        <f>IFERROR(__xludf.DUMMYFUNCTION("""COMPUTED_VALUE"""),382.95)</f>
        <v>382.95</v>
      </c>
      <c r="NH5" s="41"/>
      <c r="NI5" s="37">
        <f>IFERROR(__xludf.DUMMYFUNCTION("""COMPUTED_VALUE"""),45289.64583333333)</f>
        <v>45289.64583</v>
      </c>
      <c r="NJ5" s="42">
        <f>IFERROR(__xludf.DUMMYFUNCTION("""COMPUTED_VALUE"""),266.67)</f>
        <v>266.67</v>
      </c>
      <c r="NL5" s="41"/>
      <c r="NM5" s="37">
        <f>IFERROR(__xludf.DUMMYFUNCTION("""COMPUTED_VALUE"""),45289.64583333333)</f>
        <v>45289.64583</v>
      </c>
      <c r="NN5" s="42">
        <f>IFERROR(__xludf.DUMMYFUNCTION("""COMPUTED_VALUE"""),123.3)</f>
        <v>123.3</v>
      </c>
      <c r="NP5" s="41"/>
      <c r="NQ5" s="37">
        <f>IFERROR(__xludf.DUMMYFUNCTION("""COMPUTED_VALUE"""),45289.64583333333)</f>
        <v>45289.64583</v>
      </c>
      <c r="NR5" s="42">
        <f>IFERROR(__xludf.DUMMYFUNCTION("""COMPUTED_VALUE"""),4176.0)</f>
        <v>4176</v>
      </c>
      <c r="NT5" s="41"/>
      <c r="NU5" s="37">
        <f>IFERROR(__xludf.DUMMYFUNCTION("""COMPUTED_VALUE"""),45289.64583333333)</f>
        <v>45289.64583</v>
      </c>
      <c r="NV5" s="42">
        <f>IFERROR(__xludf.DUMMYFUNCTION("""COMPUTED_VALUE"""),12.7)</f>
        <v>12.7</v>
      </c>
      <c r="NX5" s="41"/>
      <c r="NY5" s="37">
        <f>IFERROR(__xludf.DUMMYFUNCTION("""COMPUTED_VALUE"""),45289.64583333333)</f>
        <v>45289.64583</v>
      </c>
      <c r="NZ5" s="42">
        <f>IFERROR(__xludf.DUMMYFUNCTION("""COMPUTED_VALUE"""),246.8)</f>
        <v>246.8</v>
      </c>
      <c r="OB5" s="41"/>
      <c r="OC5" s="37">
        <f>IFERROR(__xludf.DUMMYFUNCTION("""COMPUTED_VALUE"""),45289.64583333333)</f>
        <v>45289.64583</v>
      </c>
      <c r="OD5" s="42">
        <f>IFERROR(__xludf.DUMMYFUNCTION("""COMPUTED_VALUE"""),1053.95)</f>
        <v>1053.95</v>
      </c>
      <c r="OF5" s="41"/>
      <c r="OG5" s="37">
        <f>IFERROR(__xludf.DUMMYFUNCTION("""COMPUTED_VALUE"""),45289.64583333333)</f>
        <v>45289.64583</v>
      </c>
      <c r="OH5" s="42">
        <f>IFERROR(__xludf.DUMMYFUNCTION("""COMPUTED_VALUE"""),2439.8)</f>
        <v>2439.8</v>
      </c>
      <c r="OJ5" s="41"/>
      <c r="OK5" s="37"/>
      <c r="OL5" s="42"/>
      <c r="ON5" s="41"/>
    </row>
    <row r="6" ht="12.0" customHeight="1">
      <c r="A6" s="41" t="str">
        <f>IFERROR(__xludf.DUMMYFUNCTION("GOOGLEFINANCE(B1, ""high"", B2, B3, ""DAILY"")"),"Date")</f>
        <v>Date</v>
      </c>
      <c r="B6" s="42" t="str">
        <f>IFERROR(__xludf.DUMMYFUNCTION("""COMPUTED_VALUE"""),"High")</f>
        <v>High</v>
      </c>
      <c r="C6" s="42" t="s">
        <v>1133</v>
      </c>
      <c r="D6" s="41"/>
      <c r="E6" s="41" t="str">
        <f>IFERROR(__xludf.DUMMYFUNCTION("GOOGLEFINANCE(F1, ""high"", F2, F3, ""DAILY"")"),"Date")</f>
        <v>Date</v>
      </c>
      <c r="F6" s="42" t="str">
        <f>IFERROR(__xludf.DUMMYFUNCTION("""COMPUTED_VALUE"""),"High")</f>
        <v>High</v>
      </c>
      <c r="G6" s="42" t="s">
        <v>1133</v>
      </c>
      <c r="H6" s="41"/>
      <c r="I6" s="41" t="str">
        <f>IFERROR(__xludf.DUMMYFUNCTION("GOOGLEFINANCE(J1, ""high"", J2, J3, ""DAILY"")"),"Date")</f>
        <v>Date</v>
      </c>
      <c r="J6" s="42" t="str">
        <f>IFERROR(__xludf.DUMMYFUNCTION("""COMPUTED_VALUE"""),"High")</f>
        <v>High</v>
      </c>
      <c r="K6" s="42" t="s">
        <v>1133</v>
      </c>
      <c r="L6" s="41"/>
      <c r="M6" s="41" t="str">
        <f>IFERROR(__xludf.DUMMYFUNCTION("GOOGLEFINANCE(N1, ""high"", N2, N3, ""DAILY"")"),"Date")</f>
        <v>Date</v>
      </c>
      <c r="N6" s="42" t="str">
        <f>IFERROR(__xludf.DUMMYFUNCTION("""COMPUTED_VALUE"""),"High")</f>
        <v>High</v>
      </c>
      <c r="O6" s="42" t="s">
        <v>1133</v>
      </c>
      <c r="P6" s="41"/>
      <c r="Q6" s="41" t="str">
        <f>IFERROR(__xludf.DUMMYFUNCTION("GOOGLEFINANCE(R1, ""high"", R2, R3, ""DAILY"")"),"Date")</f>
        <v>Date</v>
      </c>
      <c r="R6" s="42" t="str">
        <f>IFERROR(__xludf.DUMMYFUNCTION("""COMPUTED_VALUE"""),"High")</f>
        <v>High</v>
      </c>
      <c r="S6" s="42" t="s">
        <v>1133</v>
      </c>
      <c r="T6" s="41"/>
      <c r="U6" s="41" t="str">
        <f>IFERROR(__xludf.DUMMYFUNCTION("GOOGLEFINANCE(V1, ""high"", V2, V3, ""DAILY"")"),"Date")</f>
        <v>Date</v>
      </c>
      <c r="V6" s="42" t="str">
        <f>IFERROR(__xludf.DUMMYFUNCTION("""COMPUTED_VALUE"""),"High")</f>
        <v>High</v>
      </c>
      <c r="W6" s="42" t="s">
        <v>1133</v>
      </c>
      <c r="X6" s="41"/>
      <c r="Y6" s="41" t="str">
        <f>IFERROR(__xludf.DUMMYFUNCTION("GOOGLEFINANCE(Z1, ""high"", Z2, Z3, ""DAILY"")"),"Date")</f>
        <v>Date</v>
      </c>
      <c r="Z6" s="42" t="str">
        <f>IFERROR(__xludf.DUMMYFUNCTION("""COMPUTED_VALUE"""),"High")</f>
        <v>High</v>
      </c>
      <c r="AA6" s="42" t="s">
        <v>1133</v>
      </c>
      <c r="AB6" s="41"/>
      <c r="AC6" s="41" t="str">
        <f>IFERROR(__xludf.DUMMYFUNCTION("GOOGLEFINANCE(AD1, ""high"", AD2, AD3, ""DAILY"")"),"Date")</f>
        <v>Date</v>
      </c>
      <c r="AD6" s="42" t="str">
        <f>IFERROR(__xludf.DUMMYFUNCTION("""COMPUTED_VALUE"""),"High")</f>
        <v>High</v>
      </c>
      <c r="AE6" s="42" t="s">
        <v>1133</v>
      </c>
      <c r="AF6" s="41"/>
      <c r="AG6" s="41" t="str">
        <f>IFERROR(__xludf.DUMMYFUNCTION("GOOGLEFINANCE(AH1, ""high"", AH2, AH3, ""DAILY"")"),"Date")</f>
        <v>Date</v>
      </c>
      <c r="AH6" s="42" t="str">
        <f>IFERROR(__xludf.DUMMYFUNCTION("""COMPUTED_VALUE"""),"High")</f>
        <v>High</v>
      </c>
      <c r="AI6" s="42" t="s">
        <v>1133</v>
      </c>
      <c r="AJ6" s="41"/>
      <c r="AK6" s="41" t="str">
        <f>IFERROR(__xludf.DUMMYFUNCTION("GOOGLEFINANCE(AL1, ""high"", AL2, AL3, ""DAILY"")"),"Date")</f>
        <v>Date</v>
      </c>
      <c r="AL6" s="42" t="str">
        <f>IFERROR(__xludf.DUMMYFUNCTION("""COMPUTED_VALUE"""),"High")</f>
        <v>High</v>
      </c>
      <c r="AM6" s="42" t="s">
        <v>1133</v>
      </c>
      <c r="AN6" s="41"/>
      <c r="AO6" s="41" t="str">
        <f>IFERROR(__xludf.DUMMYFUNCTION("GOOGLEFINANCE(AP1, ""high"", AP2, AP3, ""DAILY"")"),"Date")</f>
        <v>Date</v>
      </c>
      <c r="AP6" s="42" t="str">
        <f>IFERROR(__xludf.DUMMYFUNCTION("""COMPUTED_VALUE"""),"High")</f>
        <v>High</v>
      </c>
      <c r="AQ6" s="42" t="s">
        <v>1133</v>
      </c>
      <c r="AR6" s="41"/>
      <c r="AS6" s="41" t="str">
        <f>IFERROR(__xludf.DUMMYFUNCTION("GOOGLEFINANCE(AT1, ""high"", AT2, AT3, ""DAILY"")"),"Date")</f>
        <v>Date</v>
      </c>
      <c r="AT6" s="42" t="str">
        <f>IFERROR(__xludf.DUMMYFUNCTION("""COMPUTED_VALUE"""),"High")</f>
        <v>High</v>
      </c>
      <c r="AU6" s="42" t="s">
        <v>1133</v>
      </c>
      <c r="AV6" s="41"/>
      <c r="AW6" s="41" t="str">
        <f>IFERROR(__xludf.DUMMYFUNCTION("GOOGLEFINANCE(AX1, ""high"", AX2, AX3, ""DAILY"")"),"Date")</f>
        <v>Date</v>
      </c>
      <c r="AX6" s="42" t="str">
        <f>IFERROR(__xludf.DUMMYFUNCTION("""COMPUTED_VALUE"""),"High")</f>
        <v>High</v>
      </c>
      <c r="AY6" s="42" t="s">
        <v>1133</v>
      </c>
      <c r="AZ6" s="41"/>
      <c r="BA6" s="41" t="str">
        <f>IFERROR(__xludf.DUMMYFUNCTION("GOOGLEFINANCE(BB1, ""high"", BB2, BB3, ""DAILY"")"),"Date")</f>
        <v>Date</v>
      </c>
      <c r="BB6" s="42" t="str">
        <f>IFERROR(__xludf.DUMMYFUNCTION("""COMPUTED_VALUE"""),"High")</f>
        <v>High</v>
      </c>
      <c r="BC6" s="42" t="s">
        <v>1133</v>
      </c>
      <c r="BD6" s="41"/>
      <c r="BE6" s="41" t="str">
        <f>IFERROR(__xludf.DUMMYFUNCTION("GOOGLEFINANCE(BF1, ""high"", BF2, BF3, ""DAILY"")"),"Date")</f>
        <v>Date</v>
      </c>
      <c r="BF6" s="42" t="str">
        <f>IFERROR(__xludf.DUMMYFUNCTION("""COMPUTED_VALUE"""),"High")</f>
        <v>High</v>
      </c>
      <c r="BG6" s="42" t="s">
        <v>1133</v>
      </c>
      <c r="BH6" s="41"/>
      <c r="BI6" s="41" t="str">
        <f>IFERROR(__xludf.DUMMYFUNCTION("GOOGLEFINANCE(BJ1, ""high"", BJ2, BJ3, ""DAILY"")"),"Date")</f>
        <v>Date</v>
      </c>
      <c r="BJ6" s="42" t="str">
        <f>IFERROR(__xludf.DUMMYFUNCTION("""COMPUTED_VALUE"""),"High")</f>
        <v>High</v>
      </c>
      <c r="BK6" s="42" t="s">
        <v>1133</v>
      </c>
      <c r="BL6" s="41"/>
      <c r="BM6" s="41" t="str">
        <f>IFERROR(__xludf.DUMMYFUNCTION("GOOGLEFINANCE(BN1, ""high"", BN2, BN3, ""DAILY"")"),"Date")</f>
        <v>Date</v>
      </c>
      <c r="BN6" s="42" t="str">
        <f>IFERROR(__xludf.DUMMYFUNCTION("""COMPUTED_VALUE"""),"High")</f>
        <v>High</v>
      </c>
      <c r="BO6" s="42" t="s">
        <v>1133</v>
      </c>
      <c r="BP6" s="41"/>
      <c r="BQ6" s="41" t="str">
        <f>IFERROR(__xludf.DUMMYFUNCTION("GOOGLEFINANCE(BR1, ""high"", BR2, BR3, ""DAILY"")"),"Date")</f>
        <v>Date</v>
      </c>
      <c r="BR6" s="42" t="str">
        <f>IFERROR(__xludf.DUMMYFUNCTION("""COMPUTED_VALUE"""),"High")</f>
        <v>High</v>
      </c>
      <c r="BS6" s="42" t="s">
        <v>1133</v>
      </c>
      <c r="BT6" s="41"/>
      <c r="BU6" s="41" t="str">
        <f>IFERROR(__xludf.DUMMYFUNCTION("GOOGLEFINANCE(BV1, ""high"", BV2, BV3, ""DAILY"")"),"Date")</f>
        <v>Date</v>
      </c>
      <c r="BV6" s="42" t="str">
        <f>IFERROR(__xludf.DUMMYFUNCTION("""COMPUTED_VALUE"""),"High")</f>
        <v>High</v>
      </c>
      <c r="BW6" s="42" t="s">
        <v>1133</v>
      </c>
      <c r="BX6" s="41"/>
      <c r="BY6" s="41" t="str">
        <f>IFERROR(__xludf.DUMMYFUNCTION("GOOGLEFINANCE(BZ1, ""high"", BZ2, BZ3, ""DAILY"")"),"Date")</f>
        <v>Date</v>
      </c>
      <c r="BZ6" s="42" t="str">
        <f>IFERROR(__xludf.DUMMYFUNCTION("""COMPUTED_VALUE"""),"High")</f>
        <v>High</v>
      </c>
      <c r="CA6" s="42" t="s">
        <v>1133</v>
      </c>
      <c r="CB6" s="41"/>
      <c r="CC6" s="41" t="str">
        <f>IFERROR(__xludf.DUMMYFUNCTION("GOOGLEFINANCE(CD1, ""high"", CD2, CD3, ""DAILY"")"),"Date")</f>
        <v>Date</v>
      </c>
      <c r="CD6" s="42" t="str">
        <f>IFERROR(__xludf.DUMMYFUNCTION("""COMPUTED_VALUE"""),"High")</f>
        <v>High</v>
      </c>
      <c r="CE6" s="42" t="s">
        <v>1133</v>
      </c>
      <c r="CF6" s="41"/>
      <c r="CG6" s="41" t="str">
        <f>IFERROR(__xludf.DUMMYFUNCTION("GOOGLEFINANCE(CH1, ""high"", CH2, CH3, ""DAILY"")"),"Date")</f>
        <v>Date</v>
      </c>
      <c r="CH6" s="42" t="str">
        <f>IFERROR(__xludf.DUMMYFUNCTION("""COMPUTED_VALUE"""),"High")</f>
        <v>High</v>
      </c>
      <c r="CI6" s="42" t="s">
        <v>1133</v>
      </c>
      <c r="CJ6" s="41"/>
      <c r="CK6" s="41" t="str">
        <f>IFERROR(__xludf.DUMMYFUNCTION("GOOGLEFINANCE(CL1, ""high"", CL2, CL3, ""DAILY"")"),"Date")</f>
        <v>Date</v>
      </c>
      <c r="CL6" s="42" t="str">
        <f>IFERROR(__xludf.DUMMYFUNCTION("""COMPUTED_VALUE"""),"High")</f>
        <v>High</v>
      </c>
      <c r="CM6" s="42" t="s">
        <v>1133</v>
      </c>
      <c r="CN6" s="41"/>
      <c r="CO6" s="41" t="str">
        <f>IFERROR(__xludf.DUMMYFUNCTION("GOOGLEFINANCE(CP1, ""high"", CP2, CP3, ""DAILY"")"),"Date")</f>
        <v>Date</v>
      </c>
      <c r="CP6" s="42" t="str">
        <f>IFERROR(__xludf.DUMMYFUNCTION("""COMPUTED_VALUE"""),"High")</f>
        <v>High</v>
      </c>
      <c r="CQ6" s="42" t="s">
        <v>1133</v>
      </c>
      <c r="CR6" s="41"/>
      <c r="CS6" s="41" t="str">
        <f>IFERROR(__xludf.DUMMYFUNCTION("GOOGLEFINANCE(CT1, ""high"", CT2, CT3, ""DAILY"")"),"Date")</f>
        <v>Date</v>
      </c>
      <c r="CT6" s="42" t="str">
        <f>IFERROR(__xludf.DUMMYFUNCTION("""COMPUTED_VALUE"""),"High")</f>
        <v>High</v>
      </c>
      <c r="CU6" s="42" t="s">
        <v>1133</v>
      </c>
      <c r="CV6" s="41"/>
      <c r="CW6" s="41" t="str">
        <f>IFERROR(__xludf.DUMMYFUNCTION("GOOGLEFINANCE(CX1, ""high"", CX2, CX3, ""DAILY"")"),"Date")</f>
        <v>Date</v>
      </c>
      <c r="CX6" s="42" t="str">
        <f>IFERROR(__xludf.DUMMYFUNCTION("""COMPUTED_VALUE"""),"High")</f>
        <v>High</v>
      </c>
      <c r="CY6" s="42" t="s">
        <v>1133</v>
      </c>
      <c r="CZ6" s="41"/>
      <c r="DA6" s="41" t="str">
        <f>IFERROR(__xludf.DUMMYFUNCTION("GOOGLEFINANCE(DB1, ""high"", DB2, DB3, ""DAILY"")"),"Date")</f>
        <v>Date</v>
      </c>
      <c r="DB6" s="42" t="str">
        <f>IFERROR(__xludf.DUMMYFUNCTION("""COMPUTED_VALUE"""),"High")</f>
        <v>High</v>
      </c>
      <c r="DC6" s="42" t="s">
        <v>1133</v>
      </c>
      <c r="DD6" s="41"/>
      <c r="DE6" s="41" t="str">
        <f>IFERROR(__xludf.DUMMYFUNCTION("GOOGLEFINANCE(DF1, ""high"", DF2, DF3, ""DAILY"")"),"Date")</f>
        <v>Date</v>
      </c>
      <c r="DF6" s="42" t="str">
        <f>IFERROR(__xludf.DUMMYFUNCTION("""COMPUTED_VALUE"""),"High")</f>
        <v>High</v>
      </c>
      <c r="DG6" s="42" t="s">
        <v>1133</v>
      </c>
      <c r="DH6" s="41"/>
      <c r="DI6" s="41" t="str">
        <f>IFERROR(__xludf.DUMMYFUNCTION("GOOGLEFINANCE(DJ1, ""high"", DJ2, DJ3, ""DAILY"")"),"Date")</f>
        <v>Date</v>
      </c>
      <c r="DJ6" s="42" t="str">
        <f>IFERROR(__xludf.DUMMYFUNCTION("""COMPUTED_VALUE"""),"High")</f>
        <v>High</v>
      </c>
      <c r="DK6" s="42" t="s">
        <v>1133</v>
      </c>
      <c r="DL6" s="41"/>
      <c r="DM6" s="41" t="str">
        <f>IFERROR(__xludf.DUMMYFUNCTION("GOOGLEFINANCE(DN1, ""high"", DN2, DN3, ""DAILY"")"),"Date")</f>
        <v>Date</v>
      </c>
      <c r="DN6" s="42" t="str">
        <f>IFERROR(__xludf.DUMMYFUNCTION("""COMPUTED_VALUE"""),"High")</f>
        <v>High</v>
      </c>
      <c r="DO6" s="42" t="s">
        <v>1133</v>
      </c>
      <c r="DP6" s="41"/>
      <c r="DQ6" s="41" t="str">
        <f>IFERROR(__xludf.DUMMYFUNCTION("GOOGLEFINANCE(DR1, ""high"", DR2, DR3, ""DAILY"")"),"Date")</f>
        <v>Date</v>
      </c>
      <c r="DR6" s="42" t="str">
        <f>IFERROR(__xludf.DUMMYFUNCTION("""COMPUTED_VALUE"""),"High")</f>
        <v>High</v>
      </c>
      <c r="DS6" s="42" t="s">
        <v>1133</v>
      </c>
      <c r="DT6" s="41"/>
      <c r="DU6" s="41" t="str">
        <f>IFERROR(__xludf.DUMMYFUNCTION("GOOGLEFINANCE(DV1, ""high"", DV2, DV3, ""DAILY"")"),"Date")</f>
        <v>Date</v>
      </c>
      <c r="DV6" s="42" t="str">
        <f>IFERROR(__xludf.DUMMYFUNCTION("""COMPUTED_VALUE"""),"High")</f>
        <v>High</v>
      </c>
      <c r="DW6" s="42" t="s">
        <v>1133</v>
      </c>
      <c r="DX6" s="41"/>
      <c r="DY6" s="41" t="str">
        <f>IFERROR(__xludf.DUMMYFUNCTION("GOOGLEFINANCE(DZ1, ""high"", DZ2, DZ3, ""DAILY"")"),"Date")</f>
        <v>Date</v>
      </c>
      <c r="DZ6" s="42" t="str">
        <f>IFERROR(__xludf.DUMMYFUNCTION("""COMPUTED_VALUE"""),"High")</f>
        <v>High</v>
      </c>
      <c r="EA6" s="42" t="s">
        <v>1133</v>
      </c>
      <c r="EB6" s="41"/>
      <c r="EC6" s="41" t="str">
        <f>IFERROR(__xludf.DUMMYFUNCTION("GOOGLEFINANCE(ED1, ""high"", ED2, ED3, ""DAILY"")"),"Date")</f>
        <v>Date</v>
      </c>
      <c r="ED6" s="42" t="str">
        <f>IFERROR(__xludf.DUMMYFUNCTION("""COMPUTED_VALUE"""),"High")</f>
        <v>High</v>
      </c>
      <c r="EE6" s="42" t="s">
        <v>1133</v>
      </c>
      <c r="EF6" s="41"/>
      <c r="EG6" s="41" t="str">
        <f>IFERROR(__xludf.DUMMYFUNCTION("GOOGLEFINANCE(EH1, ""high"", EH2, EH3, ""DAILY"")"),"Date")</f>
        <v>Date</v>
      </c>
      <c r="EH6" s="42" t="str">
        <f>IFERROR(__xludf.DUMMYFUNCTION("""COMPUTED_VALUE"""),"High")</f>
        <v>High</v>
      </c>
      <c r="EI6" s="42" t="s">
        <v>1133</v>
      </c>
      <c r="EJ6" s="41"/>
      <c r="EK6" s="41" t="str">
        <f>IFERROR(__xludf.DUMMYFUNCTION("GOOGLEFINANCE(EL1, ""high"", EL2, EL3, ""DAILY"")"),"Date")</f>
        <v>Date</v>
      </c>
      <c r="EL6" s="42" t="str">
        <f>IFERROR(__xludf.DUMMYFUNCTION("""COMPUTED_VALUE"""),"High")</f>
        <v>High</v>
      </c>
      <c r="EM6" s="42" t="s">
        <v>1133</v>
      </c>
      <c r="EN6" s="41"/>
      <c r="EO6" s="41" t="str">
        <f>IFERROR(__xludf.DUMMYFUNCTION("GOOGLEFINANCE(EP1, ""high"", EP2, EP3, ""DAILY"")"),"Date")</f>
        <v>Date</v>
      </c>
      <c r="EP6" s="42" t="str">
        <f>IFERROR(__xludf.DUMMYFUNCTION("""COMPUTED_VALUE"""),"High")</f>
        <v>High</v>
      </c>
      <c r="EQ6" s="42" t="s">
        <v>1133</v>
      </c>
      <c r="ER6" s="41"/>
      <c r="ES6" s="41" t="str">
        <f>IFERROR(__xludf.DUMMYFUNCTION("GOOGLEFINANCE(ET1, ""high"", ET2, ET3, ""DAILY"")"),"Date")</f>
        <v>Date</v>
      </c>
      <c r="ET6" s="42" t="str">
        <f>IFERROR(__xludf.DUMMYFUNCTION("""COMPUTED_VALUE"""),"High")</f>
        <v>High</v>
      </c>
      <c r="EU6" s="42" t="s">
        <v>1133</v>
      </c>
      <c r="EV6" s="41"/>
      <c r="EW6" s="41" t="str">
        <f>IFERROR(__xludf.DUMMYFUNCTION("GOOGLEFINANCE(EX1, ""high"", EX2, EX3, ""DAILY"")"),"Date")</f>
        <v>Date</v>
      </c>
      <c r="EX6" s="42" t="str">
        <f>IFERROR(__xludf.DUMMYFUNCTION("""COMPUTED_VALUE"""),"High")</f>
        <v>High</v>
      </c>
      <c r="EY6" s="42" t="s">
        <v>1133</v>
      </c>
      <c r="EZ6" s="41"/>
      <c r="FA6" s="41" t="str">
        <f>IFERROR(__xludf.DUMMYFUNCTION("GOOGLEFINANCE(FB1, ""high"", FB2, FB3, ""DAILY"")"),"Date")</f>
        <v>Date</v>
      </c>
      <c r="FB6" s="42" t="str">
        <f>IFERROR(__xludf.DUMMYFUNCTION("""COMPUTED_VALUE"""),"High")</f>
        <v>High</v>
      </c>
      <c r="FC6" s="42" t="s">
        <v>1133</v>
      </c>
      <c r="FD6" s="41"/>
      <c r="FE6" s="41" t="str">
        <f>IFERROR(__xludf.DUMMYFUNCTION("GOOGLEFINANCE(FF1, ""high"", FF2, FF3, ""DAILY"")"),"Date")</f>
        <v>Date</v>
      </c>
      <c r="FF6" s="42" t="str">
        <f>IFERROR(__xludf.DUMMYFUNCTION("""COMPUTED_VALUE"""),"High")</f>
        <v>High</v>
      </c>
      <c r="FG6" s="42" t="s">
        <v>1133</v>
      </c>
      <c r="FH6" s="41"/>
      <c r="FI6" s="41" t="str">
        <f>IFERROR(__xludf.DUMMYFUNCTION("GOOGLEFINANCE(FJ1, ""high"", FJ2, FJ3, ""DAILY"")"),"Date")</f>
        <v>Date</v>
      </c>
      <c r="FJ6" s="42" t="str">
        <f>IFERROR(__xludf.DUMMYFUNCTION("""COMPUTED_VALUE"""),"High")</f>
        <v>High</v>
      </c>
      <c r="FK6" s="42" t="s">
        <v>1133</v>
      </c>
      <c r="FL6" s="41"/>
      <c r="FM6" s="41" t="str">
        <f>IFERROR(__xludf.DUMMYFUNCTION("GOOGLEFINANCE(FN1, ""high"", FN2, FN3, ""DAILY"")"),"Date")</f>
        <v>Date</v>
      </c>
      <c r="FN6" s="42" t="str">
        <f>IFERROR(__xludf.DUMMYFUNCTION("""COMPUTED_VALUE"""),"High")</f>
        <v>High</v>
      </c>
      <c r="FO6" s="42" t="s">
        <v>1133</v>
      </c>
      <c r="FP6" s="41"/>
      <c r="FQ6" s="41" t="str">
        <f>IFERROR(__xludf.DUMMYFUNCTION("GOOGLEFINANCE(FR1, ""high"", FR2, FR3, ""DAILY"")"),"Date")</f>
        <v>Date</v>
      </c>
      <c r="FR6" s="42" t="str">
        <f>IFERROR(__xludf.DUMMYFUNCTION("""COMPUTED_VALUE"""),"High")</f>
        <v>High</v>
      </c>
      <c r="FS6" s="42" t="s">
        <v>1133</v>
      </c>
      <c r="FT6" s="41"/>
      <c r="FU6" s="41" t="str">
        <f>IFERROR(__xludf.DUMMYFUNCTION("GOOGLEFINANCE(FV1, ""high"", FV2, FV3, ""DAILY"")"),"Date")</f>
        <v>Date</v>
      </c>
      <c r="FV6" s="42" t="str">
        <f>IFERROR(__xludf.DUMMYFUNCTION("""COMPUTED_VALUE"""),"High")</f>
        <v>High</v>
      </c>
      <c r="FW6" s="42" t="s">
        <v>1133</v>
      </c>
      <c r="FX6" s="41"/>
      <c r="FY6" s="41" t="str">
        <f>IFERROR(__xludf.DUMMYFUNCTION("GOOGLEFINANCE(FZ1, ""high"", FZ2, FZ3, ""DAILY"")"),"Date")</f>
        <v>Date</v>
      </c>
      <c r="FZ6" s="42" t="str">
        <f>IFERROR(__xludf.DUMMYFUNCTION("""COMPUTED_VALUE"""),"High")</f>
        <v>High</v>
      </c>
      <c r="GA6" s="42" t="s">
        <v>1133</v>
      </c>
      <c r="GB6" s="41"/>
      <c r="GC6" s="41" t="str">
        <f>IFERROR(__xludf.DUMMYFUNCTION("GOOGLEFINANCE(GD1, ""high"", GD2, GD3, ""DAILY"")"),"Date")</f>
        <v>Date</v>
      </c>
      <c r="GD6" s="42" t="str">
        <f>IFERROR(__xludf.DUMMYFUNCTION("""COMPUTED_VALUE"""),"High")</f>
        <v>High</v>
      </c>
      <c r="GE6" s="42" t="s">
        <v>1133</v>
      </c>
      <c r="GF6" s="41"/>
      <c r="GG6" s="41" t="str">
        <f>IFERROR(__xludf.DUMMYFUNCTION("GOOGLEFINANCE(GH1, ""high"", GH2, GH3, ""DAILY"")"),"Date")</f>
        <v>Date</v>
      </c>
      <c r="GH6" s="42" t="str">
        <f>IFERROR(__xludf.DUMMYFUNCTION("""COMPUTED_VALUE"""),"High")</f>
        <v>High</v>
      </c>
      <c r="GI6" s="42" t="s">
        <v>1133</v>
      </c>
      <c r="GJ6" s="41"/>
      <c r="GK6" s="41" t="str">
        <f>IFERROR(__xludf.DUMMYFUNCTION("GOOGLEFINANCE(GL1, ""high"", GL2, GL3, ""DAILY"")"),"Date")</f>
        <v>Date</v>
      </c>
      <c r="GL6" s="42" t="str">
        <f>IFERROR(__xludf.DUMMYFUNCTION("""COMPUTED_VALUE"""),"High")</f>
        <v>High</v>
      </c>
      <c r="GM6" s="42" t="s">
        <v>1133</v>
      </c>
      <c r="GN6" s="41"/>
      <c r="GO6" s="41" t="str">
        <f>IFERROR(__xludf.DUMMYFUNCTION("GOOGLEFINANCE(GP1, ""high"", GP2, GP3, ""DAILY"")"),"Date")</f>
        <v>Date</v>
      </c>
      <c r="GP6" s="42" t="str">
        <f>IFERROR(__xludf.DUMMYFUNCTION("""COMPUTED_VALUE"""),"High")</f>
        <v>High</v>
      </c>
      <c r="GQ6" s="42" t="s">
        <v>1133</v>
      </c>
      <c r="GR6" s="41"/>
      <c r="GS6" s="41" t="str">
        <f>IFERROR(__xludf.DUMMYFUNCTION("GOOGLEFINANCE(GT1, ""high"", GT2, GT3, ""DAILY"")"),"Date")</f>
        <v>Date</v>
      </c>
      <c r="GT6" s="42" t="str">
        <f>IFERROR(__xludf.DUMMYFUNCTION("""COMPUTED_VALUE"""),"High")</f>
        <v>High</v>
      </c>
      <c r="GU6" s="42" t="s">
        <v>1133</v>
      </c>
      <c r="GV6" s="41"/>
      <c r="GW6" s="41" t="str">
        <f>IFERROR(__xludf.DUMMYFUNCTION("GOOGLEFINANCE(GX1, ""high"", GX2, GX3, ""DAILY"")"),"Date")</f>
        <v>Date</v>
      </c>
      <c r="GX6" s="42" t="str">
        <f>IFERROR(__xludf.DUMMYFUNCTION("""COMPUTED_VALUE"""),"High")</f>
        <v>High</v>
      </c>
      <c r="GY6" s="42" t="s">
        <v>1133</v>
      </c>
      <c r="GZ6" s="41"/>
      <c r="HA6" s="41" t="str">
        <f>IFERROR(__xludf.DUMMYFUNCTION("GOOGLEFINANCE(HB1, ""high"", HB2, HB3, ""DAILY"")"),"Date")</f>
        <v>Date</v>
      </c>
      <c r="HB6" s="42" t="str">
        <f>IFERROR(__xludf.DUMMYFUNCTION("""COMPUTED_VALUE"""),"High")</f>
        <v>High</v>
      </c>
      <c r="HC6" s="42" t="s">
        <v>1133</v>
      </c>
      <c r="HD6" s="41"/>
      <c r="HE6" s="44" t="str">
        <f>IFERROR(__xludf.DUMMYFUNCTION("GOOGLEFINANCE(HF1, ""high"", HF2, HF3, ""DAILY"")"),"Date")</f>
        <v>Date</v>
      </c>
      <c r="HF6" s="42" t="str">
        <f>IFERROR(__xludf.DUMMYFUNCTION("""COMPUTED_VALUE"""),"High")</f>
        <v>High</v>
      </c>
      <c r="HG6" s="42" t="s">
        <v>1133</v>
      </c>
      <c r="HH6" s="41"/>
      <c r="HI6" s="41" t="str">
        <f>IFERROR(__xludf.DUMMYFUNCTION("GOOGLEFINANCE(HJ1, ""high"", HJ2, HJ3, ""DAILY"")"),"Date")</f>
        <v>Date</v>
      </c>
      <c r="HJ6" s="42" t="str">
        <f>IFERROR(__xludf.DUMMYFUNCTION("""COMPUTED_VALUE"""),"High")</f>
        <v>High</v>
      </c>
      <c r="HK6" s="42" t="s">
        <v>1133</v>
      </c>
      <c r="HL6" s="41"/>
      <c r="HM6" s="41" t="str">
        <f>IFERROR(__xludf.DUMMYFUNCTION("GOOGLEFINANCE(HN1, ""high"", HN2, HN3, ""DAILY"")"),"Date")</f>
        <v>Date</v>
      </c>
      <c r="HN6" s="42" t="str">
        <f>IFERROR(__xludf.DUMMYFUNCTION("""COMPUTED_VALUE"""),"High")</f>
        <v>High</v>
      </c>
      <c r="HO6" s="42" t="s">
        <v>1133</v>
      </c>
      <c r="HP6" s="41"/>
      <c r="HQ6" s="41" t="str">
        <f>IFERROR(__xludf.DUMMYFUNCTION("GOOGLEFINANCE(HR1, ""high"", HR2, HR3, ""DAILY"")"),"Date")</f>
        <v>Date</v>
      </c>
      <c r="HR6" s="42" t="str">
        <f>IFERROR(__xludf.DUMMYFUNCTION("""COMPUTED_VALUE"""),"High")</f>
        <v>High</v>
      </c>
      <c r="HS6" s="42" t="s">
        <v>1133</v>
      </c>
      <c r="HT6" s="41"/>
      <c r="HU6" s="41" t="str">
        <f>IFERROR(__xludf.DUMMYFUNCTION("GOOGLEFINANCE(HV1, ""high"", HV2, HV3, ""DAILY"")"),"Date")</f>
        <v>Date</v>
      </c>
      <c r="HV6" s="42" t="str">
        <f>IFERROR(__xludf.DUMMYFUNCTION("""COMPUTED_VALUE"""),"High")</f>
        <v>High</v>
      </c>
      <c r="HW6" s="42" t="s">
        <v>1133</v>
      </c>
      <c r="HX6" s="41"/>
      <c r="HY6" s="41" t="str">
        <f>IFERROR(__xludf.DUMMYFUNCTION("GOOGLEFINANCE(HZ1, ""high"", HZ2, HZ3, ""DAILY"")"),"Date")</f>
        <v>Date</v>
      </c>
      <c r="HZ6" s="42" t="str">
        <f>IFERROR(__xludf.DUMMYFUNCTION("""COMPUTED_VALUE"""),"High")</f>
        <v>High</v>
      </c>
      <c r="IA6" s="42" t="s">
        <v>1133</v>
      </c>
      <c r="IB6" s="41"/>
      <c r="IC6" s="41" t="str">
        <f>IFERROR(__xludf.DUMMYFUNCTION("GOOGLEFINANCE(ID1, ""high"", ID2, ID3, ""DAILY"")"),"Date")</f>
        <v>Date</v>
      </c>
      <c r="ID6" s="42" t="str">
        <f>IFERROR(__xludf.DUMMYFUNCTION("""COMPUTED_VALUE"""),"High")</f>
        <v>High</v>
      </c>
      <c r="IE6" s="42" t="s">
        <v>1133</v>
      </c>
      <c r="IF6" s="41"/>
      <c r="IG6" s="41" t="str">
        <f>IFERROR(__xludf.DUMMYFUNCTION("GOOGLEFINANCE(IH1, ""high"", IH2, IH3, ""DAILY"")"),"Date")</f>
        <v>Date</v>
      </c>
      <c r="IH6" s="42" t="str">
        <f>IFERROR(__xludf.DUMMYFUNCTION("""COMPUTED_VALUE"""),"High")</f>
        <v>High</v>
      </c>
      <c r="II6" s="42" t="s">
        <v>1133</v>
      </c>
      <c r="IJ6" s="41"/>
      <c r="IK6" s="41" t="str">
        <f>IFERROR(__xludf.DUMMYFUNCTION("GOOGLEFINANCE(IL1, ""high"", IL2, IL3, ""DAILY"")"),"Date")</f>
        <v>Date</v>
      </c>
      <c r="IL6" s="42" t="str">
        <f>IFERROR(__xludf.DUMMYFUNCTION("""COMPUTED_VALUE"""),"High")</f>
        <v>High</v>
      </c>
      <c r="IM6" s="42" t="s">
        <v>1133</v>
      </c>
      <c r="IN6" s="41"/>
      <c r="IO6" s="41" t="str">
        <f>IFERROR(__xludf.DUMMYFUNCTION("GOOGLEFINANCE(IP1, ""high"", IP2, IP3, ""DAILY"")"),"Date")</f>
        <v>Date</v>
      </c>
      <c r="IP6" s="42" t="str">
        <f>IFERROR(__xludf.DUMMYFUNCTION("""COMPUTED_VALUE"""),"High")</f>
        <v>High</v>
      </c>
      <c r="IQ6" s="42" t="s">
        <v>1133</v>
      </c>
      <c r="IR6" s="41"/>
      <c r="IS6" s="41" t="str">
        <f>IFERROR(__xludf.DUMMYFUNCTION("GOOGLEFINANCE(IT1, ""high"", IT2, IT3, ""DAILY"")"),"Date")</f>
        <v>Date</v>
      </c>
      <c r="IT6" s="42" t="str">
        <f>IFERROR(__xludf.DUMMYFUNCTION("""COMPUTED_VALUE"""),"High")</f>
        <v>High</v>
      </c>
      <c r="IU6" s="42" t="s">
        <v>1133</v>
      </c>
      <c r="IV6" s="41"/>
      <c r="IW6" s="41" t="str">
        <f>IFERROR(__xludf.DUMMYFUNCTION("GOOGLEFINANCE(IX1, ""high"", IX2, IX3, ""DAILY"")"),"Date")</f>
        <v>Date</v>
      </c>
      <c r="IX6" s="42" t="str">
        <f>IFERROR(__xludf.DUMMYFUNCTION("""COMPUTED_VALUE"""),"High")</f>
        <v>High</v>
      </c>
      <c r="IY6" s="42" t="s">
        <v>1133</v>
      </c>
      <c r="IZ6" s="41"/>
      <c r="JA6" s="41" t="str">
        <f>IFERROR(__xludf.DUMMYFUNCTION("GOOGLEFINANCE(JB1, ""high"", JB2, JB3, ""DAILY"")"),"Date")</f>
        <v>Date</v>
      </c>
      <c r="JB6" s="42" t="str">
        <f>IFERROR(__xludf.DUMMYFUNCTION("""COMPUTED_VALUE"""),"High")</f>
        <v>High</v>
      </c>
      <c r="JC6" s="42" t="s">
        <v>1133</v>
      </c>
      <c r="JD6" s="41"/>
      <c r="JE6" s="41" t="str">
        <f>IFERROR(__xludf.DUMMYFUNCTION("GOOGLEFINANCE(JF1, ""high"", JF2, JF3, ""DAILY"")"),"Date")</f>
        <v>Date</v>
      </c>
      <c r="JF6" s="42" t="str">
        <f>IFERROR(__xludf.DUMMYFUNCTION("""COMPUTED_VALUE"""),"High")</f>
        <v>High</v>
      </c>
      <c r="JG6" s="42" t="s">
        <v>1133</v>
      </c>
      <c r="JH6" s="41"/>
      <c r="JI6" s="41" t="str">
        <f>IFERROR(__xludf.DUMMYFUNCTION("GOOGLEFINANCE(JJ1, ""high"", JJ2, JJ3, ""DAILY"")"),"Date")</f>
        <v>Date</v>
      </c>
      <c r="JJ6" s="42" t="str">
        <f>IFERROR(__xludf.DUMMYFUNCTION("""COMPUTED_VALUE"""),"High")</f>
        <v>High</v>
      </c>
      <c r="JK6" s="42" t="s">
        <v>1133</v>
      </c>
      <c r="JL6" s="41"/>
      <c r="JM6" s="41" t="str">
        <f>IFERROR(__xludf.DUMMYFUNCTION("GOOGLEFINANCE(JN1, ""high"", JN2, JN3, ""DAILY"")"),"Date")</f>
        <v>Date</v>
      </c>
      <c r="JN6" s="42" t="str">
        <f>IFERROR(__xludf.DUMMYFUNCTION("""COMPUTED_VALUE"""),"High")</f>
        <v>High</v>
      </c>
      <c r="JO6" s="42" t="s">
        <v>1133</v>
      </c>
      <c r="JP6" s="41"/>
      <c r="JQ6" s="41" t="str">
        <f>IFERROR(__xludf.DUMMYFUNCTION("GOOGLEFINANCE(JR1, ""high"", JR2, JR3, ""DAILY"")"),"Date")</f>
        <v>Date</v>
      </c>
      <c r="JR6" s="42" t="str">
        <f>IFERROR(__xludf.DUMMYFUNCTION("""COMPUTED_VALUE"""),"High")</f>
        <v>High</v>
      </c>
      <c r="JS6" s="42" t="s">
        <v>1133</v>
      </c>
      <c r="JT6" s="41"/>
      <c r="JU6" s="41" t="str">
        <f>IFERROR(__xludf.DUMMYFUNCTION("GOOGLEFINANCE(JV1, ""high"", JV2, JV3, ""DAILY"")"),"Date")</f>
        <v>Date</v>
      </c>
      <c r="JV6" s="42" t="str">
        <f>IFERROR(__xludf.DUMMYFUNCTION("""COMPUTED_VALUE"""),"High")</f>
        <v>High</v>
      </c>
      <c r="JW6" s="42" t="s">
        <v>1133</v>
      </c>
      <c r="JX6" s="41"/>
      <c r="JY6" s="41" t="str">
        <f>IFERROR(__xludf.DUMMYFUNCTION("GOOGLEFINANCE(JZ1, ""high"", JZ2, JZ3, ""DAILY"")"),"Date")</f>
        <v>Date</v>
      </c>
      <c r="JZ6" s="42" t="str">
        <f>IFERROR(__xludf.DUMMYFUNCTION("""COMPUTED_VALUE"""),"High")</f>
        <v>High</v>
      </c>
      <c r="KA6" s="42" t="s">
        <v>1133</v>
      </c>
      <c r="KB6" s="41"/>
      <c r="KC6" s="41" t="str">
        <f>IFERROR(__xludf.DUMMYFUNCTION("GOOGLEFINANCE(KD1, ""high"", KD2, KD3, ""DAILY"")"),"Date")</f>
        <v>Date</v>
      </c>
      <c r="KD6" s="42" t="str">
        <f>IFERROR(__xludf.DUMMYFUNCTION("""COMPUTED_VALUE"""),"High")</f>
        <v>High</v>
      </c>
      <c r="KE6" s="42" t="s">
        <v>1133</v>
      </c>
      <c r="KF6" s="41"/>
      <c r="KG6" s="41" t="str">
        <f>IFERROR(__xludf.DUMMYFUNCTION("GOOGLEFINANCE(KH1, ""high"", KH2, KH3, ""DAILY"")"),"Date")</f>
        <v>Date</v>
      </c>
      <c r="KH6" s="42" t="str">
        <f>IFERROR(__xludf.DUMMYFUNCTION("""COMPUTED_VALUE"""),"High")</f>
        <v>High</v>
      </c>
      <c r="KI6" s="42" t="s">
        <v>1133</v>
      </c>
      <c r="KJ6" s="41"/>
      <c r="KK6" s="41" t="str">
        <f>IFERROR(__xludf.DUMMYFUNCTION("GOOGLEFINANCE(KL1, ""high"", KL2, KL3, ""DAILY"")"),"Date")</f>
        <v>Date</v>
      </c>
      <c r="KL6" s="42" t="str">
        <f>IFERROR(__xludf.DUMMYFUNCTION("""COMPUTED_VALUE"""),"High")</f>
        <v>High</v>
      </c>
      <c r="KM6" s="42" t="s">
        <v>1133</v>
      </c>
      <c r="KN6" s="41"/>
      <c r="KO6" s="41" t="str">
        <f>IFERROR(__xludf.DUMMYFUNCTION("GOOGLEFINANCE(KP1, ""high"", KP2, KP3, ""DAILY"")"),"Date")</f>
        <v>Date</v>
      </c>
      <c r="KP6" s="42" t="str">
        <f>IFERROR(__xludf.DUMMYFUNCTION("""COMPUTED_VALUE"""),"High")</f>
        <v>High</v>
      </c>
      <c r="KQ6" s="42" t="s">
        <v>1133</v>
      </c>
      <c r="KR6" s="41"/>
      <c r="KS6" s="41" t="str">
        <f>IFERROR(__xludf.DUMMYFUNCTION("GOOGLEFINANCE(KT1, ""high"", KT2, KT3, ""DAILY"")"),"Date")</f>
        <v>Date</v>
      </c>
      <c r="KT6" s="42" t="str">
        <f>IFERROR(__xludf.DUMMYFUNCTION("""COMPUTED_VALUE"""),"High")</f>
        <v>High</v>
      </c>
      <c r="KU6" s="42" t="s">
        <v>1133</v>
      </c>
      <c r="KV6" s="41"/>
      <c r="KW6" s="41" t="str">
        <f>IFERROR(__xludf.DUMMYFUNCTION("GOOGLEFINANCE(KX1, ""high"", KX2, KX3, ""DAILY"")"),"Date")</f>
        <v>Date</v>
      </c>
      <c r="KX6" s="42" t="str">
        <f>IFERROR(__xludf.DUMMYFUNCTION("""COMPUTED_VALUE"""),"High")</f>
        <v>High</v>
      </c>
      <c r="KY6" s="42" t="s">
        <v>1133</v>
      </c>
      <c r="KZ6" s="41"/>
      <c r="LA6" s="41" t="str">
        <f>IFERROR(__xludf.DUMMYFUNCTION("GOOGLEFINANCE(LB1, ""high"", LB2, LB3, ""DAILY"")"),"Date")</f>
        <v>Date</v>
      </c>
      <c r="LB6" s="42" t="str">
        <f>IFERROR(__xludf.DUMMYFUNCTION("""COMPUTED_VALUE"""),"High")</f>
        <v>High</v>
      </c>
      <c r="LC6" s="42" t="s">
        <v>1133</v>
      </c>
      <c r="LD6" s="41"/>
      <c r="LE6" s="41" t="str">
        <f>IFERROR(__xludf.DUMMYFUNCTION("GOOGLEFINANCE(LF1, ""high"", LF2, LF3, ""DAILY"")"),"Date")</f>
        <v>Date</v>
      </c>
      <c r="LF6" s="42" t="str">
        <f>IFERROR(__xludf.DUMMYFUNCTION("""COMPUTED_VALUE"""),"High")</f>
        <v>High</v>
      </c>
      <c r="LG6" s="42" t="s">
        <v>1133</v>
      </c>
      <c r="LH6" s="41"/>
      <c r="LI6" s="41" t="str">
        <f>IFERROR(__xludf.DUMMYFUNCTION("GOOGLEFINANCE(LJ1, ""high"", LJ2, LJ3, ""DAILY"")"),"Date")</f>
        <v>Date</v>
      </c>
      <c r="LJ6" s="42" t="str">
        <f>IFERROR(__xludf.DUMMYFUNCTION("""COMPUTED_VALUE"""),"High")</f>
        <v>High</v>
      </c>
      <c r="LK6" s="42" t="s">
        <v>1133</v>
      </c>
      <c r="LL6" s="41"/>
      <c r="LM6" s="41" t="str">
        <f>IFERROR(__xludf.DUMMYFUNCTION("GOOGLEFINANCE(LN1, ""high"", LN2, LN3, ""DAILY"")"),"Date")</f>
        <v>Date</v>
      </c>
      <c r="LN6" s="42" t="str">
        <f>IFERROR(__xludf.DUMMYFUNCTION("""COMPUTED_VALUE"""),"High")</f>
        <v>High</v>
      </c>
      <c r="LO6" s="42" t="s">
        <v>1133</v>
      </c>
      <c r="LP6" s="41"/>
      <c r="LQ6" s="41" t="str">
        <f>IFERROR(__xludf.DUMMYFUNCTION("GOOGLEFINANCE(LR1, ""high"", LR2, LR3, ""DAILY"")"),"Date")</f>
        <v>Date</v>
      </c>
      <c r="LR6" s="42" t="str">
        <f>IFERROR(__xludf.DUMMYFUNCTION("""COMPUTED_VALUE"""),"High")</f>
        <v>High</v>
      </c>
      <c r="LS6" s="42" t="s">
        <v>1133</v>
      </c>
      <c r="LT6" s="41"/>
      <c r="LU6" s="41" t="str">
        <f>IFERROR(__xludf.DUMMYFUNCTION("GOOGLEFINANCE(LV1, ""high"", LV2, LV3, ""DAILY"")"),"Date")</f>
        <v>Date</v>
      </c>
      <c r="LV6" s="42" t="str">
        <f>IFERROR(__xludf.DUMMYFUNCTION("""COMPUTED_VALUE"""),"High")</f>
        <v>High</v>
      </c>
      <c r="LW6" s="42" t="s">
        <v>1133</v>
      </c>
      <c r="LX6" s="41"/>
      <c r="LY6" s="41" t="str">
        <f>IFERROR(__xludf.DUMMYFUNCTION("GOOGLEFINANCE(LZ1, ""high"", LZ2, LZ3, ""DAILY"")"),"Date")</f>
        <v>Date</v>
      </c>
      <c r="LZ6" s="42" t="str">
        <f>IFERROR(__xludf.DUMMYFUNCTION("""COMPUTED_VALUE"""),"High")</f>
        <v>High</v>
      </c>
      <c r="MA6" s="42" t="s">
        <v>1133</v>
      </c>
      <c r="MB6" s="41"/>
      <c r="MC6" s="41" t="str">
        <f>IFERROR(__xludf.DUMMYFUNCTION("GOOGLEFINANCE(MD1, ""high"", MD2, MD3, ""DAILY"")"),"#N/A")</f>
        <v>#N/A</v>
      </c>
      <c r="MD6" s="42"/>
      <c r="ME6" s="42" t="s">
        <v>1133</v>
      </c>
      <c r="MF6" s="41"/>
      <c r="MG6" s="41" t="str">
        <f>IFERROR(__xludf.DUMMYFUNCTION("GOOGLEFINANCE(MH1, ""high"", MH2, MH3, ""DAILY"")"),"Date")</f>
        <v>Date</v>
      </c>
      <c r="MH6" s="42" t="str">
        <f>IFERROR(__xludf.DUMMYFUNCTION("""COMPUTED_VALUE"""),"High")</f>
        <v>High</v>
      </c>
      <c r="MI6" s="42" t="s">
        <v>1133</v>
      </c>
      <c r="MJ6" s="41"/>
      <c r="MK6" s="41" t="str">
        <f>IFERROR(__xludf.DUMMYFUNCTION("GOOGLEFINANCE(ML1, ""high"", ML2, ML3, ""DAILY"")"),"Date")</f>
        <v>Date</v>
      </c>
      <c r="ML6" s="42" t="str">
        <f>IFERROR(__xludf.DUMMYFUNCTION("""COMPUTED_VALUE"""),"High")</f>
        <v>High</v>
      </c>
      <c r="MM6" s="42" t="s">
        <v>1133</v>
      </c>
      <c r="MN6" s="41"/>
      <c r="MO6" s="41" t="str">
        <f>IFERROR(__xludf.DUMMYFUNCTION("GOOGLEFINANCE(MP1, ""high"", MP2, MP3, ""DAILY"")"),"Date")</f>
        <v>Date</v>
      </c>
      <c r="MP6" s="42" t="str">
        <f>IFERROR(__xludf.DUMMYFUNCTION("""COMPUTED_VALUE"""),"High")</f>
        <v>High</v>
      </c>
      <c r="MQ6" s="42" t="s">
        <v>1133</v>
      </c>
      <c r="MR6" s="41"/>
      <c r="MS6" s="41" t="str">
        <f>IFERROR(__xludf.DUMMYFUNCTION("GOOGLEFINANCE(MT1, ""high"", MT2, MT3, ""DAILY"")"),"Date")</f>
        <v>Date</v>
      </c>
      <c r="MT6" s="42" t="str">
        <f>IFERROR(__xludf.DUMMYFUNCTION("""COMPUTED_VALUE"""),"High")</f>
        <v>High</v>
      </c>
      <c r="MU6" s="42" t="s">
        <v>1133</v>
      </c>
      <c r="MV6" s="41"/>
      <c r="MW6" s="41" t="str">
        <f>IFERROR(__xludf.DUMMYFUNCTION("GOOGLEFINANCE(MX1, ""high"", MX2, MX3, ""DAILY"")"),"Date")</f>
        <v>Date</v>
      </c>
      <c r="MX6" s="42" t="str">
        <f>IFERROR(__xludf.DUMMYFUNCTION("""COMPUTED_VALUE"""),"High")</f>
        <v>High</v>
      </c>
      <c r="MY6" s="42" t="s">
        <v>1133</v>
      </c>
      <c r="MZ6" s="41"/>
      <c r="NA6" s="41" t="str">
        <f>IFERROR(__xludf.DUMMYFUNCTION("GOOGLEFINANCE(NB1, ""high"", NB2, NB3, ""DAILY"")"),"Date")</f>
        <v>Date</v>
      </c>
      <c r="NB6" s="42" t="str">
        <f>IFERROR(__xludf.DUMMYFUNCTION("""COMPUTED_VALUE"""),"High")</f>
        <v>High</v>
      </c>
      <c r="NC6" s="42" t="s">
        <v>1133</v>
      </c>
      <c r="ND6" s="41"/>
      <c r="NE6" s="41" t="str">
        <f>IFERROR(__xludf.DUMMYFUNCTION("GOOGLEFINANCE(NF1, ""high"", NF2, NF3, ""DAILY"")"),"Date")</f>
        <v>Date</v>
      </c>
      <c r="NF6" s="42" t="str">
        <f>IFERROR(__xludf.DUMMYFUNCTION("""COMPUTED_VALUE"""),"High")</f>
        <v>High</v>
      </c>
      <c r="NG6" s="42" t="s">
        <v>1133</v>
      </c>
      <c r="NH6" s="41"/>
      <c r="NI6" s="41" t="str">
        <f>IFERROR(__xludf.DUMMYFUNCTION("GOOGLEFINANCE(NJ1, ""high"", NJ2, NJ3, ""DAILY"")"),"Date")</f>
        <v>Date</v>
      </c>
      <c r="NJ6" s="42" t="str">
        <f>IFERROR(__xludf.DUMMYFUNCTION("""COMPUTED_VALUE"""),"High")</f>
        <v>High</v>
      </c>
      <c r="NK6" s="42" t="s">
        <v>1133</v>
      </c>
      <c r="NL6" s="41"/>
      <c r="NM6" s="41" t="str">
        <f>IFERROR(__xludf.DUMMYFUNCTION("GOOGLEFINANCE(NN1, ""high"", NN2, NN3, ""DAILY"")"),"Date")</f>
        <v>Date</v>
      </c>
      <c r="NN6" s="42" t="str">
        <f>IFERROR(__xludf.DUMMYFUNCTION("""COMPUTED_VALUE"""),"High")</f>
        <v>High</v>
      </c>
      <c r="NO6" s="42" t="s">
        <v>1133</v>
      </c>
      <c r="NP6" s="41"/>
      <c r="NQ6" s="41" t="str">
        <f>IFERROR(__xludf.DUMMYFUNCTION("GOOGLEFINANCE(NR1, ""high"", NR2, NR3, ""DAILY"")"),"Date")</f>
        <v>Date</v>
      </c>
      <c r="NR6" s="42" t="str">
        <f>IFERROR(__xludf.DUMMYFUNCTION("""COMPUTED_VALUE"""),"High")</f>
        <v>High</v>
      </c>
      <c r="NS6" s="42" t="s">
        <v>1133</v>
      </c>
      <c r="NT6" s="41"/>
      <c r="NU6" s="41" t="str">
        <f>IFERROR(__xludf.DUMMYFUNCTION("GOOGLEFINANCE(NV1, ""high"", NV2, NV3, ""DAILY"")"),"Date")</f>
        <v>Date</v>
      </c>
      <c r="NV6" s="42" t="str">
        <f>IFERROR(__xludf.DUMMYFUNCTION("""COMPUTED_VALUE"""),"High")</f>
        <v>High</v>
      </c>
      <c r="NW6" s="42" t="s">
        <v>1133</v>
      </c>
      <c r="NX6" s="41"/>
      <c r="NY6" s="41" t="str">
        <f>IFERROR(__xludf.DUMMYFUNCTION("GOOGLEFINANCE(NZ1, ""high"", NZ2, NZ3, ""DAILY"")"),"Date")</f>
        <v>Date</v>
      </c>
      <c r="NZ6" s="42" t="str">
        <f>IFERROR(__xludf.DUMMYFUNCTION("""COMPUTED_VALUE"""),"High")</f>
        <v>High</v>
      </c>
      <c r="OA6" s="42" t="s">
        <v>1133</v>
      </c>
      <c r="OB6" s="41"/>
      <c r="OC6" s="41" t="str">
        <f>IFERROR(__xludf.DUMMYFUNCTION("GOOGLEFINANCE(OD1, ""high"", OD2, OD3, ""DAILY"")"),"Date")</f>
        <v>Date</v>
      </c>
      <c r="OD6" s="42" t="str">
        <f>IFERROR(__xludf.DUMMYFUNCTION("""COMPUTED_VALUE"""),"High")</f>
        <v>High</v>
      </c>
      <c r="OE6" s="42" t="s">
        <v>1133</v>
      </c>
      <c r="OF6" s="41"/>
      <c r="OG6" s="41" t="str">
        <f>IFERROR(__xludf.DUMMYFUNCTION("GOOGLEFINANCE(OH1, ""high"", OH2, OH3, ""DAILY"")"),"Date")</f>
        <v>Date</v>
      </c>
      <c r="OH6" s="42" t="str">
        <f>IFERROR(__xludf.DUMMYFUNCTION("""COMPUTED_VALUE"""),"High")</f>
        <v>High</v>
      </c>
      <c r="OI6" s="42" t="s">
        <v>1133</v>
      </c>
      <c r="OJ6" s="41"/>
      <c r="OK6" s="41" t="str">
        <f>IFERROR(__xludf.DUMMYFUNCTION("GOOGLEFINANCE(OL1, ""high"", OL2, OL3, ""DAILY"")"),"#N/A")</f>
        <v>#N/A</v>
      </c>
      <c r="OL6" s="42"/>
      <c r="OM6" s="42" t="s">
        <v>1133</v>
      </c>
      <c r="ON6" s="41"/>
    </row>
    <row r="7" ht="12.0" customHeight="1">
      <c r="A7" s="37">
        <f>IFERROR(__xludf.DUMMYFUNCTION("""COMPUTED_VALUE"""),45286.64583333333)</f>
        <v>45286.64583</v>
      </c>
      <c r="B7" s="45">
        <f>IFERROR(__xludf.DUMMYFUNCTION("""COMPUTED_VALUE"""),436.7)</f>
        <v>436.7</v>
      </c>
      <c r="D7" s="37"/>
      <c r="E7" s="37">
        <f>IFERROR(__xludf.DUMMYFUNCTION("""COMPUTED_VALUE"""),45286.64583333333)</f>
        <v>45286.64583</v>
      </c>
      <c r="F7" s="45">
        <f>IFERROR(__xludf.DUMMYFUNCTION("""COMPUTED_VALUE"""),665.0)</f>
        <v>665</v>
      </c>
      <c r="H7" s="37"/>
      <c r="I7" s="37">
        <f>IFERROR(__xludf.DUMMYFUNCTION("""COMPUTED_VALUE"""),45286.64583333333)</f>
        <v>45286.64583</v>
      </c>
      <c r="J7" s="45">
        <f>IFERROR(__xludf.DUMMYFUNCTION("""COMPUTED_VALUE"""),184.5)</f>
        <v>184.5</v>
      </c>
      <c r="L7" s="37"/>
      <c r="M7" s="37">
        <f>IFERROR(__xludf.DUMMYFUNCTION("""COMPUTED_VALUE"""),45286.64583333333)</f>
        <v>45286.64583</v>
      </c>
      <c r="N7" s="45">
        <f>IFERROR(__xludf.DUMMYFUNCTION("""COMPUTED_VALUE"""),86.7)</f>
        <v>86.7</v>
      </c>
      <c r="P7" s="37"/>
      <c r="Q7" s="37">
        <f>IFERROR(__xludf.DUMMYFUNCTION("""COMPUTED_VALUE"""),45286.64583333333)</f>
        <v>45286.64583</v>
      </c>
      <c r="R7" s="45">
        <f>IFERROR(__xludf.DUMMYFUNCTION("""COMPUTED_VALUE"""),52.95)</f>
        <v>52.95</v>
      </c>
      <c r="T7" s="37"/>
      <c r="U7" s="37">
        <f>IFERROR(__xludf.DUMMYFUNCTION("""COMPUTED_VALUE"""),45286.64583333333)</f>
        <v>45286.64583</v>
      </c>
      <c r="V7" s="45">
        <f>IFERROR(__xludf.DUMMYFUNCTION("""COMPUTED_VALUE"""),665.0)</f>
        <v>665</v>
      </c>
      <c r="X7" s="37"/>
      <c r="Y7" s="37">
        <f>IFERROR(__xludf.DUMMYFUNCTION("""COMPUTED_VALUE"""),45286.64583333333)</f>
        <v>45286.64583</v>
      </c>
      <c r="Z7" s="45">
        <f>IFERROR(__xludf.DUMMYFUNCTION("""COMPUTED_VALUE"""),186.0)</f>
        <v>186</v>
      </c>
      <c r="AB7" s="37"/>
      <c r="AC7" s="37">
        <f>IFERROR(__xludf.DUMMYFUNCTION("""COMPUTED_VALUE"""),45286.64583333333)</f>
        <v>45286.64583</v>
      </c>
      <c r="AD7" s="45">
        <f>IFERROR(__xludf.DUMMYFUNCTION("""COMPUTED_VALUE"""),2339.98)</f>
        <v>2339.98</v>
      </c>
      <c r="AF7" s="37"/>
      <c r="AG7" s="37">
        <f>IFERROR(__xludf.DUMMYFUNCTION("""COMPUTED_VALUE"""),45286.64583333333)</f>
        <v>45286.64583</v>
      </c>
      <c r="AH7" s="45">
        <f>IFERROR(__xludf.DUMMYFUNCTION("""COMPUTED_VALUE"""),829.85)</f>
        <v>829.85</v>
      </c>
      <c r="AJ7" s="37"/>
      <c r="AK7" s="37">
        <f>IFERROR(__xludf.DUMMYFUNCTION("""COMPUTED_VALUE"""),45286.64583333333)</f>
        <v>45286.64583</v>
      </c>
      <c r="AL7" s="45">
        <f>IFERROR(__xludf.DUMMYFUNCTION("""COMPUTED_VALUE"""),5190.0)</f>
        <v>5190</v>
      </c>
      <c r="AN7" s="37"/>
      <c r="AO7" s="37">
        <f>IFERROR(__xludf.DUMMYFUNCTION("""COMPUTED_VALUE"""),45286.64583333333)</f>
        <v>45286.64583</v>
      </c>
      <c r="AP7" s="45">
        <f>IFERROR(__xludf.DUMMYFUNCTION("""COMPUTED_VALUE"""),923.95)</f>
        <v>923.95</v>
      </c>
      <c r="AR7" s="37"/>
      <c r="AS7" s="37">
        <f>IFERROR(__xludf.DUMMYFUNCTION("""COMPUTED_VALUE"""),45286.64583333333)</f>
        <v>45286.64583</v>
      </c>
      <c r="AT7" s="45">
        <f>IFERROR(__xludf.DUMMYFUNCTION("""COMPUTED_VALUE"""),2487.75)</f>
        <v>2487.75</v>
      </c>
      <c r="AV7" s="37"/>
      <c r="AW7" s="37">
        <f>IFERROR(__xludf.DUMMYFUNCTION("""COMPUTED_VALUE"""),45286.64583333333)</f>
        <v>45286.64583</v>
      </c>
      <c r="AX7" s="45">
        <f>IFERROR(__xludf.DUMMYFUNCTION("""COMPUTED_VALUE"""),5758.0)</f>
        <v>5758</v>
      </c>
      <c r="AZ7" s="37"/>
      <c r="BA7" s="37">
        <f>IFERROR(__xludf.DUMMYFUNCTION("""COMPUTED_VALUE"""),45286.64583333333)</f>
        <v>45286.64583</v>
      </c>
      <c r="BB7" s="45">
        <f>IFERROR(__xludf.DUMMYFUNCTION("""COMPUTED_VALUE"""),475.8)</f>
        <v>475.8</v>
      </c>
      <c r="BD7" s="37"/>
      <c r="BE7" s="37">
        <f>IFERROR(__xludf.DUMMYFUNCTION("""COMPUTED_VALUE"""),45286.64583333333)</f>
        <v>45286.64583</v>
      </c>
      <c r="BF7" s="45">
        <f>IFERROR(__xludf.DUMMYFUNCTION("""COMPUTED_VALUE"""),412.3)</f>
        <v>412.3</v>
      </c>
      <c r="BH7" s="37"/>
      <c r="BI7" s="37">
        <f>IFERROR(__xludf.DUMMYFUNCTION("""COMPUTED_VALUE"""),45286.64583333333)</f>
        <v>45286.64583</v>
      </c>
      <c r="BJ7" s="45">
        <f>IFERROR(__xludf.DUMMYFUNCTION("""COMPUTED_VALUE"""),72.8)</f>
        <v>72.8</v>
      </c>
      <c r="BL7" s="37"/>
      <c r="BM7" s="37">
        <f>IFERROR(__xludf.DUMMYFUNCTION("""COMPUTED_VALUE"""),45286.64583333333)</f>
        <v>45286.64583</v>
      </c>
      <c r="BN7" s="45">
        <f>IFERROR(__xludf.DUMMYFUNCTION("""COMPUTED_VALUE"""),254.75)</f>
        <v>254.75</v>
      </c>
      <c r="BP7" s="37"/>
      <c r="BQ7" s="37">
        <f>IFERROR(__xludf.DUMMYFUNCTION("""COMPUTED_VALUE"""),45286.64583333333)</f>
        <v>45286.64583</v>
      </c>
      <c r="BR7" s="45">
        <f>IFERROR(__xludf.DUMMYFUNCTION("""COMPUTED_VALUE"""),60.5)</f>
        <v>60.5</v>
      </c>
      <c r="BT7" s="37"/>
      <c r="BU7" s="37">
        <f>IFERROR(__xludf.DUMMYFUNCTION("""COMPUTED_VALUE"""),45286.64583333333)</f>
        <v>45286.64583</v>
      </c>
      <c r="BV7" s="45">
        <f>IFERROR(__xludf.DUMMYFUNCTION("""COMPUTED_VALUE"""),305.9)</f>
        <v>305.9</v>
      </c>
      <c r="BX7" s="37"/>
      <c r="BY7" s="37">
        <f>IFERROR(__xludf.DUMMYFUNCTION("""COMPUTED_VALUE"""),45286.64583333333)</f>
        <v>45286.64583</v>
      </c>
      <c r="BZ7" s="45">
        <f>IFERROR(__xludf.DUMMYFUNCTION("""COMPUTED_VALUE"""),369.75)</f>
        <v>369.75</v>
      </c>
      <c r="CB7" s="37"/>
      <c r="CC7" s="37">
        <f>IFERROR(__xludf.DUMMYFUNCTION("""COMPUTED_VALUE"""),45286.64583333333)</f>
        <v>45286.64583</v>
      </c>
      <c r="CD7" s="45">
        <f>IFERROR(__xludf.DUMMYFUNCTION("""COMPUTED_VALUE"""),240.8)</f>
        <v>240.8</v>
      </c>
      <c r="CF7" s="37"/>
      <c r="CG7" s="37">
        <f>IFERROR(__xludf.DUMMYFUNCTION("""COMPUTED_VALUE"""),45286.64583333333)</f>
        <v>45286.64583</v>
      </c>
      <c r="CH7" s="45">
        <f>IFERROR(__xludf.DUMMYFUNCTION("""COMPUTED_VALUE"""),635.0)</f>
        <v>635</v>
      </c>
      <c r="CJ7" s="37"/>
      <c r="CK7" s="37">
        <f>IFERROR(__xludf.DUMMYFUNCTION("""COMPUTED_VALUE"""),45286.64583333333)</f>
        <v>45286.64583</v>
      </c>
      <c r="CL7" s="45">
        <f>IFERROR(__xludf.DUMMYFUNCTION("""COMPUTED_VALUE"""),329.5)</f>
        <v>329.5</v>
      </c>
      <c r="CN7" s="37"/>
      <c r="CO7" s="37">
        <f>IFERROR(__xludf.DUMMYFUNCTION("""COMPUTED_VALUE"""),45286.64583333333)</f>
        <v>45286.64583</v>
      </c>
      <c r="CP7" s="45">
        <f>IFERROR(__xludf.DUMMYFUNCTION("""COMPUTED_VALUE"""),14.15)</f>
        <v>14.15</v>
      </c>
      <c r="CR7" s="37"/>
      <c r="CS7" s="37">
        <f>IFERROR(__xludf.DUMMYFUNCTION("""COMPUTED_VALUE"""),45286.64583333333)</f>
        <v>45286.64583</v>
      </c>
      <c r="CT7" s="45">
        <f>IFERROR(__xludf.DUMMYFUNCTION("""COMPUTED_VALUE"""),202.25)</f>
        <v>202.25</v>
      </c>
      <c r="CV7" s="37"/>
      <c r="CW7" s="37">
        <f>IFERROR(__xludf.DUMMYFUNCTION("""COMPUTED_VALUE"""),45286.64583333333)</f>
        <v>45286.64583</v>
      </c>
      <c r="CX7" s="45">
        <f>IFERROR(__xludf.DUMMYFUNCTION("""COMPUTED_VALUE"""),695.0)</f>
        <v>695</v>
      </c>
      <c r="CZ7" s="37"/>
      <c r="DA7" s="37">
        <f>IFERROR(__xludf.DUMMYFUNCTION("""COMPUTED_VALUE"""),45286.64583333333)</f>
        <v>45286.64583</v>
      </c>
      <c r="DB7" s="45">
        <f>IFERROR(__xludf.DUMMYFUNCTION("""COMPUTED_VALUE"""),29.25)</f>
        <v>29.25</v>
      </c>
      <c r="DD7" s="37"/>
      <c r="DE7" s="37">
        <f>IFERROR(__xludf.DUMMYFUNCTION("""COMPUTED_VALUE"""),45286.64583333333)</f>
        <v>45286.64583</v>
      </c>
      <c r="DF7" s="45">
        <f>IFERROR(__xludf.DUMMYFUNCTION("""COMPUTED_VALUE"""),112.2)</f>
        <v>112.2</v>
      </c>
      <c r="DH7" s="37"/>
      <c r="DI7" s="37">
        <f>IFERROR(__xludf.DUMMYFUNCTION("""COMPUTED_VALUE"""),45286.64583333333)</f>
        <v>45286.64583</v>
      </c>
      <c r="DJ7" s="45">
        <f>IFERROR(__xludf.DUMMYFUNCTION("""COMPUTED_VALUE"""),1627.0)</f>
        <v>1627</v>
      </c>
      <c r="DL7" s="37"/>
      <c r="DM7" s="37">
        <f>IFERROR(__xludf.DUMMYFUNCTION("""COMPUTED_VALUE"""),45286.64583333333)</f>
        <v>45286.64583</v>
      </c>
      <c r="DN7" s="45">
        <f>IFERROR(__xludf.DUMMYFUNCTION("""COMPUTED_VALUE"""),545.0)</f>
        <v>545</v>
      </c>
      <c r="DP7" s="37"/>
      <c r="DQ7" s="37">
        <f>IFERROR(__xludf.DUMMYFUNCTION("""COMPUTED_VALUE"""),45286.64583333333)</f>
        <v>45286.64583</v>
      </c>
      <c r="DR7" s="45">
        <f>IFERROR(__xludf.DUMMYFUNCTION("""COMPUTED_VALUE"""),219.05)</f>
        <v>219.05</v>
      </c>
      <c r="DT7" s="37"/>
      <c r="DU7" s="37">
        <f>IFERROR(__xludf.DUMMYFUNCTION("""COMPUTED_VALUE"""),45286.64583333333)</f>
        <v>45286.64583</v>
      </c>
      <c r="DV7" s="45">
        <f>IFERROR(__xludf.DUMMYFUNCTION("""COMPUTED_VALUE"""),863.48)</f>
        <v>863.48</v>
      </c>
      <c r="DX7" s="37"/>
      <c r="DY7" s="37">
        <f>IFERROR(__xludf.DUMMYFUNCTION("""COMPUTED_VALUE"""),45286.64583333333)</f>
        <v>45286.64583</v>
      </c>
      <c r="DZ7" s="45">
        <f>IFERROR(__xludf.DUMMYFUNCTION("""COMPUTED_VALUE"""),10.65)</f>
        <v>10.65</v>
      </c>
      <c r="EB7" s="37"/>
      <c r="EC7" s="37">
        <f>IFERROR(__xludf.DUMMYFUNCTION("""COMPUTED_VALUE"""),45286.64583333333)</f>
        <v>45286.64583</v>
      </c>
      <c r="ED7" s="45">
        <f>IFERROR(__xludf.DUMMYFUNCTION("""COMPUTED_VALUE"""),2650.0)</f>
        <v>2650</v>
      </c>
      <c r="EF7" s="37"/>
      <c r="EG7" s="37">
        <f>IFERROR(__xludf.DUMMYFUNCTION("""COMPUTED_VALUE"""),45286.64583333333)</f>
        <v>45286.64583</v>
      </c>
      <c r="EH7" s="45">
        <f>IFERROR(__xludf.DUMMYFUNCTION("""COMPUTED_VALUE"""),670.0)</f>
        <v>670</v>
      </c>
      <c r="EJ7" s="37"/>
      <c r="EK7" s="37">
        <f>IFERROR(__xludf.DUMMYFUNCTION("""COMPUTED_VALUE"""),45286.64583333333)</f>
        <v>45286.64583</v>
      </c>
      <c r="EL7" s="45">
        <f>IFERROR(__xludf.DUMMYFUNCTION("""COMPUTED_VALUE"""),202.4)</f>
        <v>202.4</v>
      </c>
      <c r="EN7" s="37"/>
      <c r="EO7" s="37">
        <f>IFERROR(__xludf.DUMMYFUNCTION("""COMPUTED_VALUE"""),45286.64583333333)</f>
        <v>45286.64583</v>
      </c>
      <c r="EP7" s="45">
        <f>IFERROR(__xludf.DUMMYFUNCTION("""COMPUTED_VALUE"""),157.7)</f>
        <v>157.7</v>
      </c>
      <c r="ER7" s="37"/>
      <c r="ES7" s="37">
        <f>IFERROR(__xludf.DUMMYFUNCTION("""COMPUTED_VALUE"""),45286.64583333333)</f>
        <v>45286.64583</v>
      </c>
      <c r="ET7" s="45">
        <f>IFERROR(__xludf.DUMMYFUNCTION("""COMPUTED_VALUE"""),203.9)</f>
        <v>203.9</v>
      </c>
      <c r="EV7" s="37"/>
      <c r="EW7" s="37">
        <f>IFERROR(__xludf.DUMMYFUNCTION("""COMPUTED_VALUE"""),45286.64583333333)</f>
        <v>45286.64583</v>
      </c>
      <c r="EX7" s="45">
        <f>IFERROR(__xludf.DUMMYFUNCTION("""COMPUTED_VALUE"""),662.6)</f>
        <v>662.6</v>
      </c>
      <c r="EZ7" s="37"/>
      <c r="FA7" s="37">
        <f>IFERROR(__xludf.DUMMYFUNCTION("""COMPUTED_VALUE"""),45286.64583333333)</f>
        <v>45286.64583</v>
      </c>
      <c r="FB7" s="45">
        <f>IFERROR(__xludf.DUMMYFUNCTION("""COMPUTED_VALUE"""),169.7)</f>
        <v>169.7</v>
      </c>
      <c r="FD7" s="37"/>
      <c r="FE7" s="37">
        <f>IFERROR(__xludf.DUMMYFUNCTION("""COMPUTED_VALUE"""),45286.64583333333)</f>
        <v>45286.64583</v>
      </c>
      <c r="FF7" s="45">
        <f>IFERROR(__xludf.DUMMYFUNCTION("""COMPUTED_VALUE"""),290.3)</f>
        <v>290.3</v>
      </c>
      <c r="FH7" s="37"/>
      <c r="FI7" s="37">
        <f>IFERROR(__xludf.DUMMYFUNCTION("""COMPUTED_VALUE"""),45286.64583333333)</f>
        <v>45286.64583</v>
      </c>
      <c r="FJ7" s="45">
        <f>IFERROR(__xludf.DUMMYFUNCTION("""COMPUTED_VALUE"""),593.5)</f>
        <v>593.5</v>
      </c>
      <c r="FL7" s="37"/>
      <c r="FM7" s="37">
        <f>IFERROR(__xludf.DUMMYFUNCTION("""COMPUTED_VALUE"""),45286.64583333333)</f>
        <v>45286.64583</v>
      </c>
      <c r="FN7" s="45">
        <f>IFERROR(__xludf.DUMMYFUNCTION("""COMPUTED_VALUE"""),98.0)</f>
        <v>98</v>
      </c>
      <c r="FP7" s="37"/>
      <c r="FQ7" s="37">
        <f>IFERROR(__xludf.DUMMYFUNCTION("""COMPUTED_VALUE"""),45286.64583333333)</f>
        <v>45286.64583</v>
      </c>
      <c r="FR7" s="45">
        <f>IFERROR(__xludf.DUMMYFUNCTION("""COMPUTED_VALUE"""),5.5)</f>
        <v>5.5</v>
      </c>
      <c r="FT7" s="37"/>
      <c r="FU7" s="37">
        <f>IFERROR(__xludf.DUMMYFUNCTION("""COMPUTED_VALUE"""),45286.64583333333)</f>
        <v>45286.64583</v>
      </c>
      <c r="FV7" s="45">
        <f>IFERROR(__xludf.DUMMYFUNCTION("""COMPUTED_VALUE"""),672.8)</f>
        <v>672.8</v>
      </c>
      <c r="FX7" s="37"/>
      <c r="FY7" s="37">
        <f>IFERROR(__xludf.DUMMYFUNCTION("""COMPUTED_VALUE"""),45286.64583333333)</f>
        <v>45286.64583</v>
      </c>
      <c r="FZ7" s="45">
        <f>IFERROR(__xludf.DUMMYFUNCTION("""COMPUTED_VALUE"""),162.5)</f>
        <v>162.5</v>
      </c>
      <c r="GB7" s="37"/>
      <c r="GC7" s="37">
        <f>IFERROR(__xludf.DUMMYFUNCTION("""COMPUTED_VALUE"""),45286.64583333333)</f>
        <v>45286.64583</v>
      </c>
      <c r="GD7" s="45">
        <f>IFERROR(__xludf.DUMMYFUNCTION("""COMPUTED_VALUE"""),468.8)</f>
        <v>468.8</v>
      </c>
      <c r="GF7" s="37"/>
      <c r="GG7" s="37">
        <f>IFERROR(__xludf.DUMMYFUNCTION("""COMPUTED_VALUE"""),45286.64583333333)</f>
        <v>45286.64583</v>
      </c>
      <c r="GH7" s="45">
        <f>IFERROR(__xludf.DUMMYFUNCTION("""COMPUTED_VALUE"""),5369.9)</f>
        <v>5369.9</v>
      </c>
      <c r="GJ7" s="37"/>
      <c r="GK7" s="37">
        <f>IFERROR(__xludf.DUMMYFUNCTION("""COMPUTED_VALUE"""),45286.64583333333)</f>
        <v>45286.64583</v>
      </c>
      <c r="GL7" s="45">
        <f>IFERROR(__xludf.DUMMYFUNCTION("""COMPUTED_VALUE"""),118.0)</f>
        <v>118</v>
      </c>
      <c r="GN7" s="37"/>
      <c r="GO7" s="37">
        <f>IFERROR(__xludf.DUMMYFUNCTION("""COMPUTED_VALUE"""),45286.64583333333)</f>
        <v>45286.64583</v>
      </c>
      <c r="GP7" s="45">
        <f>IFERROR(__xludf.DUMMYFUNCTION("""COMPUTED_VALUE"""),1219.65)</f>
        <v>1219.65</v>
      </c>
      <c r="GR7" s="37"/>
      <c r="GS7" s="37">
        <f>IFERROR(__xludf.DUMMYFUNCTION("""COMPUTED_VALUE"""),45286.64583333333)</f>
        <v>45286.64583</v>
      </c>
      <c r="GT7" s="45">
        <f>IFERROR(__xludf.DUMMYFUNCTION("""COMPUTED_VALUE"""),12.3)</f>
        <v>12.3</v>
      </c>
      <c r="GV7" s="37"/>
      <c r="GW7" s="37">
        <f>IFERROR(__xludf.DUMMYFUNCTION("""COMPUTED_VALUE"""),45287.64583333333)</f>
        <v>45287.64583</v>
      </c>
      <c r="GX7" s="45">
        <f>IFERROR(__xludf.DUMMYFUNCTION("""COMPUTED_VALUE"""),17.0)</f>
        <v>17</v>
      </c>
      <c r="GZ7" s="37"/>
      <c r="HA7" s="37">
        <f>IFERROR(__xludf.DUMMYFUNCTION("""COMPUTED_VALUE"""),45287.64583333333)</f>
        <v>45287.64583</v>
      </c>
      <c r="HB7" s="45">
        <f>IFERROR(__xludf.DUMMYFUNCTION("""COMPUTED_VALUE"""),607.65)</f>
        <v>607.65</v>
      </c>
      <c r="HD7" s="37"/>
      <c r="HE7" s="43">
        <f>IFERROR(__xludf.DUMMYFUNCTION("""COMPUTED_VALUE"""),45287.64583333333)</f>
        <v>45287.64583</v>
      </c>
      <c r="HF7" s="45">
        <f>IFERROR(__xludf.DUMMYFUNCTION("""COMPUTED_VALUE"""),2400.0)</f>
        <v>2400</v>
      </c>
      <c r="HH7" s="37"/>
      <c r="HI7" s="37">
        <f>IFERROR(__xludf.DUMMYFUNCTION("""COMPUTED_VALUE"""),45287.64583333333)</f>
        <v>45287.64583</v>
      </c>
      <c r="HJ7" s="45">
        <f>IFERROR(__xludf.DUMMYFUNCTION("""COMPUTED_VALUE"""),5289.9)</f>
        <v>5289.9</v>
      </c>
      <c r="HL7" s="37"/>
      <c r="HM7" s="37">
        <f>IFERROR(__xludf.DUMMYFUNCTION("""COMPUTED_VALUE"""),45287.64583333333)</f>
        <v>45287.64583</v>
      </c>
      <c r="HN7" s="45">
        <f>IFERROR(__xludf.DUMMYFUNCTION("""COMPUTED_VALUE"""),406.8)</f>
        <v>406.8</v>
      </c>
      <c r="HP7" s="37"/>
      <c r="HQ7" s="37">
        <f>IFERROR(__xludf.DUMMYFUNCTION("""COMPUTED_VALUE"""),45287.64583333333)</f>
        <v>45287.64583</v>
      </c>
      <c r="HR7" s="45">
        <f>IFERROR(__xludf.DUMMYFUNCTION("""COMPUTED_VALUE"""),266.7)</f>
        <v>266.7</v>
      </c>
      <c r="HT7" s="37"/>
      <c r="HU7" s="37">
        <f>IFERROR(__xludf.DUMMYFUNCTION("""COMPUTED_VALUE"""),45287.64583333333)</f>
        <v>45287.64583</v>
      </c>
      <c r="HV7" s="45">
        <f>IFERROR(__xludf.DUMMYFUNCTION("""COMPUTED_VALUE"""),65.2)</f>
        <v>65.2</v>
      </c>
      <c r="HX7" s="37"/>
      <c r="HY7" s="37">
        <f>IFERROR(__xludf.DUMMYFUNCTION("""COMPUTED_VALUE"""),45287.64583333333)</f>
        <v>45287.64583</v>
      </c>
      <c r="HZ7" s="45">
        <f>IFERROR(__xludf.DUMMYFUNCTION("""COMPUTED_VALUE"""),442.3)</f>
        <v>442.3</v>
      </c>
      <c r="IB7" s="37"/>
      <c r="IC7" s="37">
        <f>IFERROR(__xludf.DUMMYFUNCTION("""COMPUTED_VALUE"""),45287.64583333333)</f>
        <v>45287.64583</v>
      </c>
      <c r="ID7" s="45">
        <f>IFERROR(__xludf.DUMMYFUNCTION("""COMPUTED_VALUE"""),89.5)</f>
        <v>89.5</v>
      </c>
      <c r="IF7" s="37"/>
      <c r="IG7" s="37">
        <f>IFERROR(__xludf.DUMMYFUNCTION("""COMPUTED_VALUE"""),45287.64583333333)</f>
        <v>45287.64583</v>
      </c>
      <c r="IH7" s="45">
        <f>IFERROR(__xludf.DUMMYFUNCTION("""COMPUTED_VALUE"""),535.35)</f>
        <v>535.35</v>
      </c>
      <c r="IJ7" s="37"/>
      <c r="IK7" s="37">
        <f>IFERROR(__xludf.DUMMYFUNCTION("""COMPUTED_VALUE"""),45287.64583333333)</f>
        <v>45287.64583</v>
      </c>
      <c r="IL7" s="45">
        <f>IFERROR(__xludf.DUMMYFUNCTION("""COMPUTED_VALUE"""),614.0)</f>
        <v>614</v>
      </c>
      <c r="IN7" s="37"/>
      <c r="IO7" s="37">
        <f>IFERROR(__xludf.DUMMYFUNCTION("""COMPUTED_VALUE"""),45287.64583333333)</f>
        <v>45287.64583</v>
      </c>
      <c r="IP7" s="45">
        <f>IFERROR(__xludf.DUMMYFUNCTION("""COMPUTED_VALUE"""),123.23)</f>
        <v>123.23</v>
      </c>
      <c r="IR7" s="37"/>
      <c r="IS7" s="37">
        <f>IFERROR(__xludf.DUMMYFUNCTION("""COMPUTED_VALUE"""),45287.64583333333)</f>
        <v>45287.64583</v>
      </c>
      <c r="IT7" s="45">
        <f>IFERROR(__xludf.DUMMYFUNCTION("""COMPUTED_VALUE"""),1052.1)</f>
        <v>1052.1</v>
      </c>
      <c r="IV7" s="37"/>
      <c r="IW7" s="37">
        <f>IFERROR(__xludf.DUMMYFUNCTION("""COMPUTED_VALUE"""),45287.64583333333)</f>
        <v>45287.64583</v>
      </c>
      <c r="IX7" s="45">
        <f>IFERROR(__xludf.DUMMYFUNCTION("""COMPUTED_VALUE"""),216.85)</f>
        <v>216.85</v>
      </c>
      <c r="IZ7" s="37"/>
      <c r="JA7" s="37">
        <f>IFERROR(__xludf.DUMMYFUNCTION("""COMPUTED_VALUE"""),45287.64583333333)</f>
        <v>45287.64583</v>
      </c>
      <c r="JB7" s="45">
        <f>IFERROR(__xludf.DUMMYFUNCTION("""COMPUTED_VALUE"""),37438.4)</f>
        <v>37438.4</v>
      </c>
      <c r="JD7" s="37"/>
      <c r="JE7" s="37">
        <f>IFERROR(__xludf.DUMMYFUNCTION("""COMPUTED_VALUE"""),45287.64583333333)</f>
        <v>45287.64583</v>
      </c>
      <c r="JF7" s="45">
        <f>IFERROR(__xludf.DUMMYFUNCTION("""COMPUTED_VALUE"""),649.65)</f>
        <v>649.65</v>
      </c>
      <c r="JH7" s="37"/>
      <c r="JI7" s="37">
        <f>IFERROR(__xludf.DUMMYFUNCTION("""COMPUTED_VALUE"""),45287.64583333333)</f>
        <v>45287.64583</v>
      </c>
      <c r="JJ7" s="45">
        <f>IFERROR(__xludf.DUMMYFUNCTION("""COMPUTED_VALUE"""),347.0)</f>
        <v>347</v>
      </c>
      <c r="JL7" s="37"/>
      <c r="JM7" s="37">
        <f>IFERROR(__xludf.DUMMYFUNCTION("""COMPUTED_VALUE"""),45287.64583333333)</f>
        <v>45287.64583</v>
      </c>
      <c r="JN7" s="45">
        <f>IFERROR(__xludf.DUMMYFUNCTION("""COMPUTED_VALUE"""),16.9)</f>
        <v>16.9</v>
      </c>
      <c r="JP7" s="37"/>
      <c r="JQ7" s="37">
        <f>IFERROR(__xludf.DUMMYFUNCTION("""COMPUTED_VALUE"""),45287.64583333333)</f>
        <v>45287.64583</v>
      </c>
      <c r="JR7" s="45">
        <f>IFERROR(__xludf.DUMMYFUNCTION("""COMPUTED_VALUE"""),134.6)</f>
        <v>134.6</v>
      </c>
      <c r="JT7" s="37"/>
      <c r="JU7" s="37">
        <f>IFERROR(__xludf.DUMMYFUNCTION("""COMPUTED_VALUE"""),45287.64583333333)</f>
        <v>45287.64583</v>
      </c>
      <c r="JV7" s="45">
        <f>IFERROR(__xludf.DUMMYFUNCTION("""COMPUTED_VALUE"""),239.65)</f>
        <v>239.65</v>
      </c>
      <c r="JX7" s="37"/>
      <c r="JY7" s="37">
        <f>IFERROR(__xludf.DUMMYFUNCTION("""COMPUTED_VALUE"""),45287.64583333333)</f>
        <v>45287.64583</v>
      </c>
      <c r="JZ7" s="45">
        <f>IFERROR(__xludf.DUMMYFUNCTION("""COMPUTED_VALUE"""),563.7)</f>
        <v>563.7</v>
      </c>
      <c r="KB7" s="37"/>
      <c r="KC7" s="37">
        <f>IFERROR(__xludf.DUMMYFUNCTION("""COMPUTED_VALUE"""),45287.64583333333)</f>
        <v>45287.64583</v>
      </c>
      <c r="KD7" s="45">
        <f>IFERROR(__xludf.DUMMYFUNCTION("""COMPUTED_VALUE"""),905.48)</f>
        <v>905.48</v>
      </c>
      <c r="KF7" s="37"/>
      <c r="KG7" s="37">
        <f>IFERROR(__xludf.DUMMYFUNCTION("""COMPUTED_VALUE"""),45287.64583333333)</f>
        <v>45287.64583</v>
      </c>
      <c r="KH7" s="45">
        <f>IFERROR(__xludf.DUMMYFUNCTION("""COMPUTED_VALUE"""),404.9)</f>
        <v>404.9</v>
      </c>
      <c r="KJ7" s="37"/>
      <c r="KK7" s="37">
        <f>IFERROR(__xludf.DUMMYFUNCTION("""COMPUTED_VALUE"""),45287.64583333333)</f>
        <v>45287.64583</v>
      </c>
      <c r="KL7" s="45">
        <f>IFERROR(__xludf.DUMMYFUNCTION("""COMPUTED_VALUE"""),9.0)</f>
        <v>9</v>
      </c>
      <c r="KN7" s="37"/>
      <c r="KO7" s="37">
        <f>IFERROR(__xludf.DUMMYFUNCTION("""COMPUTED_VALUE"""),45287.64583333333)</f>
        <v>45287.64583</v>
      </c>
      <c r="KP7" s="45">
        <f>IFERROR(__xludf.DUMMYFUNCTION("""COMPUTED_VALUE"""),193.7)</f>
        <v>193.7</v>
      </c>
      <c r="KR7" s="37"/>
      <c r="KS7" s="37">
        <f>IFERROR(__xludf.DUMMYFUNCTION("""COMPUTED_VALUE"""),45287.64583333333)</f>
        <v>45287.64583</v>
      </c>
      <c r="KT7" s="45">
        <f>IFERROR(__xludf.DUMMYFUNCTION("""COMPUTED_VALUE"""),10.85)</f>
        <v>10.85</v>
      </c>
      <c r="KV7" s="37"/>
      <c r="KW7" s="37">
        <f>IFERROR(__xludf.DUMMYFUNCTION("""COMPUTED_VALUE"""),45287.64583333333)</f>
        <v>45287.64583</v>
      </c>
      <c r="KX7" s="45">
        <f>IFERROR(__xludf.DUMMYFUNCTION("""COMPUTED_VALUE"""),2725.0)</f>
        <v>2725</v>
      </c>
      <c r="KZ7" s="37"/>
      <c r="LA7" s="37">
        <f>IFERROR(__xludf.DUMMYFUNCTION("""COMPUTED_VALUE"""),45287.64583333333)</f>
        <v>45287.64583</v>
      </c>
      <c r="LB7" s="45">
        <f>IFERROR(__xludf.DUMMYFUNCTION("""COMPUTED_VALUE"""),18.0)</f>
        <v>18</v>
      </c>
      <c r="LD7" s="37"/>
      <c r="LE7" s="37">
        <f>IFERROR(__xludf.DUMMYFUNCTION("""COMPUTED_VALUE"""),45287.64583333333)</f>
        <v>45287.64583</v>
      </c>
      <c r="LF7" s="45">
        <f>IFERROR(__xludf.DUMMYFUNCTION("""COMPUTED_VALUE"""),119.45)</f>
        <v>119.45</v>
      </c>
      <c r="LH7" s="37"/>
      <c r="LI7" s="37">
        <f>IFERROR(__xludf.DUMMYFUNCTION("""COMPUTED_VALUE"""),45287.64583333333)</f>
        <v>45287.64583</v>
      </c>
      <c r="LJ7" s="45">
        <f>IFERROR(__xludf.DUMMYFUNCTION("""COMPUTED_VALUE"""),735.8)</f>
        <v>735.8</v>
      </c>
      <c r="LL7" s="37"/>
      <c r="LM7" s="37">
        <f>IFERROR(__xludf.DUMMYFUNCTION("""COMPUTED_VALUE"""),45287.64583333333)</f>
        <v>45287.64583</v>
      </c>
      <c r="LN7" s="45">
        <f>IFERROR(__xludf.DUMMYFUNCTION("""COMPUTED_VALUE"""),817.15)</f>
        <v>817.15</v>
      </c>
      <c r="LP7" s="37"/>
      <c r="LQ7" s="37">
        <f>IFERROR(__xludf.DUMMYFUNCTION("""COMPUTED_VALUE"""),45287.64583333333)</f>
        <v>45287.64583</v>
      </c>
      <c r="LR7" s="45">
        <f>IFERROR(__xludf.DUMMYFUNCTION("""COMPUTED_VALUE"""),369.0)</f>
        <v>369</v>
      </c>
      <c r="LT7" s="37"/>
      <c r="LU7" s="37">
        <f>IFERROR(__xludf.DUMMYFUNCTION("""COMPUTED_VALUE"""),45287.64583333333)</f>
        <v>45287.64583</v>
      </c>
      <c r="LV7" s="45">
        <f>IFERROR(__xludf.DUMMYFUNCTION("""COMPUTED_VALUE"""),132.95)</f>
        <v>132.95</v>
      </c>
      <c r="LX7" s="37"/>
      <c r="LY7" s="37">
        <f>IFERROR(__xludf.DUMMYFUNCTION("""COMPUTED_VALUE"""),45287.64583333333)</f>
        <v>45287.64583</v>
      </c>
      <c r="LZ7" s="45">
        <f>IFERROR(__xludf.DUMMYFUNCTION("""COMPUTED_VALUE"""),635.7)</f>
        <v>635.7</v>
      </c>
      <c r="MB7" s="37"/>
      <c r="MC7" s="37"/>
      <c r="MD7" s="45"/>
      <c r="MF7" s="37"/>
      <c r="MG7" s="37">
        <f>IFERROR(__xludf.DUMMYFUNCTION("""COMPUTED_VALUE"""),45287.64583333333)</f>
        <v>45287.64583</v>
      </c>
      <c r="MH7" s="45">
        <f>IFERROR(__xludf.DUMMYFUNCTION("""COMPUTED_VALUE"""),1997.0)</f>
        <v>1997</v>
      </c>
      <c r="MJ7" s="37"/>
      <c r="MK7" s="37">
        <f>IFERROR(__xludf.DUMMYFUNCTION("""COMPUTED_VALUE"""),45287.64583333333)</f>
        <v>45287.64583</v>
      </c>
      <c r="ML7" s="45">
        <f>IFERROR(__xludf.DUMMYFUNCTION("""COMPUTED_VALUE"""),432.5)</f>
        <v>432.5</v>
      </c>
      <c r="MN7" s="37"/>
      <c r="MO7" s="37">
        <f>IFERROR(__xludf.DUMMYFUNCTION("""COMPUTED_VALUE"""),45287.64583333333)</f>
        <v>45287.64583</v>
      </c>
      <c r="MP7" s="45">
        <f>IFERROR(__xludf.DUMMYFUNCTION("""COMPUTED_VALUE"""),749.8)</f>
        <v>749.8</v>
      </c>
      <c r="MR7" s="37"/>
      <c r="MS7" s="37">
        <f>IFERROR(__xludf.DUMMYFUNCTION("""COMPUTED_VALUE"""),45287.64583333333)</f>
        <v>45287.64583</v>
      </c>
      <c r="MT7" s="45">
        <f>IFERROR(__xludf.DUMMYFUNCTION("""COMPUTED_VALUE"""),67.4)</f>
        <v>67.4</v>
      </c>
      <c r="MV7" s="37"/>
      <c r="MW7" s="37">
        <f>IFERROR(__xludf.DUMMYFUNCTION("""COMPUTED_VALUE"""),45287.64583333333)</f>
        <v>45287.64583</v>
      </c>
      <c r="MX7" s="45">
        <f>IFERROR(__xludf.DUMMYFUNCTION("""COMPUTED_VALUE"""),3150.0)</f>
        <v>3150</v>
      </c>
      <c r="MZ7" s="37"/>
      <c r="NA7" s="37">
        <f>IFERROR(__xludf.DUMMYFUNCTION("""COMPUTED_VALUE"""),45287.64583333333)</f>
        <v>45287.64583</v>
      </c>
      <c r="NB7" s="45">
        <f>IFERROR(__xludf.DUMMYFUNCTION("""COMPUTED_VALUE"""),13.3)</f>
        <v>13.3</v>
      </c>
      <c r="ND7" s="37"/>
      <c r="NE7" s="37">
        <f>IFERROR(__xludf.DUMMYFUNCTION("""COMPUTED_VALUE"""),45288.64583333333)</f>
        <v>45288.64583</v>
      </c>
      <c r="NF7" s="45">
        <f>IFERROR(__xludf.DUMMYFUNCTION("""COMPUTED_VALUE"""),384.25)</f>
        <v>384.25</v>
      </c>
      <c r="NH7" s="37"/>
      <c r="NI7" s="37">
        <f>IFERROR(__xludf.DUMMYFUNCTION("""COMPUTED_VALUE"""),45288.64583333333)</f>
        <v>45288.64583</v>
      </c>
      <c r="NJ7" s="45">
        <f>IFERROR(__xludf.DUMMYFUNCTION("""COMPUTED_VALUE"""),290.93)</f>
        <v>290.93</v>
      </c>
      <c r="NL7" s="37"/>
      <c r="NM7" s="37">
        <f>IFERROR(__xludf.DUMMYFUNCTION("""COMPUTED_VALUE"""),45288.64583333333)</f>
        <v>45288.64583</v>
      </c>
      <c r="NN7" s="45">
        <f>IFERROR(__xludf.DUMMYFUNCTION("""COMPUTED_VALUE"""),123.85)</f>
        <v>123.85</v>
      </c>
      <c r="NP7" s="37"/>
      <c r="NQ7" s="37">
        <f>IFERROR(__xludf.DUMMYFUNCTION("""COMPUTED_VALUE"""),45288.64583333333)</f>
        <v>45288.64583</v>
      </c>
      <c r="NR7" s="45">
        <f>IFERROR(__xludf.DUMMYFUNCTION("""COMPUTED_VALUE"""),4189.0)</f>
        <v>4189</v>
      </c>
      <c r="NT7" s="37"/>
      <c r="NU7" s="37">
        <f>IFERROR(__xludf.DUMMYFUNCTION("""COMPUTED_VALUE"""),45288.64583333333)</f>
        <v>45288.64583</v>
      </c>
      <c r="NV7" s="45">
        <f>IFERROR(__xludf.DUMMYFUNCTION("""COMPUTED_VALUE"""),12.9)</f>
        <v>12.9</v>
      </c>
      <c r="NX7" s="37"/>
      <c r="NY7" s="37">
        <f>IFERROR(__xludf.DUMMYFUNCTION("""COMPUTED_VALUE"""),45288.64583333333)</f>
        <v>45288.64583</v>
      </c>
      <c r="NZ7" s="45">
        <f>IFERROR(__xludf.DUMMYFUNCTION("""COMPUTED_VALUE"""),246.85)</f>
        <v>246.85</v>
      </c>
      <c r="OB7" s="37"/>
      <c r="OC7" s="37">
        <f>IFERROR(__xludf.DUMMYFUNCTION("""COMPUTED_VALUE"""),45288.64583333333)</f>
        <v>45288.64583</v>
      </c>
      <c r="OD7" s="45">
        <f>IFERROR(__xludf.DUMMYFUNCTION("""COMPUTED_VALUE"""),1050.0)</f>
        <v>1050</v>
      </c>
      <c r="OF7" s="37"/>
      <c r="OG7" s="37">
        <f>IFERROR(__xludf.DUMMYFUNCTION("""COMPUTED_VALUE"""),45288.64583333333)</f>
        <v>45288.64583</v>
      </c>
      <c r="OH7" s="45">
        <f>IFERROR(__xludf.DUMMYFUNCTION("""COMPUTED_VALUE"""),2450.0)</f>
        <v>2450</v>
      </c>
      <c r="OJ7" s="37"/>
      <c r="OK7" s="37"/>
      <c r="OL7" s="45"/>
      <c r="ON7" s="37"/>
    </row>
    <row r="8" ht="12.0" customHeight="1">
      <c r="A8" s="37">
        <f>IFERROR(__xludf.DUMMYFUNCTION("""COMPUTED_VALUE"""),45287.64583333333)</f>
        <v>45287.64583</v>
      </c>
      <c r="B8" s="45">
        <f>IFERROR(__xludf.DUMMYFUNCTION("""COMPUTED_VALUE"""),438.75)</f>
        <v>438.75</v>
      </c>
      <c r="C8" s="46">
        <f t="shared" ref="C8:C47" si="1">(B8-B$5)/B$5</f>
        <v>0</v>
      </c>
      <c r="D8" s="47"/>
      <c r="E8" s="37">
        <f>IFERROR(__xludf.DUMMYFUNCTION("""COMPUTED_VALUE"""),45287.64583333333)</f>
        <v>45287.64583</v>
      </c>
      <c r="F8" s="45">
        <f>IFERROR(__xludf.DUMMYFUNCTION("""COMPUTED_VALUE"""),676.25)</f>
        <v>676.25</v>
      </c>
      <c r="G8" s="46">
        <f t="shared" ref="G8:G47" si="2">(F8-F$5)/F$5</f>
        <v>0.03244274809</v>
      </c>
      <c r="H8" s="47"/>
      <c r="I8" s="37">
        <f>IFERROR(__xludf.DUMMYFUNCTION("""COMPUTED_VALUE"""),45287.64583333333)</f>
        <v>45287.64583</v>
      </c>
      <c r="J8" s="45">
        <f>IFERROR(__xludf.DUMMYFUNCTION("""COMPUTED_VALUE"""),184.9)</f>
        <v>184.9</v>
      </c>
      <c r="K8" s="46">
        <f t="shared" ref="K8:K47" si="3">(J8-J$5)/J$5</f>
        <v>0.004891304348</v>
      </c>
      <c r="L8" s="47"/>
      <c r="M8" s="37">
        <f>IFERROR(__xludf.DUMMYFUNCTION("""COMPUTED_VALUE"""),45287.64583333333)</f>
        <v>45287.64583</v>
      </c>
      <c r="N8" s="45">
        <f>IFERROR(__xludf.DUMMYFUNCTION("""COMPUTED_VALUE"""),87.4)</f>
        <v>87.4</v>
      </c>
      <c r="O8" s="46">
        <f t="shared" ref="O8:O47" si="4">(N8-N$5)/N$5</f>
        <v>0.01157407407</v>
      </c>
      <c r="P8" s="47"/>
      <c r="Q8" s="37">
        <f>IFERROR(__xludf.DUMMYFUNCTION("""COMPUTED_VALUE"""),45287.64583333333)</f>
        <v>45287.64583</v>
      </c>
      <c r="R8" s="45">
        <f>IFERROR(__xludf.DUMMYFUNCTION("""COMPUTED_VALUE"""),52.85)</f>
        <v>52.85</v>
      </c>
      <c r="S8" s="46">
        <f t="shared" ref="S8:S47" si="5">(R8-R$5)/R$5</f>
        <v>0.006666666667</v>
      </c>
      <c r="T8" s="47"/>
      <c r="U8" s="37">
        <f>IFERROR(__xludf.DUMMYFUNCTION("""COMPUTED_VALUE"""),45287.64583333333)</f>
        <v>45287.64583</v>
      </c>
      <c r="V8" s="45">
        <f>IFERROR(__xludf.DUMMYFUNCTION("""COMPUTED_VALUE"""),662.5)</f>
        <v>662.5</v>
      </c>
      <c r="W8" s="46">
        <f t="shared" ref="W8:W47" si="6">(V8-V$5)/V$5</f>
        <v>0.0001509661836</v>
      </c>
      <c r="X8" s="47"/>
      <c r="Y8" s="37">
        <f>IFERROR(__xludf.DUMMYFUNCTION("""COMPUTED_VALUE"""),45287.64583333333)</f>
        <v>45287.64583</v>
      </c>
      <c r="Z8" s="45">
        <f>IFERROR(__xludf.DUMMYFUNCTION("""COMPUTED_VALUE"""),187.7)</f>
        <v>187.7</v>
      </c>
      <c r="AA8" s="46">
        <f t="shared" ref="AA8:AA47" si="7">(Z8-Z$5)/Z$5</f>
        <v>0.01459459459</v>
      </c>
      <c r="AB8" s="47"/>
      <c r="AC8" s="37">
        <f>IFERROR(__xludf.DUMMYFUNCTION("""COMPUTED_VALUE"""),45287.64583333333)</f>
        <v>45287.64583</v>
      </c>
      <c r="AD8" s="45">
        <f>IFERROR(__xludf.DUMMYFUNCTION("""COMPUTED_VALUE"""),2400.0)</f>
        <v>2400</v>
      </c>
      <c r="AE8" s="46">
        <f t="shared" ref="AE8:AE47" si="8">(AD8-AD$5)/AD$5</f>
        <v>0.01073910297</v>
      </c>
      <c r="AF8" s="47"/>
      <c r="AG8" s="37">
        <f>IFERROR(__xludf.DUMMYFUNCTION("""COMPUTED_VALUE"""),45287.64583333333)</f>
        <v>45287.64583</v>
      </c>
      <c r="AH8" s="45">
        <f>IFERROR(__xludf.DUMMYFUNCTION("""COMPUTED_VALUE"""),857.8)</f>
        <v>857.8</v>
      </c>
      <c r="AI8" s="46">
        <f t="shared" ref="AI8:AI47" si="9">(AH8-AH$5)/AH$5</f>
        <v>0.02119047619</v>
      </c>
      <c r="AJ8" s="47"/>
      <c r="AK8" s="37">
        <f>IFERROR(__xludf.DUMMYFUNCTION("""COMPUTED_VALUE"""),45287.64583333333)</f>
        <v>45287.64583</v>
      </c>
      <c r="AL8" s="45">
        <f>IFERROR(__xludf.DUMMYFUNCTION("""COMPUTED_VALUE"""),5289.9)</f>
        <v>5289.9</v>
      </c>
      <c r="AM8" s="46">
        <f t="shared" ref="AM8:AM47" si="10">(AL8-AL$5)/AL$5</f>
        <v>0.01728846154</v>
      </c>
      <c r="AN8" s="47"/>
      <c r="AO8" s="37">
        <f>IFERROR(__xludf.DUMMYFUNCTION("""COMPUTED_VALUE"""),45287.64583333333)</f>
        <v>45287.64583</v>
      </c>
      <c r="AP8" s="45">
        <f>IFERROR(__xludf.DUMMYFUNCTION("""COMPUTED_VALUE"""),913.3)</f>
        <v>913.3</v>
      </c>
      <c r="AQ8" s="46">
        <f t="shared" ref="AQ8:AQ47" si="11">(AP8-AP$5)/AP$5</f>
        <v>0.003626373626</v>
      </c>
      <c r="AR8" s="47"/>
      <c r="AS8" s="37">
        <f>IFERROR(__xludf.DUMMYFUNCTION("""COMPUTED_VALUE"""),45287.64583333333)</f>
        <v>45287.64583</v>
      </c>
      <c r="AT8" s="45">
        <f>IFERROR(__xludf.DUMMYFUNCTION("""COMPUTED_VALUE"""),2495.0)</f>
        <v>2495</v>
      </c>
      <c r="AU8" s="46">
        <f t="shared" ref="AU8:AU47" si="12">(AT8-AT$5)/AT$5</f>
        <v>0.004468778936</v>
      </c>
      <c r="AV8" s="47"/>
      <c r="AW8" s="37">
        <f>IFERROR(__xludf.DUMMYFUNCTION("""COMPUTED_VALUE"""),45287.64583333333)</f>
        <v>45287.64583</v>
      </c>
      <c r="AX8" s="45">
        <f>IFERROR(__xludf.DUMMYFUNCTION("""COMPUTED_VALUE"""),5734.0)</f>
        <v>5734</v>
      </c>
      <c r="AY8" s="46">
        <f t="shared" ref="AY8:AY47" si="13">(AX8-AX$5)/AX$5</f>
        <v>0.01583814619</v>
      </c>
      <c r="AZ8" s="47"/>
      <c r="BA8" s="37">
        <f>IFERROR(__xludf.DUMMYFUNCTION("""COMPUTED_VALUE"""),45287.64583333333)</f>
        <v>45287.64583</v>
      </c>
      <c r="BB8" s="45">
        <f>IFERROR(__xludf.DUMMYFUNCTION("""COMPUTED_VALUE"""),475.4)</f>
        <v>475.4</v>
      </c>
      <c r="BC8" s="46">
        <f t="shared" ref="BC8:BC47" si="14">(BB8-BB$5)/BB$5</f>
        <v>0.01472785486</v>
      </c>
      <c r="BD8" s="47"/>
      <c r="BE8" s="37">
        <f>IFERROR(__xludf.DUMMYFUNCTION("""COMPUTED_VALUE"""),45287.64583333333)</f>
        <v>45287.64583</v>
      </c>
      <c r="BF8" s="45">
        <f>IFERROR(__xludf.DUMMYFUNCTION("""COMPUTED_VALUE"""),407.0)</f>
        <v>407</v>
      </c>
      <c r="BG8" s="46">
        <f t="shared" ref="BG8:BG47" si="15">(BF8-BF$5)/BF$5</f>
        <v>0</v>
      </c>
      <c r="BH8" s="47"/>
      <c r="BI8" s="37">
        <f>IFERROR(__xludf.DUMMYFUNCTION("""COMPUTED_VALUE"""),45287.64583333333)</f>
        <v>45287.64583</v>
      </c>
      <c r="BJ8" s="45">
        <f>IFERROR(__xludf.DUMMYFUNCTION("""COMPUTED_VALUE"""),69.45)</f>
        <v>69.45</v>
      </c>
      <c r="BK8" s="46">
        <f t="shared" ref="BK8:BK47" si="16">(BJ8-BJ$5)/BJ$5</f>
        <v>0</v>
      </c>
      <c r="BL8" s="47"/>
      <c r="BM8" s="37">
        <f>IFERROR(__xludf.DUMMYFUNCTION("""COMPUTED_VALUE"""),45287.64583333333)</f>
        <v>45287.64583</v>
      </c>
      <c r="BN8" s="45">
        <f>IFERROR(__xludf.DUMMYFUNCTION("""COMPUTED_VALUE"""),266.7)</f>
        <v>266.7</v>
      </c>
      <c r="BO8" s="46">
        <f t="shared" ref="BO8:BO47" si="17">(BN8-BN$5)/BN$5</f>
        <v>0.041796875</v>
      </c>
      <c r="BP8" s="47"/>
      <c r="BQ8" s="37">
        <f>IFERROR(__xludf.DUMMYFUNCTION("""COMPUTED_VALUE"""),45287.64583333333)</f>
        <v>45287.64583</v>
      </c>
      <c r="BR8" s="45">
        <f>IFERROR(__xludf.DUMMYFUNCTION("""COMPUTED_VALUE"""),65.2)</f>
        <v>65.2</v>
      </c>
      <c r="BS8" s="46">
        <f t="shared" ref="BS8:BS47" si="18">(BR8-BR$5)/BR$5</f>
        <v>0.07060755337</v>
      </c>
      <c r="BT8" s="47"/>
      <c r="BU8" s="37">
        <f>IFERROR(__xludf.DUMMYFUNCTION("""COMPUTED_VALUE"""),45287.64583333333)</f>
        <v>45287.64583</v>
      </c>
      <c r="BV8" s="45">
        <f>IFERROR(__xludf.DUMMYFUNCTION("""COMPUTED_VALUE"""),314.9)</f>
        <v>314.9</v>
      </c>
      <c r="BW8" s="46">
        <f t="shared" ref="BW8:BW47" si="19">(BV8-BV$5)/BV$5</f>
        <v>0.01777634131</v>
      </c>
      <c r="BX8" s="47"/>
      <c r="BY8" s="37">
        <f>IFERROR(__xludf.DUMMYFUNCTION("""COMPUTED_VALUE"""),45287.64583333333)</f>
        <v>45287.64583</v>
      </c>
      <c r="BZ8" s="45">
        <f>IFERROR(__xludf.DUMMYFUNCTION("""COMPUTED_VALUE"""),442.3)</f>
        <v>442.3</v>
      </c>
      <c r="CA8" s="46">
        <f t="shared" ref="CA8:CA47" si="20">(BZ8-BZ$5)/BZ$5</f>
        <v>0.0800976801</v>
      </c>
      <c r="CB8" s="47"/>
      <c r="CC8" s="37">
        <f>IFERROR(__xludf.DUMMYFUNCTION("""COMPUTED_VALUE"""),45287.64583333333)</f>
        <v>45287.64583</v>
      </c>
      <c r="CD8" s="45">
        <f>IFERROR(__xludf.DUMMYFUNCTION("""COMPUTED_VALUE"""),235.7)</f>
        <v>235.7</v>
      </c>
      <c r="CE8" s="46">
        <f t="shared" ref="CE8:CE47" si="21">(CD8-CD$5)/CD$5</f>
        <v>0.01726370306</v>
      </c>
      <c r="CF8" s="47"/>
      <c r="CG8" s="37">
        <f>IFERROR(__xludf.DUMMYFUNCTION("""COMPUTED_VALUE"""),45287.64583333333)</f>
        <v>45287.64583</v>
      </c>
      <c r="CH8" s="45">
        <f>IFERROR(__xludf.DUMMYFUNCTION("""COMPUTED_VALUE"""),649.65)</f>
        <v>649.65</v>
      </c>
      <c r="CI8" s="46">
        <f t="shared" ref="CI8:CI47" si="22">(CH8-CH$5)/CH$5</f>
        <v>0.02146226415</v>
      </c>
      <c r="CJ8" s="47"/>
      <c r="CK8" s="37">
        <f>IFERROR(__xludf.DUMMYFUNCTION("""COMPUTED_VALUE"""),45287.64583333333)</f>
        <v>45287.64583</v>
      </c>
      <c r="CL8" s="45">
        <f>IFERROR(__xludf.DUMMYFUNCTION("""COMPUTED_VALUE"""),347.0)</f>
        <v>347</v>
      </c>
      <c r="CM8" s="46">
        <f t="shared" ref="CM8:CM47" si="23">(CL8-CL$5)/CL$5</f>
        <v>0.0296735905</v>
      </c>
      <c r="CN8" s="47"/>
      <c r="CO8" s="37">
        <f>IFERROR(__xludf.DUMMYFUNCTION("""COMPUTED_VALUE"""),45287.64583333333)</f>
        <v>45287.64583</v>
      </c>
      <c r="CP8" s="45">
        <f>IFERROR(__xludf.DUMMYFUNCTION("""COMPUTED_VALUE"""),16.9)</f>
        <v>16.9</v>
      </c>
      <c r="CQ8" s="46">
        <f t="shared" ref="CQ8:CQ47" si="24">(CP8-CP$5)/CP$5</f>
        <v>0.1418918919</v>
      </c>
      <c r="CR8" s="47"/>
      <c r="CS8" s="37">
        <f>IFERROR(__xludf.DUMMYFUNCTION("""COMPUTED_VALUE"""),45287.64583333333)</f>
        <v>45287.64583</v>
      </c>
      <c r="CT8" s="45">
        <f>IFERROR(__xludf.DUMMYFUNCTION("""COMPUTED_VALUE"""),200.0)</f>
        <v>200</v>
      </c>
      <c r="CU8" s="46">
        <f t="shared" ref="CU8:CU47" si="25">(CT8-CT$5)/CT$5</f>
        <v>0.0101010101</v>
      </c>
      <c r="CV8" s="47"/>
      <c r="CW8" s="37">
        <f>IFERROR(__xludf.DUMMYFUNCTION("""COMPUTED_VALUE"""),45287.64583333333)</f>
        <v>45287.64583</v>
      </c>
      <c r="CX8" s="45">
        <f>IFERROR(__xludf.DUMMYFUNCTION("""COMPUTED_VALUE"""),704.43)</f>
        <v>704.43</v>
      </c>
      <c r="CY8" s="46">
        <f t="shared" ref="CY8:CY47" si="26">(CX8-CX$5)/CX$5</f>
        <v>0.01828616034</v>
      </c>
      <c r="CZ8" s="47"/>
      <c r="DA8" s="37">
        <f>IFERROR(__xludf.DUMMYFUNCTION("""COMPUTED_VALUE"""),45287.64583333333)</f>
        <v>45287.64583</v>
      </c>
      <c r="DB8" s="45">
        <f>IFERROR(__xludf.DUMMYFUNCTION("""COMPUTED_VALUE"""),28.1)</f>
        <v>28.1</v>
      </c>
      <c r="DC8" s="46">
        <f t="shared" ref="DC8:DC47" si="27">(DB8-DB$5)/DB$5</f>
        <v>0.007168458781</v>
      </c>
      <c r="DD8" s="47"/>
      <c r="DE8" s="37">
        <f>IFERROR(__xludf.DUMMYFUNCTION("""COMPUTED_VALUE"""),45287.64583333333)</f>
        <v>45287.64583</v>
      </c>
      <c r="DF8" s="45">
        <f>IFERROR(__xludf.DUMMYFUNCTION("""COMPUTED_VALUE"""),134.6)</f>
        <v>134.6</v>
      </c>
      <c r="DG8" s="46">
        <f t="shared" ref="DG8:DG47" si="28">(DF8-DF$5)/DF$5</f>
        <v>0.1879964695</v>
      </c>
      <c r="DH8" s="47"/>
      <c r="DI8" s="37">
        <f>IFERROR(__xludf.DUMMYFUNCTION("""COMPUTED_VALUE"""),45287.64583333333)</f>
        <v>45287.64583</v>
      </c>
      <c r="DJ8" s="45">
        <f>IFERROR(__xludf.DUMMYFUNCTION("""COMPUTED_VALUE"""),1614.95)</f>
        <v>1614.95</v>
      </c>
      <c r="DK8" s="46">
        <f t="shared" ref="DK8:DK47" si="29">(DJ8-DJ$5)/DJ$5</f>
        <v>0.006324775673</v>
      </c>
      <c r="DL8" s="47"/>
      <c r="DM8" s="37">
        <f>IFERROR(__xludf.DUMMYFUNCTION("""COMPUTED_VALUE"""),45287.64583333333)</f>
        <v>45287.64583</v>
      </c>
      <c r="DN8" s="45">
        <f>IFERROR(__xludf.DUMMYFUNCTION("""COMPUTED_VALUE"""),549.2)</f>
        <v>549.2</v>
      </c>
      <c r="DO8" s="46">
        <f t="shared" ref="DO8:DO47" si="30">(DN8-DN$5)/DN$5</f>
        <v>0.0243402033</v>
      </c>
      <c r="DP8" s="47"/>
      <c r="DQ8" s="37">
        <f>IFERROR(__xludf.DUMMYFUNCTION("""COMPUTED_VALUE"""),45287.64583333333)</f>
        <v>45287.64583</v>
      </c>
      <c r="DR8" s="45">
        <f>IFERROR(__xludf.DUMMYFUNCTION("""COMPUTED_VALUE"""),226.5)</f>
        <v>226.5</v>
      </c>
      <c r="DS8" s="46">
        <f t="shared" ref="DS8:DS47" si="31">(DR8-DR$5)/DR$5</f>
        <v>0.03899082569</v>
      </c>
      <c r="DT8" s="47"/>
      <c r="DU8" s="37">
        <f>IFERROR(__xludf.DUMMYFUNCTION("""COMPUTED_VALUE"""),45287.64583333333)</f>
        <v>45287.64583</v>
      </c>
      <c r="DV8" s="45">
        <f>IFERROR(__xludf.DUMMYFUNCTION("""COMPUTED_VALUE"""),905.48)</f>
        <v>905.48</v>
      </c>
      <c r="DW8" s="46">
        <f t="shared" ref="DW8:DW47" si="32">(DV8-DV$5)/DV$5</f>
        <v>0.06464432687</v>
      </c>
      <c r="DX8" s="47"/>
      <c r="DY8" s="37">
        <f>IFERROR(__xludf.DUMMYFUNCTION("""COMPUTED_VALUE"""),45287.64583333333)</f>
        <v>45287.64583</v>
      </c>
      <c r="DZ8" s="45">
        <f>IFERROR(__xludf.DUMMYFUNCTION("""COMPUTED_VALUE"""),10.85)</f>
        <v>10.85</v>
      </c>
      <c r="EA8" s="46">
        <f t="shared" ref="EA8:EA47" si="33">(DZ8-DZ$5)/DZ$5</f>
        <v>0</v>
      </c>
      <c r="EB8" s="47"/>
      <c r="EC8" s="37">
        <f>IFERROR(__xludf.DUMMYFUNCTION("""COMPUTED_VALUE"""),45287.64583333333)</f>
        <v>45287.64583</v>
      </c>
      <c r="ED8" s="45">
        <f>IFERROR(__xludf.DUMMYFUNCTION("""COMPUTED_VALUE"""),2725.0)</f>
        <v>2725</v>
      </c>
      <c r="EE8" s="46">
        <f t="shared" ref="EE8:EE47" si="34">(ED8-ED$5)/ED$5</f>
        <v>0.03024574669</v>
      </c>
      <c r="EF8" s="47"/>
      <c r="EG8" s="37">
        <f>IFERROR(__xludf.DUMMYFUNCTION("""COMPUTED_VALUE"""),45287.64583333333)</f>
        <v>45287.64583</v>
      </c>
      <c r="EH8" s="45">
        <f>IFERROR(__xludf.DUMMYFUNCTION("""COMPUTED_VALUE"""),658.6)</f>
        <v>658.6</v>
      </c>
      <c r="EI8" s="46">
        <f t="shared" ref="EI8:EI47" si="35">(EH8-EH$5)/EH$5</f>
        <v>0.015417823</v>
      </c>
      <c r="EJ8" s="47"/>
      <c r="EK8" s="37">
        <f>IFERROR(__xludf.DUMMYFUNCTION("""COMPUTED_VALUE"""),45287.64583333333)</f>
        <v>45287.64583</v>
      </c>
      <c r="EL8" s="45">
        <f>IFERROR(__xludf.DUMMYFUNCTION("""COMPUTED_VALUE"""),204.0)</f>
        <v>204</v>
      </c>
      <c r="EM8" s="46">
        <f t="shared" ref="EM8:EM47" si="36">(EL8-EL$5)/EL$5</f>
        <v>0.009900990099</v>
      </c>
      <c r="EN8" s="47"/>
      <c r="EO8" s="37">
        <f>IFERROR(__xludf.DUMMYFUNCTION("""COMPUTED_VALUE"""),45287.64583333333)</f>
        <v>45287.64583</v>
      </c>
      <c r="EP8" s="45">
        <f>IFERROR(__xludf.DUMMYFUNCTION("""COMPUTED_VALUE"""),155.4)</f>
        <v>155.4</v>
      </c>
      <c r="EQ8" s="46">
        <f t="shared" ref="EQ8:EQ47" si="37">(EP8-EP$5)/EP$5</f>
        <v>0.002904162633</v>
      </c>
      <c r="ER8" s="47"/>
      <c r="ES8" s="37">
        <f>IFERROR(__xludf.DUMMYFUNCTION("""COMPUTED_VALUE"""),45287.64583333333)</f>
        <v>45287.64583</v>
      </c>
      <c r="ET8" s="45">
        <f>IFERROR(__xludf.DUMMYFUNCTION("""COMPUTED_VALUE"""),199.7)</f>
        <v>199.7</v>
      </c>
      <c r="EU8" s="46">
        <f t="shared" ref="EU8:EU47" si="38">(ET8-ET$5)/ET$5</f>
        <v>0.02752765629</v>
      </c>
      <c r="EV8" s="47"/>
      <c r="EW8" s="37">
        <f>IFERROR(__xludf.DUMMYFUNCTION("""COMPUTED_VALUE"""),45287.64583333333)</f>
        <v>45287.64583</v>
      </c>
      <c r="EX8" s="45">
        <f>IFERROR(__xludf.DUMMYFUNCTION("""COMPUTED_VALUE"""),665.0)</f>
        <v>665</v>
      </c>
      <c r="EY8" s="46">
        <f t="shared" ref="EY8:EY47" si="39">(EX8-EX$5)/EX$5</f>
        <v>0.0262345679</v>
      </c>
      <c r="EZ8" s="47"/>
      <c r="FA8" s="37">
        <f>IFERROR(__xludf.DUMMYFUNCTION("""COMPUTED_VALUE"""),45287.64583333333)</f>
        <v>45287.64583</v>
      </c>
      <c r="FB8" s="45">
        <f>IFERROR(__xludf.DUMMYFUNCTION("""COMPUTED_VALUE"""),186.65)</f>
        <v>186.65</v>
      </c>
      <c r="FC8" s="46">
        <f t="shared" ref="FC8:FC47" si="40">(FB8-FB$5)/FB$5</f>
        <v>0.07024082569</v>
      </c>
      <c r="FD8" s="47"/>
      <c r="FE8" s="37">
        <f>IFERROR(__xludf.DUMMYFUNCTION("""COMPUTED_VALUE"""),45287.64583333333)</f>
        <v>45287.64583</v>
      </c>
      <c r="FF8" s="45">
        <f>IFERROR(__xludf.DUMMYFUNCTION("""COMPUTED_VALUE"""),304.8)</f>
        <v>304.8</v>
      </c>
      <c r="FG8" s="46">
        <f t="shared" ref="FG8:FG47" si="41">(FF8-FF$5)/FF$5</f>
        <v>0</v>
      </c>
      <c r="FH8" s="47"/>
      <c r="FI8" s="37">
        <f>IFERROR(__xludf.DUMMYFUNCTION("""COMPUTED_VALUE"""),45287.64583333333)</f>
        <v>45287.64583</v>
      </c>
      <c r="FJ8" s="45">
        <f>IFERROR(__xludf.DUMMYFUNCTION("""COMPUTED_VALUE"""),635.7)</f>
        <v>635.7</v>
      </c>
      <c r="FK8" s="46">
        <f t="shared" ref="FK8:FK47" si="42">(FJ8-FJ$5)/FJ$5</f>
        <v>0.04892335616</v>
      </c>
      <c r="FL8" s="47"/>
      <c r="FM8" s="37">
        <f>IFERROR(__xludf.DUMMYFUNCTION("""COMPUTED_VALUE"""),45287.64583333333)</f>
        <v>45287.64583</v>
      </c>
      <c r="FN8" s="45">
        <f>IFERROR(__xludf.DUMMYFUNCTION("""COMPUTED_VALUE"""),97.75)</f>
        <v>97.75</v>
      </c>
      <c r="FO8" s="46">
        <f t="shared" ref="FO8:FO47" si="43">(FN8-FN$5)/FN$5</f>
        <v>0.02894736842</v>
      </c>
      <c r="FP8" s="47"/>
      <c r="FQ8" s="37">
        <f>IFERROR(__xludf.DUMMYFUNCTION("""COMPUTED_VALUE"""),45287.64583333333)</f>
        <v>45287.64583</v>
      </c>
      <c r="FR8" s="45">
        <f>IFERROR(__xludf.DUMMYFUNCTION("""COMPUTED_VALUE"""),5.5)</f>
        <v>5.5</v>
      </c>
      <c r="FS8" s="46">
        <f t="shared" ref="FS8:FS47" si="44">(FR8-FR$5)/FR$5</f>
        <v>0</v>
      </c>
      <c r="FT8" s="47"/>
      <c r="FU8" s="37">
        <f>IFERROR(__xludf.DUMMYFUNCTION("""COMPUTED_VALUE"""),45287.64583333333)</f>
        <v>45287.64583</v>
      </c>
      <c r="FV8" s="45">
        <f>IFERROR(__xludf.DUMMYFUNCTION("""COMPUTED_VALUE"""),678.8)</f>
        <v>678.8</v>
      </c>
      <c r="FW8" s="46">
        <f t="shared" ref="FW8:FW47" si="45">(FV8-FV$5)/FV$5</f>
        <v>0.01685267021</v>
      </c>
      <c r="FX8" s="47"/>
      <c r="FY8" s="37">
        <f>IFERROR(__xludf.DUMMYFUNCTION("""COMPUTED_VALUE"""),45287.64583333333)</f>
        <v>45287.64583</v>
      </c>
      <c r="FZ8" s="45">
        <f>IFERROR(__xludf.DUMMYFUNCTION("""COMPUTED_VALUE"""),171.0)</f>
        <v>171</v>
      </c>
      <c r="GA8" s="46">
        <f t="shared" ref="GA8:GA47" si="46">(FZ8-FZ$5)/FZ$5</f>
        <v>0.007067137809</v>
      </c>
      <c r="GB8" s="47"/>
      <c r="GC8" s="37">
        <f>IFERROR(__xludf.DUMMYFUNCTION("""COMPUTED_VALUE"""),45287.64583333333)</f>
        <v>45287.64583</v>
      </c>
      <c r="GD8" s="45">
        <f>IFERROR(__xludf.DUMMYFUNCTION("""COMPUTED_VALUE"""),465.0)</f>
        <v>465</v>
      </c>
      <c r="GE8" s="46">
        <f t="shared" ref="GE8:GE47" si="47">(GD8-GD$5)/GD$5</f>
        <v>0.006711409396</v>
      </c>
      <c r="GF8" s="47"/>
      <c r="GG8" s="37">
        <f>IFERROR(__xludf.DUMMYFUNCTION("""COMPUTED_VALUE"""),45287.64583333333)</f>
        <v>45287.64583</v>
      </c>
      <c r="GH8" s="45">
        <f>IFERROR(__xludf.DUMMYFUNCTION("""COMPUTED_VALUE"""),5300.0)</f>
        <v>5300</v>
      </c>
      <c r="GI8" s="46">
        <f t="shared" ref="GI8:GI47" si="48">(GH8-GH$5)/GH$5</f>
        <v>0.0001887148519</v>
      </c>
      <c r="GJ8" s="47"/>
      <c r="GK8" s="37">
        <f>IFERROR(__xludf.DUMMYFUNCTION("""COMPUTED_VALUE"""),45287.64583333333)</f>
        <v>45287.64583</v>
      </c>
      <c r="GL8" s="45">
        <f>IFERROR(__xludf.DUMMYFUNCTION("""COMPUTED_VALUE"""),113.4)</f>
        <v>113.4</v>
      </c>
      <c r="GM8" s="46">
        <f t="shared" ref="GM8:GM47" si="49">(GL8-GL$5)/GL$5</f>
        <v>0</v>
      </c>
      <c r="GN8" s="47"/>
      <c r="GO8" s="37">
        <f>IFERROR(__xludf.DUMMYFUNCTION("""COMPUTED_VALUE"""),45287.64583333333)</f>
        <v>45287.64583</v>
      </c>
      <c r="GP8" s="45">
        <f>IFERROR(__xludf.DUMMYFUNCTION("""COMPUTED_VALUE"""),1224.4)</f>
        <v>1224.4</v>
      </c>
      <c r="GQ8" s="46">
        <f t="shared" ref="GQ8:GQ47" si="50">(GP8-GP$5)/GP$5</f>
        <v>0.1135464508</v>
      </c>
      <c r="GR8" s="47"/>
      <c r="GS8" s="37">
        <f>IFERROR(__xludf.DUMMYFUNCTION("""COMPUTED_VALUE"""),45287.64583333333)</f>
        <v>45287.64583</v>
      </c>
      <c r="GT8" s="45">
        <f>IFERROR(__xludf.DUMMYFUNCTION("""COMPUTED_VALUE"""),13.3)</f>
        <v>13.3</v>
      </c>
      <c r="GU8" s="46">
        <f t="shared" ref="GU8:GU47" si="51">(GT8-GT$5)/GT$5</f>
        <v>0.02702702703</v>
      </c>
      <c r="GV8" s="47"/>
      <c r="GW8" s="37">
        <f>IFERROR(__xludf.DUMMYFUNCTION("""COMPUTED_VALUE"""),45288.64583333333)</f>
        <v>45288.64583</v>
      </c>
      <c r="GX8" s="45">
        <f>IFERROR(__xludf.DUMMYFUNCTION("""COMPUTED_VALUE"""),16.5)</f>
        <v>16.5</v>
      </c>
      <c r="GY8" s="46">
        <f t="shared" ref="GY8:GY47" si="52">(GX8-GX$5)/GX$5</f>
        <v>0</v>
      </c>
      <c r="GZ8" s="47"/>
      <c r="HA8" s="37">
        <f>IFERROR(__xludf.DUMMYFUNCTION("""COMPUTED_VALUE"""),45288.64583333333)</f>
        <v>45288.64583</v>
      </c>
      <c r="HB8" s="45">
        <f>IFERROR(__xludf.DUMMYFUNCTION("""COMPUTED_VALUE"""),616.5)</f>
        <v>616.5</v>
      </c>
      <c r="HC8" s="46">
        <f t="shared" ref="HC8:HC47" si="53">(HB8-HB$5)/HB$5</f>
        <v>0.01398026316</v>
      </c>
      <c r="HD8" s="47"/>
      <c r="HE8" s="43">
        <f>IFERROR(__xludf.DUMMYFUNCTION("""COMPUTED_VALUE"""),45288.64583333333)</f>
        <v>45288.64583</v>
      </c>
      <c r="HF8" s="45">
        <f>IFERROR(__xludf.DUMMYFUNCTION("""COMPUTED_VALUE"""),2450.0)</f>
        <v>2450</v>
      </c>
      <c r="HG8" s="46" t="str">
        <f t="shared" ref="HG8:HG47" si="54">(HF8-HF$5)/HF$5</f>
        <v>#DIV/0!</v>
      </c>
      <c r="HH8" s="47"/>
      <c r="HI8" s="37">
        <f>IFERROR(__xludf.DUMMYFUNCTION("""COMPUTED_VALUE"""),45288.64583333333)</f>
        <v>45288.64583</v>
      </c>
      <c r="HJ8" s="45">
        <f>IFERROR(__xludf.DUMMYFUNCTION("""COMPUTED_VALUE"""),5131.6)</f>
        <v>5131.6</v>
      </c>
      <c r="HK8" s="46">
        <f t="shared" ref="HK8:HK47" si="55">(HJ8-HJ$5)/HJ$5</f>
        <v>0.004217179871</v>
      </c>
      <c r="HL8" s="47"/>
      <c r="HM8" s="37">
        <f>IFERROR(__xludf.DUMMYFUNCTION("""COMPUTED_VALUE"""),45288.64583333333)</f>
        <v>45288.64583</v>
      </c>
      <c r="HN8" s="45">
        <f>IFERROR(__xludf.DUMMYFUNCTION("""COMPUTED_VALUE"""),410.5)</f>
        <v>410.5</v>
      </c>
      <c r="HO8" s="46">
        <f t="shared" ref="HO8:HO47" si="56">(HN8-HN$5)/HN$5</f>
        <v>0.009715902103</v>
      </c>
      <c r="HP8" s="47"/>
      <c r="HQ8" s="37">
        <f>IFERROR(__xludf.DUMMYFUNCTION("""COMPUTED_VALUE"""),45288.64583333333)</f>
        <v>45288.64583</v>
      </c>
      <c r="HR8" s="45">
        <f>IFERROR(__xludf.DUMMYFUNCTION("""COMPUTED_VALUE"""),257.75)</f>
        <v>257.75</v>
      </c>
      <c r="HS8" s="46">
        <f t="shared" ref="HS8:HS47" si="57">(HR8-HR$5)/HR$5</f>
        <v>0.01356665356</v>
      </c>
      <c r="HT8" s="47"/>
      <c r="HU8" s="37">
        <f>IFERROR(__xludf.DUMMYFUNCTION("""COMPUTED_VALUE"""),45288.64583333333)</f>
        <v>45288.64583</v>
      </c>
      <c r="HV8" s="45">
        <f>IFERROR(__xludf.DUMMYFUNCTION("""COMPUTED_VALUE"""),65.0)</f>
        <v>65</v>
      </c>
      <c r="HW8" s="46">
        <f t="shared" ref="HW8:HW47" si="58">(HV8-HV$5)/HV$5</f>
        <v>0.04166666667</v>
      </c>
      <c r="HX8" s="47"/>
      <c r="HY8" s="37">
        <f>IFERROR(__xludf.DUMMYFUNCTION("""COMPUTED_VALUE"""),45288.64583333333)</f>
        <v>45288.64583</v>
      </c>
      <c r="HZ8" s="45">
        <f>IFERROR(__xludf.DUMMYFUNCTION("""COMPUTED_VALUE"""),465.0)</f>
        <v>465</v>
      </c>
      <c r="IA8" s="46">
        <f t="shared" ref="IA8:IA47" si="59">(HZ8-HZ$5)/HZ$5</f>
        <v>0</v>
      </c>
      <c r="IB8" s="47"/>
      <c r="IC8" s="37">
        <f>IFERROR(__xludf.DUMMYFUNCTION("""COMPUTED_VALUE"""),45288.64583333333)</f>
        <v>45288.64583</v>
      </c>
      <c r="ID8" s="45">
        <f>IFERROR(__xludf.DUMMYFUNCTION("""COMPUTED_VALUE"""),81.0)</f>
        <v>81</v>
      </c>
      <c r="IE8" s="46">
        <f t="shared" ref="IE8:IE47" si="60">(ID8-ID$5)/ID$5</f>
        <v>-0.8153846154</v>
      </c>
      <c r="IF8" s="47"/>
      <c r="IG8" s="37">
        <f>IFERROR(__xludf.DUMMYFUNCTION("""COMPUTED_VALUE"""),45288.64583333333)</f>
        <v>45288.64583</v>
      </c>
      <c r="IH8" s="45">
        <f>IFERROR(__xludf.DUMMYFUNCTION("""COMPUTED_VALUE"""),533.1)</f>
        <v>533.1</v>
      </c>
      <c r="II8" s="46">
        <f t="shared" ref="II8:II47" si="61">(IH8-IH$5)/IH$5</f>
        <v>0.0001876172608</v>
      </c>
      <c r="IJ8" s="47"/>
      <c r="IK8" s="37">
        <f>IFERROR(__xludf.DUMMYFUNCTION("""COMPUTED_VALUE"""),45288.64583333333)</f>
        <v>45288.64583</v>
      </c>
      <c r="IL8" s="45">
        <f>IFERROR(__xludf.DUMMYFUNCTION("""COMPUTED_VALUE"""),623.75)</f>
        <v>623.75</v>
      </c>
      <c r="IM8" s="46">
        <f t="shared" ref="IM8:IM47" si="62">(IL8-IL$5)/IL$5</f>
        <v>0.009385872643</v>
      </c>
      <c r="IN8" s="47"/>
      <c r="IO8" s="37">
        <f>IFERROR(__xludf.DUMMYFUNCTION("""COMPUTED_VALUE"""),45288.64583333333)</f>
        <v>45288.64583</v>
      </c>
      <c r="IP8" s="45">
        <f>IFERROR(__xludf.DUMMYFUNCTION("""COMPUTED_VALUE"""),125.69)</f>
        <v>125.69</v>
      </c>
      <c r="IQ8" s="46">
        <f t="shared" ref="IQ8:IQ47" si="63">(IP8-IP$5)/IP$5</f>
        <v>0</v>
      </c>
      <c r="IR8" s="47"/>
      <c r="IS8" s="37">
        <f>IFERROR(__xludf.DUMMYFUNCTION("""COMPUTED_VALUE"""),45288.64583333333)</f>
        <v>45288.64583</v>
      </c>
      <c r="IT8" s="45">
        <f>IFERROR(__xludf.DUMMYFUNCTION("""COMPUTED_VALUE"""),1034.0)</f>
        <v>1034</v>
      </c>
      <c r="IU8" s="46">
        <f t="shared" ref="IU8:IU47" si="64">(IT8-IT$5)/IT$5</f>
        <v>0.02988047809</v>
      </c>
      <c r="IV8" s="47"/>
      <c r="IW8" s="37">
        <f>IFERROR(__xludf.DUMMYFUNCTION("""COMPUTED_VALUE"""),45288.64583333333)</f>
        <v>45288.64583</v>
      </c>
      <c r="IX8" s="45">
        <f>IFERROR(__xludf.DUMMYFUNCTION("""COMPUTED_VALUE"""),209.9)</f>
        <v>209.9</v>
      </c>
      <c r="IY8" s="46">
        <f t="shared" ref="IY8:IY47" si="65">(IX8-IX$5)/IX$5</f>
        <v>0.01917941248</v>
      </c>
      <c r="IZ8" s="47"/>
      <c r="JA8" s="37">
        <f>IFERROR(__xludf.DUMMYFUNCTION("""COMPUTED_VALUE"""),45288.64583333333)</f>
        <v>45288.64583</v>
      </c>
      <c r="JB8" s="45">
        <f>IFERROR(__xludf.DUMMYFUNCTION("""COMPUTED_VALUE"""),36193.4)</f>
        <v>36193.4</v>
      </c>
      <c r="JC8" s="46">
        <f t="shared" ref="JC8:JC47" si="66">(JB8-JB$5)/JB$5</f>
        <v>0.02233589858</v>
      </c>
      <c r="JD8" s="47"/>
      <c r="JE8" s="37">
        <f>IFERROR(__xludf.DUMMYFUNCTION("""COMPUTED_VALUE"""),45288.64583333333)</f>
        <v>45288.64583</v>
      </c>
      <c r="JF8" s="45">
        <f>IFERROR(__xludf.DUMMYFUNCTION("""COMPUTED_VALUE"""),650.75)</f>
        <v>650.75</v>
      </c>
      <c r="JG8" s="46">
        <f t="shared" ref="JG8:JG47" si="67">(JF8-JF$5)/JF$5</f>
        <v>0.008914728682</v>
      </c>
      <c r="JH8" s="47"/>
      <c r="JI8" s="37">
        <f>IFERROR(__xludf.DUMMYFUNCTION("""COMPUTED_VALUE"""),45288.64583333333)</f>
        <v>45288.64583</v>
      </c>
      <c r="JJ8" s="45">
        <f>IFERROR(__xludf.DUMMYFUNCTION("""COMPUTED_VALUE"""),338.6)</f>
        <v>338.6</v>
      </c>
      <c r="JK8" s="46">
        <f t="shared" ref="JK8:JK47" si="68">(JJ8-JJ$5)/JJ$5</f>
        <v>0.01392424016</v>
      </c>
      <c r="JL8" s="47"/>
      <c r="JM8" s="37">
        <f>IFERROR(__xludf.DUMMYFUNCTION("""COMPUTED_VALUE"""),45288.64583333333)</f>
        <v>45288.64583</v>
      </c>
      <c r="JN8" s="45">
        <f>IFERROR(__xludf.DUMMYFUNCTION("""COMPUTED_VALUE"""),16.15)</f>
        <v>16.15</v>
      </c>
      <c r="JO8" s="46">
        <f t="shared" ref="JO8:JO47" si="69">(JN8-JN$5)/JN$5</f>
        <v>-0.9631908832</v>
      </c>
      <c r="JP8" s="47"/>
      <c r="JQ8" s="37">
        <f>IFERROR(__xludf.DUMMYFUNCTION("""COMPUTED_VALUE"""),45288.64583333333)</f>
        <v>45288.64583</v>
      </c>
      <c r="JR8" s="45">
        <f>IFERROR(__xludf.DUMMYFUNCTION("""COMPUTED_VALUE"""),140.65)</f>
        <v>140.65</v>
      </c>
      <c r="JS8" s="46">
        <f t="shared" ref="JS8:JS47" si="70">(JR8-JR$5)/JR$5</f>
        <v>0.03419117647</v>
      </c>
      <c r="JT8" s="47"/>
      <c r="JU8" s="37">
        <f>IFERROR(__xludf.DUMMYFUNCTION("""COMPUTED_VALUE"""),45288.64583333333)</f>
        <v>45288.64583</v>
      </c>
      <c r="JV8" s="45">
        <f>IFERROR(__xludf.DUMMYFUNCTION("""COMPUTED_VALUE"""),248.4)</f>
        <v>248.4</v>
      </c>
      <c r="JW8" s="46">
        <f t="shared" ref="JW8:JW47" si="71">(JV8-JV$5)/JV$5</f>
        <v>-0.4338461538</v>
      </c>
      <c r="JX8" s="47"/>
      <c r="JY8" s="37">
        <f>IFERROR(__xludf.DUMMYFUNCTION("""COMPUTED_VALUE"""),45288.64583333333)</f>
        <v>45288.64583</v>
      </c>
      <c r="JZ8" s="45">
        <f>IFERROR(__xludf.DUMMYFUNCTION("""COMPUTED_VALUE"""),562.9)</f>
        <v>562.9</v>
      </c>
      <c r="KA8" s="46">
        <f t="shared" ref="KA8:KA47" si="72">(JZ8-JZ$5)/JZ$5</f>
        <v>0.02159709619</v>
      </c>
      <c r="KB8" s="47"/>
      <c r="KC8" s="37">
        <f>IFERROR(__xludf.DUMMYFUNCTION("""COMPUTED_VALUE"""),45288.64583333333)</f>
        <v>45288.64583</v>
      </c>
      <c r="KD8" s="45">
        <f>IFERROR(__xludf.DUMMYFUNCTION("""COMPUTED_VALUE"""),881.5)</f>
        <v>881.5</v>
      </c>
      <c r="KE8" s="46">
        <f t="shared" ref="KE8:KE47" si="73">(KD8-KD$5)/KD$5</f>
        <v>0.009100795604</v>
      </c>
      <c r="KF8" s="47"/>
      <c r="KG8" s="37">
        <f>IFERROR(__xludf.DUMMYFUNCTION("""COMPUTED_VALUE"""),45288.64583333333)</f>
        <v>45288.64583</v>
      </c>
      <c r="KH8" s="45">
        <f>IFERROR(__xludf.DUMMYFUNCTION("""COMPUTED_VALUE"""),392.2)</f>
        <v>392.2</v>
      </c>
      <c r="KI8" s="46">
        <f t="shared" ref="KI8:KI47" si="74">(KH8-KH$5)/KH$5</f>
        <v>0.005641025641</v>
      </c>
      <c r="KJ8" s="47"/>
      <c r="KK8" s="37">
        <f>IFERROR(__xludf.DUMMYFUNCTION("""COMPUTED_VALUE"""),45288.64583333333)</f>
        <v>45288.64583</v>
      </c>
      <c r="KL8" s="45">
        <f>IFERROR(__xludf.DUMMYFUNCTION("""COMPUTED_VALUE"""),9.65)</f>
        <v>9.65</v>
      </c>
      <c r="KM8" s="46">
        <f t="shared" ref="KM8:KM47" si="75">(KL8-KL$5)/KL$5</f>
        <v>0.0376344086</v>
      </c>
      <c r="KN8" s="47"/>
      <c r="KO8" s="37">
        <f>IFERROR(__xludf.DUMMYFUNCTION("""COMPUTED_VALUE"""),45288.64583333333)</f>
        <v>45288.64583</v>
      </c>
      <c r="KP8" s="45">
        <f>IFERROR(__xludf.DUMMYFUNCTION("""COMPUTED_VALUE"""),203.35)</f>
        <v>203.35</v>
      </c>
      <c r="KQ8" s="46">
        <f t="shared" ref="KQ8:KQ47" si="76">(KP8-KP$5)/KP$5</f>
        <v>0.0002459419577</v>
      </c>
      <c r="KR8" s="47"/>
      <c r="KS8" s="37">
        <f>IFERROR(__xludf.DUMMYFUNCTION("""COMPUTED_VALUE"""),45288.64583333333)</f>
        <v>45288.64583</v>
      </c>
      <c r="KT8" s="45">
        <f>IFERROR(__xludf.DUMMYFUNCTION("""COMPUTED_VALUE"""),11.05)</f>
        <v>11.05</v>
      </c>
      <c r="KU8" s="46">
        <f t="shared" ref="KU8:KU47" si="77">(KT8-KT$5)/KT$5</f>
        <v>0</v>
      </c>
      <c r="KV8" s="47"/>
      <c r="KW8" s="37">
        <f>IFERROR(__xludf.DUMMYFUNCTION("""COMPUTED_VALUE"""),45288.64583333333)</f>
        <v>45288.64583</v>
      </c>
      <c r="KX8" s="45">
        <f>IFERROR(__xludf.DUMMYFUNCTION("""COMPUTED_VALUE"""),2669.95)</f>
        <v>2669.95</v>
      </c>
      <c r="KY8" s="46">
        <f t="shared" ref="KY8:KY47" si="78">(KX8-KX$5)/KX$5</f>
        <v>0</v>
      </c>
      <c r="KZ8" s="47"/>
      <c r="LA8" s="37">
        <f>IFERROR(__xludf.DUMMYFUNCTION("""COMPUTED_VALUE"""),45288.64583333333)</f>
        <v>45288.64583</v>
      </c>
      <c r="LB8" s="45">
        <f>IFERROR(__xludf.DUMMYFUNCTION("""COMPUTED_VALUE"""),18.9)</f>
        <v>18.9</v>
      </c>
      <c r="LC8" s="46">
        <f t="shared" ref="LC8:LC47" si="79">(LB8-LB$5)/LB$5</f>
        <v>0.002652519894</v>
      </c>
      <c r="LD8" s="47"/>
      <c r="LE8" s="37">
        <f>IFERROR(__xludf.DUMMYFUNCTION("""COMPUTED_VALUE"""),45288.64583333333)</f>
        <v>45288.64583</v>
      </c>
      <c r="LF8" s="45">
        <f>IFERROR(__xludf.DUMMYFUNCTION("""COMPUTED_VALUE"""),126.05)</f>
        <v>126.05</v>
      </c>
      <c r="LG8" s="46">
        <f t="shared" ref="LG8:LG47" si="80">(LF8-LF$5)/LF$5</f>
        <v>0.0084</v>
      </c>
      <c r="LH8" s="47"/>
      <c r="LI8" s="37">
        <f>IFERROR(__xludf.DUMMYFUNCTION("""COMPUTED_VALUE"""),45288.64583333333)</f>
        <v>45288.64583</v>
      </c>
      <c r="LJ8" s="45">
        <f>IFERROR(__xludf.DUMMYFUNCTION("""COMPUTED_VALUE"""),784.6)</f>
        <v>784.6</v>
      </c>
      <c r="LK8" s="46">
        <f t="shared" ref="LK8:LK47" si="81">(LJ8-LJ$5)/LJ$5</f>
        <v>0.07774725275</v>
      </c>
      <c r="LL8" s="47"/>
      <c r="LM8" s="37">
        <f>IFERROR(__xludf.DUMMYFUNCTION("""COMPUTED_VALUE"""),45288.64583333333)</f>
        <v>45288.64583</v>
      </c>
      <c r="LN8" s="45">
        <f>IFERROR(__xludf.DUMMYFUNCTION("""COMPUTED_VALUE"""),858.0)</f>
        <v>858</v>
      </c>
      <c r="LO8" s="46">
        <f t="shared" ref="LO8:LO47" si="82">(LN8-LN$5)/LN$5</f>
        <v>0.00350877193</v>
      </c>
      <c r="LP8" s="47"/>
      <c r="LQ8" s="37">
        <f>IFERROR(__xludf.DUMMYFUNCTION("""COMPUTED_VALUE"""),45288.64583333333)</f>
        <v>45288.64583</v>
      </c>
      <c r="LR8" s="45">
        <f>IFERROR(__xludf.DUMMYFUNCTION("""COMPUTED_VALUE"""),385.0)</f>
        <v>385</v>
      </c>
      <c r="LS8" s="46">
        <f t="shared" ref="LS8:LS47" si="83">(LR8-LR$5)/LR$5</f>
        <v>0.05363984674</v>
      </c>
      <c r="LT8" s="47"/>
      <c r="LU8" s="37">
        <f>IFERROR(__xludf.DUMMYFUNCTION("""COMPUTED_VALUE"""),45288.64583333333)</f>
        <v>45288.64583</v>
      </c>
      <c r="LV8" s="45">
        <f>IFERROR(__xludf.DUMMYFUNCTION("""COMPUTED_VALUE"""),136.8)</f>
        <v>136.8</v>
      </c>
      <c r="LW8" s="46">
        <f t="shared" ref="LW8:LW47" si="84">(LV8-LV$5)/LV$5</f>
        <v>0</v>
      </c>
      <c r="LX8" s="47"/>
      <c r="LY8" s="37">
        <f>IFERROR(__xludf.DUMMYFUNCTION("""COMPUTED_VALUE"""),45288.64583333333)</f>
        <v>45288.64583</v>
      </c>
      <c r="LZ8" s="45">
        <f>IFERROR(__xludf.DUMMYFUNCTION("""COMPUTED_VALUE"""),622.8)</f>
        <v>622.8</v>
      </c>
      <c r="MA8" s="46">
        <f t="shared" ref="MA8:MA47" si="85">(LZ8-LZ$5)/LZ$5</f>
        <v>0.004516129032</v>
      </c>
      <c r="MB8" s="47"/>
      <c r="MC8" s="37"/>
      <c r="MD8" s="45"/>
      <c r="ME8" s="46" t="str">
        <f t="shared" ref="ME8:ME47" si="86">(MD8-MD$5)/MD$5</f>
        <v>#DIV/0!</v>
      </c>
      <c r="MF8" s="47"/>
      <c r="MG8" s="37">
        <f>IFERROR(__xludf.DUMMYFUNCTION("""COMPUTED_VALUE"""),45288.64583333333)</f>
        <v>45288.64583</v>
      </c>
      <c r="MH8" s="45">
        <f>IFERROR(__xludf.DUMMYFUNCTION("""COMPUTED_VALUE"""),1969.2)</f>
        <v>1969.2</v>
      </c>
      <c r="MI8" s="46">
        <f t="shared" ref="MI8:MI47" si="87">(MH8-MH$5)/MH$5</f>
        <v>0.004207144496</v>
      </c>
      <c r="MJ8" s="47"/>
      <c r="MK8" s="37">
        <f>IFERROR(__xludf.DUMMYFUNCTION("""COMPUTED_VALUE"""),45288.64583333333)</f>
        <v>45288.64583</v>
      </c>
      <c r="ML8" s="45">
        <f>IFERROR(__xludf.DUMMYFUNCTION("""COMPUTED_VALUE"""),424.3)</f>
        <v>424.3</v>
      </c>
      <c r="MM8" s="46">
        <f t="shared" ref="MM8:MM47" si="88">(ML8-ML$5)/ML$5</f>
        <v>0.06088261033</v>
      </c>
      <c r="MN8" s="47"/>
      <c r="MO8" s="37">
        <f>IFERROR(__xludf.DUMMYFUNCTION("""COMPUTED_VALUE"""),45288.64583333333)</f>
        <v>45288.64583</v>
      </c>
      <c r="MP8" s="45">
        <f>IFERROR(__xludf.DUMMYFUNCTION("""COMPUTED_VALUE"""),742.75)</f>
        <v>742.75</v>
      </c>
      <c r="MQ8" s="46">
        <f t="shared" ref="MQ8:MQ47" si="89">(MP8-MP$5)/MP$5</f>
        <v>0.003716216216</v>
      </c>
      <c r="MR8" s="47"/>
      <c r="MS8" s="37">
        <f>IFERROR(__xludf.DUMMYFUNCTION("""COMPUTED_VALUE"""),45288.64583333333)</f>
        <v>45288.64583</v>
      </c>
      <c r="MT8" s="45">
        <f>IFERROR(__xludf.DUMMYFUNCTION("""COMPUTED_VALUE"""),66.45)</f>
        <v>66.45</v>
      </c>
      <c r="MU8" s="46">
        <f t="shared" ref="MU8:MU47" si="90">(MT8-MT$5)/MT$5</f>
        <v>0.004535147392</v>
      </c>
      <c r="MV8" s="47"/>
      <c r="MW8" s="37">
        <f>IFERROR(__xludf.DUMMYFUNCTION("""COMPUTED_VALUE"""),45288.64583333333)</f>
        <v>45288.64583</v>
      </c>
      <c r="MX8" s="45">
        <f>IFERROR(__xludf.DUMMYFUNCTION("""COMPUTED_VALUE"""),3247.0)</f>
        <v>3247</v>
      </c>
      <c r="MY8" s="46">
        <f t="shared" ref="MY8:MY47" si="91">(MX8-MX$5)/MX$5</f>
        <v>0.03177629488</v>
      </c>
      <c r="MZ8" s="47"/>
      <c r="NA8" s="37">
        <f>IFERROR(__xludf.DUMMYFUNCTION("""COMPUTED_VALUE"""),45288.64583333333)</f>
        <v>45288.64583</v>
      </c>
      <c r="NB8" s="45">
        <f>IFERROR(__xludf.DUMMYFUNCTION("""COMPUTED_VALUE"""),12.85)</f>
        <v>12.85</v>
      </c>
      <c r="NC8" s="46">
        <f t="shared" ref="NC8:NC47" si="92">(NB8-NB$5)/NB$5</f>
        <v>0.01581027668</v>
      </c>
      <c r="ND8" s="47"/>
      <c r="NE8" s="37">
        <f>IFERROR(__xludf.DUMMYFUNCTION("""COMPUTED_VALUE"""),45289.64583333333)</f>
        <v>45289.64583</v>
      </c>
      <c r="NF8" s="45">
        <f>IFERROR(__xludf.DUMMYFUNCTION("""COMPUTED_VALUE"""),382.95)</f>
        <v>382.95</v>
      </c>
      <c r="NG8" s="46">
        <f t="shared" ref="NG8:NG47" si="93">(NF8-NF$5)/NF$5</f>
        <v>0</v>
      </c>
      <c r="NH8" s="47"/>
      <c r="NI8" s="37">
        <f>IFERROR(__xludf.DUMMYFUNCTION("""COMPUTED_VALUE"""),45289.64583333333)</f>
        <v>45289.64583</v>
      </c>
      <c r="NJ8" s="45">
        <f>IFERROR(__xludf.DUMMYFUNCTION("""COMPUTED_VALUE"""),273.47)</f>
        <v>273.47</v>
      </c>
      <c r="NK8" s="46">
        <f t="shared" ref="NK8:NK47" si="94">(NJ8-NJ$5)/NJ$5</f>
        <v>0.02549968125</v>
      </c>
      <c r="NL8" s="47"/>
      <c r="NM8" s="37">
        <f>IFERROR(__xludf.DUMMYFUNCTION("""COMPUTED_VALUE"""),45289.64583333333)</f>
        <v>45289.64583</v>
      </c>
      <c r="NN8" s="45">
        <f>IFERROR(__xludf.DUMMYFUNCTION("""COMPUTED_VALUE"""),125.75)</f>
        <v>125.75</v>
      </c>
      <c r="NO8" s="46">
        <f t="shared" ref="NO8:NO47" si="95">(NN8-NN$5)/NN$5</f>
        <v>0.0198702352</v>
      </c>
      <c r="NP8" s="47"/>
      <c r="NQ8" s="37">
        <f>IFERROR(__xludf.DUMMYFUNCTION("""COMPUTED_VALUE"""),45289.64583333333)</f>
        <v>45289.64583</v>
      </c>
      <c r="NR8" s="45">
        <f>IFERROR(__xludf.DUMMYFUNCTION("""COMPUTED_VALUE"""),4193.4)</f>
        <v>4193.4</v>
      </c>
      <c r="NS8" s="46">
        <f t="shared" ref="NS8:NS47" si="96">(NR8-NR$5)/NR$5</f>
        <v>0.004166666667</v>
      </c>
      <c r="NT8" s="47"/>
      <c r="NU8" s="37">
        <f>IFERROR(__xludf.DUMMYFUNCTION("""COMPUTED_VALUE"""),45289.64583333333)</f>
        <v>45289.64583</v>
      </c>
      <c r="NV8" s="45">
        <f>IFERROR(__xludf.DUMMYFUNCTION("""COMPUTED_VALUE"""),13.2)</f>
        <v>13.2</v>
      </c>
      <c r="NW8" s="46">
        <f t="shared" ref="NW8:NW47" si="97">(NV8-NV$5)/NV$5</f>
        <v>0.03937007874</v>
      </c>
      <c r="NX8" s="47"/>
      <c r="NY8" s="37">
        <f>IFERROR(__xludf.DUMMYFUNCTION("""COMPUTED_VALUE"""),45289.64583333333)</f>
        <v>45289.64583</v>
      </c>
      <c r="NZ8" s="45">
        <f>IFERROR(__xludf.DUMMYFUNCTION("""COMPUTED_VALUE"""),246.9)</f>
        <v>246.9</v>
      </c>
      <c r="OA8" s="46">
        <f t="shared" ref="OA8:OA47" si="98">(NZ8-NZ$5)/NZ$5</f>
        <v>0.0004051863857</v>
      </c>
      <c r="OB8" s="47"/>
      <c r="OC8" s="37">
        <f>IFERROR(__xludf.DUMMYFUNCTION("""COMPUTED_VALUE"""),45289.64583333333)</f>
        <v>45289.64583</v>
      </c>
      <c r="OD8" s="45">
        <f>IFERROR(__xludf.DUMMYFUNCTION("""COMPUTED_VALUE"""),1094.0)</f>
        <v>1094</v>
      </c>
      <c r="OE8" s="46">
        <f t="shared" ref="OE8:OE47" si="99">(OD8-OD$5)/OD$5</f>
        <v>0.03799990512</v>
      </c>
      <c r="OF8" s="47"/>
      <c r="OG8" s="37">
        <f>IFERROR(__xludf.DUMMYFUNCTION("""COMPUTED_VALUE"""),45289.64583333333)</f>
        <v>45289.64583</v>
      </c>
      <c r="OH8" s="45">
        <f>IFERROR(__xludf.DUMMYFUNCTION("""COMPUTED_VALUE"""),2440.5)</f>
        <v>2440.5</v>
      </c>
      <c r="OI8" s="46">
        <f t="shared" ref="OI8:OI47" si="100">(OH8-OH$5)/OH$5</f>
        <v>0.000286908763</v>
      </c>
      <c r="OJ8" s="47"/>
      <c r="OK8" s="37"/>
      <c r="OL8" s="45"/>
      <c r="OM8" s="46" t="str">
        <f t="shared" ref="OM8:OM47" si="101">(OL8-OL$5)/OL$5</f>
        <v>#DIV/0!</v>
      </c>
      <c r="ON8" s="47"/>
    </row>
    <row r="9" ht="12.0" customHeight="1">
      <c r="A9" s="37">
        <f>IFERROR(__xludf.DUMMYFUNCTION("""COMPUTED_VALUE"""),45288.64583333333)</f>
        <v>45288.64583</v>
      </c>
      <c r="B9" s="45">
        <f>IFERROR(__xludf.DUMMYFUNCTION("""COMPUTED_VALUE"""),434.7)</f>
        <v>434.7</v>
      </c>
      <c r="C9" s="46">
        <f t="shared" si="1"/>
        <v>-0.009230769231</v>
      </c>
      <c r="D9" s="47"/>
      <c r="E9" s="37">
        <f>IFERROR(__xludf.DUMMYFUNCTION("""COMPUTED_VALUE"""),45288.64583333333)</f>
        <v>45288.64583</v>
      </c>
      <c r="F9" s="45">
        <f>IFERROR(__xludf.DUMMYFUNCTION("""COMPUTED_VALUE"""),653.0)</f>
        <v>653</v>
      </c>
      <c r="G9" s="46">
        <f t="shared" si="2"/>
        <v>-0.003053435115</v>
      </c>
      <c r="H9" s="47"/>
      <c r="I9" s="37">
        <f>IFERROR(__xludf.DUMMYFUNCTION("""COMPUTED_VALUE"""),45288.64583333333)</f>
        <v>45288.64583</v>
      </c>
      <c r="J9" s="45">
        <f>IFERROR(__xludf.DUMMYFUNCTION("""COMPUTED_VALUE"""),184.25)</f>
        <v>184.25</v>
      </c>
      <c r="K9" s="46">
        <f t="shared" si="3"/>
        <v>0.001358695652</v>
      </c>
      <c r="L9" s="47"/>
      <c r="M9" s="37">
        <f>IFERROR(__xludf.DUMMYFUNCTION("""COMPUTED_VALUE"""),45288.64583333333)</f>
        <v>45288.64583</v>
      </c>
      <c r="N9" s="45">
        <f>IFERROR(__xludf.DUMMYFUNCTION("""COMPUTED_VALUE"""),84.55)</f>
        <v>84.55</v>
      </c>
      <c r="O9" s="46">
        <f t="shared" si="4"/>
        <v>-0.02141203704</v>
      </c>
      <c r="P9" s="47"/>
      <c r="Q9" s="37">
        <f>IFERROR(__xludf.DUMMYFUNCTION("""COMPUTED_VALUE"""),45288.64583333333)</f>
        <v>45288.64583</v>
      </c>
      <c r="R9" s="45">
        <f>IFERROR(__xludf.DUMMYFUNCTION("""COMPUTED_VALUE"""),50.6)</f>
        <v>50.6</v>
      </c>
      <c r="S9" s="46">
        <f t="shared" si="5"/>
        <v>-0.03619047619</v>
      </c>
      <c r="T9" s="47"/>
      <c r="U9" s="37">
        <f>IFERROR(__xludf.DUMMYFUNCTION("""COMPUTED_VALUE"""),45288.64583333333)</f>
        <v>45288.64583</v>
      </c>
      <c r="V9" s="45">
        <f>IFERROR(__xludf.DUMMYFUNCTION("""COMPUTED_VALUE"""),660.0)</f>
        <v>660</v>
      </c>
      <c r="W9" s="46">
        <f t="shared" si="6"/>
        <v>-0.003623188406</v>
      </c>
      <c r="X9" s="47"/>
      <c r="Y9" s="37">
        <f>IFERROR(__xludf.DUMMYFUNCTION("""COMPUTED_VALUE"""),45288.64583333333)</f>
        <v>45288.64583</v>
      </c>
      <c r="Z9" s="45">
        <f>IFERROR(__xludf.DUMMYFUNCTION("""COMPUTED_VALUE"""),188.8)</f>
        <v>188.8</v>
      </c>
      <c r="AA9" s="46">
        <f t="shared" si="7"/>
        <v>0.02054054054</v>
      </c>
      <c r="AB9" s="47"/>
      <c r="AC9" s="37">
        <f>IFERROR(__xludf.DUMMYFUNCTION("""COMPUTED_VALUE"""),45288.64583333333)</f>
        <v>45288.64583</v>
      </c>
      <c r="AD9" s="45">
        <f>IFERROR(__xludf.DUMMYFUNCTION("""COMPUTED_VALUE"""),2450.0)</f>
        <v>2450</v>
      </c>
      <c r="AE9" s="46">
        <f t="shared" si="8"/>
        <v>0.03179616761</v>
      </c>
      <c r="AF9" s="47"/>
      <c r="AG9" s="37">
        <f>IFERROR(__xludf.DUMMYFUNCTION("""COMPUTED_VALUE"""),45288.64583333333)</f>
        <v>45288.64583</v>
      </c>
      <c r="AH9" s="45">
        <f>IFERROR(__xludf.DUMMYFUNCTION("""COMPUTED_VALUE"""),798.0)</f>
        <v>798</v>
      </c>
      <c r="AI9" s="46">
        <f t="shared" si="9"/>
        <v>-0.05</v>
      </c>
      <c r="AJ9" s="47"/>
      <c r="AK9" s="37">
        <f>IFERROR(__xludf.DUMMYFUNCTION("""COMPUTED_VALUE"""),45288.64583333333)</f>
        <v>45288.64583</v>
      </c>
      <c r="AL9" s="45">
        <f>IFERROR(__xludf.DUMMYFUNCTION("""COMPUTED_VALUE"""),5131.6)</f>
        <v>5131.6</v>
      </c>
      <c r="AM9" s="46">
        <f t="shared" si="10"/>
        <v>-0.01315384615</v>
      </c>
      <c r="AN9" s="47"/>
      <c r="AO9" s="37">
        <f>IFERROR(__xludf.DUMMYFUNCTION("""COMPUTED_VALUE"""),45288.64583333333)</f>
        <v>45288.64583</v>
      </c>
      <c r="AP9" s="45">
        <f>IFERROR(__xludf.DUMMYFUNCTION("""COMPUTED_VALUE"""),907.0)</f>
        <v>907</v>
      </c>
      <c r="AQ9" s="46">
        <f t="shared" si="11"/>
        <v>-0.003296703297</v>
      </c>
      <c r="AR9" s="47"/>
      <c r="AS9" s="37">
        <f>IFERROR(__xludf.DUMMYFUNCTION("""COMPUTED_VALUE"""),45288.64583333333)</f>
        <v>45288.64583</v>
      </c>
      <c r="AT9" s="45">
        <f>IFERROR(__xludf.DUMMYFUNCTION("""COMPUTED_VALUE"""),2477.4)</f>
        <v>2477.4</v>
      </c>
      <c r="AU9" s="46">
        <f t="shared" si="12"/>
        <v>-0.00261685253</v>
      </c>
      <c r="AV9" s="47"/>
      <c r="AW9" s="37">
        <f>IFERROR(__xludf.DUMMYFUNCTION("""COMPUTED_VALUE"""),45288.64583333333)</f>
        <v>45288.64583</v>
      </c>
      <c r="AX9" s="45">
        <f>IFERROR(__xludf.DUMMYFUNCTION("""COMPUTED_VALUE"""),5669.0)</f>
        <v>5669</v>
      </c>
      <c r="AY9" s="46">
        <f t="shared" si="13"/>
        <v>0.004322715516</v>
      </c>
      <c r="AZ9" s="47"/>
      <c r="BA9" s="37">
        <f>IFERROR(__xludf.DUMMYFUNCTION("""COMPUTED_VALUE"""),45288.64583333333)</f>
        <v>45288.64583</v>
      </c>
      <c r="BB9" s="45">
        <f>IFERROR(__xludf.DUMMYFUNCTION("""COMPUTED_VALUE"""),477.4)</f>
        <v>477.4</v>
      </c>
      <c r="BC9" s="46">
        <f t="shared" si="14"/>
        <v>0.01899679829</v>
      </c>
      <c r="BD9" s="47"/>
      <c r="BE9" s="37">
        <f>IFERROR(__xludf.DUMMYFUNCTION("""COMPUTED_VALUE"""),45288.64583333333)</f>
        <v>45288.64583</v>
      </c>
      <c r="BF9" s="45">
        <f>IFERROR(__xludf.DUMMYFUNCTION("""COMPUTED_VALUE"""),371.0)</f>
        <v>371</v>
      </c>
      <c r="BG9" s="46">
        <f t="shared" si="15"/>
        <v>-0.08845208845</v>
      </c>
      <c r="BH9" s="47"/>
      <c r="BI9" s="37">
        <f>IFERROR(__xludf.DUMMYFUNCTION("""COMPUTED_VALUE"""),45288.64583333333)</f>
        <v>45288.64583</v>
      </c>
      <c r="BJ9" s="45">
        <f>IFERROR(__xludf.DUMMYFUNCTION("""COMPUTED_VALUE"""),66.55)</f>
        <v>66.55</v>
      </c>
      <c r="BK9" s="46">
        <f t="shared" si="16"/>
        <v>-0.04175665947</v>
      </c>
      <c r="BL9" s="47"/>
      <c r="BM9" s="37">
        <f>IFERROR(__xludf.DUMMYFUNCTION("""COMPUTED_VALUE"""),45288.64583333333)</f>
        <v>45288.64583</v>
      </c>
      <c r="BN9" s="45">
        <f>IFERROR(__xludf.DUMMYFUNCTION("""COMPUTED_VALUE"""),257.75)</f>
        <v>257.75</v>
      </c>
      <c r="BO9" s="46">
        <f t="shared" si="17"/>
        <v>0.0068359375</v>
      </c>
      <c r="BP9" s="47"/>
      <c r="BQ9" s="37">
        <f>IFERROR(__xludf.DUMMYFUNCTION("""COMPUTED_VALUE"""),45288.64583333333)</f>
        <v>45288.64583</v>
      </c>
      <c r="BR9" s="45">
        <f>IFERROR(__xludf.DUMMYFUNCTION("""COMPUTED_VALUE"""),65.0)</f>
        <v>65</v>
      </c>
      <c r="BS9" s="46">
        <f t="shared" si="18"/>
        <v>0.06732348112</v>
      </c>
      <c r="BT9" s="47"/>
      <c r="BU9" s="37">
        <f>IFERROR(__xludf.DUMMYFUNCTION("""COMPUTED_VALUE"""),45288.64583333333)</f>
        <v>45288.64583</v>
      </c>
      <c r="BV9" s="45">
        <f>IFERROR(__xludf.DUMMYFUNCTION("""COMPUTED_VALUE"""),307.8)</f>
        <v>307.8</v>
      </c>
      <c r="BW9" s="46">
        <f t="shared" si="19"/>
        <v>-0.005171299289</v>
      </c>
      <c r="BX9" s="47"/>
      <c r="BY9" s="37">
        <f>IFERROR(__xludf.DUMMYFUNCTION("""COMPUTED_VALUE"""),45288.64583333333)</f>
        <v>45288.64583</v>
      </c>
      <c r="BZ9" s="45">
        <f>IFERROR(__xludf.DUMMYFUNCTION("""COMPUTED_VALUE"""),465.0)</f>
        <v>465</v>
      </c>
      <c r="CA9" s="46">
        <f t="shared" si="20"/>
        <v>0.1355311355</v>
      </c>
      <c r="CB9" s="47"/>
      <c r="CC9" s="37">
        <f>IFERROR(__xludf.DUMMYFUNCTION("""COMPUTED_VALUE"""),45288.64583333333)</f>
        <v>45288.64583</v>
      </c>
      <c r="CD9" s="45">
        <f>IFERROR(__xludf.DUMMYFUNCTION("""COMPUTED_VALUE"""),230.5)</f>
        <v>230.5</v>
      </c>
      <c r="CE9" s="46">
        <f t="shared" si="21"/>
        <v>-0.005179110919</v>
      </c>
      <c r="CF9" s="47"/>
      <c r="CG9" s="37">
        <f>IFERROR(__xludf.DUMMYFUNCTION("""COMPUTED_VALUE"""),45288.64583333333)</f>
        <v>45288.64583</v>
      </c>
      <c r="CH9" s="45">
        <f>IFERROR(__xludf.DUMMYFUNCTION("""COMPUTED_VALUE"""),650.75)</f>
        <v>650.75</v>
      </c>
      <c r="CI9" s="46">
        <f t="shared" si="22"/>
        <v>0.0231918239</v>
      </c>
      <c r="CJ9" s="47"/>
      <c r="CK9" s="37">
        <f>IFERROR(__xludf.DUMMYFUNCTION("""COMPUTED_VALUE"""),45288.64583333333)</f>
        <v>45288.64583</v>
      </c>
      <c r="CL9" s="45">
        <f>IFERROR(__xludf.DUMMYFUNCTION("""COMPUTED_VALUE"""),338.6)</f>
        <v>338.6</v>
      </c>
      <c r="CM9" s="46">
        <f t="shared" si="23"/>
        <v>0.004747774481</v>
      </c>
      <c r="CN9" s="47"/>
      <c r="CO9" s="37">
        <f>IFERROR(__xludf.DUMMYFUNCTION("""COMPUTED_VALUE"""),45288.64583333333)</f>
        <v>45288.64583</v>
      </c>
      <c r="CP9" s="45">
        <f>IFERROR(__xludf.DUMMYFUNCTION("""COMPUTED_VALUE"""),16.15)</f>
        <v>16.15</v>
      </c>
      <c r="CQ9" s="46">
        <f t="shared" si="24"/>
        <v>0.09121621622</v>
      </c>
      <c r="CR9" s="47"/>
      <c r="CS9" s="37">
        <f>IFERROR(__xludf.DUMMYFUNCTION("""COMPUTED_VALUE"""),45288.64583333333)</f>
        <v>45288.64583</v>
      </c>
      <c r="CT9" s="45">
        <f>IFERROR(__xludf.DUMMYFUNCTION("""COMPUTED_VALUE"""),192.75)</f>
        <v>192.75</v>
      </c>
      <c r="CU9" s="46">
        <f t="shared" si="25"/>
        <v>-0.02651515152</v>
      </c>
      <c r="CV9" s="47"/>
      <c r="CW9" s="37">
        <f>IFERROR(__xludf.DUMMYFUNCTION("""COMPUTED_VALUE"""),45288.64583333333)</f>
        <v>45288.64583</v>
      </c>
      <c r="CX9" s="45">
        <f>IFERROR(__xludf.DUMMYFUNCTION("""COMPUTED_VALUE"""),688.2)</f>
        <v>688.2</v>
      </c>
      <c r="CY9" s="46">
        <f t="shared" si="26"/>
        <v>-0.005175055654</v>
      </c>
      <c r="CZ9" s="47"/>
      <c r="DA9" s="37">
        <f>IFERROR(__xludf.DUMMYFUNCTION("""COMPUTED_VALUE"""),45288.64583333333)</f>
        <v>45288.64583</v>
      </c>
      <c r="DB9" s="45">
        <f>IFERROR(__xludf.DUMMYFUNCTION("""COMPUTED_VALUE"""),26.5)</f>
        <v>26.5</v>
      </c>
      <c r="DC9" s="46">
        <f t="shared" si="27"/>
        <v>-0.05017921147</v>
      </c>
      <c r="DD9" s="47"/>
      <c r="DE9" s="37">
        <f>IFERROR(__xludf.DUMMYFUNCTION("""COMPUTED_VALUE"""),45288.64583333333)</f>
        <v>45288.64583</v>
      </c>
      <c r="DF9" s="45">
        <f>IFERROR(__xludf.DUMMYFUNCTION("""COMPUTED_VALUE"""),140.65)</f>
        <v>140.65</v>
      </c>
      <c r="DG9" s="46">
        <f t="shared" si="28"/>
        <v>0.2413945278</v>
      </c>
      <c r="DH9" s="47"/>
      <c r="DI9" s="37">
        <f>IFERROR(__xludf.DUMMYFUNCTION("""COMPUTED_VALUE"""),45288.64583333333)</f>
        <v>45288.64583</v>
      </c>
      <c r="DJ9" s="45">
        <f>IFERROR(__xludf.DUMMYFUNCTION("""COMPUTED_VALUE"""),1588.6)</f>
        <v>1588.6</v>
      </c>
      <c r="DK9" s="46">
        <f t="shared" si="29"/>
        <v>-0.01009471585</v>
      </c>
      <c r="DL9" s="47"/>
      <c r="DM9" s="37">
        <f>IFERROR(__xludf.DUMMYFUNCTION("""COMPUTED_VALUE"""),45288.64583333333)</f>
        <v>45288.64583</v>
      </c>
      <c r="DN9" s="45">
        <f>IFERROR(__xludf.DUMMYFUNCTION("""COMPUTED_VALUE"""),550.8)</f>
        <v>550.8</v>
      </c>
      <c r="DO9" s="46">
        <f t="shared" si="30"/>
        <v>0.02732444279</v>
      </c>
      <c r="DP9" s="47"/>
      <c r="DQ9" s="37">
        <f>IFERROR(__xludf.DUMMYFUNCTION("""COMPUTED_VALUE"""),45288.64583333333)</f>
        <v>45288.64583</v>
      </c>
      <c r="DR9" s="45">
        <f>IFERROR(__xludf.DUMMYFUNCTION("""COMPUTED_VALUE"""),218.95)</f>
        <v>218.95</v>
      </c>
      <c r="DS9" s="46">
        <f t="shared" si="31"/>
        <v>0.004357798165</v>
      </c>
      <c r="DT9" s="47"/>
      <c r="DU9" s="37">
        <f>IFERROR(__xludf.DUMMYFUNCTION("""COMPUTED_VALUE"""),45288.64583333333)</f>
        <v>45288.64583</v>
      </c>
      <c r="DV9" s="45">
        <f>IFERROR(__xludf.DUMMYFUNCTION("""COMPUTED_VALUE"""),881.5)</f>
        <v>881.5</v>
      </c>
      <c r="DW9" s="46">
        <f t="shared" si="32"/>
        <v>0.03644914756</v>
      </c>
      <c r="DX9" s="47"/>
      <c r="DY9" s="37">
        <f>IFERROR(__xludf.DUMMYFUNCTION("""COMPUTED_VALUE"""),45288.64583333333)</f>
        <v>45288.64583</v>
      </c>
      <c r="DZ9" s="45">
        <f>IFERROR(__xludf.DUMMYFUNCTION("""COMPUTED_VALUE"""),11.05)</f>
        <v>11.05</v>
      </c>
      <c r="EA9" s="46">
        <f t="shared" si="33"/>
        <v>0.01843317972</v>
      </c>
      <c r="EB9" s="47"/>
      <c r="EC9" s="37">
        <f>IFERROR(__xludf.DUMMYFUNCTION("""COMPUTED_VALUE"""),45288.64583333333)</f>
        <v>45288.64583</v>
      </c>
      <c r="ED9" s="45">
        <f>IFERROR(__xludf.DUMMYFUNCTION("""COMPUTED_VALUE"""),2669.95)</f>
        <v>2669.95</v>
      </c>
      <c r="EE9" s="46">
        <f t="shared" si="34"/>
        <v>0.00943289225</v>
      </c>
      <c r="EF9" s="47"/>
      <c r="EG9" s="37">
        <f>IFERROR(__xludf.DUMMYFUNCTION("""COMPUTED_VALUE"""),45288.64583333333)</f>
        <v>45288.64583</v>
      </c>
      <c r="EH9" s="45">
        <f>IFERROR(__xludf.DUMMYFUNCTION("""COMPUTED_VALUE"""),668.8)</f>
        <v>668.8</v>
      </c>
      <c r="EI9" s="46">
        <f t="shared" si="35"/>
        <v>0.03114400247</v>
      </c>
      <c r="EJ9" s="47"/>
      <c r="EK9" s="37">
        <f>IFERROR(__xludf.DUMMYFUNCTION("""COMPUTED_VALUE"""),45288.64583333333)</f>
        <v>45288.64583</v>
      </c>
      <c r="EL9" s="45">
        <f>IFERROR(__xludf.DUMMYFUNCTION("""COMPUTED_VALUE"""),200.4)</f>
        <v>200.4</v>
      </c>
      <c r="EM9" s="46">
        <f t="shared" si="36"/>
        <v>-0.007920792079</v>
      </c>
      <c r="EN9" s="47"/>
      <c r="EO9" s="37">
        <f>IFERROR(__xludf.DUMMYFUNCTION("""COMPUTED_VALUE"""),45288.64583333333)</f>
        <v>45288.64583</v>
      </c>
      <c r="EP9" s="45">
        <f>IFERROR(__xludf.DUMMYFUNCTION("""COMPUTED_VALUE"""),158.85)</f>
        <v>158.85</v>
      </c>
      <c r="EQ9" s="46">
        <f t="shared" si="37"/>
        <v>0.02516940949</v>
      </c>
      <c r="ER9" s="47"/>
      <c r="ES9" s="37">
        <f>IFERROR(__xludf.DUMMYFUNCTION("""COMPUTED_VALUE"""),45288.64583333333)</f>
        <v>45288.64583</v>
      </c>
      <c r="ET9" s="45">
        <f>IFERROR(__xludf.DUMMYFUNCTION("""COMPUTED_VALUE"""),209.4)</f>
        <v>209.4</v>
      </c>
      <c r="EU9" s="46">
        <f t="shared" si="38"/>
        <v>0.07743761255</v>
      </c>
      <c r="EV9" s="47"/>
      <c r="EW9" s="37">
        <f>IFERROR(__xludf.DUMMYFUNCTION("""COMPUTED_VALUE"""),45288.64583333333)</f>
        <v>45288.64583</v>
      </c>
      <c r="EX9" s="45">
        <f>IFERROR(__xludf.DUMMYFUNCTION("""COMPUTED_VALUE"""),660.0)</f>
        <v>660</v>
      </c>
      <c r="EY9" s="46">
        <f t="shared" si="39"/>
        <v>0.01851851852</v>
      </c>
      <c r="EZ9" s="47"/>
      <c r="FA9" s="37">
        <f>IFERROR(__xludf.DUMMYFUNCTION("""COMPUTED_VALUE"""),45288.64583333333)</f>
        <v>45288.64583</v>
      </c>
      <c r="FB9" s="45">
        <f>IFERROR(__xludf.DUMMYFUNCTION("""COMPUTED_VALUE"""),200.0)</f>
        <v>200</v>
      </c>
      <c r="FC9" s="46">
        <f t="shared" si="40"/>
        <v>0.1467889908</v>
      </c>
      <c r="FD9" s="47"/>
      <c r="FE9" s="37">
        <f>IFERROR(__xludf.DUMMYFUNCTION("""COMPUTED_VALUE"""),45288.64583333333)</f>
        <v>45288.64583</v>
      </c>
      <c r="FF9" s="45">
        <f>IFERROR(__xludf.DUMMYFUNCTION("""COMPUTED_VALUE"""),320.0)</f>
        <v>320</v>
      </c>
      <c r="FG9" s="46">
        <f t="shared" si="41"/>
        <v>0.0498687664</v>
      </c>
      <c r="FH9" s="47"/>
      <c r="FI9" s="37">
        <f>IFERROR(__xludf.DUMMYFUNCTION("""COMPUTED_VALUE"""),45288.64583333333)</f>
        <v>45288.64583</v>
      </c>
      <c r="FJ9" s="45">
        <f>IFERROR(__xludf.DUMMYFUNCTION("""COMPUTED_VALUE"""),622.8)</f>
        <v>622.8</v>
      </c>
      <c r="FK9" s="46">
        <f t="shared" si="42"/>
        <v>0.02763798366</v>
      </c>
      <c r="FL9" s="47"/>
      <c r="FM9" s="37">
        <f>IFERROR(__xludf.DUMMYFUNCTION("""COMPUTED_VALUE"""),45288.64583333333)</f>
        <v>45288.64583</v>
      </c>
      <c r="FN9" s="45">
        <f>IFERROR(__xludf.DUMMYFUNCTION("""COMPUTED_VALUE"""),94.95)</f>
        <v>94.95</v>
      </c>
      <c r="FO9" s="46">
        <f t="shared" si="43"/>
        <v>-0.0005263157895</v>
      </c>
      <c r="FP9" s="47"/>
      <c r="FQ9" s="37">
        <f>IFERROR(__xludf.DUMMYFUNCTION("""COMPUTED_VALUE"""),45288.64583333333)</f>
        <v>45288.64583</v>
      </c>
      <c r="FR9" s="45">
        <f>IFERROR(__xludf.DUMMYFUNCTION("""COMPUTED_VALUE"""),4.9)</f>
        <v>4.9</v>
      </c>
      <c r="FS9" s="46">
        <f t="shared" si="44"/>
        <v>-0.1090909091</v>
      </c>
      <c r="FT9" s="47"/>
      <c r="FU9" s="37">
        <f>IFERROR(__xludf.DUMMYFUNCTION("""COMPUTED_VALUE"""),45288.64583333333)</f>
        <v>45288.64583</v>
      </c>
      <c r="FV9" s="45">
        <f>IFERROR(__xludf.DUMMYFUNCTION("""COMPUTED_VALUE"""),672.6)</f>
        <v>672.6</v>
      </c>
      <c r="FW9" s="46">
        <f t="shared" si="45"/>
        <v>0.007564976406</v>
      </c>
      <c r="FX9" s="47"/>
      <c r="FY9" s="37">
        <f>IFERROR(__xludf.DUMMYFUNCTION("""COMPUTED_VALUE"""),45288.64583333333)</f>
        <v>45288.64583</v>
      </c>
      <c r="FZ9" s="45">
        <f>IFERROR(__xludf.DUMMYFUNCTION("""COMPUTED_VALUE"""),156.9)</f>
        <v>156.9</v>
      </c>
      <c r="GA9" s="46">
        <f t="shared" si="46"/>
        <v>-0.07597173145</v>
      </c>
      <c r="GB9" s="47"/>
      <c r="GC9" s="37">
        <f>IFERROR(__xludf.DUMMYFUNCTION("""COMPUTED_VALUE"""),45288.64583333333)</f>
        <v>45288.64583</v>
      </c>
      <c r="GD9" s="45">
        <f>IFERROR(__xludf.DUMMYFUNCTION("""COMPUTED_VALUE"""),444.3)</f>
        <v>444.3</v>
      </c>
      <c r="GE9" s="46">
        <f t="shared" si="47"/>
        <v>-0.0381034856</v>
      </c>
      <c r="GF9" s="47"/>
      <c r="GG9" s="37">
        <f>IFERROR(__xludf.DUMMYFUNCTION("""COMPUTED_VALUE"""),45288.64583333333)</f>
        <v>45288.64583</v>
      </c>
      <c r="GH9" s="45">
        <f>IFERROR(__xludf.DUMMYFUNCTION("""COMPUTED_VALUE"""),5260.0)</f>
        <v>5260</v>
      </c>
      <c r="GI9" s="46">
        <f t="shared" si="48"/>
        <v>-0.007359879222</v>
      </c>
      <c r="GJ9" s="47"/>
      <c r="GK9" s="37">
        <f>IFERROR(__xludf.DUMMYFUNCTION("""COMPUTED_VALUE"""),45288.64583333333)</f>
        <v>45288.64583</v>
      </c>
      <c r="GL9" s="45">
        <f>IFERROR(__xludf.DUMMYFUNCTION("""COMPUTED_VALUE"""),100.0)</f>
        <v>100</v>
      </c>
      <c r="GM9" s="46">
        <f t="shared" si="49"/>
        <v>-0.1181657848</v>
      </c>
      <c r="GN9" s="47"/>
      <c r="GO9" s="37">
        <f>IFERROR(__xludf.DUMMYFUNCTION("""COMPUTED_VALUE"""),45288.64583333333)</f>
        <v>45288.64583</v>
      </c>
      <c r="GP9" s="45">
        <f>IFERROR(__xludf.DUMMYFUNCTION("""COMPUTED_VALUE"""),1219.8)</f>
        <v>1219.8</v>
      </c>
      <c r="GQ9" s="46">
        <f t="shared" si="50"/>
        <v>0.1093629212</v>
      </c>
      <c r="GR9" s="47"/>
      <c r="GS9" s="37">
        <f>IFERROR(__xludf.DUMMYFUNCTION("""COMPUTED_VALUE"""),45288.64583333333)</f>
        <v>45288.64583</v>
      </c>
      <c r="GT9" s="45">
        <f>IFERROR(__xludf.DUMMYFUNCTION("""COMPUTED_VALUE"""),12.85)</f>
        <v>12.85</v>
      </c>
      <c r="GU9" s="46">
        <f t="shared" si="51"/>
        <v>-0.007722007722</v>
      </c>
      <c r="GV9" s="47"/>
      <c r="GW9" s="37">
        <f>IFERROR(__xludf.DUMMYFUNCTION("""COMPUTED_VALUE"""),45289.64583333333)</f>
        <v>45289.64583</v>
      </c>
      <c r="GX9" s="45">
        <f>IFERROR(__xludf.DUMMYFUNCTION("""COMPUTED_VALUE"""),16.2)</f>
        <v>16.2</v>
      </c>
      <c r="GY9" s="46">
        <f t="shared" si="52"/>
        <v>-0.01818181818</v>
      </c>
      <c r="GZ9" s="47"/>
      <c r="HA9" s="37">
        <f>IFERROR(__xludf.DUMMYFUNCTION("""COMPUTED_VALUE"""),45289.64583333333)</f>
        <v>45289.64583</v>
      </c>
      <c r="HB9" s="45">
        <f>IFERROR(__xludf.DUMMYFUNCTION("""COMPUTED_VALUE"""),618.0)</f>
        <v>618</v>
      </c>
      <c r="HC9" s="46">
        <f t="shared" si="53"/>
        <v>0.01644736842</v>
      </c>
      <c r="HD9" s="47"/>
      <c r="HE9" s="43">
        <f>IFERROR(__xludf.DUMMYFUNCTION("""COMPUTED_VALUE"""),45289.64583333333)</f>
        <v>45289.64583</v>
      </c>
      <c r="HF9" s="45">
        <f>IFERROR(__xludf.DUMMYFUNCTION("""COMPUTED_VALUE"""),2440.5)</f>
        <v>2440.5</v>
      </c>
      <c r="HG9" s="46" t="str">
        <f t="shared" si="54"/>
        <v>#DIV/0!</v>
      </c>
      <c r="HH9" s="47"/>
      <c r="HI9" s="37">
        <f>IFERROR(__xludf.DUMMYFUNCTION("""COMPUTED_VALUE"""),45289.64583333333)</f>
        <v>45289.64583</v>
      </c>
      <c r="HJ9" s="45">
        <f>IFERROR(__xludf.DUMMYFUNCTION("""COMPUTED_VALUE"""),5149.0)</f>
        <v>5149</v>
      </c>
      <c r="HK9" s="46">
        <f t="shared" si="55"/>
        <v>0.007622234616</v>
      </c>
      <c r="HL9" s="47"/>
      <c r="HM9" s="37">
        <f>IFERROR(__xludf.DUMMYFUNCTION("""COMPUTED_VALUE"""),45289.64583333333)</f>
        <v>45289.64583</v>
      </c>
      <c r="HN9" s="45">
        <f>IFERROR(__xludf.DUMMYFUNCTION("""COMPUTED_VALUE"""),392.5)</f>
        <v>392.5</v>
      </c>
      <c r="HO9" s="46">
        <f t="shared" si="56"/>
        <v>-0.03455909482</v>
      </c>
      <c r="HP9" s="47"/>
      <c r="HQ9" s="37">
        <f>IFERROR(__xludf.DUMMYFUNCTION("""COMPUTED_VALUE"""),45289.64583333333)</f>
        <v>45289.64583</v>
      </c>
      <c r="HR9" s="45">
        <f>IFERROR(__xludf.DUMMYFUNCTION("""COMPUTED_VALUE"""),255.85)</f>
        <v>255.85</v>
      </c>
      <c r="HS9" s="46">
        <f t="shared" si="57"/>
        <v>0.006095163193</v>
      </c>
      <c r="HT9" s="47"/>
      <c r="HU9" s="37">
        <f>IFERROR(__xludf.DUMMYFUNCTION("""COMPUTED_VALUE"""),45289.64583333333)</f>
        <v>45289.64583</v>
      </c>
      <c r="HV9" s="45">
        <f>IFERROR(__xludf.DUMMYFUNCTION("""COMPUTED_VALUE"""),62.95)</f>
        <v>62.95</v>
      </c>
      <c r="HW9" s="46">
        <f t="shared" si="58"/>
        <v>0.008814102564</v>
      </c>
      <c r="HX9" s="47"/>
      <c r="HY9" s="37">
        <f>IFERROR(__xludf.DUMMYFUNCTION("""COMPUTED_VALUE"""),45289.64583333333)</f>
        <v>45289.64583</v>
      </c>
      <c r="HZ9" s="45">
        <f>IFERROR(__xludf.DUMMYFUNCTION("""COMPUTED_VALUE"""),414.8)</f>
        <v>414.8</v>
      </c>
      <c r="IA9" s="46">
        <f t="shared" si="59"/>
        <v>-0.1079569892</v>
      </c>
      <c r="IB9" s="47"/>
      <c r="IC9" s="37">
        <f>IFERROR(__xludf.DUMMYFUNCTION("""COMPUTED_VALUE"""),45289.64583333333)</f>
        <v>45289.64583</v>
      </c>
      <c r="ID9" s="45">
        <f>IFERROR(__xludf.DUMMYFUNCTION("""COMPUTED_VALUE"""),79.2)</f>
        <v>79.2</v>
      </c>
      <c r="IE9" s="46">
        <f t="shared" si="60"/>
        <v>-0.8194871795</v>
      </c>
      <c r="IF9" s="47"/>
      <c r="IG9" s="37">
        <f>IFERROR(__xludf.DUMMYFUNCTION("""COMPUTED_VALUE"""),45289.64583333333)</f>
        <v>45289.64583</v>
      </c>
      <c r="IH9" s="45">
        <f>IFERROR(__xludf.DUMMYFUNCTION("""COMPUTED_VALUE"""),518.2)</f>
        <v>518.2</v>
      </c>
      <c r="II9" s="46">
        <f t="shared" si="61"/>
        <v>-0.0277673546</v>
      </c>
      <c r="IJ9" s="47"/>
      <c r="IK9" s="37">
        <f>IFERROR(__xludf.DUMMYFUNCTION("""COMPUTED_VALUE"""),45289.64583333333)</f>
        <v>45289.64583</v>
      </c>
      <c r="IL9" s="45">
        <f>IFERROR(__xludf.DUMMYFUNCTION("""COMPUTED_VALUE"""),606.55)</f>
        <v>606.55</v>
      </c>
      <c r="IM9" s="46">
        <f t="shared" si="62"/>
        <v>-0.01844809451</v>
      </c>
      <c r="IN9" s="47"/>
      <c r="IO9" s="37">
        <f>IFERROR(__xludf.DUMMYFUNCTION("""COMPUTED_VALUE"""),45289.64583333333)</f>
        <v>45289.64583</v>
      </c>
      <c r="IP9" s="45">
        <f>IFERROR(__xludf.DUMMYFUNCTION("""COMPUTED_VALUE"""),128.2)</f>
        <v>128.2</v>
      </c>
      <c r="IQ9" s="46">
        <f t="shared" si="63"/>
        <v>0.01996976689</v>
      </c>
      <c r="IR9" s="47"/>
      <c r="IS9" s="37">
        <f>IFERROR(__xludf.DUMMYFUNCTION("""COMPUTED_VALUE"""),45289.64583333333)</f>
        <v>45289.64583</v>
      </c>
      <c r="IT9" s="45">
        <f>IFERROR(__xludf.DUMMYFUNCTION("""COMPUTED_VALUE"""),1014.95)</f>
        <v>1014.95</v>
      </c>
      <c r="IU9" s="46">
        <f t="shared" si="64"/>
        <v>0.0109063745</v>
      </c>
      <c r="IV9" s="47"/>
      <c r="IW9" s="37">
        <f>IFERROR(__xludf.DUMMYFUNCTION("""COMPUTED_VALUE"""),45289.64583333333)</f>
        <v>45289.64583</v>
      </c>
      <c r="IX9" s="45">
        <f>IFERROR(__xludf.DUMMYFUNCTION("""COMPUTED_VALUE"""),216.4)</f>
        <v>216.4</v>
      </c>
      <c r="IY9" s="46">
        <f t="shared" si="65"/>
        <v>0.05074047099</v>
      </c>
      <c r="IZ9" s="47"/>
      <c r="JA9" s="37">
        <f>IFERROR(__xludf.DUMMYFUNCTION("""COMPUTED_VALUE"""),45289.64583333333)</f>
        <v>45289.64583</v>
      </c>
      <c r="JB9" s="45">
        <f>IFERROR(__xludf.DUMMYFUNCTION("""COMPUTED_VALUE"""),39876.1)</f>
        <v>39876.1</v>
      </c>
      <c r="JC9" s="46">
        <f t="shared" si="66"/>
        <v>0.126359185</v>
      </c>
      <c r="JD9" s="47"/>
      <c r="JE9" s="37">
        <f>IFERROR(__xludf.DUMMYFUNCTION("""COMPUTED_VALUE"""),45289.64583333333)</f>
        <v>45289.64583</v>
      </c>
      <c r="JF9" s="45">
        <f>IFERROR(__xludf.DUMMYFUNCTION("""COMPUTED_VALUE"""),661.5)</f>
        <v>661.5</v>
      </c>
      <c r="JG9" s="46">
        <f t="shared" si="67"/>
        <v>0.02558139535</v>
      </c>
      <c r="JH9" s="47"/>
      <c r="JI9" s="37">
        <f>IFERROR(__xludf.DUMMYFUNCTION("""COMPUTED_VALUE"""),45289.64583333333)</f>
        <v>45289.64583</v>
      </c>
      <c r="JJ9" s="45">
        <f>IFERROR(__xludf.DUMMYFUNCTION("""COMPUTED_VALUE"""),326.4)</f>
        <v>326.4</v>
      </c>
      <c r="JK9" s="46">
        <f t="shared" si="68"/>
        <v>-0.02260817488</v>
      </c>
      <c r="JL9" s="47"/>
      <c r="JM9" s="37">
        <f>IFERROR(__xludf.DUMMYFUNCTION("""COMPUTED_VALUE"""),45289.64583333333)</f>
        <v>45289.64583</v>
      </c>
      <c r="JN9" s="45">
        <f>IFERROR(__xludf.DUMMYFUNCTION("""COMPUTED_VALUE"""),15.4)</f>
        <v>15.4</v>
      </c>
      <c r="JO9" s="46">
        <f t="shared" si="69"/>
        <v>-0.9649002849</v>
      </c>
      <c r="JP9" s="47"/>
      <c r="JQ9" s="37">
        <f>IFERROR(__xludf.DUMMYFUNCTION("""COMPUTED_VALUE"""),45289.64583333333)</f>
        <v>45289.64583</v>
      </c>
      <c r="JR9" s="45">
        <f>IFERROR(__xludf.DUMMYFUNCTION("""COMPUTED_VALUE"""),122.0)</f>
        <v>122</v>
      </c>
      <c r="JS9" s="46">
        <f t="shared" si="70"/>
        <v>-0.1029411765</v>
      </c>
      <c r="JT9" s="47"/>
      <c r="JU9" s="37">
        <f>IFERROR(__xludf.DUMMYFUNCTION("""COMPUTED_VALUE"""),45289.64583333333)</f>
        <v>45289.64583</v>
      </c>
      <c r="JV9" s="45">
        <f>IFERROR(__xludf.DUMMYFUNCTION("""COMPUTED_VALUE"""),241.8)</f>
        <v>241.8</v>
      </c>
      <c r="JW9" s="46">
        <f t="shared" si="71"/>
        <v>-0.4488888889</v>
      </c>
      <c r="JX9" s="47"/>
      <c r="JY9" s="37">
        <f>IFERROR(__xludf.DUMMYFUNCTION("""COMPUTED_VALUE"""),45289.64583333333)</f>
        <v>45289.64583</v>
      </c>
      <c r="JZ9" s="45">
        <f>IFERROR(__xludf.DUMMYFUNCTION("""COMPUTED_VALUE"""),580.0)</f>
        <v>580</v>
      </c>
      <c r="KA9" s="46">
        <f t="shared" si="72"/>
        <v>0.05263157895</v>
      </c>
      <c r="KB9" s="47"/>
      <c r="KC9" s="37">
        <f>IFERROR(__xludf.DUMMYFUNCTION("""COMPUTED_VALUE"""),45289.64583333333)</f>
        <v>45289.64583</v>
      </c>
      <c r="KD9" s="45">
        <f>IFERROR(__xludf.DUMMYFUNCTION("""COMPUTED_VALUE"""),872.0)</f>
        <v>872</v>
      </c>
      <c r="KE9" s="46">
        <f t="shared" si="73"/>
        <v>-0.001774368954</v>
      </c>
      <c r="KF9" s="47"/>
      <c r="KG9" s="37">
        <f>IFERROR(__xludf.DUMMYFUNCTION("""COMPUTED_VALUE"""),45289.64583333333)</f>
        <v>45289.64583</v>
      </c>
      <c r="KH9" s="45">
        <f>IFERROR(__xludf.DUMMYFUNCTION("""COMPUTED_VALUE"""),383.85)</f>
        <v>383.85</v>
      </c>
      <c r="KI9" s="46">
        <f t="shared" si="74"/>
        <v>-0.01576923077</v>
      </c>
      <c r="KJ9" s="47"/>
      <c r="KK9" s="37">
        <f>IFERROR(__xludf.DUMMYFUNCTION("""COMPUTED_VALUE"""),45289.64583333333)</f>
        <v>45289.64583</v>
      </c>
      <c r="KL9" s="45">
        <f>IFERROR(__xludf.DUMMYFUNCTION("""COMPUTED_VALUE"""),9.7)</f>
        <v>9.7</v>
      </c>
      <c r="KM9" s="46">
        <f t="shared" si="75"/>
        <v>0.04301075269</v>
      </c>
      <c r="KN9" s="47"/>
      <c r="KO9" s="37">
        <f>IFERROR(__xludf.DUMMYFUNCTION("""COMPUTED_VALUE"""),45289.64583333333)</f>
        <v>45289.64583</v>
      </c>
      <c r="KP9" s="45">
        <f>IFERROR(__xludf.DUMMYFUNCTION("""COMPUTED_VALUE"""),213.5)</f>
        <v>213.5</v>
      </c>
      <c r="KQ9" s="46">
        <f t="shared" si="76"/>
        <v>0.05017215937</v>
      </c>
      <c r="KR9" s="47"/>
      <c r="KS9" s="37">
        <f>IFERROR(__xludf.DUMMYFUNCTION("""COMPUTED_VALUE"""),45289.64583333333)</f>
        <v>45289.64583</v>
      </c>
      <c r="KT9" s="45">
        <f>IFERROR(__xludf.DUMMYFUNCTION("""COMPUTED_VALUE"""),11.25)</f>
        <v>11.25</v>
      </c>
      <c r="KU9" s="46">
        <f t="shared" si="77"/>
        <v>0.01809954751</v>
      </c>
      <c r="KV9" s="47"/>
      <c r="KW9" s="37">
        <f>IFERROR(__xludf.DUMMYFUNCTION("""COMPUTED_VALUE"""),45289.64583333333)</f>
        <v>45289.64583</v>
      </c>
      <c r="KX9" s="45">
        <f>IFERROR(__xludf.DUMMYFUNCTION("""COMPUTED_VALUE"""),2689.9)</f>
        <v>2689.9</v>
      </c>
      <c r="KY9" s="46">
        <f t="shared" si="78"/>
        <v>0.007472050038</v>
      </c>
      <c r="KZ9" s="47"/>
      <c r="LA9" s="37">
        <f>IFERROR(__xludf.DUMMYFUNCTION("""COMPUTED_VALUE"""),45289.64583333333)</f>
        <v>45289.64583</v>
      </c>
      <c r="LB9" s="45">
        <f>IFERROR(__xludf.DUMMYFUNCTION("""COMPUTED_VALUE"""),19.8)</f>
        <v>19.8</v>
      </c>
      <c r="LC9" s="46">
        <f t="shared" si="79"/>
        <v>0.05039787798</v>
      </c>
      <c r="LD9" s="47"/>
      <c r="LE9" s="37">
        <f>IFERROR(__xludf.DUMMYFUNCTION("""COMPUTED_VALUE"""),45289.64583333333)</f>
        <v>45289.64583</v>
      </c>
      <c r="LF9" s="45">
        <f>IFERROR(__xludf.DUMMYFUNCTION("""COMPUTED_VALUE"""),117.65)</f>
        <v>117.65</v>
      </c>
      <c r="LG9" s="46">
        <f t="shared" si="80"/>
        <v>-0.0588</v>
      </c>
      <c r="LH9" s="47"/>
      <c r="LI9" s="37">
        <f>IFERROR(__xludf.DUMMYFUNCTION("""COMPUTED_VALUE"""),45289.64583333333)</f>
        <v>45289.64583</v>
      </c>
      <c r="LJ9" s="45">
        <f>IFERROR(__xludf.DUMMYFUNCTION("""COMPUTED_VALUE"""),765.2)</f>
        <v>765.2</v>
      </c>
      <c r="LK9" s="46">
        <f t="shared" si="81"/>
        <v>0.0510989011</v>
      </c>
      <c r="LL9" s="47"/>
      <c r="LM9" s="37">
        <f>IFERROR(__xludf.DUMMYFUNCTION("""COMPUTED_VALUE"""),45289.64583333333)</f>
        <v>45289.64583</v>
      </c>
      <c r="LN9" s="45">
        <f>IFERROR(__xludf.DUMMYFUNCTION("""COMPUTED_VALUE"""),875.0)</f>
        <v>875</v>
      </c>
      <c r="LO9" s="46">
        <f t="shared" si="82"/>
        <v>0.02339181287</v>
      </c>
      <c r="LP9" s="47"/>
      <c r="LQ9" s="37">
        <f>IFERROR(__xludf.DUMMYFUNCTION("""COMPUTED_VALUE"""),45289.64583333333)</f>
        <v>45289.64583</v>
      </c>
      <c r="LR9" s="45">
        <f>IFERROR(__xludf.DUMMYFUNCTION("""COMPUTED_VALUE"""),379.4)</f>
        <v>379.4</v>
      </c>
      <c r="LS9" s="46">
        <f t="shared" si="83"/>
        <v>0.03831417625</v>
      </c>
      <c r="LT9" s="47"/>
      <c r="LU9" s="37">
        <f>IFERROR(__xludf.DUMMYFUNCTION("""COMPUTED_VALUE"""),45289.64583333333)</f>
        <v>45289.64583</v>
      </c>
      <c r="LV9" s="45">
        <f>IFERROR(__xludf.DUMMYFUNCTION("""COMPUTED_VALUE"""),134.4)</f>
        <v>134.4</v>
      </c>
      <c r="LW9" s="46">
        <f t="shared" si="84"/>
        <v>-0.01754385965</v>
      </c>
      <c r="LX9" s="47"/>
      <c r="LY9" s="37">
        <f>IFERROR(__xludf.DUMMYFUNCTION("""COMPUTED_VALUE"""),45289.64583333333)</f>
        <v>45289.64583</v>
      </c>
      <c r="LZ9" s="45">
        <f>IFERROR(__xludf.DUMMYFUNCTION("""COMPUTED_VALUE"""),598.2)</f>
        <v>598.2</v>
      </c>
      <c r="MA9" s="46">
        <f t="shared" si="85"/>
        <v>-0.03516129032</v>
      </c>
      <c r="MB9" s="47"/>
      <c r="MC9" s="37"/>
      <c r="MD9" s="45"/>
      <c r="ME9" s="46" t="str">
        <f t="shared" si="86"/>
        <v>#DIV/0!</v>
      </c>
      <c r="MF9" s="47"/>
      <c r="MG9" s="37">
        <f>IFERROR(__xludf.DUMMYFUNCTION("""COMPUTED_VALUE"""),45289.64583333333)</f>
        <v>45289.64583</v>
      </c>
      <c r="MH9" s="45">
        <f>IFERROR(__xludf.DUMMYFUNCTION("""COMPUTED_VALUE"""),1944.0)</f>
        <v>1944</v>
      </c>
      <c r="MI9" s="46">
        <f t="shared" si="87"/>
        <v>-0.008643769601</v>
      </c>
      <c r="MJ9" s="47"/>
      <c r="MK9" s="37">
        <f>IFERROR(__xludf.DUMMYFUNCTION("""COMPUTED_VALUE"""),45289.64583333333)</f>
        <v>45289.64583</v>
      </c>
      <c r="ML9" s="45">
        <f>IFERROR(__xludf.DUMMYFUNCTION("""COMPUTED_VALUE"""),416.25)</f>
        <v>416.25</v>
      </c>
      <c r="MM9" s="46">
        <f t="shared" si="88"/>
        <v>0.04075509439</v>
      </c>
      <c r="MN9" s="47"/>
      <c r="MO9" s="37">
        <f>IFERROR(__xludf.DUMMYFUNCTION("""COMPUTED_VALUE"""),45289.64583333333)</f>
        <v>45289.64583</v>
      </c>
      <c r="MP9" s="45">
        <f>IFERROR(__xludf.DUMMYFUNCTION("""COMPUTED_VALUE"""),734.15)</f>
        <v>734.15</v>
      </c>
      <c r="MQ9" s="46">
        <f t="shared" si="89"/>
        <v>-0.007905405405</v>
      </c>
      <c r="MR9" s="47"/>
      <c r="MS9" s="37">
        <f>IFERROR(__xludf.DUMMYFUNCTION("""COMPUTED_VALUE"""),45289.64583333333)</f>
        <v>45289.64583</v>
      </c>
      <c r="MT9" s="45">
        <f>IFERROR(__xludf.DUMMYFUNCTION("""COMPUTED_VALUE"""),66.9)</f>
        <v>66.9</v>
      </c>
      <c r="MU9" s="46">
        <f t="shared" si="90"/>
        <v>0.01133786848</v>
      </c>
      <c r="MV9" s="47"/>
      <c r="MW9" s="37">
        <f>IFERROR(__xludf.DUMMYFUNCTION("""COMPUTED_VALUE"""),45289.64583333333)</f>
        <v>45289.64583</v>
      </c>
      <c r="MX9" s="45">
        <f>IFERROR(__xludf.DUMMYFUNCTION("""COMPUTED_VALUE"""),3208.25)</f>
        <v>3208.25</v>
      </c>
      <c r="MY9" s="46">
        <f t="shared" si="91"/>
        <v>0.01946298062</v>
      </c>
      <c r="MZ9" s="47"/>
      <c r="NA9" s="37">
        <f>IFERROR(__xludf.DUMMYFUNCTION("""COMPUTED_VALUE"""),45289.64583333333)</f>
        <v>45289.64583</v>
      </c>
      <c r="NB9" s="45">
        <f>IFERROR(__xludf.DUMMYFUNCTION("""COMPUTED_VALUE"""),13.5)</f>
        <v>13.5</v>
      </c>
      <c r="NC9" s="46">
        <f t="shared" si="92"/>
        <v>0.06719367589</v>
      </c>
      <c r="ND9" s="47"/>
      <c r="NE9" s="37">
        <f>IFERROR(__xludf.DUMMYFUNCTION("""COMPUTED_VALUE"""),45292.64583333333)</f>
        <v>45292.64583</v>
      </c>
      <c r="NF9" s="45">
        <f>IFERROR(__xludf.DUMMYFUNCTION("""COMPUTED_VALUE"""),385.0)</f>
        <v>385</v>
      </c>
      <c r="NG9" s="46">
        <f t="shared" si="93"/>
        <v>0.005353179266</v>
      </c>
      <c r="NH9" s="47"/>
      <c r="NI9" s="37">
        <f>IFERROR(__xludf.DUMMYFUNCTION("""COMPUTED_VALUE"""),45292.64583333333)</f>
        <v>45292.64583</v>
      </c>
      <c r="NJ9" s="45">
        <f>IFERROR(__xludf.DUMMYFUNCTION("""COMPUTED_VALUE"""),271.0)</f>
        <v>271</v>
      </c>
      <c r="NK9" s="46">
        <f t="shared" si="94"/>
        <v>0.01623729703</v>
      </c>
      <c r="NL9" s="47"/>
      <c r="NM9" s="37">
        <f>IFERROR(__xludf.DUMMYFUNCTION("""COMPUTED_VALUE"""),45292.64583333333)</f>
        <v>45292.64583</v>
      </c>
      <c r="NN9" s="45">
        <f>IFERROR(__xludf.DUMMYFUNCTION("""COMPUTED_VALUE"""),126.9)</f>
        <v>126.9</v>
      </c>
      <c r="NO9" s="46">
        <f t="shared" si="95"/>
        <v>0.02919708029</v>
      </c>
      <c r="NP9" s="47"/>
      <c r="NQ9" s="37">
        <f>IFERROR(__xludf.DUMMYFUNCTION("""COMPUTED_VALUE"""),45292.64583333333)</f>
        <v>45292.64583</v>
      </c>
      <c r="NR9" s="45">
        <f>IFERROR(__xludf.DUMMYFUNCTION("""COMPUTED_VALUE"""),4181.4)</f>
        <v>4181.4</v>
      </c>
      <c r="NS9" s="46">
        <f t="shared" si="96"/>
        <v>0.001293103448</v>
      </c>
      <c r="NT9" s="47"/>
      <c r="NU9" s="37">
        <f>IFERROR(__xludf.DUMMYFUNCTION("""COMPUTED_VALUE"""),45292.64583333333)</f>
        <v>45292.64583</v>
      </c>
      <c r="NV9" s="45">
        <f>IFERROR(__xludf.DUMMYFUNCTION("""COMPUTED_VALUE"""),13.8)</f>
        <v>13.8</v>
      </c>
      <c r="NW9" s="46">
        <f t="shared" si="97"/>
        <v>0.08661417323</v>
      </c>
      <c r="NX9" s="47"/>
      <c r="NY9" s="37">
        <f>IFERROR(__xludf.DUMMYFUNCTION("""COMPUTED_VALUE"""),45292.64583333333)</f>
        <v>45292.64583</v>
      </c>
      <c r="NZ9" s="45">
        <f>IFERROR(__xludf.DUMMYFUNCTION("""COMPUTED_VALUE"""),283.85)</f>
        <v>283.85</v>
      </c>
      <c r="OA9" s="46">
        <f t="shared" si="98"/>
        <v>0.1501215559</v>
      </c>
      <c r="OB9" s="47"/>
      <c r="OC9" s="37">
        <f>IFERROR(__xludf.DUMMYFUNCTION("""COMPUTED_VALUE"""),45292.64583333333)</f>
        <v>45292.64583</v>
      </c>
      <c r="OD9" s="45">
        <f>IFERROR(__xludf.DUMMYFUNCTION("""COMPUTED_VALUE"""),1093.85)</f>
        <v>1093.85</v>
      </c>
      <c r="OE9" s="46">
        <f t="shared" si="99"/>
        <v>0.03785758338</v>
      </c>
      <c r="OF9" s="47"/>
      <c r="OG9" s="37">
        <f>IFERROR(__xludf.DUMMYFUNCTION("""COMPUTED_VALUE"""),45292.64583333333)</f>
        <v>45292.64583</v>
      </c>
      <c r="OH9" s="45">
        <f>IFERROR(__xludf.DUMMYFUNCTION("""COMPUTED_VALUE"""),2480.0)</f>
        <v>2480</v>
      </c>
      <c r="OI9" s="46">
        <f t="shared" si="100"/>
        <v>0.01647676039</v>
      </c>
      <c r="OJ9" s="47"/>
      <c r="OK9" s="37"/>
      <c r="OL9" s="45"/>
      <c r="OM9" s="46" t="str">
        <f t="shared" si="101"/>
        <v>#DIV/0!</v>
      </c>
      <c r="ON9" s="47"/>
    </row>
    <row r="10" ht="12.0" customHeight="1">
      <c r="A10" s="37">
        <f>IFERROR(__xludf.DUMMYFUNCTION("""COMPUTED_VALUE"""),45289.64583333333)</f>
        <v>45289.64583</v>
      </c>
      <c r="B10" s="45">
        <f>IFERROR(__xludf.DUMMYFUNCTION("""COMPUTED_VALUE"""),432.75)</f>
        <v>432.75</v>
      </c>
      <c r="C10" s="46">
        <f t="shared" si="1"/>
        <v>-0.01367521368</v>
      </c>
      <c r="D10" s="47"/>
      <c r="E10" s="37">
        <f>IFERROR(__xludf.DUMMYFUNCTION("""COMPUTED_VALUE"""),45289.64583333333)</f>
        <v>45289.64583</v>
      </c>
      <c r="F10" s="45">
        <f>IFERROR(__xludf.DUMMYFUNCTION("""COMPUTED_VALUE"""),652.0)</f>
        <v>652</v>
      </c>
      <c r="G10" s="46">
        <f t="shared" si="2"/>
        <v>-0.004580152672</v>
      </c>
      <c r="H10" s="47"/>
      <c r="I10" s="37">
        <f>IFERROR(__xludf.DUMMYFUNCTION("""COMPUTED_VALUE"""),45289.64583333333)</f>
        <v>45289.64583</v>
      </c>
      <c r="J10" s="45">
        <f>IFERROR(__xludf.DUMMYFUNCTION("""COMPUTED_VALUE"""),185.2)</f>
        <v>185.2</v>
      </c>
      <c r="K10" s="46">
        <f t="shared" si="3"/>
        <v>0.00652173913</v>
      </c>
      <c r="L10" s="47"/>
      <c r="M10" s="37">
        <f>IFERROR(__xludf.DUMMYFUNCTION("""COMPUTED_VALUE"""),45289.64583333333)</f>
        <v>45289.64583</v>
      </c>
      <c r="N10" s="45">
        <f>IFERROR(__xludf.DUMMYFUNCTION("""COMPUTED_VALUE"""),84.75)</f>
        <v>84.75</v>
      </c>
      <c r="O10" s="46">
        <f t="shared" si="4"/>
        <v>-0.01909722222</v>
      </c>
      <c r="P10" s="47"/>
      <c r="Q10" s="37">
        <f>IFERROR(__xludf.DUMMYFUNCTION("""COMPUTED_VALUE"""),45289.64583333333)</f>
        <v>45289.64583</v>
      </c>
      <c r="R10" s="45">
        <f>IFERROR(__xludf.DUMMYFUNCTION("""COMPUTED_VALUE"""),50.2)</f>
        <v>50.2</v>
      </c>
      <c r="S10" s="46">
        <f t="shared" si="5"/>
        <v>-0.04380952381</v>
      </c>
      <c r="T10" s="47"/>
      <c r="U10" s="37">
        <f>IFERROR(__xludf.DUMMYFUNCTION("""COMPUTED_VALUE"""),45289.64583333333)</f>
        <v>45289.64583</v>
      </c>
      <c r="V10" s="45">
        <f>IFERROR(__xludf.DUMMYFUNCTION("""COMPUTED_VALUE"""),781.05)</f>
        <v>781.05</v>
      </c>
      <c r="W10" s="46">
        <f t="shared" si="6"/>
        <v>0.1791213768</v>
      </c>
      <c r="X10" s="47"/>
      <c r="Y10" s="37">
        <f>IFERROR(__xludf.DUMMYFUNCTION("""COMPUTED_VALUE"""),45289.64583333333)</f>
        <v>45289.64583</v>
      </c>
      <c r="Z10" s="45">
        <f>IFERROR(__xludf.DUMMYFUNCTION("""COMPUTED_VALUE"""),182.4)</f>
        <v>182.4</v>
      </c>
      <c r="AA10" s="46">
        <f t="shared" si="7"/>
        <v>-0.01405405405</v>
      </c>
      <c r="AB10" s="47"/>
      <c r="AC10" s="37">
        <f>IFERROR(__xludf.DUMMYFUNCTION("""COMPUTED_VALUE"""),45289.64583333333)</f>
        <v>45289.64583</v>
      </c>
      <c r="AD10" s="45">
        <f>IFERROR(__xludf.DUMMYFUNCTION("""COMPUTED_VALUE"""),2440.5)</f>
        <v>2440.5</v>
      </c>
      <c r="AE10" s="46">
        <f t="shared" si="8"/>
        <v>0.02779532533</v>
      </c>
      <c r="AF10" s="47"/>
      <c r="AG10" s="37">
        <f>IFERROR(__xludf.DUMMYFUNCTION("""COMPUTED_VALUE"""),45289.64583333333)</f>
        <v>45289.64583</v>
      </c>
      <c r="AH10" s="45">
        <f>IFERROR(__xludf.DUMMYFUNCTION("""COMPUTED_VALUE"""),809.9)</f>
        <v>809.9</v>
      </c>
      <c r="AI10" s="46">
        <f t="shared" si="9"/>
        <v>-0.03583333333</v>
      </c>
      <c r="AJ10" s="47"/>
      <c r="AK10" s="37">
        <f>IFERROR(__xludf.DUMMYFUNCTION("""COMPUTED_VALUE"""),45289.64583333333)</f>
        <v>45289.64583</v>
      </c>
      <c r="AL10" s="45">
        <f>IFERROR(__xludf.DUMMYFUNCTION("""COMPUTED_VALUE"""),5149.0)</f>
        <v>5149</v>
      </c>
      <c r="AM10" s="46">
        <f t="shared" si="10"/>
        <v>-0.009807692308</v>
      </c>
      <c r="AN10" s="47"/>
      <c r="AO10" s="37">
        <f>IFERROR(__xludf.DUMMYFUNCTION("""COMPUTED_VALUE"""),45289.64583333333)</f>
        <v>45289.64583</v>
      </c>
      <c r="AP10" s="45">
        <f>IFERROR(__xludf.DUMMYFUNCTION("""COMPUTED_VALUE"""),895.9)</f>
        <v>895.9</v>
      </c>
      <c r="AQ10" s="46">
        <f t="shared" si="11"/>
        <v>-0.01549450549</v>
      </c>
      <c r="AR10" s="47"/>
      <c r="AS10" s="37">
        <f>IFERROR(__xludf.DUMMYFUNCTION("""COMPUTED_VALUE"""),45289.64583333333)</f>
        <v>45289.64583</v>
      </c>
      <c r="AT10" s="45">
        <f>IFERROR(__xludf.DUMMYFUNCTION("""COMPUTED_VALUE"""),2502.0)</f>
        <v>2502</v>
      </c>
      <c r="AU10" s="46">
        <f t="shared" si="12"/>
        <v>0.007286927815</v>
      </c>
      <c r="AV10" s="47"/>
      <c r="AW10" s="37">
        <f>IFERROR(__xludf.DUMMYFUNCTION("""COMPUTED_VALUE"""),45289.64583333333)</f>
        <v>45289.64583</v>
      </c>
      <c r="AX10" s="45">
        <f>IFERROR(__xludf.DUMMYFUNCTION("""COMPUTED_VALUE"""),5616.4)</f>
        <v>5616.4</v>
      </c>
      <c r="AY10" s="46">
        <f t="shared" si="13"/>
        <v>-0.004995925309</v>
      </c>
      <c r="AZ10" s="47"/>
      <c r="BA10" s="37">
        <f>IFERROR(__xludf.DUMMYFUNCTION("""COMPUTED_VALUE"""),45289.64583333333)</f>
        <v>45289.64583</v>
      </c>
      <c r="BB10" s="45">
        <f>IFERROR(__xludf.DUMMYFUNCTION("""COMPUTED_VALUE"""),475.35)</f>
        <v>475.35</v>
      </c>
      <c r="BC10" s="46">
        <f t="shared" si="14"/>
        <v>0.01462113127</v>
      </c>
      <c r="BD10" s="47"/>
      <c r="BE10" s="37">
        <f>IFERROR(__xludf.DUMMYFUNCTION("""COMPUTED_VALUE"""),45289.64583333333)</f>
        <v>45289.64583</v>
      </c>
      <c r="BF10" s="45">
        <f>IFERROR(__xludf.DUMMYFUNCTION("""COMPUTED_VALUE"""),351.55)</f>
        <v>351.55</v>
      </c>
      <c r="BG10" s="46">
        <f t="shared" si="15"/>
        <v>-0.1362407862</v>
      </c>
      <c r="BH10" s="47"/>
      <c r="BI10" s="37">
        <f>IFERROR(__xludf.DUMMYFUNCTION("""COMPUTED_VALUE"""),45289.64583333333)</f>
        <v>45289.64583</v>
      </c>
      <c r="BJ10" s="45">
        <f>IFERROR(__xludf.DUMMYFUNCTION("""COMPUTED_VALUE"""),64.95)</f>
        <v>64.95</v>
      </c>
      <c r="BK10" s="46">
        <f t="shared" si="16"/>
        <v>-0.06479481641</v>
      </c>
      <c r="BL10" s="47"/>
      <c r="BM10" s="37">
        <f>IFERROR(__xludf.DUMMYFUNCTION("""COMPUTED_VALUE"""),45289.64583333333)</f>
        <v>45289.64583</v>
      </c>
      <c r="BN10" s="45">
        <f>IFERROR(__xludf.DUMMYFUNCTION("""COMPUTED_VALUE"""),255.85)</f>
        <v>255.85</v>
      </c>
      <c r="BO10" s="46">
        <f t="shared" si="17"/>
        <v>-0.0005859375</v>
      </c>
      <c r="BP10" s="47"/>
      <c r="BQ10" s="37">
        <f>IFERROR(__xludf.DUMMYFUNCTION("""COMPUTED_VALUE"""),45289.64583333333)</f>
        <v>45289.64583</v>
      </c>
      <c r="BR10" s="45">
        <f>IFERROR(__xludf.DUMMYFUNCTION("""COMPUTED_VALUE"""),62.95)</f>
        <v>62.95</v>
      </c>
      <c r="BS10" s="46">
        <f t="shared" si="18"/>
        <v>0.03366174056</v>
      </c>
      <c r="BT10" s="47"/>
      <c r="BU10" s="37">
        <f>IFERROR(__xludf.DUMMYFUNCTION("""COMPUTED_VALUE"""),45289.64583333333)</f>
        <v>45289.64583</v>
      </c>
      <c r="BV10" s="45">
        <f>IFERROR(__xludf.DUMMYFUNCTION("""COMPUTED_VALUE"""),307.2)</f>
        <v>307.2</v>
      </c>
      <c r="BW10" s="46">
        <f t="shared" si="19"/>
        <v>-0.007110536522</v>
      </c>
      <c r="BX10" s="47"/>
      <c r="BY10" s="37">
        <f>IFERROR(__xludf.DUMMYFUNCTION("""COMPUTED_VALUE"""),45289.64583333333)</f>
        <v>45289.64583</v>
      </c>
      <c r="BZ10" s="45">
        <f>IFERROR(__xludf.DUMMYFUNCTION("""COMPUTED_VALUE"""),414.8)</f>
        <v>414.8</v>
      </c>
      <c r="CA10" s="46">
        <f t="shared" si="20"/>
        <v>0.01294261294</v>
      </c>
      <c r="CB10" s="47"/>
      <c r="CC10" s="37">
        <f>IFERROR(__xludf.DUMMYFUNCTION("""COMPUTED_VALUE"""),45289.64583333333)</f>
        <v>45289.64583</v>
      </c>
      <c r="CD10" s="45">
        <f>IFERROR(__xludf.DUMMYFUNCTION("""COMPUTED_VALUE"""),226.8)</f>
        <v>226.8</v>
      </c>
      <c r="CE10" s="46">
        <f t="shared" si="21"/>
        <v>-0.02114803625</v>
      </c>
      <c r="CF10" s="47"/>
      <c r="CG10" s="37">
        <f>IFERROR(__xludf.DUMMYFUNCTION("""COMPUTED_VALUE"""),45289.64583333333)</f>
        <v>45289.64583</v>
      </c>
      <c r="CH10" s="45">
        <f>IFERROR(__xludf.DUMMYFUNCTION("""COMPUTED_VALUE"""),661.5)</f>
        <v>661.5</v>
      </c>
      <c r="CI10" s="46">
        <f t="shared" si="22"/>
        <v>0.04009433962</v>
      </c>
      <c r="CJ10" s="47"/>
      <c r="CK10" s="37">
        <f>IFERROR(__xludf.DUMMYFUNCTION("""COMPUTED_VALUE"""),45289.64583333333)</f>
        <v>45289.64583</v>
      </c>
      <c r="CL10" s="45">
        <f>IFERROR(__xludf.DUMMYFUNCTION("""COMPUTED_VALUE"""),326.4)</f>
        <v>326.4</v>
      </c>
      <c r="CM10" s="46">
        <f t="shared" si="23"/>
        <v>-0.03145400593</v>
      </c>
      <c r="CN10" s="47"/>
      <c r="CO10" s="37">
        <f>IFERROR(__xludf.DUMMYFUNCTION("""COMPUTED_VALUE"""),45289.64583333333)</f>
        <v>45289.64583</v>
      </c>
      <c r="CP10" s="45">
        <f>IFERROR(__xludf.DUMMYFUNCTION("""COMPUTED_VALUE"""),15.4)</f>
        <v>15.4</v>
      </c>
      <c r="CQ10" s="46">
        <f t="shared" si="24"/>
        <v>0.04054054054</v>
      </c>
      <c r="CR10" s="47"/>
      <c r="CS10" s="37">
        <f>IFERROR(__xludf.DUMMYFUNCTION("""COMPUTED_VALUE"""),45289.64583333333)</f>
        <v>45289.64583</v>
      </c>
      <c r="CT10" s="45">
        <f>IFERROR(__xludf.DUMMYFUNCTION("""COMPUTED_VALUE"""),193.5)</f>
        <v>193.5</v>
      </c>
      <c r="CU10" s="46">
        <f t="shared" si="25"/>
        <v>-0.02272727273</v>
      </c>
      <c r="CV10" s="47"/>
      <c r="CW10" s="37">
        <f>IFERROR(__xludf.DUMMYFUNCTION("""COMPUTED_VALUE"""),45289.64583333333)</f>
        <v>45289.64583</v>
      </c>
      <c r="CX10" s="45">
        <f>IFERROR(__xludf.DUMMYFUNCTION("""COMPUTED_VALUE"""),688.0)</f>
        <v>688</v>
      </c>
      <c r="CY10" s="46">
        <f t="shared" si="26"/>
        <v>-0.005464164908</v>
      </c>
      <c r="CZ10" s="47"/>
      <c r="DA10" s="37">
        <f>IFERROR(__xludf.DUMMYFUNCTION("""COMPUTED_VALUE"""),45289.64583333333)</f>
        <v>45289.64583</v>
      </c>
      <c r="DB10" s="45">
        <f>IFERROR(__xludf.DUMMYFUNCTION("""COMPUTED_VALUE"""),25.8)</f>
        <v>25.8</v>
      </c>
      <c r="DC10" s="46">
        <f t="shared" si="27"/>
        <v>-0.0752688172</v>
      </c>
      <c r="DD10" s="47"/>
      <c r="DE10" s="37">
        <f>IFERROR(__xludf.DUMMYFUNCTION("""COMPUTED_VALUE"""),45289.64583333333)</f>
        <v>45289.64583</v>
      </c>
      <c r="DF10" s="45">
        <f>IFERROR(__xludf.DUMMYFUNCTION("""COMPUTED_VALUE"""),122.0)</f>
        <v>122</v>
      </c>
      <c r="DG10" s="46">
        <f t="shared" si="28"/>
        <v>0.07678729038</v>
      </c>
      <c r="DH10" s="47"/>
      <c r="DI10" s="37">
        <f>IFERROR(__xludf.DUMMYFUNCTION("""COMPUTED_VALUE"""),45289.64583333333)</f>
        <v>45289.64583</v>
      </c>
      <c r="DJ10" s="45">
        <f>IFERROR(__xludf.DUMMYFUNCTION("""COMPUTED_VALUE"""),1575.0)</f>
        <v>1575</v>
      </c>
      <c r="DK10" s="46">
        <f t="shared" si="29"/>
        <v>-0.01856929212</v>
      </c>
      <c r="DL10" s="47"/>
      <c r="DM10" s="37">
        <f>IFERROR(__xludf.DUMMYFUNCTION("""COMPUTED_VALUE"""),45289.64583333333)</f>
        <v>45289.64583</v>
      </c>
      <c r="DN10" s="45">
        <f>IFERROR(__xludf.DUMMYFUNCTION("""COMPUTED_VALUE"""),548.9)</f>
        <v>548.9</v>
      </c>
      <c r="DO10" s="46">
        <f t="shared" si="30"/>
        <v>0.0237806584</v>
      </c>
      <c r="DP10" s="47"/>
      <c r="DQ10" s="37">
        <f>IFERROR(__xludf.DUMMYFUNCTION("""COMPUTED_VALUE"""),45289.64583333333)</f>
        <v>45289.64583</v>
      </c>
      <c r="DR10" s="45">
        <f>IFERROR(__xludf.DUMMYFUNCTION("""COMPUTED_VALUE"""),222.65)</f>
        <v>222.65</v>
      </c>
      <c r="DS10" s="46">
        <f t="shared" si="31"/>
        <v>0.02133027523</v>
      </c>
      <c r="DT10" s="47"/>
      <c r="DU10" s="37">
        <f>IFERROR(__xludf.DUMMYFUNCTION("""COMPUTED_VALUE"""),45289.64583333333)</f>
        <v>45289.64583</v>
      </c>
      <c r="DV10" s="45">
        <f>IFERROR(__xludf.DUMMYFUNCTION("""COMPUTED_VALUE"""),872.0)</f>
        <v>872</v>
      </c>
      <c r="DW10" s="46">
        <f t="shared" si="32"/>
        <v>0.0252792475</v>
      </c>
      <c r="DX10" s="47"/>
      <c r="DY10" s="37">
        <f>IFERROR(__xludf.DUMMYFUNCTION("""COMPUTED_VALUE"""),45289.64583333333)</f>
        <v>45289.64583</v>
      </c>
      <c r="DZ10" s="45">
        <f>IFERROR(__xludf.DUMMYFUNCTION("""COMPUTED_VALUE"""),11.25)</f>
        <v>11.25</v>
      </c>
      <c r="EA10" s="46">
        <f t="shared" si="33"/>
        <v>0.03686635945</v>
      </c>
      <c r="EB10" s="47"/>
      <c r="EC10" s="37">
        <f>IFERROR(__xludf.DUMMYFUNCTION("""COMPUTED_VALUE"""),45289.64583333333)</f>
        <v>45289.64583</v>
      </c>
      <c r="ED10" s="45">
        <f>IFERROR(__xludf.DUMMYFUNCTION("""COMPUTED_VALUE"""),2689.9)</f>
        <v>2689.9</v>
      </c>
      <c r="EE10" s="46">
        <f t="shared" si="34"/>
        <v>0.01697542533</v>
      </c>
      <c r="EF10" s="47"/>
      <c r="EG10" s="37">
        <f>IFERROR(__xludf.DUMMYFUNCTION("""COMPUTED_VALUE"""),45289.64583333333)</f>
        <v>45289.64583</v>
      </c>
      <c r="EH10" s="45">
        <f>IFERROR(__xludf.DUMMYFUNCTION("""COMPUTED_VALUE"""),689.6)</f>
        <v>689.6</v>
      </c>
      <c r="EI10" s="46">
        <f t="shared" si="35"/>
        <v>0.06321307431</v>
      </c>
      <c r="EJ10" s="47"/>
      <c r="EK10" s="37">
        <f>IFERROR(__xludf.DUMMYFUNCTION("""COMPUTED_VALUE"""),45289.64583333333)</f>
        <v>45289.64583</v>
      </c>
      <c r="EL10" s="45">
        <f>IFERROR(__xludf.DUMMYFUNCTION("""COMPUTED_VALUE"""),200.0)</f>
        <v>200</v>
      </c>
      <c r="EM10" s="46">
        <f t="shared" si="36"/>
        <v>-0.009900990099</v>
      </c>
      <c r="EN10" s="47"/>
      <c r="EO10" s="37">
        <f>IFERROR(__xludf.DUMMYFUNCTION("""COMPUTED_VALUE"""),45289.64583333333)</f>
        <v>45289.64583</v>
      </c>
      <c r="EP10" s="45">
        <f>IFERROR(__xludf.DUMMYFUNCTION("""COMPUTED_VALUE"""),164.3)</f>
        <v>164.3</v>
      </c>
      <c r="EQ10" s="46">
        <f t="shared" si="37"/>
        <v>0.06034204582</v>
      </c>
      <c r="ER10" s="47"/>
      <c r="ES10" s="37">
        <f>IFERROR(__xludf.DUMMYFUNCTION("""COMPUTED_VALUE"""),45289.64583333333)</f>
        <v>45289.64583</v>
      </c>
      <c r="ET10" s="45">
        <f>IFERROR(__xludf.DUMMYFUNCTION("""COMPUTED_VALUE"""),204.7)</f>
        <v>204.7</v>
      </c>
      <c r="EU10" s="46">
        <f t="shared" si="38"/>
        <v>0.05325443787</v>
      </c>
      <c r="EV10" s="47"/>
      <c r="EW10" s="37">
        <f>IFERROR(__xludf.DUMMYFUNCTION("""COMPUTED_VALUE"""),45289.64583333333)</f>
        <v>45289.64583</v>
      </c>
      <c r="EX10" s="45">
        <f>IFERROR(__xludf.DUMMYFUNCTION("""COMPUTED_VALUE"""),655.0)</f>
        <v>655</v>
      </c>
      <c r="EY10" s="46">
        <f t="shared" si="39"/>
        <v>0.01080246914</v>
      </c>
      <c r="EZ10" s="47"/>
      <c r="FA10" s="37">
        <f>IFERROR(__xludf.DUMMYFUNCTION("""COMPUTED_VALUE"""),45289.64583333333)</f>
        <v>45289.64583</v>
      </c>
      <c r="FB10" s="45">
        <f>IFERROR(__xludf.DUMMYFUNCTION("""COMPUTED_VALUE"""),187.8)</f>
        <v>187.8</v>
      </c>
      <c r="FC10" s="46">
        <f t="shared" si="40"/>
        <v>0.07683486239</v>
      </c>
      <c r="FD10" s="47"/>
      <c r="FE10" s="37">
        <f>IFERROR(__xludf.DUMMYFUNCTION("""COMPUTED_VALUE"""),45289.64583333333)</f>
        <v>45289.64583</v>
      </c>
      <c r="FF10" s="45">
        <f>IFERROR(__xludf.DUMMYFUNCTION("""COMPUTED_VALUE"""),307.9)</f>
        <v>307.9</v>
      </c>
      <c r="FG10" s="46">
        <f t="shared" si="41"/>
        <v>0.01017060367</v>
      </c>
      <c r="FH10" s="47"/>
      <c r="FI10" s="37">
        <f>IFERROR(__xludf.DUMMYFUNCTION("""COMPUTED_VALUE"""),45289.64583333333)</f>
        <v>45289.64583</v>
      </c>
      <c r="FJ10" s="45">
        <f>IFERROR(__xludf.DUMMYFUNCTION("""COMPUTED_VALUE"""),598.2)</f>
        <v>598.2</v>
      </c>
      <c r="FK10" s="46">
        <f t="shared" si="42"/>
        <v>-0.01295272667</v>
      </c>
      <c r="FL10" s="47"/>
      <c r="FM10" s="37">
        <f>IFERROR(__xludf.DUMMYFUNCTION("""COMPUTED_VALUE"""),45289.64583333333)</f>
        <v>45289.64583</v>
      </c>
      <c r="FN10" s="45">
        <f>IFERROR(__xludf.DUMMYFUNCTION("""COMPUTED_VALUE"""),92.85)</f>
        <v>92.85</v>
      </c>
      <c r="FO10" s="46">
        <f t="shared" si="43"/>
        <v>-0.02263157895</v>
      </c>
      <c r="FP10" s="47"/>
      <c r="FQ10" s="37">
        <f>IFERROR(__xludf.DUMMYFUNCTION("""COMPUTED_VALUE"""),45289.64583333333)</f>
        <v>45289.64583</v>
      </c>
      <c r="FR10" s="45">
        <f>IFERROR(__xludf.DUMMYFUNCTION("""COMPUTED_VALUE"""),4.5)</f>
        <v>4.5</v>
      </c>
      <c r="FS10" s="46">
        <f t="shared" si="44"/>
        <v>-0.1818181818</v>
      </c>
      <c r="FT10" s="47"/>
      <c r="FU10" s="37">
        <f>IFERROR(__xludf.DUMMYFUNCTION("""COMPUTED_VALUE"""),45289.64583333333)</f>
        <v>45289.64583</v>
      </c>
      <c r="FV10" s="45">
        <f>IFERROR(__xludf.DUMMYFUNCTION("""COMPUTED_VALUE"""),671.55)</f>
        <v>671.55</v>
      </c>
      <c r="FW10" s="46">
        <f t="shared" si="45"/>
        <v>0.00599206052</v>
      </c>
      <c r="FX10" s="47"/>
      <c r="FY10" s="37">
        <f>IFERROR(__xludf.DUMMYFUNCTION("""COMPUTED_VALUE"""),45289.64583333333)</f>
        <v>45289.64583</v>
      </c>
      <c r="FZ10" s="45">
        <f>IFERROR(__xludf.DUMMYFUNCTION("""COMPUTED_VALUE"""),151.0)</f>
        <v>151</v>
      </c>
      <c r="GA10" s="46">
        <f t="shared" si="46"/>
        <v>-0.1107184923</v>
      </c>
      <c r="GB10" s="47"/>
      <c r="GC10" s="37">
        <f>IFERROR(__xludf.DUMMYFUNCTION("""COMPUTED_VALUE"""),45289.64583333333)</f>
        <v>45289.64583</v>
      </c>
      <c r="GD10" s="45">
        <f>IFERROR(__xludf.DUMMYFUNCTION("""COMPUTED_VALUE"""),441.8)</f>
        <v>441.8</v>
      </c>
      <c r="GE10" s="46">
        <f t="shared" si="47"/>
        <v>-0.04351591254</v>
      </c>
      <c r="GF10" s="47"/>
      <c r="GG10" s="37">
        <f>IFERROR(__xludf.DUMMYFUNCTION("""COMPUTED_VALUE"""),45289.64583333333)</f>
        <v>45289.64583</v>
      </c>
      <c r="GH10" s="45">
        <f>IFERROR(__xludf.DUMMYFUNCTION("""COMPUTED_VALUE"""),5361.5)</f>
        <v>5361.5</v>
      </c>
      <c r="GI10" s="46">
        <f t="shared" si="48"/>
        <v>0.01179467824</v>
      </c>
      <c r="GJ10" s="47"/>
      <c r="GK10" s="37">
        <f>IFERROR(__xludf.DUMMYFUNCTION("""COMPUTED_VALUE"""),45289.64583333333)</f>
        <v>45289.64583</v>
      </c>
      <c r="GL10" s="45">
        <f>IFERROR(__xludf.DUMMYFUNCTION("""COMPUTED_VALUE"""),102.0)</f>
        <v>102</v>
      </c>
      <c r="GM10" s="46">
        <f t="shared" si="49"/>
        <v>-0.1005291005</v>
      </c>
      <c r="GN10" s="47"/>
      <c r="GO10" s="37">
        <f>IFERROR(__xludf.DUMMYFUNCTION("""COMPUTED_VALUE"""),45289.64583333333)</f>
        <v>45289.64583</v>
      </c>
      <c r="GP10" s="45">
        <f>IFERROR(__xludf.DUMMYFUNCTION("""COMPUTED_VALUE"""),1176.65)</f>
        <v>1176.65</v>
      </c>
      <c r="GQ10" s="46">
        <f t="shared" si="50"/>
        <v>0.07011959438</v>
      </c>
      <c r="GR10" s="47"/>
      <c r="GS10" s="37">
        <f>IFERROR(__xludf.DUMMYFUNCTION("""COMPUTED_VALUE"""),45289.64583333333)</f>
        <v>45289.64583</v>
      </c>
      <c r="GT10" s="45">
        <f>IFERROR(__xludf.DUMMYFUNCTION("""COMPUTED_VALUE"""),13.5)</f>
        <v>13.5</v>
      </c>
      <c r="GU10" s="46">
        <f t="shared" si="51"/>
        <v>0.04247104247</v>
      </c>
      <c r="GV10" s="47"/>
      <c r="GW10" s="37">
        <f>IFERROR(__xludf.DUMMYFUNCTION("""COMPUTED_VALUE"""),45292.64583333333)</f>
        <v>45292.64583</v>
      </c>
      <c r="GX10" s="45">
        <f>IFERROR(__xludf.DUMMYFUNCTION("""COMPUTED_VALUE"""),15.95)</f>
        <v>15.95</v>
      </c>
      <c r="GY10" s="46">
        <f t="shared" si="52"/>
        <v>-0.03333333333</v>
      </c>
      <c r="GZ10" s="47"/>
      <c r="HA10" s="37">
        <f>IFERROR(__xludf.DUMMYFUNCTION("""COMPUTED_VALUE"""),45292.64583333333)</f>
        <v>45292.64583</v>
      </c>
      <c r="HB10" s="45">
        <f>IFERROR(__xludf.DUMMYFUNCTION("""COMPUTED_VALUE"""),620.5)</f>
        <v>620.5</v>
      </c>
      <c r="HC10" s="46">
        <f t="shared" si="53"/>
        <v>0.02055921053</v>
      </c>
      <c r="HD10" s="47"/>
      <c r="HE10" s="43">
        <f>IFERROR(__xludf.DUMMYFUNCTION("""COMPUTED_VALUE"""),45292.64583333333)</f>
        <v>45292.64583</v>
      </c>
      <c r="HF10" s="45">
        <f>IFERROR(__xludf.DUMMYFUNCTION("""COMPUTED_VALUE"""),2480.0)</f>
        <v>2480</v>
      </c>
      <c r="HG10" s="46" t="str">
        <f t="shared" si="54"/>
        <v>#DIV/0!</v>
      </c>
      <c r="HH10" s="47"/>
      <c r="HI10" s="37">
        <f>IFERROR(__xludf.DUMMYFUNCTION("""COMPUTED_VALUE"""),45292.64583333333)</f>
        <v>45292.64583</v>
      </c>
      <c r="HJ10" s="45">
        <f>IFERROR(__xludf.DUMMYFUNCTION("""COMPUTED_VALUE"""),5274.95)</f>
        <v>5274.95</v>
      </c>
      <c r="HK10" s="46">
        <f t="shared" si="55"/>
        <v>0.03226974296</v>
      </c>
      <c r="HL10" s="47"/>
      <c r="HM10" s="37">
        <f>IFERROR(__xludf.DUMMYFUNCTION("""COMPUTED_VALUE"""),45292.64583333333)</f>
        <v>45292.64583</v>
      </c>
      <c r="HN10" s="45">
        <f>IFERROR(__xludf.DUMMYFUNCTION("""COMPUTED_VALUE"""),407.85)</f>
        <v>407.85</v>
      </c>
      <c r="HO10" s="46">
        <f t="shared" si="56"/>
        <v>0.003197638667</v>
      </c>
      <c r="HP10" s="47"/>
      <c r="HQ10" s="37">
        <f>IFERROR(__xludf.DUMMYFUNCTION("""COMPUTED_VALUE"""),45292.64583333333)</f>
        <v>45292.64583</v>
      </c>
      <c r="HR10" s="45">
        <f>IFERROR(__xludf.DUMMYFUNCTION("""COMPUTED_VALUE"""),260.25)</f>
        <v>260.25</v>
      </c>
      <c r="HS10" s="46">
        <f t="shared" si="57"/>
        <v>0.02339756193</v>
      </c>
      <c r="HT10" s="47"/>
      <c r="HU10" s="37">
        <f>IFERROR(__xludf.DUMMYFUNCTION("""COMPUTED_VALUE"""),45292.64583333333)</f>
        <v>45292.64583</v>
      </c>
      <c r="HV10" s="45">
        <f>IFERROR(__xludf.DUMMYFUNCTION("""COMPUTED_VALUE"""),61.9)</f>
        <v>61.9</v>
      </c>
      <c r="HW10" s="46">
        <f t="shared" si="58"/>
        <v>-0.008012820513</v>
      </c>
      <c r="HX10" s="47"/>
      <c r="HY10" s="37">
        <f>IFERROR(__xludf.DUMMYFUNCTION("""COMPUTED_VALUE"""),45292.64583333333)</f>
        <v>45292.64583</v>
      </c>
      <c r="HZ10" s="45">
        <f>IFERROR(__xludf.DUMMYFUNCTION("""COMPUTED_VALUE"""),413.45)</f>
        <v>413.45</v>
      </c>
      <c r="IA10" s="46">
        <f t="shared" si="59"/>
        <v>-0.1108602151</v>
      </c>
      <c r="IB10" s="47"/>
      <c r="IC10" s="37">
        <f>IFERROR(__xludf.DUMMYFUNCTION("""COMPUTED_VALUE"""),45292.64583333333)</f>
        <v>45292.64583</v>
      </c>
      <c r="ID10" s="45">
        <f>IFERROR(__xludf.DUMMYFUNCTION("""COMPUTED_VALUE"""),77.85)</f>
        <v>77.85</v>
      </c>
      <c r="IE10" s="46">
        <f t="shared" si="60"/>
        <v>-0.8225641026</v>
      </c>
      <c r="IF10" s="47"/>
      <c r="IG10" s="37">
        <f>IFERROR(__xludf.DUMMYFUNCTION("""COMPUTED_VALUE"""),45292.64583333333)</f>
        <v>45292.64583</v>
      </c>
      <c r="IH10" s="45">
        <f>IFERROR(__xludf.DUMMYFUNCTION("""COMPUTED_VALUE"""),517.35)</f>
        <v>517.35</v>
      </c>
      <c r="II10" s="46">
        <f t="shared" si="61"/>
        <v>-0.02936210131</v>
      </c>
      <c r="IJ10" s="47"/>
      <c r="IK10" s="37">
        <f>IFERROR(__xludf.DUMMYFUNCTION("""COMPUTED_VALUE"""),45292.64583333333)</f>
        <v>45292.64583</v>
      </c>
      <c r="IL10" s="45">
        <f>IFERROR(__xludf.DUMMYFUNCTION("""COMPUTED_VALUE"""),607.0)</f>
        <v>607</v>
      </c>
      <c r="IM10" s="46">
        <f t="shared" si="62"/>
        <v>-0.01771988025</v>
      </c>
      <c r="IN10" s="47"/>
      <c r="IO10" s="37">
        <f>IFERROR(__xludf.DUMMYFUNCTION("""COMPUTED_VALUE"""),45292.64583333333)</f>
        <v>45292.64583</v>
      </c>
      <c r="IP10" s="45">
        <f>IFERROR(__xludf.DUMMYFUNCTION("""COMPUTED_VALUE"""),130.76)</f>
        <v>130.76</v>
      </c>
      <c r="IQ10" s="46">
        <f t="shared" si="63"/>
        <v>0.04033733789</v>
      </c>
      <c r="IR10" s="47"/>
      <c r="IS10" s="37">
        <f>IFERROR(__xludf.DUMMYFUNCTION("""COMPUTED_VALUE"""),45292.64583333333)</f>
        <v>45292.64583</v>
      </c>
      <c r="IT10" s="45">
        <f>IFERROR(__xludf.DUMMYFUNCTION("""COMPUTED_VALUE"""),1064.0)</f>
        <v>1064</v>
      </c>
      <c r="IU10" s="46">
        <f t="shared" si="64"/>
        <v>0.05976095618</v>
      </c>
      <c r="IV10" s="47"/>
      <c r="IW10" s="37">
        <f>IFERROR(__xludf.DUMMYFUNCTION("""COMPUTED_VALUE"""),45292.64583333333)</f>
        <v>45292.64583</v>
      </c>
      <c r="IX10" s="45">
        <f>IFERROR(__xludf.DUMMYFUNCTION("""COMPUTED_VALUE"""),213.85)</f>
        <v>213.85</v>
      </c>
      <c r="IY10" s="46">
        <f t="shared" si="65"/>
        <v>0.03835882496</v>
      </c>
      <c r="IZ10" s="47"/>
      <c r="JA10" s="37">
        <f>IFERROR(__xludf.DUMMYFUNCTION("""COMPUTED_VALUE"""),45292.64583333333)</f>
        <v>45292.64583</v>
      </c>
      <c r="JB10" s="45">
        <f>IFERROR(__xludf.DUMMYFUNCTION("""COMPUTED_VALUE"""),37500.0)</f>
        <v>37500</v>
      </c>
      <c r="JC10" s="46">
        <f t="shared" si="66"/>
        <v>0.0592427403</v>
      </c>
      <c r="JD10" s="47"/>
      <c r="JE10" s="37">
        <f>IFERROR(__xludf.DUMMYFUNCTION("""COMPUTED_VALUE"""),45292.64583333333)</f>
        <v>45292.64583</v>
      </c>
      <c r="JF10" s="45">
        <f>IFERROR(__xludf.DUMMYFUNCTION("""COMPUTED_VALUE"""),656.85)</f>
        <v>656.85</v>
      </c>
      <c r="JG10" s="46">
        <f t="shared" si="67"/>
        <v>0.01837209302</v>
      </c>
      <c r="JH10" s="47"/>
      <c r="JI10" s="37">
        <f>IFERROR(__xludf.DUMMYFUNCTION("""COMPUTED_VALUE"""),45292.64583333333)</f>
        <v>45292.64583</v>
      </c>
      <c r="JJ10" s="45">
        <f>IFERROR(__xludf.DUMMYFUNCTION("""COMPUTED_VALUE"""),332.0)</f>
        <v>332</v>
      </c>
      <c r="JK10" s="46">
        <f t="shared" si="68"/>
        <v>-0.005839197485</v>
      </c>
      <c r="JL10" s="47"/>
      <c r="JM10" s="37">
        <f>IFERROR(__xludf.DUMMYFUNCTION("""COMPUTED_VALUE"""),45292.64583333333)</f>
        <v>45292.64583</v>
      </c>
      <c r="JN10" s="45">
        <f>IFERROR(__xludf.DUMMYFUNCTION("""COMPUTED_VALUE"""),15.95)</f>
        <v>15.95</v>
      </c>
      <c r="JO10" s="46">
        <f t="shared" si="69"/>
        <v>-0.9636467236</v>
      </c>
      <c r="JP10" s="47"/>
      <c r="JQ10" s="37">
        <f>IFERROR(__xludf.DUMMYFUNCTION("""COMPUTED_VALUE"""),45292.64583333333)</f>
        <v>45292.64583</v>
      </c>
      <c r="JR10" s="45">
        <f>IFERROR(__xludf.DUMMYFUNCTION("""COMPUTED_VALUE"""),119.0)</f>
        <v>119</v>
      </c>
      <c r="JS10" s="46">
        <f t="shared" si="70"/>
        <v>-0.125</v>
      </c>
      <c r="JT10" s="47"/>
      <c r="JU10" s="37">
        <f>IFERROR(__xludf.DUMMYFUNCTION("""COMPUTED_VALUE"""),45292.64583333333)</f>
        <v>45292.64583</v>
      </c>
      <c r="JV10" s="45">
        <f>IFERROR(__xludf.DUMMYFUNCTION("""COMPUTED_VALUE"""),243.0)</f>
        <v>243</v>
      </c>
      <c r="JW10" s="46">
        <f t="shared" si="71"/>
        <v>-0.4461538462</v>
      </c>
      <c r="JX10" s="47"/>
      <c r="JY10" s="37">
        <f>IFERROR(__xludf.DUMMYFUNCTION("""COMPUTED_VALUE"""),45292.64583333333)</f>
        <v>45292.64583</v>
      </c>
      <c r="JZ10" s="45">
        <f>IFERROR(__xludf.DUMMYFUNCTION("""COMPUTED_VALUE"""),605.0)</f>
        <v>605</v>
      </c>
      <c r="KA10" s="46">
        <f t="shared" si="72"/>
        <v>0.09800362976</v>
      </c>
      <c r="KB10" s="47"/>
      <c r="KC10" s="37">
        <f>IFERROR(__xludf.DUMMYFUNCTION("""COMPUTED_VALUE"""),45292.64583333333)</f>
        <v>45292.64583</v>
      </c>
      <c r="KD10" s="45">
        <f>IFERROR(__xludf.DUMMYFUNCTION("""COMPUTED_VALUE"""),873.5)</f>
        <v>873.5</v>
      </c>
      <c r="KE10" s="46">
        <f t="shared" si="73"/>
        <v>-0.0000572377082</v>
      </c>
      <c r="KF10" s="47"/>
      <c r="KG10" s="37">
        <f>IFERROR(__xludf.DUMMYFUNCTION("""COMPUTED_VALUE"""),45292.64583333333)</f>
        <v>45292.64583</v>
      </c>
      <c r="KH10" s="45">
        <f>IFERROR(__xludf.DUMMYFUNCTION("""COMPUTED_VALUE"""),392.25)</f>
        <v>392.25</v>
      </c>
      <c r="KI10" s="46">
        <f t="shared" si="74"/>
        <v>0.005769230769</v>
      </c>
      <c r="KJ10" s="47"/>
      <c r="KK10" s="37">
        <f>IFERROR(__xludf.DUMMYFUNCTION("""COMPUTED_VALUE"""),45292.64583333333)</f>
        <v>45292.64583</v>
      </c>
      <c r="KL10" s="45">
        <f>IFERROR(__xludf.DUMMYFUNCTION("""COMPUTED_VALUE"""),9.35)</f>
        <v>9.35</v>
      </c>
      <c r="KM10" s="46">
        <f t="shared" si="75"/>
        <v>0.005376344086</v>
      </c>
      <c r="KN10" s="47"/>
      <c r="KO10" s="37">
        <f>IFERROR(__xludf.DUMMYFUNCTION("""COMPUTED_VALUE"""),45292.64583333333)</f>
        <v>45292.64583</v>
      </c>
      <c r="KP10" s="45">
        <f>IFERROR(__xludf.DUMMYFUNCTION("""COMPUTED_VALUE"""),224.15)</f>
        <v>224.15</v>
      </c>
      <c r="KQ10" s="46">
        <f t="shared" si="76"/>
        <v>0.1025577964</v>
      </c>
      <c r="KR10" s="47"/>
      <c r="KS10" s="37">
        <f>IFERROR(__xludf.DUMMYFUNCTION("""COMPUTED_VALUE"""),45292.64583333333)</f>
        <v>45292.64583</v>
      </c>
      <c r="KT10" s="45">
        <f>IFERROR(__xludf.DUMMYFUNCTION("""COMPUTED_VALUE"""),11.45)</f>
        <v>11.45</v>
      </c>
      <c r="KU10" s="46">
        <f t="shared" si="77"/>
        <v>0.03619909502</v>
      </c>
      <c r="KV10" s="47"/>
      <c r="KW10" s="37">
        <f>IFERROR(__xludf.DUMMYFUNCTION("""COMPUTED_VALUE"""),45292.64583333333)</f>
        <v>45292.64583</v>
      </c>
      <c r="KX10" s="45">
        <f>IFERROR(__xludf.DUMMYFUNCTION("""COMPUTED_VALUE"""),2735.0)</f>
        <v>2735</v>
      </c>
      <c r="KY10" s="46">
        <f t="shared" si="78"/>
        <v>0.02436375213</v>
      </c>
      <c r="KZ10" s="47"/>
      <c r="LA10" s="37">
        <f>IFERROR(__xludf.DUMMYFUNCTION("""COMPUTED_VALUE"""),45292.64583333333)</f>
        <v>45292.64583</v>
      </c>
      <c r="LB10" s="45">
        <f>IFERROR(__xludf.DUMMYFUNCTION("""COMPUTED_VALUE"""),19.2)</f>
        <v>19.2</v>
      </c>
      <c r="LC10" s="46">
        <f t="shared" si="79"/>
        <v>0.01856763926</v>
      </c>
      <c r="LD10" s="47"/>
      <c r="LE10" s="37">
        <f>IFERROR(__xludf.DUMMYFUNCTION("""COMPUTED_VALUE"""),45292.64583333333)</f>
        <v>45292.64583</v>
      </c>
      <c r="LF10" s="45">
        <f>IFERROR(__xludf.DUMMYFUNCTION("""COMPUTED_VALUE"""),116.7)</f>
        <v>116.7</v>
      </c>
      <c r="LG10" s="46">
        <f t="shared" si="80"/>
        <v>-0.0664</v>
      </c>
      <c r="LH10" s="47"/>
      <c r="LI10" s="37">
        <f>IFERROR(__xludf.DUMMYFUNCTION("""COMPUTED_VALUE"""),45292.64583333333)</f>
        <v>45292.64583</v>
      </c>
      <c r="LJ10" s="45">
        <f>IFERROR(__xludf.DUMMYFUNCTION("""COMPUTED_VALUE"""),773.4)</f>
        <v>773.4</v>
      </c>
      <c r="LK10" s="46">
        <f t="shared" si="81"/>
        <v>0.06236263736</v>
      </c>
      <c r="LL10" s="47"/>
      <c r="LM10" s="37">
        <f>IFERROR(__xludf.DUMMYFUNCTION("""COMPUTED_VALUE"""),45292.64583333333)</f>
        <v>45292.64583</v>
      </c>
      <c r="LN10" s="45">
        <f>IFERROR(__xludf.DUMMYFUNCTION("""COMPUTED_VALUE"""),856.4)</f>
        <v>856.4</v>
      </c>
      <c r="LO10" s="46">
        <f t="shared" si="82"/>
        <v>0.001637426901</v>
      </c>
      <c r="LP10" s="47"/>
      <c r="LQ10" s="37">
        <f>IFERROR(__xludf.DUMMYFUNCTION("""COMPUTED_VALUE"""),45292.64583333333)</f>
        <v>45292.64583</v>
      </c>
      <c r="LR10" s="45">
        <f>IFERROR(__xludf.DUMMYFUNCTION("""COMPUTED_VALUE"""),374.95)</f>
        <v>374.95</v>
      </c>
      <c r="LS10" s="46">
        <f t="shared" si="83"/>
        <v>0.02613574165</v>
      </c>
      <c r="LT10" s="47"/>
      <c r="LU10" s="37">
        <f>IFERROR(__xludf.DUMMYFUNCTION("""COMPUTED_VALUE"""),45292.64583333333)</f>
        <v>45292.64583</v>
      </c>
      <c r="LV10" s="45">
        <f>IFERROR(__xludf.DUMMYFUNCTION("""COMPUTED_VALUE"""),136.0)</f>
        <v>136</v>
      </c>
      <c r="LW10" s="46">
        <f t="shared" si="84"/>
        <v>-0.005847953216</v>
      </c>
      <c r="LX10" s="47"/>
      <c r="LY10" s="37">
        <f>IFERROR(__xludf.DUMMYFUNCTION("""COMPUTED_VALUE"""),45292.64583333333)</f>
        <v>45292.64583</v>
      </c>
      <c r="LZ10" s="45">
        <f>IFERROR(__xludf.DUMMYFUNCTION("""COMPUTED_VALUE"""),600.7)</f>
        <v>600.7</v>
      </c>
      <c r="MA10" s="46">
        <f t="shared" si="85"/>
        <v>-0.03112903226</v>
      </c>
      <c r="MB10" s="47"/>
      <c r="MC10" s="37"/>
      <c r="MD10" s="45"/>
      <c r="ME10" s="46" t="str">
        <f t="shared" si="86"/>
        <v>#DIV/0!</v>
      </c>
      <c r="MF10" s="47"/>
      <c r="MG10" s="37">
        <f>IFERROR(__xludf.DUMMYFUNCTION("""COMPUTED_VALUE"""),45292.64583333333)</f>
        <v>45292.64583</v>
      </c>
      <c r="MH10" s="45">
        <f>IFERROR(__xludf.DUMMYFUNCTION("""COMPUTED_VALUE"""),1956.55)</f>
        <v>1956.55</v>
      </c>
      <c r="MI10" s="46">
        <f t="shared" si="87"/>
        <v>-0.002243810398</v>
      </c>
      <c r="MJ10" s="47"/>
      <c r="MK10" s="37">
        <f>IFERROR(__xludf.DUMMYFUNCTION("""COMPUTED_VALUE"""),45292.64583333333)</f>
        <v>45292.64583</v>
      </c>
      <c r="ML10" s="45">
        <f>IFERROR(__xludf.DUMMYFUNCTION("""COMPUTED_VALUE"""),433.7)</f>
        <v>433.7</v>
      </c>
      <c r="MM10" s="46">
        <f t="shared" si="88"/>
        <v>0.08438554819</v>
      </c>
      <c r="MN10" s="47"/>
      <c r="MO10" s="37">
        <f>IFERROR(__xludf.DUMMYFUNCTION("""COMPUTED_VALUE"""),45292.64583333333)</f>
        <v>45292.64583</v>
      </c>
      <c r="MP10" s="45">
        <f>IFERROR(__xludf.DUMMYFUNCTION("""COMPUTED_VALUE"""),731.6)</f>
        <v>731.6</v>
      </c>
      <c r="MQ10" s="46">
        <f t="shared" si="89"/>
        <v>-0.01135135135</v>
      </c>
      <c r="MR10" s="47"/>
      <c r="MS10" s="37">
        <f>IFERROR(__xludf.DUMMYFUNCTION("""COMPUTED_VALUE"""),45292.64583333333)</f>
        <v>45292.64583</v>
      </c>
      <c r="MT10" s="45">
        <f>IFERROR(__xludf.DUMMYFUNCTION("""COMPUTED_VALUE"""),66.5)</f>
        <v>66.5</v>
      </c>
      <c r="MU10" s="46">
        <f t="shared" si="90"/>
        <v>0.005291005291</v>
      </c>
      <c r="MV10" s="47"/>
      <c r="MW10" s="37">
        <f>IFERROR(__xludf.DUMMYFUNCTION("""COMPUTED_VALUE"""),45292.64583333333)</f>
        <v>45292.64583</v>
      </c>
      <c r="MX10" s="45">
        <f>IFERROR(__xludf.DUMMYFUNCTION("""COMPUTED_VALUE"""),3300.5)</f>
        <v>3300.5</v>
      </c>
      <c r="MY10" s="46">
        <f t="shared" si="91"/>
        <v>0.04877661265</v>
      </c>
      <c r="MZ10" s="47"/>
      <c r="NA10" s="37">
        <f>IFERROR(__xludf.DUMMYFUNCTION("""COMPUTED_VALUE"""),45292.64583333333)</f>
        <v>45292.64583</v>
      </c>
      <c r="NB10" s="45">
        <f>IFERROR(__xludf.DUMMYFUNCTION("""COMPUTED_VALUE"""),14.15)</f>
        <v>14.15</v>
      </c>
      <c r="NC10" s="46">
        <f t="shared" si="92"/>
        <v>0.1185770751</v>
      </c>
      <c r="ND10" s="47"/>
      <c r="NE10" s="37">
        <f>IFERROR(__xludf.DUMMYFUNCTION("""COMPUTED_VALUE"""),45293.64583333333)</f>
        <v>45293.64583</v>
      </c>
      <c r="NF10" s="45">
        <f>IFERROR(__xludf.DUMMYFUNCTION("""COMPUTED_VALUE"""),386.15)</f>
        <v>386.15</v>
      </c>
      <c r="NG10" s="46">
        <f t="shared" si="93"/>
        <v>0.008356182269</v>
      </c>
      <c r="NH10" s="47"/>
      <c r="NI10" s="37">
        <f>IFERROR(__xludf.DUMMYFUNCTION("""COMPUTED_VALUE"""),45293.64583333333)</f>
        <v>45293.64583</v>
      </c>
      <c r="NJ10" s="45">
        <f>IFERROR(__xludf.DUMMYFUNCTION("""COMPUTED_VALUE"""),274.0)</f>
        <v>274</v>
      </c>
      <c r="NK10" s="46">
        <f t="shared" si="94"/>
        <v>0.02748715641</v>
      </c>
      <c r="NL10" s="47"/>
      <c r="NM10" s="37">
        <f>IFERROR(__xludf.DUMMYFUNCTION("""COMPUTED_VALUE"""),45293.64583333333)</f>
        <v>45293.64583</v>
      </c>
      <c r="NN10" s="45">
        <f>IFERROR(__xludf.DUMMYFUNCTION("""COMPUTED_VALUE"""),124.65)</f>
        <v>124.65</v>
      </c>
      <c r="NO10" s="46">
        <f t="shared" si="95"/>
        <v>0.01094890511</v>
      </c>
      <c r="NP10" s="47"/>
      <c r="NQ10" s="37">
        <f>IFERROR(__xludf.DUMMYFUNCTION("""COMPUTED_VALUE"""),45293.64583333333)</f>
        <v>45293.64583</v>
      </c>
      <c r="NR10" s="45">
        <f>IFERROR(__xludf.DUMMYFUNCTION("""COMPUTED_VALUE"""),4118.95)</f>
        <v>4118.95</v>
      </c>
      <c r="NS10" s="46">
        <f t="shared" si="96"/>
        <v>-0.01366139847</v>
      </c>
      <c r="NT10" s="47"/>
      <c r="NU10" s="37">
        <f>IFERROR(__xludf.DUMMYFUNCTION("""COMPUTED_VALUE"""),45293.64583333333)</f>
        <v>45293.64583</v>
      </c>
      <c r="NV10" s="45">
        <f>IFERROR(__xludf.DUMMYFUNCTION("""COMPUTED_VALUE"""),13.85)</f>
        <v>13.85</v>
      </c>
      <c r="NW10" s="46">
        <f t="shared" si="97"/>
        <v>0.0905511811</v>
      </c>
      <c r="NX10" s="47"/>
      <c r="NY10" s="37">
        <f>IFERROR(__xludf.DUMMYFUNCTION("""COMPUTED_VALUE"""),45293.64583333333)</f>
        <v>45293.64583</v>
      </c>
      <c r="NZ10" s="45">
        <f>IFERROR(__xludf.DUMMYFUNCTION("""COMPUTED_VALUE"""),293.2)</f>
        <v>293.2</v>
      </c>
      <c r="OA10" s="46">
        <f t="shared" si="98"/>
        <v>0.188006483</v>
      </c>
      <c r="OB10" s="47"/>
      <c r="OC10" s="37">
        <f>IFERROR(__xludf.DUMMYFUNCTION("""COMPUTED_VALUE"""),45293.64583333333)</f>
        <v>45293.64583</v>
      </c>
      <c r="OD10" s="45">
        <f>IFERROR(__xludf.DUMMYFUNCTION("""COMPUTED_VALUE"""),1103.05)</f>
        <v>1103.05</v>
      </c>
      <c r="OE10" s="46">
        <f t="shared" si="99"/>
        <v>0.04658665022</v>
      </c>
      <c r="OF10" s="47"/>
      <c r="OG10" s="37">
        <f>IFERROR(__xludf.DUMMYFUNCTION("""COMPUTED_VALUE"""),45293.64583333333)</f>
        <v>45293.64583</v>
      </c>
      <c r="OH10" s="45">
        <f>IFERROR(__xludf.DUMMYFUNCTION("""COMPUTED_VALUE"""),2499.32)</f>
        <v>2499.32</v>
      </c>
      <c r="OI10" s="46">
        <f t="shared" si="100"/>
        <v>0.02439544225</v>
      </c>
      <c r="OJ10" s="47"/>
      <c r="OK10" s="37"/>
      <c r="OL10" s="45"/>
      <c r="OM10" s="46" t="str">
        <f t="shared" si="101"/>
        <v>#DIV/0!</v>
      </c>
      <c r="ON10" s="47"/>
    </row>
    <row r="11" ht="12.0" customHeight="1">
      <c r="A11" s="37">
        <f>IFERROR(__xludf.DUMMYFUNCTION("""COMPUTED_VALUE"""),45292.64583333333)</f>
        <v>45292.64583</v>
      </c>
      <c r="B11" s="45">
        <f>IFERROR(__xludf.DUMMYFUNCTION("""COMPUTED_VALUE"""),441.35)</f>
        <v>441.35</v>
      </c>
      <c r="C11" s="46">
        <f t="shared" si="1"/>
        <v>0.005925925926</v>
      </c>
      <c r="D11" s="47"/>
      <c r="E11" s="37">
        <f>IFERROR(__xludf.DUMMYFUNCTION("""COMPUTED_VALUE"""),45292.64583333333)</f>
        <v>45292.64583</v>
      </c>
      <c r="F11" s="45">
        <f>IFERROR(__xludf.DUMMYFUNCTION("""COMPUTED_VALUE"""),652.0)</f>
        <v>652</v>
      </c>
      <c r="G11" s="46">
        <f t="shared" si="2"/>
        <v>-0.004580152672</v>
      </c>
      <c r="H11" s="47"/>
      <c r="I11" s="37">
        <f>IFERROR(__xludf.DUMMYFUNCTION("""COMPUTED_VALUE"""),45292.64583333333)</f>
        <v>45292.64583</v>
      </c>
      <c r="J11" s="45">
        <f>IFERROR(__xludf.DUMMYFUNCTION("""COMPUTED_VALUE"""),187.0)</f>
        <v>187</v>
      </c>
      <c r="K11" s="46">
        <f t="shared" si="3"/>
        <v>0.01630434783</v>
      </c>
      <c r="L11" s="47"/>
      <c r="M11" s="37">
        <f>IFERROR(__xludf.DUMMYFUNCTION("""COMPUTED_VALUE"""),45292.64583333333)</f>
        <v>45292.64583</v>
      </c>
      <c r="N11" s="45">
        <f>IFERROR(__xludf.DUMMYFUNCTION("""COMPUTED_VALUE"""),88.7)</f>
        <v>88.7</v>
      </c>
      <c r="O11" s="46">
        <f t="shared" si="4"/>
        <v>0.02662037037</v>
      </c>
      <c r="P11" s="47"/>
      <c r="Q11" s="37">
        <f>IFERROR(__xludf.DUMMYFUNCTION("""COMPUTED_VALUE"""),45292.64583333333)</f>
        <v>45292.64583</v>
      </c>
      <c r="R11" s="45">
        <f>IFERROR(__xludf.DUMMYFUNCTION("""COMPUTED_VALUE"""),50.0)</f>
        <v>50</v>
      </c>
      <c r="S11" s="46">
        <f t="shared" si="5"/>
        <v>-0.04761904762</v>
      </c>
      <c r="T11" s="47"/>
      <c r="U11" s="37">
        <f>IFERROR(__xludf.DUMMYFUNCTION("""COMPUTED_VALUE"""),45292.64583333333)</f>
        <v>45292.64583</v>
      </c>
      <c r="V11" s="45">
        <f>IFERROR(__xludf.DUMMYFUNCTION("""COMPUTED_VALUE"""),838.0)</f>
        <v>838</v>
      </c>
      <c r="W11" s="46">
        <f t="shared" si="6"/>
        <v>0.2650966184</v>
      </c>
      <c r="X11" s="47"/>
      <c r="Y11" s="37">
        <f>IFERROR(__xludf.DUMMYFUNCTION("""COMPUTED_VALUE"""),45292.64583333333)</f>
        <v>45292.64583</v>
      </c>
      <c r="Z11" s="45">
        <f>IFERROR(__xludf.DUMMYFUNCTION("""COMPUTED_VALUE"""),196.4)</f>
        <v>196.4</v>
      </c>
      <c r="AA11" s="46">
        <f t="shared" si="7"/>
        <v>0.06162162162</v>
      </c>
      <c r="AB11" s="47"/>
      <c r="AC11" s="37">
        <f>IFERROR(__xludf.DUMMYFUNCTION("""COMPUTED_VALUE"""),45292.64583333333)</f>
        <v>45292.64583</v>
      </c>
      <c r="AD11" s="45">
        <f>IFERROR(__xludf.DUMMYFUNCTION("""COMPUTED_VALUE"""),2480.0)</f>
        <v>2480</v>
      </c>
      <c r="AE11" s="46">
        <f t="shared" si="8"/>
        <v>0.0444304064</v>
      </c>
      <c r="AF11" s="47"/>
      <c r="AG11" s="37">
        <f>IFERROR(__xludf.DUMMYFUNCTION("""COMPUTED_VALUE"""),45292.64583333333)</f>
        <v>45292.64583</v>
      </c>
      <c r="AH11" s="45">
        <f>IFERROR(__xludf.DUMMYFUNCTION("""COMPUTED_VALUE"""),782.95)</f>
        <v>782.95</v>
      </c>
      <c r="AI11" s="46">
        <f t="shared" si="9"/>
        <v>-0.06791666667</v>
      </c>
      <c r="AJ11" s="47"/>
      <c r="AK11" s="37">
        <f>IFERROR(__xludf.DUMMYFUNCTION("""COMPUTED_VALUE"""),45292.64583333333)</f>
        <v>45292.64583</v>
      </c>
      <c r="AL11" s="45">
        <f>IFERROR(__xludf.DUMMYFUNCTION("""COMPUTED_VALUE"""),5274.95)</f>
        <v>5274.95</v>
      </c>
      <c r="AM11" s="46">
        <f t="shared" si="10"/>
        <v>0.01441346154</v>
      </c>
      <c r="AN11" s="47"/>
      <c r="AO11" s="37">
        <f>IFERROR(__xludf.DUMMYFUNCTION("""COMPUTED_VALUE"""),45292.64583333333)</f>
        <v>45292.64583</v>
      </c>
      <c r="AP11" s="45">
        <f>IFERROR(__xludf.DUMMYFUNCTION("""COMPUTED_VALUE"""),903.0)</f>
        <v>903</v>
      </c>
      <c r="AQ11" s="46">
        <f t="shared" si="11"/>
        <v>-0.007692307692</v>
      </c>
      <c r="AR11" s="47"/>
      <c r="AS11" s="37">
        <f>IFERROR(__xludf.DUMMYFUNCTION("""COMPUTED_VALUE"""),45292.64583333333)</f>
        <v>45292.64583</v>
      </c>
      <c r="AT11" s="45">
        <f>IFERROR(__xludf.DUMMYFUNCTION("""COMPUTED_VALUE"""),2521.15)</f>
        <v>2521.15</v>
      </c>
      <c r="AU11" s="46">
        <f t="shared" si="12"/>
        <v>0.01499657796</v>
      </c>
      <c r="AV11" s="47"/>
      <c r="AW11" s="37">
        <f>IFERROR(__xludf.DUMMYFUNCTION("""COMPUTED_VALUE"""),45292.64583333333)</f>
        <v>45292.64583</v>
      </c>
      <c r="AX11" s="45">
        <f>IFERROR(__xludf.DUMMYFUNCTION("""COMPUTED_VALUE"""),5690.0)</f>
        <v>5690</v>
      </c>
      <c r="AY11" s="46">
        <f t="shared" si="13"/>
        <v>0.008043085427</v>
      </c>
      <c r="AZ11" s="47"/>
      <c r="BA11" s="37">
        <f>IFERROR(__xludf.DUMMYFUNCTION("""COMPUTED_VALUE"""),45292.64583333333)</f>
        <v>45292.64583</v>
      </c>
      <c r="BB11" s="45">
        <f>IFERROR(__xludf.DUMMYFUNCTION("""COMPUTED_VALUE"""),483.5)</f>
        <v>483.5</v>
      </c>
      <c r="BC11" s="46">
        <f t="shared" si="14"/>
        <v>0.03201707577</v>
      </c>
      <c r="BD11" s="47"/>
      <c r="BE11" s="37">
        <f>IFERROR(__xludf.DUMMYFUNCTION("""COMPUTED_VALUE"""),45292.64583333333)</f>
        <v>45292.64583</v>
      </c>
      <c r="BF11" s="45">
        <f>IFERROR(__xludf.DUMMYFUNCTION("""COMPUTED_VALUE"""),335.0)</f>
        <v>335</v>
      </c>
      <c r="BG11" s="46">
        <f t="shared" si="15"/>
        <v>-0.1769041769</v>
      </c>
      <c r="BH11" s="47"/>
      <c r="BI11" s="37">
        <f>IFERROR(__xludf.DUMMYFUNCTION("""COMPUTED_VALUE"""),45292.64583333333)</f>
        <v>45292.64583</v>
      </c>
      <c r="BJ11" s="45">
        <f>IFERROR(__xludf.DUMMYFUNCTION("""COMPUTED_VALUE"""),67.0)</f>
        <v>67</v>
      </c>
      <c r="BK11" s="46">
        <f t="shared" si="16"/>
        <v>-0.03527717783</v>
      </c>
      <c r="BL11" s="47"/>
      <c r="BM11" s="37">
        <f>IFERROR(__xludf.DUMMYFUNCTION("""COMPUTED_VALUE"""),45292.64583333333)</f>
        <v>45292.64583</v>
      </c>
      <c r="BN11" s="45">
        <f>IFERROR(__xludf.DUMMYFUNCTION("""COMPUTED_VALUE"""),260.25)</f>
        <v>260.25</v>
      </c>
      <c r="BO11" s="46">
        <f t="shared" si="17"/>
        <v>0.0166015625</v>
      </c>
      <c r="BP11" s="47"/>
      <c r="BQ11" s="37">
        <f>IFERROR(__xludf.DUMMYFUNCTION("""COMPUTED_VALUE"""),45292.64583333333)</f>
        <v>45292.64583</v>
      </c>
      <c r="BR11" s="45">
        <f>IFERROR(__xludf.DUMMYFUNCTION("""COMPUTED_VALUE"""),61.9)</f>
        <v>61.9</v>
      </c>
      <c r="BS11" s="46">
        <f t="shared" si="18"/>
        <v>0.01642036125</v>
      </c>
      <c r="BT11" s="47"/>
      <c r="BU11" s="37">
        <f>IFERROR(__xludf.DUMMYFUNCTION("""COMPUTED_VALUE"""),45292.64583333333)</f>
        <v>45292.64583</v>
      </c>
      <c r="BV11" s="45">
        <f>IFERROR(__xludf.DUMMYFUNCTION("""COMPUTED_VALUE"""),312.5)</f>
        <v>312.5</v>
      </c>
      <c r="BW11" s="46">
        <f t="shared" si="19"/>
        <v>0.01001939237</v>
      </c>
      <c r="BX11" s="47"/>
      <c r="BY11" s="37">
        <f>IFERROR(__xludf.DUMMYFUNCTION("""COMPUTED_VALUE"""),45292.64583333333)</f>
        <v>45292.64583</v>
      </c>
      <c r="BZ11" s="45">
        <f>IFERROR(__xludf.DUMMYFUNCTION("""COMPUTED_VALUE"""),413.45)</f>
        <v>413.45</v>
      </c>
      <c r="CA11" s="46">
        <f t="shared" si="20"/>
        <v>0.009645909646</v>
      </c>
      <c r="CB11" s="47"/>
      <c r="CC11" s="37">
        <f>IFERROR(__xludf.DUMMYFUNCTION("""COMPUTED_VALUE"""),45292.64583333333)</f>
        <v>45292.64583</v>
      </c>
      <c r="CD11" s="45">
        <f>IFERROR(__xludf.DUMMYFUNCTION("""COMPUTED_VALUE"""),228.4)</f>
        <v>228.4</v>
      </c>
      <c r="CE11" s="46">
        <f t="shared" si="21"/>
        <v>-0.01424255503</v>
      </c>
      <c r="CF11" s="47"/>
      <c r="CG11" s="37">
        <f>IFERROR(__xludf.DUMMYFUNCTION("""COMPUTED_VALUE"""),45292.64583333333)</f>
        <v>45292.64583</v>
      </c>
      <c r="CH11" s="45">
        <f>IFERROR(__xludf.DUMMYFUNCTION("""COMPUTED_VALUE"""),656.85)</f>
        <v>656.85</v>
      </c>
      <c r="CI11" s="46">
        <f t="shared" si="22"/>
        <v>0.03278301887</v>
      </c>
      <c r="CJ11" s="47"/>
      <c r="CK11" s="37">
        <f>IFERROR(__xludf.DUMMYFUNCTION("""COMPUTED_VALUE"""),45292.64583333333)</f>
        <v>45292.64583</v>
      </c>
      <c r="CL11" s="45">
        <f>IFERROR(__xludf.DUMMYFUNCTION("""COMPUTED_VALUE"""),332.0)</f>
        <v>332</v>
      </c>
      <c r="CM11" s="46">
        <f t="shared" si="23"/>
        <v>-0.01483679525</v>
      </c>
      <c r="CN11" s="47"/>
      <c r="CO11" s="37">
        <f>IFERROR(__xludf.DUMMYFUNCTION("""COMPUTED_VALUE"""),45292.64583333333)</f>
        <v>45292.64583</v>
      </c>
      <c r="CP11" s="45">
        <f>IFERROR(__xludf.DUMMYFUNCTION("""COMPUTED_VALUE"""),15.95)</f>
        <v>15.95</v>
      </c>
      <c r="CQ11" s="46">
        <f t="shared" si="24"/>
        <v>0.0777027027</v>
      </c>
      <c r="CR11" s="47"/>
      <c r="CS11" s="37">
        <f>IFERROR(__xludf.DUMMYFUNCTION("""COMPUTED_VALUE"""),45292.64583333333)</f>
        <v>45292.64583</v>
      </c>
      <c r="CT11" s="45">
        <f>IFERROR(__xludf.DUMMYFUNCTION("""COMPUTED_VALUE"""),194.4)</f>
        <v>194.4</v>
      </c>
      <c r="CU11" s="46">
        <f t="shared" si="25"/>
        <v>-0.01818181818</v>
      </c>
      <c r="CV11" s="47"/>
      <c r="CW11" s="37">
        <f>IFERROR(__xludf.DUMMYFUNCTION("""COMPUTED_VALUE"""),45292.64583333333)</f>
        <v>45292.64583</v>
      </c>
      <c r="CX11" s="45">
        <f>IFERROR(__xludf.DUMMYFUNCTION("""COMPUTED_VALUE"""),691.25)</f>
        <v>691.25</v>
      </c>
      <c r="CY11" s="46">
        <f t="shared" si="26"/>
        <v>-0.0007661395241</v>
      </c>
      <c r="CZ11" s="47"/>
      <c r="DA11" s="37">
        <f>IFERROR(__xludf.DUMMYFUNCTION("""COMPUTED_VALUE"""),45292.64583333333)</f>
        <v>45292.64583</v>
      </c>
      <c r="DB11" s="45">
        <f>IFERROR(__xludf.DUMMYFUNCTION("""COMPUTED_VALUE"""),25.45)</f>
        <v>25.45</v>
      </c>
      <c r="DC11" s="46">
        <f t="shared" si="27"/>
        <v>-0.08781362007</v>
      </c>
      <c r="DD11" s="47"/>
      <c r="DE11" s="37">
        <f>IFERROR(__xludf.DUMMYFUNCTION("""COMPUTED_VALUE"""),45292.64583333333)</f>
        <v>45292.64583</v>
      </c>
      <c r="DF11" s="45">
        <f>IFERROR(__xludf.DUMMYFUNCTION("""COMPUTED_VALUE"""),119.0)</f>
        <v>119</v>
      </c>
      <c r="DG11" s="46">
        <f t="shared" si="28"/>
        <v>0.05030891439</v>
      </c>
      <c r="DH11" s="47"/>
      <c r="DI11" s="37">
        <f>IFERROR(__xludf.DUMMYFUNCTION("""COMPUTED_VALUE"""),45292.64583333333)</f>
        <v>45292.64583</v>
      </c>
      <c r="DJ11" s="45">
        <f>IFERROR(__xludf.DUMMYFUNCTION("""COMPUTED_VALUE"""),1564.4)</f>
        <v>1564.4</v>
      </c>
      <c r="DK11" s="46">
        <f t="shared" si="29"/>
        <v>-0.02517447657</v>
      </c>
      <c r="DL11" s="47"/>
      <c r="DM11" s="37">
        <f>IFERROR(__xludf.DUMMYFUNCTION("""COMPUTED_VALUE"""),45292.64583333333)</f>
        <v>45292.64583</v>
      </c>
      <c r="DN11" s="45">
        <f>IFERROR(__xludf.DUMMYFUNCTION("""COMPUTED_VALUE"""),584.0)</f>
        <v>584</v>
      </c>
      <c r="DO11" s="46">
        <f t="shared" si="30"/>
        <v>0.0892474121</v>
      </c>
      <c r="DP11" s="47"/>
      <c r="DQ11" s="37">
        <f>IFERROR(__xludf.DUMMYFUNCTION("""COMPUTED_VALUE"""),45292.64583333333)</f>
        <v>45292.64583</v>
      </c>
      <c r="DR11" s="45">
        <f>IFERROR(__xludf.DUMMYFUNCTION("""COMPUTED_VALUE"""),224.8)</f>
        <v>224.8</v>
      </c>
      <c r="DS11" s="46">
        <f t="shared" si="31"/>
        <v>0.03119266055</v>
      </c>
      <c r="DT11" s="47"/>
      <c r="DU11" s="37">
        <f>IFERROR(__xludf.DUMMYFUNCTION("""COMPUTED_VALUE"""),45292.64583333333)</f>
        <v>45292.64583</v>
      </c>
      <c r="DV11" s="45">
        <f>IFERROR(__xludf.DUMMYFUNCTION("""COMPUTED_VALUE"""),873.5)</f>
        <v>873.5</v>
      </c>
      <c r="DW11" s="46">
        <f t="shared" si="32"/>
        <v>0.02704291593</v>
      </c>
      <c r="DX11" s="47"/>
      <c r="DY11" s="37">
        <f>IFERROR(__xludf.DUMMYFUNCTION("""COMPUTED_VALUE"""),45292.64583333333)</f>
        <v>45292.64583</v>
      </c>
      <c r="DZ11" s="45">
        <f>IFERROR(__xludf.DUMMYFUNCTION("""COMPUTED_VALUE"""),11.45)</f>
        <v>11.45</v>
      </c>
      <c r="EA11" s="46">
        <f t="shared" si="33"/>
        <v>0.05529953917</v>
      </c>
      <c r="EB11" s="47"/>
      <c r="EC11" s="37">
        <f>IFERROR(__xludf.DUMMYFUNCTION("""COMPUTED_VALUE"""),45292.64583333333)</f>
        <v>45292.64583</v>
      </c>
      <c r="ED11" s="45">
        <f>IFERROR(__xludf.DUMMYFUNCTION("""COMPUTED_VALUE"""),2735.0)</f>
        <v>2735</v>
      </c>
      <c r="EE11" s="46">
        <f t="shared" si="34"/>
        <v>0.03402646503</v>
      </c>
      <c r="EF11" s="47"/>
      <c r="EG11" s="37">
        <f>IFERROR(__xludf.DUMMYFUNCTION("""COMPUTED_VALUE"""),45292.64583333333)</f>
        <v>45292.64583</v>
      </c>
      <c r="EH11" s="45">
        <f>IFERROR(__xludf.DUMMYFUNCTION("""COMPUTED_VALUE"""),681.25)</f>
        <v>681.25</v>
      </c>
      <c r="EI11" s="46">
        <f t="shared" si="35"/>
        <v>0.05033919211</v>
      </c>
      <c r="EJ11" s="47"/>
      <c r="EK11" s="37">
        <f>IFERROR(__xludf.DUMMYFUNCTION("""COMPUTED_VALUE"""),45292.64583333333)</f>
        <v>45292.64583</v>
      </c>
      <c r="EL11" s="45">
        <f>IFERROR(__xludf.DUMMYFUNCTION("""COMPUTED_VALUE"""),197.65)</f>
        <v>197.65</v>
      </c>
      <c r="EM11" s="46">
        <f t="shared" si="36"/>
        <v>-0.02153465347</v>
      </c>
      <c r="EN11" s="47"/>
      <c r="EO11" s="37">
        <f>IFERROR(__xludf.DUMMYFUNCTION("""COMPUTED_VALUE"""),45292.64583333333)</f>
        <v>45292.64583</v>
      </c>
      <c r="EP11" s="45">
        <f>IFERROR(__xludf.DUMMYFUNCTION("""COMPUTED_VALUE"""),169.35)</f>
        <v>169.35</v>
      </c>
      <c r="EQ11" s="46">
        <f t="shared" si="37"/>
        <v>0.09293320426</v>
      </c>
      <c r="ER11" s="47"/>
      <c r="ES11" s="37">
        <f>IFERROR(__xludf.DUMMYFUNCTION("""COMPUTED_VALUE"""),45292.64583333333)</f>
        <v>45292.64583</v>
      </c>
      <c r="ET11" s="45">
        <f>IFERROR(__xludf.DUMMYFUNCTION("""COMPUTED_VALUE"""),200.9)</f>
        <v>200.9</v>
      </c>
      <c r="EU11" s="46">
        <f t="shared" si="38"/>
        <v>0.03370208387</v>
      </c>
      <c r="EV11" s="47"/>
      <c r="EW11" s="37">
        <f>IFERROR(__xludf.DUMMYFUNCTION("""COMPUTED_VALUE"""),45292.64583333333)</f>
        <v>45292.64583</v>
      </c>
      <c r="EX11" s="45">
        <f>IFERROR(__xludf.DUMMYFUNCTION("""COMPUTED_VALUE"""),663.8)</f>
        <v>663.8</v>
      </c>
      <c r="EY11" s="46">
        <f t="shared" si="39"/>
        <v>0.02438271605</v>
      </c>
      <c r="EZ11" s="47"/>
      <c r="FA11" s="37">
        <f>IFERROR(__xludf.DUMMYFUNCTION("""COMPUTED_VALUE"""),45292.64583333333)</f>
        <v>45292.64583</v>
      </c>
      <c r="FB11" s="45">
        <f>IFERROR(__xludf.DUMMYFUNCTION("""COMPUTED_VALUE"""),186.9)</f>
        <v>186.9</v>
      </c>
      <c r="FC11" s="46">
        <f t="shared" si="40"/>
        <v>0.07167431193</v>
      </c>
      <c r="FD11" s="47"/>
      <c r="FE11" s="37">
        <f>IFERROR(__xludf.DUMMYFUNCTION("""COMPUTED_VALUE"""),45292.64583333333)</f>
        <v>45292.64583</v>
      </c>
      <c r="FF11" s="45">
        <f>IFERROR(__xludf.DUMMYFUNCTION("""COMPUTED_VALUE"""),315.4)</f>
        <v>315.4</v>
      </c>
      <c r="FG11" s="46">
        <f t="shared" si="41"/>
        <v>0.03477690289</v>
      </c>
      <c r="FH11" s="47"/>
      <c r="FI11" s="37">
        <f>IFERROR(__xludf.DUMMYFUNCTION("""COMPUTED_VALUE"""),45292.64583333333)</f>
        <v>45292.64583</v>
      </c>
      <c r="FJ11" s="45">
        <f>IFERROR(__xludf.DUMMYFUNCTION("""COMPUTED_VALUE"""),600.7)</f>
        <v>600.7</v>
      </c>
      <c r="FK11" s="46">
        <f t="shared" si="42"/>
        <v>-0.008827654484</v>
      </c>
      <c r="FL11" s="47"/>
      <c r="FM11" s="37">
        <f>IFERROR(__xludf.DUMMYFUNCTION("""COMPUTED_VALUE"""),45292.64583333333)</f>
        <v>45292.64583</v>
      </c>
      <c r="FN11" s="45">
        <f>IFERROR(__xludf.DUMMYFUNCTION("""COMPUTED_VALUE"""),93.5)</f>
        <v>93.5</v>
      </c>
      <c r="FO11" s="46">
        <f t="shared" si="43"/>
        <v>-0.01578947368</v>
      </c>
      <c r="FP11" s="47"/>
      <c r="FQ11" s="37">
        <f>IFERROR(__xludf.DUMMYFUNCTION("""COMPUTED_VALUE"""),45292.64583333333)</f>
        <v>45292.64583</v>
      </c>
      <c r="FR11" s="45">
        <f>IFERROR(__xludf.DUMMYFUNCTION("""COMPUTED_VALUE"""),4.25)</f>
        <v>4.25</v>
      </c>
      <c r="FS11" s="46">
        <f t="shared" si="44"/>
        <v>-0.2272727273</v>
      </c>
      <c r="FT11" s="47"/>
      <c r="FU11" s="37">
        <f>IFERROR(__xludf.DUMMYFUNCTION("""COMPUTED_VALUE"""),45292.64583333333)</f>
        <v>45292.64583</v>
      </c>
      <c r="FV11" s="45">
        <f>IFERROR(__xludf.DUMMYFUNCTION("""COMPUTED_VALUE"""),666.95)</f>
        <v>666.95</v>
      </c>
      <c r="FW11" s="46">
        <f t="shared" si="45"/>
        <v>-0.000898809078</v>
      </c>
      <c r="FX11" s="47"/>
      <c r="FY11" s="37">
        <f>IFERROR(__xludf.DUMMYFUNCTION("""COMPUTED_VALUE"""),45292.64583333333)</f>
        <v>45292.64583</v>
      </c>
      <c r="FZ11" s="45">
        <f>IFERROR(__xludf.DUMMYFUNCTION("""COMPUTED_VALUE"""),153.4)</f>
        <v>153.4</v>
      </c>
      <c r="GA11" s="46">
        <f t="shared" si="46"/>
        <v>-0.09658421673</v>
      </c>
      <c r="GB11" s="47"/>
      <c r="GC11" s="37">
        <f>IFERROR(__xludf.DUMMYFUNCTION("""COMPUTED_VALUE"""),45292.64583333333)</f>
        <v>45292.64583</v>
      </c>
      <c r="GD11" s="45">
        <f>IFERROR(__xludf.DUMMYFUNCTION("""COMPUTED_VALUE"""),440.0)</f>
        <v>440</v>
      </c>
      <c r="GE11" s="46">
        <f t="shared" si="47"/>
        <v>-0.04741285993</v>
      </c>
      <c r="GF11" s="47"/>
      <c r="GG11" s="37">
        <f>IFERROR(__xludf.DUMMYFUNCTION("""COMPUTED_VALUE"""),45292.64583333333)</f>
        <v>45292.64583</v>
      </c>
      <c r="GH11" s="45">
        <f>IFERROR(__xludf.DUMMYFUNCTION("""COMPUTED_VALUE"""),5629.55)</f>
        <v>5629.55</v>
      </c>
      <c r="GI11" s="46">
        <f t="shared" si="48"/>
        <v>0.06237969428</v>
      </c>
      <c r="GJ11" s="47"/>
      <c r="GK11" s="37">
        <f>IFERROR(__xludf.DUMMYFUNCTION("""COMPUTED_VALUE"""),45292.64583333333)</f>
        <v>45292.64583</v>
      </c>
      <c r="GL11" s="45">
        <f>IFERROR(__xludf.DUMMYFUNCTION("""COMPUTED_VALUE"""),104.8)</f>
        <v>104.8</v>
      </c>
      <c r="GM11" s="46">
        <f t="shared" si="49"/>
        <v>-0.0758377425</v>
      </c>
      <c r="GN11" s="47"/>
      <c r="GO11" s="37">
        <f>IFERROR(__xludf.DUMMYFUNCTION("""COMPUTED_VALUE"""),45292.64583333333)</f>
        <v>45292.64583</v>
      </c>
      <c r="GP11" s="45">
        <f>IFERROR(__xludf.DUMMYFUNCTION("""COMPUTED_VALUE"""),1195.95)</f>
        <v>1195.95</v>
      </c>
      <c r="GQ11" s="46">
        <f t="shared" si="50"/>
        <v>0.08767222955</v>
      </c>
      <c r="GR11" s="47"/>
      <c r="GS11" s="37">
        <f>IFERROR(__xludf.DUMMYFUNCTION("""COMPUTED_VALUE"""),45292.64583333333)</f>
        <v>45292.64583</v>
      </c>
      <c r="GT11" s="45">
        <f>IFERROR(__xludf.DUMMYFUNCTION("""COMPUTED_VALUE"""),14.15)</f>
        <v>14.15</v>
      </c>
      <c r="GU11" s="46">
        <f t="shared" si="51"/>
        <v>0.09266409266</v>
      </c>
      <c r="GV11" s="47"/>
      <c r="GW11" s="37">
        <f>IFERROR(__xludf.DUMMYFUNCTION("""COMPUTED_VALUE"""),45293.64583333333)</f>
        <v>45293.64583</v>
      </c>
      <c r="GX11" s="45">
        <f>IFERROR(__xludf.DUMMYFUNCTION("""COMPUTED_VALUE"""),15.35)</f>
        <v>15.35</v>
      </c>
      <c r="GY11" s="46">
        <f t="shared" si="52"/>
        <v>-0.0696969697</v>
      </c>
      <c r="GZ11" s="47"/>
      <c r="HA11" s="37">
        <f>IFERROR(__xludf.DUMMYFUNCTION("""COMPUTED_VALUE"""),45293.64583333333)</f>
        <v>45293.64583</v>
      </c>
      <c r="HB11" s="45">
        <f>IFERROR(__xludf.DUMMYFUNCTION("""COMPUTED_VALUE"""),620.0)</f>
        <v>620</v>
      </c>
      <c r="HC11" s="46">
        <f t="shared" si="53"/>
        <v>0.01973684211</v>
      </c>
      <c r="HD11" s="47"/>
      <c r="HE11" s="43">
        <f>IFERROR(__xludf.DUMMYFUNCTION("""COMPUTED_VALUE"""),45293.64583333333)</f>
        <v>45293.64583</v>
      </c>
      <c r="HF11" s="45">
        <f>IFERROR(__xludf.DUMMYFUNCTION("""COMPUTED_VALUE"""),2499.32)</f>
        <v>2499.32</v>
      </c>
      <c r="HG11" s="46" t="str">
        <f t="shared" si="54"/>
        <v>#DIV/0!</v>
      </c>
      <c r="HH11" s="47"/>
      <c r="HI11" s="37">
        <f>IFERROR(__xludf.DUMMYFUNCTION("""COMPUTED_VALUE"""),45293.64583333333)</f>
        <v>45293.64583</v>
      </c>
      <c r="HJ11" s="45">
        <f>IFERROR(__xludf.DUMMYFUNCTION("""COMPUTED_VALUE"""),5190.0)</f>
        <v>5190</v>
      </c>
      <c r="HK11" s="46">
        <f t="shared" si="55"/>
        <v>0.01564563948</v>
      </c>
      <c r="HL11" s="47"/>
      <c r="HM11" s="37">
        <f>IFERROR(__xludf.DUMMYFUNCTION("""COMPUTED_VALUE"""),45293.64583333333)</f>
        <v>45293.64583</v>
      </c>
      <c r="HN11" s="45">
        <f>IFERROR(__xludf.DUMMYFUNCTION("""COMPUTED_VALUE"""),415.8)</f>
        <v>415.8</v>
      </c>
      <c r="HO11" s="46">
        <f t="shared" si="56"/>
        <v>0.02275242898</v>
      </c>
      <c r="HP11" s="47"/>
      <c r="HQ11" s="37">
        <f>IFERROR(__xludf.DUMMYFUNCTION("""COMPUTED_VALUE"""),45293.64583333333)</f>
        <v>45293.64583</v>
      </c>
      <c r="HR11" s="45">
        <f>IFERROR(__xludf.DUMMYFUNCTION("""COMPUTED_VALUE"""),251.5)</f>
        <v>251.5</v>
      </c>
      <c r="HS11" s="46">
        <f t="shared" si="57"/>
        <v>-0.01101061738</v>
      </c>
      <c r="HT11" s="47"/>
      <c r="HU11" s="37">
        <f>IFERROR(__xludf.DUMMYFUNCTION("""COMPUTED_VALUE"""),45293.64583333333)</f>
        <v>45293.64583</v>
      </c>
      <c r="HV11" s="45">
        <f>IFERROR(__xludf.DUMMYFUNCTION("""COMPUTED_VALUE"""),61.85)</f>
        <v>61.85</v>
      </c>
      <c r="HW11" s="46">
        <f t="shared" si="58"/>
        <v>-0.008814102564</v>
      </c>
      <c r="HX11" s="47"/>
      <c r="HY11" s="37">
        <f>IFERROR(__xludf.DUMMYFUNCTION("""COMPUTED_VALUE"""),45293.64583333333)</f>
        <v>45293.64583</v>
      </c>
      <c r="HZ11" s="45">
        <f>IFERROR(__xludf.DUMMYFUNCTION("""COMPUTED_VALUE"""),407.7)</f>
        <v>407.7</v>
      </c>
      <c r="IA11" s="46">
        <f t="shared" si="59"/>
        <v>-0.1232258065</v>
      </c>
      <c r="IB11" s="47"/>
      <c r="IC11" s="37">
        <f>IFERROR(__xludf.DUMMYFUNCTION("""COMPUTED_VALUE"""),45293.64583333333)</f>
        <v>45293.64583</v>
      </c>
      <c r="ID11" s="45">
        <f>IFERROR(__xludf.DUMMYFUNCTION("""COMPUTED_VALUE"""),75.75)</f>
        <v>75.75</v>
      </c>
      <c r="IE11" s="46">
        <f t="shared" si="60"/>
        <v>-0.8273504274</v>
      </c>
      <c r="IF11" s="47"/>
      <c r="IG11" s="37">
        <f>IFERROR(__xludf.DUMMYFUNCTION("""COMPUTED_VALUE"""),45293.64583333333)</f>
        <v>45293.64583</v>
      </c>
      <c r="IH11" s="45">
        <f>IFERROR(__xludf.DUMMYFUNCTION("""COMPUTED_VALUE"""),507.9)</f>
        <v>507.9</v>
      </c>
      <c r="II11" s="46">
        <f t="shared" si="61"/>
        <v>-0.04709193246</v>
      </c>
      <c r="IJ11" s="47"/>
      <c r="IK11" s="37">
        <f>IFERROR(__xludf.DUMMYFUNCTION("""COMPUTED_VALUE"""),45293.64583333333)</f>
        <v>45293.64583</v>
      </c>
      <c r="IL11" s="45">
        <f>IFERROR(__xludf.DUMMYFUNCTION("""COMPUTED_VALUE"""),644.4)</f>
        <v>644.4</v>
      </c>
      <c r="IM11" s="46">
        <f t="shared" si="62"/>
        <v>0.04280281576</v>
      </c>
      <c r="IN11" s="47"/>
      <c r="IO11" s="37">
        <f>IFERROR(__xludf.DUMMYFUNCTION("""COMPUTED_VALUE"""),45293.64583333333)</f>
        <v>45293.64583</v>
      </c>
      <c r="IP11" s="45">
        <f>IFERROR(__xludf.DUMMYFUNCTION("""COMPUTED_VALUE"""),133.38)</f>
        <v>133.38</v>
      </c>
      <c r="IQ11" s="46">
        <f t="shared" si="63"/>
        <v>0.06118227385</v>
      </c>
      <c r="IR11" s="47"/>
      <c r="IS11" s="37">
        <f>IFERROR(__xludf.DUMMYFUNCTION("""COMPUTED_VALUE"""),45293.64583333333)</f>
        <v>45293.64583</v>
      </c>
      <c r="IT11" s="45">
        <f>IFERROR(__xludf.DUMMYFUNCTION("""COMPUTED_VALUE"""),1065.5)</f>
        <v>1065.5</v>
      </c>
      <c r="IU11" s="46">
        <f t="shared" si="64"/>
        <v>0.06125498008</v>
      </c>
      <c r="IV11" s="47"/>
      <c r="IW11" s="37">
        <f>IFERROR(__xludf.DUMMYFUNCTION("""COMPUTED_VALUE"""),45293.64583333333)</f>
        <v>45293.64583</v>
      </c>
      <c r="IX11" s="45">
        <f>IFERROR(__xludf.DUMMYFUNCTION("""COMPUTED_VALUE"""),217.6)</f>
        <v>217.6</v>
      </c>
      <c r="IY11" s="46">
        <f t="shared" si="65"/>
        <v>0.05656712794</v>
      </c>
      <c r="IZ11" s="47"/>
      <c r="JA11" s="37">
        <f>IFERROR(__xludf.DUMMYFUNCTION("""COMPUTED_VALUE"""),45293.64583333333)</f>
        <v>45293.64583</v>
      </c>
      <c r="JB11" s="45">
        <f>IFERROR(__xludf.DUMMYFUNCTION("""COMPUTED_VALUE"""),36934.2)</f>
        <v>36934.2</v>
      </c>
      <c r="JC11" s="46">
        <f t="shared" si="66"/>
        <v>0.04326088584</v>
      </c>
      <c r="JD11" s="47"/>
      <c r="JE11" s="37">
        <f>IFERROR(__xludf.DUMMYFUNCTION("""COMPUTED_VALUE"""),45293.64583333333)</f>
        <v>45293.64583</v>
      </c>
      <c r="JF11" s="45">
        <f>IFERROR(__xludf.DUMMYFUNCTION("""COMPUTED_VALUE"""),661.15)</f>
        <v>661.15</v>
      </c>
      <c r="JG11" s="46">
        <f t="shared" si="67"/>
        <v>0.02503875969</v>
      </c>
      <c r="JH11" s="47"/>
      <c r="JI11" s="37">
        <f>IFERROR(__xludf.DUMMYFUNCTION("""COMPUTED_VALUE"""),45293.64583333333)</f>
        <v>45293.64583</v>
      </c>
      <c r="JJ11" s="45">
        <f>IFERROR(__xludf.DUMMYFUNCTION("""COMPUTED_VALUE"""),319.0)</f>
        <v>319</v>
      </c>
      <c r="JK11" s="46">
        <f t="shared" si="68"/>
        <v>-0.04476718072</v>
      </c>
      <c r="JL11" s="47"/>
      <c r="JM11" s="37">
        <f>IFERROR(__xludf.DUMMYFUNCTION("""COMPUTED_VALUE"""),45293.64583333333)</f>
        <v>45293.64583</v>
      </c>
      <c r="JN11" s="45">
        <f>IFERROR(__xludf.DUMMYFUNCTION("""COMPUTED_VALUE"""),16.25)</f>
        <v>16.25</v>
      </c>
      <c r="JO11" s="46">
        <f t="shared" si="69"/>
        <v>-0.962962963</v>
      </c>
      <c r="JP11" s="47"/>
      <c r="JQ11" s="37">
        <f>IFERROR(__xludf.DUMMYFUNCTION("""COMPUTED_VALUE"""),45293.64583333333)</f>
        <v>45293.64583</v>
      </c>
      <c r="JR11" s="45">
        <f>IFERROR(__xludf.DUMMYFUNCTION("""COMPUTED_VALUE"""),112.2)</f>
        <v>112.2</v>
      </c>
      <c r="JS11" s="46">
        <f t="shared" si="70"/>
        <v>-0.175</v>
      </c>
      <c r="JT11" s="47"/>
      <c r="JU11" s="37">
        <f>IFERROR(__xludf.DUMMYFUNCTION("""COMPUTED_VALUE"""),45293.64583333333)</f>
        <v>45293.64583</v>
      </c>
      <c r="JV11" s="45">
        <f>IFERROR(__xludf.DUMMYFUNCTION("""COMPUTED_VALUE"""),247.0)</f>
        <v>247</v>
      </c>
      <c r="JW11" s="46">
        <f t="shared" si="71"/>
        <v>-0.437037037</v>
      </c>
      <c r="JX11" s="47"/>
      <c r="JY11" s="37">
        <f>IFERROR(__xludf.DUMMYFUNCTION("""COMPUTED_VALUE"""),45293.64583333333)</f>
        <v>45293.64583</v>
      </c>
      <c r="JZ11" s="45">
        <f>IFERROR(__xludf.DUMMYFUNCTION("""COMPUTED_VALUE"""),657.9)</f>
        <v>657.9</v>
      </c>
      <c r="KA11" s="46">
        <f t="shared" si="72"/>
        <v>0.1940108893</v>
      </c>
      <c r="KB11" s="47"/>
      <c r="KC11" s="37">
        <f>IFERROR(__xludf.DUMMYFUNCTION("""COMPUTED_VALUE"""),45293.64583333333)</f>
        <v>45293.64583</v>
      </c>
      <c r="KD11" s="45">
        <f>IFERROR(__xludf.DUMMYFUNCTION("""COMPUTED_VALUE"""),868.4)</f>
        <v>868.4</v>
      </c>
      <c r="KE11" s="46">
        <f t="shared" si="73"/>
        <v>-0.005895483945</v>
      </c>
      <c r="KF11" s="47"/>
      <c r="KG11" s="37">
        <f>IFERROR(__xludf.DUMMYFUNCTION("""COMPUTED_VALUE"""),45293.64583333333)</f>
        <v>45293.64583</v>
      </c>
      <c r="KH11" s="45">
        <f>IFERROR(__xludf.DUMMYFUNCTION("""COMPUTED_VALUE"""),374.95)</f>
        <v>374.95</v>
      </c>
      <c r="KI11" s="46">
        <f t="shared" si="74"/>
        <v>-0.03858974359</v>
      </c>
      <c r="KJ11" s="47"/>
      <c r="KK11" s="37">
        <f>IFERROR(__xludf.DUMMYFUNCTION("""COMPUTED_VALUE"""),45293.64583333333)</f>
        <v>45293.64583</v>
      </c>
      <c r="KL11" s="45">
        <f>IFERROR(__xludf.DUMMYFUNCTION("""COMPUTED_VALUE"""),9.2)</f>
        <v>9.2</v>
      </c>
      <c r="KM11" s="46">
        <f t="shared" si="75"/>
        <v>-0.01075268817</v>
      </c>
      <c r="KN11" s="47"/>
      <c r="KO11" s="37">
        <f>IFERROR(__xludf.DUMMYFUNCTION("""COMPUTED_VALUE"""),45293.64583333333)</f>
        <v>45293.64583</v>
      </c>
      <c r="KP11" s="45">
        <f>IFERROR(__xludf.DUMMYFUNCTION("""COMPUTED_VALUE"""),235.35)</f>
        <v>235.35</v>
      </c>
      <c r="KQ11" s="46">
        <f t="shared" si="76"/>
        <v>0.1576487949</v>
      </c>
      <c r="KR11" s="47"/>
      <c r="KS11" s="37">
        <f>IFERROR(__xludf.DUMMYFUNCTION("""COMPUTED_VALUE"""),45293.64583333333)</f>
        <v>45293.64583</v>
      </c>
      <c r="KT11" s="45">
        <f>IFERROR(__xludf.DUMMYFUNCTION("""COMPUTED_VALUE"""),11.65)</f>
        <v>11.65</v>
      </c>
      <c r="KU11" s="46">
        <f t="shared" si="77"/>
        <v>0.05429864253</v>
      </c>
      <c r="KV11" s="47"/>
      <c r="KW11" s="37">
        <f>IFERROR(__xludf.DUMMYFUNCTION("""COMPUTED_VALUE"""),45293.64583333333)</f>
        <v>45293.64583</v>
      </c>
      <c r="KX11" s="45">
        <f>IFERROR(__xludf.DUMMYFUNCTION("""COMPUTED_VALUE"""),2719.5)</f>
        <v>2719.5</v>
      </c>
      <c r="KY11" s="46">
        <f t="shared" si="78"/>
        <v>0.01855839997</v>
      </c>
      <c r="KZ11" s="47"/>
      <c r="LA11" s="37">
        <f>IFERROR(__xludf.DUMMYFUNCTION("""COMPUTED_VALUE"""),45293.64583333333)</f>
        <v>45293.64583</v>
      </c>
      <c r="LB11" s="45">
        <f>IFERROR(__xludf.DUMMYFUNCTION("""COMPUTED_VALUE"""),19.7)</f>
        <v>19.7</v>
      </c>
      <c r="LC11" s="46">
        <f t="shared" si="79"/>
        <v>0.0450928382</v>
      </c>
      <c r="LD11" s="47"/>
      <c r="LE11" s="37">
        <f>IFERROR(__xludf.DUMMYFUNCTION("""COMPUTED_VALUE"""),45293.64583333333)</f>
        <v>45293.64583</v>
      </c>
      <c r="LF11" s="45">
        <f>IFERROR(__xludf.DUMMYFUNCTION("""COMPUTED_VALUE"""),119.9)</f>
        <v>119.9</v>
      </c>
      <c r="LG11" s="46">
        <f t="shared" si="80"/>
        <v>-0.0408</v>
      </c>
      <c r="LH11" s="47"/>
      <c r="LI11" s="37">
        <f>IFERROR(__xludf.DUMMYFUNCTION("""COMPUTED_VALUE"""),45293.64583333333)</f>
        <v>45293.64583</v>
      </c>
      <c r="LJ11" s="45">
        <f>IFERROR(__xludf.DUMMYFUNCTION("""COMPUTED_VALUE"""),768.8)</f>
        <v>768.8</v>
      </c>
      <c r="LK11" s="46">
        <f t="shared" si="81"/>
        <v>0.05604395604</v>
      </c>
      <c r="LL11" s="47"/>
      <c r="LM11" s="37">
        <f>IFERROR(__xludf.DUMMYFUNCTION("""COMPUTED_VALUE"""),45293.64583333333)</f>
        <v>45293.64583</v>
      </c>
      <c r="LN11" s="45">
        <f>IFERROR(__xludf.DUMMYFUNCTION("""COMPUTED_VALUE"""),856.4)</f>
        <v>856.4</v>
      </c>
      <c r="LO11" s="46">
        <f t="shared" si="82"/>
        <v>0.001637426901</v>
      </c>
      <c r="LP11" s="47"/>
      <c r="LQ11" s="37">
        <f>IFERROR(__xludf.DUMMYFUNCTION("""COMPUTED_VALUE"""),45293.64583333333)</f>
        <v>45293.64583</v>
      </c>
      <c r="LR11" s="45">
        <f>IFERROR(__xludf.DUMMYFUNCTION("""COMPUTED_VALUE"""),369.4)</f>
        <v>369.4</v>
      </c>
      <c r="LS11" s="46">
        <f t="shared" si="83"/>
        <v>0.0109469075</v>
      </c>
      <c r="LT11" s="47"/>
      <c r="LU11" s="37">
        <f>IFERROR(__xludf.DUMMYFUNCTION("""COMPUTED_VALUE"""),45293.64583333333)</f>
        <v>45293.64583</v>
      </c>
      <c r="LV11" s="45">
        <f>IFERROR(__xludf.DUMMYFUNCTION("""COMPUTED_VALUE"""),131.95)</f>
        <v>131.95</v>
      </c>
      <c r="LW11" s="46">
        <f t="shared" si="84"/>
        <v>-0.03545321637</v>
      </c>
      <c r="LX11" s="47"/>
      <c r="LY11" s="37">
        <f>IFERROR(__xludf.DUMMYFUNCTION("""COMPUTED_VALUE"""),45293.64583333333)</f>
        <v>45293.64583</v>
      </c>
      <c r="LZ11" s="45">
        <f>IFERROR(__xludf.DUMMYFUNCTION("""COMPUTED_VALUE"""),594.25)</f>
        <v>594.25</v>
      </c>
      <c r="MA11" s="46">
        <f t="shared" si="85"/>
        <v>-0.04153225806</v>
      </c>
      <c r="MB11" s="47"/>
      <c r="MC11" s="37"/>
      <c r="MD11" s="45"/>
      <c r="ME11" s="46" t="str">
        <f t="shared" si="86"/>
        <v>#DIV/0!</v>
      </c>
      <c r="MF11" s="47"/>
      <c r="MG11" s="37">
        <f>IFERROR(__xludf.DUMMYFUNCTION("""COMPUTED_VALUE"""),45293.64583333333)</f>
        <v>45293.64583</v>
      </c>
      <c r="MH11" s="45">
        <f>IFERROR(__xludf.DUMMYFUNCTION("""COMPUTED_VALUE"""),1995.0)</f>
        <v>1995</v>
      </c>
      <c r="MI11" s="46">
        <f t="shared" si="87"/>
        <v>0.01736403274</v>
      </c>
      <c r="MJ11" s="47"/>
      <c r="MK11" s="37">
        <f>IFERROR(__xludf.DUMMYFUNCTION("""COMPUTED_VALUE"""),45293.64583333333)</f>
        <v>45293.64583</v>
      </c>
      <c r="ML11" s="45">
        <f>IFERROR(__xludf.DUMMYFUNCTION("""COMPUTED_VALUE"""),416.15)</f>
        <v>416.15</v>
      </c>
      <c r="MM11" s="46">
        <f t="shared" si="88"/>
        <v>0.04050506313</v>
      </c>
      <c r="MN11" s="47"/>
      <c r="MO11" s="37">
        <f>IFERROR(__xludf.DUMMYFUNCTION("""COMPUTED_VALUE"""),45293.64583333333)</f>
        <v>45293.64583</v>
      </c>
      <c r="MP11" s="45">
        <f>IFERROR(__xludf.DUMMYFUNCTION("""COMPUTED_VALUE"""),735.55)</f>
        <v>735.55</v>
      </c>
      <c r="MQ11" s="46">
        <f t="shared" si="89"/>
        <v>-0.006013513514</v>
      </c>
      <c r="MR11" s="47"/>
      <c r="MS11" s="37">
        <f>IFERROR(__xludf.DUMMYFUNCTION("""COMPUTED_VALUE"""),45293.64583333333)</f>
        <v>45293.64583</v>
      </c>
      <c r="MT11" s="45">
        <f>IFERROR(__xludf.DUMMYFUNCTION("""COMPUTED_VALUE"""),66.0)</f>
        <v>66</v>
      </c>
      <c r="MU11" s="46">
        <f t="shared" si="90"/>
        <v>-0.002267573696</v>
      </c>
      <c r="MV11" s="47"/>
      <c r="MW11" s="37">
        <f>IFERROR(__xludf.DUMMYFUNCTION("""COMPUTED_VALUE"""),45293.64583333333)</f>
        <v>45293.64583</v>
      </c>
      <c r="MX11" s="45">
        <f>IFERROR(__xludf.DUMMYFUNCTION("""COMPUTED_VALUE"""),3274.3)</f>
        <v>3274.3</v>
      </c>
      <c r="MY11" s="46">
        <f t="shared" si="91"/>
        <v>0.04045122339</v>
      </c>
      <c r="MZ11" s="47"/>
      <c r="NA11" s="37">
        <f>IFERROR(__xludf.DUMMYFUNCTION("""COMPUTED_VALUE"""),45293.64583333333)</f>
        <v>45293.64583</v>
      </c>
      <c r="NB11" s="45">
        <f>IFERROR(__xludf.DUMMYFUNCTION("""COMPUTED_VALUE"""),14.85)</f>
        <v>14.85</v>
      </c>
      <c r="NC11" s="46">
        <f t="shared" si="92"/>
        <v>0.1739130435</v>
      </c>
      <c r="ND11" s="47"/>
      <c r="NE11" s="37">
        <f>IFERROR(__xludf.DUMMYFUNCTION("""COMPUTED_VALUE"""),45294.64583333333)</f>
        <v>45294.64583</v>
      </c>
      <c r="NF11" s="45">
        <f>IFERROR(__xludf.DUMMYFUNCTION("""COMPUTED_VALUE"""),388.0)</f>
        <v>388</v>
      </c>
      <c r="NG11" s="46">
        <f t="shared" si="93"/>
        <v>0.01318710014</v>
      </c>
      <c r="NH11" s="47"/>
      <c r="NI11" s="37">
        <f>IFERROR(__xludf.DUMMYFUNCTION("""COMPUTED_VALUE"""),45294.64583333333)</f>
        <v>45294.64583</v>
      </c>
      <c r="NJ11" s="45">
        <f>IFERROR(__xludf.DUMMYFUNCTION("""COMPUTED_VALUE"""),282.37)</f>
        <v>282.37</v>
      </c>
      <c r="NK11" s="46">
        <f t="shared" si="94"/>
        <v>0.05887426407</v>
      </c>
      <c r="NL11" s="47"/>
      <c r="NM11" s="37">
        <f>IFERROR(__xludf.DUMMYFUNCTION("""COMPUTED_VALUE"""),45294.64583333333)</f>
        <v>45294.64583</v>
      </c>
      <c r="NN11" s="45">
        <f>IFERROR(__xludf.DUMMYFUNCTION("""COMPUTED_VALUE"""),122.7)</f>
        <v>122.7</v>
      </c>
      <c r="NO11" s="46">
        <f t="shared" si="95"/>
        <v>-0.004866180049</v>
      </c>
      <c r="NP11" s="47"/>
      <c r="NQ11" s="37">
        <f>IFERROR(__xludf.DUMMYFUNCTION("""COMPUTED_VALUE"""),45294.64583333333)</f>
        <v>45294.64583</v>
      </c>
      <c r="NR11" s="45">
        <f>IFERROR(__xludf.DUMMYFUNCTION("""COMPUTED_VALUE"""),4061.95)</f>
        <v>4061.95</v>
      </c>
      <c r="NS11" s="46">
        <f t="shared" si="96"/>
        <v>-0.02731082375</v>
      </c>
      <c r="NT11" s="47"/>
      <c r="NU11" s="37">
        <f>IFERROR(__xludf.DUMMYFUNCTION("""COMPUTED_VALUE"""),45294.64583333333)</f>
        <v>45294.64583</v>
      </c>
      <c r="NV11" s="45">
        <f>IFERROR(__xludf.DUMMYFUNCTION("""COMPUTED_VALUE"""),13.5)</f>
        <v>13.5</v>
      </c>
      <c r="NW11" s="46">
        <f t="shared" si="97"/>
        <v>0.06299212598</v>
      </c>
      <c r="NX11" s="47"/>
      <c r="NY11" s="37">
        <f>IFERROR(__xludf.DUMMYFUNCTION("""COMPUTED_VALUE"""),45294.64583333333)</f>
        <v>45294.64583</v>
      </c>
      <c r="NZ11" s="45">
        <f>IFERROR(__xludf.DUMMYFUNCTION("""COMPUTED_VALUE"""),291.0)</f>
        <v>291</v>
      </c>
      <c r="OA11" s="46">
        <f t="shared" si="98"/>
        <v>0.1790923825</v>
      </c>
      <c r="OB11" s="47"/>
      <c r="OC11" s="37">
        <f>IFERROR(__xludf.DUMMYFUNCTION("""COMPUTED_VALUE"""),45294.64583333333)</f>
        <v>45294.64583</v>
      </c>
      <c r="OD11" s="45">
        <f>IFERROR(__xludf.DUMMYFUNCTION("""COMPUTED_VALUE"""),1099.1)</f>
        <v>1099.1</v>
      </c>
      <c r="OE11" s="46">
        <f t="shared" si="99"/>
        <v>0.04283884435</v>
      </c>
      <c r="OF11" s="47"/>
      <c r="OG11" s="37">
        <f>IFERROR(__xludf.DUMMYFUNCTION("""COMPUTED_VALUE"""),45294.64583333333)</f>
        <v>45294.64583</v>
      </c>
      <c r="OH11" s="45">
        <f>IFERROR(__xludf.DUMMYFUNCTION("""COMPUTED_VALUE"""),2505.0)</f>
        <v>2505</v>
      </c>
      <c r="OI11" s="46">
        <f t="shared" si="100"/>
        <v>0.02672350193</v>
      </c>
      <c r="OJ11" s="47"/>
      <c r="OK11" s="37"/>
      <c r="OL11" s="45"/>
      <c r="OM11" s="46" t="str">
        <f t="shared" si="101"/>
        <v>#DIV/0!</v>
      </c>
      <c r="ON11" s="47"/>
    </row>
    <row r="12" ht="12.0" customHeight="1">
      <c r="A12" s="37">
        <f>IFERROR(__xludf.DUMMYFUNCTION("""COMPUTED_VALUE"""),45293.64583333333)</f>
        <v>45293.64583</v>
      </c>
      <c r="B12" s="45">
        <f>IFERROR(__xludf.DUMMYFUNCTION("""COMPUTED_VALUE"""),444.7)</f>
        <v>444.7</v>
      </c>
      <c r="C12" s="46">
        <f t="shared" si="1"/>
        <v>0.01356125356</v>
      </c>
      <c r="D12" s="47"/>
      <c r="E12" s="37">
        <f>IFERROR(__xludf.DUMMYFUNCTION("""COMPUTED_VALUE"""),45293.64583333333)</f>
        <v>45293.64583</v>
      </c>
      <c r="F12" s="45">
        <f>IFERROR(__xludf.DUMMYFUNCTION("""COMPUTED_VALUE"""),637.55)</f>
        <v>637.55</v>
      </c>
      <c r="G12" s="46">
        <f t="shared" si="2"/>
        <v>-0.02664122137</v>
      </c>
      <c r="H12" s="47"/>
      <c r="I12" s="37">
        <f>IFERROR(__xludf.DUMMYFUNCTION("""COMPUTED_VALUE"""),45293.64583333333)</f>
        <v>45293.64583</v>
      </c>
      <c r="J12" s="45">
        <f>IFERROR(__xludf.DUMMYFUNCTION("""COMPUTED_VALUE"""),186.2)</f>
        <v>186.2</v>
      </c>
      <c r="K12" s="46">
        <f t="shared" si="3"/>
        <v>0.01195652174</v>
      </c>
      <c r="L12" s="47"/>
      <c r="M12" s="37">
        <f>IFERROR(__xludf.DUMMYFUNCTION("""COMPUTED_VALUE"""),45293.64583333333)</f>
        <v>45293.64583</v>
      </c>
      <c r="N12" s="45">
        <f>IFERROR(__xludf.DUMMYFUNCTION("""COMPUTED_VALUE"""),86.25)</f>
        <v>86.25</v>
      </c>
      <c r="O12" s="46">
        <f t="shared" si="4"/>
        <v>-0.001736111111</v>
      </c>
      <c r="P12" s="47"/>
      <c r="Q12" s="37">
        <f>IFERROR(__xludf.DUMMYFUNCTION("""COMPUTED_VALUE"""),45293.64583333333)</f>
        <v>45293.64583</v>
      </c>
      <c r="R12" s="45">
        <f>IFERROR(__xludf.DUMMYFUNCTION("""COMPUTED_VALUE"""),50.25)</f>
        <v>50.25</v>
      </c>
      <c r="S12" s="46">
        <f t="shared" si="5"/>
        <v>-0.04285714286</v>
      </c>
      <c r="T12" s="47"/>
      <c r="U12" s="37">
        <f>IFERROR(__xludf.DUMMYFUNCTION("""COMPUTED_VALUE"""),45293.64583333333)</f>
        <v>45293.64583</v>
      </c>
      <c r="V12" s="45">
        <f>IFERROR(__xludf.DUMMYFUNCTION("""COMPUTED_VALUE"""),798.0)</f>
        <v>798</v>
      </c>
      <c r="W12" s="46">
        <f t="shared" si="6"/>
        <v>0.2047101449</v>
      </c>
      <c r="X12" s="47"/>
      <c r="Y12" s="37">
        <f>IFERROR(__xludf.DUMMYFUNCTION("""COMPUTED_VALUE"""),45293.64583333333)</f>
        <v>45293.64583</v>
      </c>
      <c r="Z12" s="45">
        <f>IFERROR(__xludf.DUMMYFUNCTION("""COMPUTED_VALUE"""),194.4)</f>
        <v>194.4</v>
      </c>
      <c r="AA12" s="46">
        <f t="shared" si="7"/>
        <v>0.05081081081</v>
      </c>
      <c r="AB12" s="47"/>
      <c r="AC12" s="37">
        <f>IFERROR(__xludf.DUMMYFUNCTION("""COMPUTED_VALUE"""),45293.64583333333)</f>
        <v>45293.64583</v>
      </c>
      <c r="AD12" s="45">
        <f>IFERROR(__xludf.DUMMYFUNCTION("""COMPUTED_VALUE"""),2499.32)</f>
        <v>2499.32</v>
      </c>
      <c r="AE12" s="46">
        <f t="shared" si="8"/>
        <v>0.05256685618</v>
      </c>
      <c r="AF12" s="47"/>
      <c r="AG12" s="37">
        <f>IFERROR(__xludf.DUMMYFUNCTION("""COMPUTED_VALUE"""),45293.64583333333)</f>
        <v>45293.64583</v>
      </c>
      <c r="AH12" s="45">
        <f>IFERROR(__xludf.DUMMYFUNCTION("""COMPUTED_VALUE"""),777.35)</f>
        <v>777.35</v>
      </c>
      <c r="AI12" s="46">
        <f t="shared" si="9"/>
        <v>-0.07458333333</v>
      </c>
      <c r="AJ12" s="47"/>
      <c r="AK12" s="37">
        <f>IFERROR(__xludf.DUMMYFUNCTION("""COMPUTED_VALUE"""),45293.64583333333)</f>
        <v>45293.64583</v>
      </c>
      <c r="AL12" s="45">
        <f>IFERROR(__xludf.DUMMYFUNCTION("""COMPUTED_VALUE"""),5190.0)</f>
        <v>5190</v>
      </c>
      <c r="AM12" s="46">
        <f t="shared" si="10"/>
        <v>-0.001923076923</v>
      </c>
      <c r="AN12" s="47"/>
      <c r="AO12" s="37">
        <f>IFERROR(__xludf.DUMMYFUNCTION("""COMPUTED_VALUE"""),45293.64583333333)</f>
        <v>45293.64583</v>
      </c>
      <c r="AP12" s="45">
        <f>IFERROR(__xludf.DUMMYFUNCTION("""COMPUTED_VALUE"""),899.2)</f>
        <v>899.2</v>
      </c>
      <c r="AQ12" s="46">
        <f t="shared" si="11"/>
        <v>-0.01186813187</v>
      </c>
      <c r="AR12" s="47"/>
      <c r="AS12" s="37">
        <f>IFERROR(__xludf.DUMMYFUNCTION("""COMPUTED_VALUE"""),45293.64583333333)</f>
        <v>45293.64583</v>
      </c>
      <c r="AT12" s="45">
        <f>IFERROR(__xludf.DUMMYFUNCTION("""COMPUTED_VALUE"""),2494.0)</f>
        <v>2494</v>
      </c>
      <c r="AU12" s="46">
        <f t="shared" si="12"/>
        <v>0.004066186239</v>
      </c>
      <c r="AV12" s="47"/>
      <c r="AW12" s="37">
        <f>IFERROR(__xludf.DUMMYFUNCTION("""COMPUTED_VALUE"""),45293.64583333333)</f>
        <v>45293.64583</v>
      </c>
      <c r="AX12" s="45">
        <f>IFERROR(__xludf.DUMMYFUNCTION("""COMPUTED_VALUE"""),5759.0)</f>
        <v>5759</v>
      </c>
      <c r="AY12" s="46">
        <f t="shared" si="13"/>
        <v>0.02026715799</v>
      </c>
      <c r="AZ12" s="47"/>
      <c r="BA12" s="37">
        <f>IFERROR(__xludf.DUMMYFUNCTION("""COMPUTED_VALUE"""),45293.64583333333)</f>
        <v>45293.64583</v>
      </c>
      <c r="BB12" s="45">
        <f>IFERROR(__xludf.DUMMYFUNCTION("""COMPUTED_VALUE"""),478.0)</f>
        <v>478</v>
      </c>
      <c r="BC12" s="46">
        <f t="shared" si="14"/>
        <v>0.02027748132</v>
      </c>
      <c r="BD12" s="47"/>
      <c r="BE12" s="37">
        <f>IFERROR(__xludf.DUMMYFUNCTION("""COMPUTED_VALUE"""),45293.64583333333)</f>
        <v>45293.64583</v>
      </c>
      <c r="BF12" s="45">
        <f>IFERROR(__xludf.DUMMYFUNCTION("""COMPUTED_VALUE"""),350.7)</f>
        <v>350.7</v>
      </c>
      <c r="BG12" s="46">
        <f t="shared" si="15"/>
        <v>-0.1383292383</v>
      </c>
      <c r="BH12" s="47"/>
      <c r="BI12" s="37">
        <f>IFERROR(__xludf.DUMMYFUNCTION("""COMPUTED_VALUE"""),45293.64583333333)</f>
        <v>45293.64583</v>
      </c>
      <c r="BJ12" s="45">
        <f>IFERROR(__xludf.DUMMYFUNCTION("""COMPUTED_VALUE"""),66.05)</f>
        <v>66.05</v>
      </c>
      <c r="BK12" s="46">
        <f t="shared" si="16"/>
        <v>-0.04895608351</v>
      </c>
      <c r="BL12" s="47"/>
      <c r="BM12" s="37">
        <f>IFERROR(__xludf.DUMMYFUNCTION("""COMPUTED_VALUE"""),45293.64583333333)</f>
        <v>45293.64583</v>
      </c>
      <c r="BN12" s="45">
        <f>IFERROR(__xludf.DUMMYFUNCTION("""COMPUTED_VALUE"""),251.5)</f>
        <v>251.5</v>
      </c>
      <c r="BO12" s="46">
        <f t="shared" si="17"/>
        <v>-0.017578125</v>
      </c>
      <c r="BP12" s="47"/>
      <c r="BQ12" s="37">
        <f>IFERROR(__xludf.DUMMYFUNCTION("""COMPUTED_VALUE"""),45293.64583333333)</f>
        <v>45293.64583</v>
      </c>
      <c r="BR12" s="45">
        <f>IFERROR(__xludf.DUMMYFUNCTION("""COMPUTED_VALUE"""),61.85)</f>
        <v>61.85</v>
      </c>
      <c r="BS12" s="46">
        <f t="shared" si="18"/>
        <v>0.01559934319</v>
      </c>
      <c r="BT12" s="47"/>
      <c r="BU12" s="37">
        <f>IFERROR(__xludf.DUMMYFUNCTION("""COMPUTED_VALUE"""),45293.64583333333)</f>
        <v>45293.64583</v>
      </c>
      <c r="BV12" s="45">
        <f>IFERROR(__xludf.DUMMYFUNCTION("""COMPUTED_VALUE"""),308.95)</f>
        <v>308.95</v>
      </c>
      <c r="BW12" s="46">
        <f t="shared" si="19"/>
        <v>-0.001454427925</v>
      </c>
      <c r="BX12" s="47"/>
      <c r="BY12" s="37">
        <f>IFERROR(__xludf.DUMMYFUNCTION("""COMPUTED_VALUE"""),45293.64583333333)</f>
        <v>45293.64583</v>
      </c>
      <c r="BZ12" s="45">
        <f>IFERROR(__xludf.DUMMYFUNCTION("""COMPUTED_VALUE"""),407.7)</f>
        <v>407.7</v>
      </c>
      <c r="CA12" s="46">
        <f t="shared" si="20"/>
        <v>-0.004395604396</v>
      </c>
      <c r="CB12" s="47"/>
      <c r="CC12" s="37">
        <f>IFERROR(__xludf.DUMMYFUNCTION("""COMPUTED_VALUE"""),45293.64583333333)</f>
        <v>45293.64583</v>
      </c>
      <c r="CD12" s="45">
        <f>IFERROR(__xludf.DUMMYFUNCTION("""COMPUTED_VALUE"""),224.9)</f>
        <v>224.9</v>
      </c>
      <c r="CE12" s="46">
        <f t="shared" si="21"/>
        <v>-0.02934829521</v>
      </c>
      <c r="CF12" s="47"/>
      <c r="CG12" s="37">
        <f>IFERROR(__xludf.DUMMYFUNCTION("""COMPUTED_VALUE"""),45293.64583333333)</f>
        <v>45293.64583</v>
      </c>
      <c r="CH12" s="45">
        <f>IFERROR(__xludf.DUMMYFUNCTION("""COMPUTED_VALUE"""),661.15)</f>
        <v>661.15</v>
      </c>
      <c r="CI12" s="46">
        <f t="shared" si="22"/>
        <v>0.03954402516</v>
      </c>
      <c r="CJ12" s="47"/>
      <c r="CK12" s="37">
        <f>IFERROR(__xludf.DUMMYFUNCTION("""COMPUTED_VALUE"""),45293.64583333333)</f>
        <v>45293.64583</v>
      </c>
      <c r="CL12" s="45">
        <f>IFERROR(__xludf.DUMMYFUNCTION("""COMPUTED_VALUE"""),319.0)</f>
        <v>319</v>
      </c>
      <c r="CM12" s="46">
        <f t="shared" si="23"/>
        <v>-0.05341246291</v>
      </c>
      <c r="CN12" s="47"/>
      <c r="CO12" s="37">
        <f>IFERROR(__xludf.DUMMYFUNCTION("""COMPUTED_VALUE"""),45293.64583333333)</f>
        <v>45293.64583</v>
      </c>
      <c r="CP12" s="45">
        <f>IFERROR(__xludf.DUMMYFUNCTION("""COMPUTED_VALUE"""),16.25)</f>
        <v>16.25</v>
      </c>
      <c r="CQ12" s="46">
        <f t="shared" si="24"/>
        <v>0.09797297297</v>
      </c>
      <c r="CR12" s="47"/>
      <c r="CS12" s="37">
        <f>IFERROR(__xludf.DUMMYFUNCTION("""COMPUTED_VALUE"""),45293.64583333333)</f>
        <v>45293.64583</v>
      </c>
      <c r="CT12" s="45">
        <f>IFERROR(__xludf.DUMMYFUNCTION("""COMPUTED_VALUE"""),191.2)</f>
        <v>191.2</v>
      </c>
      <c r="CU12" s="46">
        <f t="shared" si="25"/>
        <v>-0.03434343434</v>
      </c>
      <c r="CV12" s="47"/>
      <c r="CW12" s="37">
        <f>IFERROR(__xludf.DUMMYFUNCTION("""COMPUTED_VALUE"""),45293.64583333333)</f>
        <v>45293.64583</v>
      </c>
      <c r="CX12" s="45">
        <f>IFERROR(__xludf.DUMMYFUNCTION("""COMPUTED_VALUE"""),687.0)</f>
        <v>687</v>
      </c>
      <c r="CY12" s="46">
        <f t="shared" si="26"/>
        <v>-0.00690971118</v>
      </c>
      <c r="CZ12" s="47"/>
      <c r="DA12" s="37">
        <f>IFERROR(__xludf.DUMMYFUNCTION("""COMPUTED_VALUE"""),45293.64583333333)</f>
        <v>45293.64583</v>
      </c>
      <c r="DB12" s="45">
        <f>IFERROR(__xludf.DUMMYFUNCTION("""COMPUTED_VALUE"""),27.0)</f>
        <v>27</v>
      </c>
      <c r="DC12" s="46">
        <f t="shared" si="27"/>
        <v>-0.03225806452</v>
      </c>
      <c r="DD12" s="47"/>
      <c r="DE12" s="37">
        <f>IFERROR(__xludf.DUMMYFUNCTION("""COMPUTED_VALUE"""),45293.64583333333)</f>
        <v>45293.64583</v>
      </c>
      <c r="DF12" s="45">
        <f>IFERROR(__xludf.DUMMYFUNCTION("""COMPUTED_VALUE"""),112.2)</f>
        <v>112.2</v>
      </c>
      <c r="DG12" s="46">
        <f t="shared" si="28"/>
        <v>-0.009708737864</v>
      </c>
      <c r="DH12" s="47"/>
      <c r="DI12" s="37">
        <f>IFERROR(__xludf.DUMMYFUNCTION("""COMPUTED_VALUE"""),45293.64583333333)</f>
        <v>45293.64583</v>
      </c>
      <c r="DJ12" s="45">
        <f>IFERROR(__xludf.DUMMYFUNCTION("""COMPUTED_VALUE"""),1575.05)</f>
        <v>1575.05</v>
      </c>
      <c r="DK12" s="46">
        <f t="shared" si="29"/>
        <v>-0.01853813559</v>
      </c>
      <c r="DL12" s="47"/>
      <c r="DM12" s="37">
        <f>IFERROR(__xludf.DUMMYFUNCTION("""COMPUTED_VALUE"""),45293.64583333333)</f>
        <v>45293.64583</v>
      </c>
      <c r="DN12" s="45">
        <f>IFERROR(__xludf.DUMMYFUNCTION("""COMPUTED_VALUE"""),587.2)</f>
        <v>587.2</v>
      </c>
      <c r="DO12" s="46">
        <f t="shared" si="30"/>
        <v>0.09521589108</v>
      </c>
      <c r="DP12" s="47"/>
      <c r="DQ12" s="37">
        <f>IFERROR(__xludf.DUMMYFUNCTION("""COMPUTED_VALUE"""),45293.64583333333)</f>
        <v>45293.64583</v>
      </c>
      <c r="DR12" s="45">
        <f>IFERROR(__xludf.DUMMYFUNCTION("""COMPUTED_VALUE"""),226.0)</f>
        <v>226</v>
      </c>
      <c r="DS12" s="46">
        <f t="shared" si="31"/>
        <v>0.03669724771</v>
      </c>
      <c r="DT12" s="47"/>
      <c r="DU12" s="37">
        <f>IFERROR(__xludf.DUMMYFUNCTION("""COMPUTED_VALUE"""),45293.64583333333)</f>
        <v>45293.64583</v>
      </c>
      <c r="DV12" s="45">
        <f>IFERROR(__xludf.DUMMYFUNCTION("""COMPUTED_VALUE"""),868.4)</f>
        <v>868.4</v>
      </c>
      <c r="DW12" s="46">
        <f t="shared" si="32"/>
        <v>0.02104644327</v>
      </c>
      <c r="DX12" s="47"/>
      <c r="DY12" s="37">
        <f>IFERROR(__xludf.DUMMYFUNCTION("""COMPUTED_VALUE"""),45293.64583333333)</f>
        <v>45293.64583</v>
      </c>
      <c r="DZ12" s="45">
        <f>IFERROR(__xludf.DUMMYFUNCTION("""COMPUTED_VALUE"""),11.65)</f>
        <v>11.65</v>
      </c>
      <c r="EA12" s="46">
        <f t="shared" si="33"/>
        <v>0.07373271889</v>
      </c>
      <c r="EB12" s="47"/>
      <c r="EC12" s="37">
        <f>IFERROR(__xludf.DUMMYFUNCTION("""COMPUTED_VALUE"""),45293.64583333333)</f>
        <v>45293.64583</v>
      </c>
      <c r="ED12" s="45">
        <f>IFERROR(__xludf.DUMMYFUNCTION("""COMPUTED_VALUE"""),2719.5)</f>
        <v>2719.5</v>
      </c>
      <c r="EE12" s="46">
        <f t="shared" si="34"/>
        <v>0.02816635161</v>
      </c>
      <c r="EF12" s="47"/>
      <c r="EG12" s="37">
        <f>IFERROR(__xludf.DUMMYFUNCTION("""COMPUTED_VALUE"""),45293.64583333333)</f>
        <v>45293.64583</v>
      </c>
      <c r="EH12" s="45">
        <f>IFERROR(__xludf.DUMMYFUNCTION("""COMPUTED_VALUE"""),663.45)</f>
        <v>663.45</v>
      </c>
      <c r="EI12" s="46">
        <f t="shared" si="35"/>
        <v>0.02289546716</v>
      </c>
      <c r="EJ12" s="47"/>
      <c r="EK12" s="37">
        <f>IFERROR(__xludf.DUMMYFUNCTION("""COMPUTED_VALUE"""),45293.64583333333)</f>
        <v>45293.64583</v>
      </c>
      <c r="EL12" s="45">
        <f>IFERROR(__xludf.DUMMYFUNCTION("""COMPUTED_VALUE"""),197.4)</f>
        <v>197.4</v>
      </c>
      <c r="EM12" s="46">
        <f t="shared" si="36"/>
        <v>-0.02277227723</v>
      </c>
      <c r="EN12" s="47"/>
      <c r="EO12" s="37">
        <f>IFERROR(__xludf.DUMMYFUNCTION("""COMPUTED_VALUE"""),45293.64583333333)</f>
        <v>45293.64583</v>
      </c>
      <c r="EP12" s="45">
        <f>IFERROR(__xludf.DUMMYFUNCTION("""COMPUTED_VALUE"""),167.6)</f>
        <v>167.6</v>
      </c>
      <c r="EQ12" s="46">
        <f t="shared" si="37"/>
        <v>0.08163923846</v>
      </c>
      <c r="ER12" s="47"/>
      <c r="ES12" s="37">
        <f>IFERROR(__xludf.DUMMYFUNCTION("""COMPUTED_VALUE"""),45293.64583333333)</f>
        <v>45293.64583</v>
      </c>
      <c r="ET12" s="45">
        <f>IFERROR(__xludf.DUMMYFUNCTION("""COMPUTED_VALUE"""),198.45)</f>
        <v>198.45</v>
      </c>
      <c r="EU12" s="46">
        <f t="shared" si="38"/>
        <v>0.0210959609</v>
      </c>
      <c r="EV12" s="47"/>
      <c r="EW12" s="37">
        <f>IFERROR(__xludf.DUMMYFUNCTION("""COMPUTED_VALUE"""),45293.64583333333)</f>
        <v>45293.64583</v>
      </c>
      <c r="EX12" s="45">
        <f>IFERROR(__xludf.DUMMYFUNCTION("""COMPUTED_VALUE"""),687.9)</f>
        <v>687.9</v>
      </c>
      <c r="EY12" s="46">
        <f t="shared" si="39"/>
        <v>0.06157407407</v>
      </c>
      <c r="EZ12" s="47"/>
      <c r="FA12" s="37">
        <f>IFERROR(__xludf.DUMMYFUNCTION("""COMPUTED_VALUE"""),45293.64583333333)</f>
        <v>45293.64583</v>
      </c>
      <c r="FB12" s="45">
        <f>IFERROR(__xludf.DUMMYFUNCTION("""COMPUTED_VALUE"""),182.5)</f>
        <v>182.5</v>
      </c>
      <c r="FC12" s="46">
        <f t="shared" si="40"/>
        <v>0.04644495413</v>
      </c>
      <c r="FD12" s="47"/>
      <c r="FE12" s="37">
        <f>IFERROR(__xludf.DUMMYFUNCTION("""COMPUTED_VALUE"""),45293.64583333333)</f>
        <v>45293.64583</v>
      </c>
      <c r="FF12" s="45">
        <f>IFERROR(__xludf.DUMMYFUNCTION("""COMPUTED_VALUE"""),331.15)</f>
        <v>331.15</v>
      </c>
      <c r="FG12" s="46">
        <f t="shared" si="41"/>
        <v>0.08645013123</v>
      </c>
      <c r="FH12" s="47"/>
      <c r="FI12" s="37">
        <f>IFERROR(__xludf.DUMMYFUNCTION("""COMPUTED_VALUE"""),45293.64583333333)</f>
        <v>45293.64583</v>
      </c>
      <c r="FJ12" s="45">
        <f>IFERROR(__xludf.DUMMYFUNCTION("""COMPUTED_VALUE"""),594.25)</f>
        <v>594.25</v>
      </c>
      <c r="FK12" s="46">
        <f t="shared" si="42"/>
        <v>-0.01947034073</v>
      </c>
      <c r="FL12" s="47"/>
      <c r="FM12" s="37">
        <f>IFERROR(__xludf.DUMMYFUNCTION("""COMPUTED_VALUE"""),45293.64583333333)</f>
        <v>45293.64583</v>
      </c>
      <c r="FN12" s="45">
        <f>IFERROR(__xludf.DUMMYFUNCTION("""COMPUTED_VALUE"""),94.15)</f>
        <v>94.15</v>
      </c>
      <c r="FO12" s="46">
        <f t="shared" si="43"/>
        <v>-0.008947368421</v>
      </c>
      <c r="FP12" s="47"/>
      <c r="FQ12" s="37">
        <f>IFERROR(__xludf.DUMMYFUNCTION("""COMPUTED_VALUE"""),45293.64583333333)</f>
        <v>45293.64583</v>
      </c>
      <c r="FR12" s="45">
        <f>IFERROR(__xludf.DUMMYFUNCTION("""COMPUTED_VALUE"""),4.35)</f>
        <v>4.35</v>
      </c>
      <c r="FS12" s="46">
        <f t="shared" si="44"/>
        <v>-0.2090909091</v>
      </c>
      <c r="FT12" s="47"/>
      <c r="FU12" s="37">
        <f>IFERROR(__xludf.DUMMYFUNCTION("""COMPUTED_VALUE"""),45293.64583333333)</f>
        <v>45293.64583</v>
      </c>
      <c r="FV12" s="45">
        <f>IFERROR(__xludf.DUMMYFUNCTION("""COMPUTED_VALUE"""),670.0)</f>
        <v>670</v>
      </c>
      <c r="FW12" s="46">
        <f t="shared" si="45"/>
        <v>0.003670137068</v>
      </c>
      <c r="FX12" s="47"/>
      <c r="FY12" s="37">
        <f>IFERROR(__xludf.DUMMYFUNCTION("""COMPUTED_VALUE"""),45293.64583333333)</f>
        <v>45293.64583</v>
      </c>
      <c r="FZ12" s="45">
        <f>IFERROR(__xludf.DUMMYFUNCTION("""COMPUTED_VALUE"""),150.0)</f>
        <v>150</v>
      </c>
      <c r="GA12" s="46">
        <f t="shared" si="46"/>
        <v>-0.1166077739</v>
      </c>
      <c r="GB12" s="47"/>
      <c r="GC12" s="37">
        <f>IFERROR(__xludf.DUMMYFUNCTION("""COMPUTED_VALUE"""),45293.64583333333)</f>
        <v>45293.64583</v>
      </c>
      <c r="GD12" s="45">
        <f>IFERROR(__xludf.DUMMYFUNCTION("""COMPUTED_VALUE"""),430.0)</f>
        <v>430</v>
      </c>
      <c r="GE12" s="46">
        <f t="shared" si="47"/>
        <v>-0.06906256766</v>
      </c>
      <c r="GF12" s="47"/>
      <c r="GG12" s="37">
        <f>IFERROR(__xludf.DUMMYFUNCTION("""COMPUTED_VALUE"""),45293.64583333333)</f>
        <v>45293.64583</v>
      </c>
      <c r="GH12" s="45">
        <f>IFERROR(__xludf.DUMMYFUNCTION("""COMPUTED_VALUE"""),5911.0)</f>
        <v>5911</v>
      </c>
      <c r="GI12" s="46">
        <f t="shared" si="48"/>
        <v>0.1154934893</v>
      </c>
      <c r="GJ12" s="47"/>
      <c r="GK12" s="37">
        <f>IFERROR(__xludf.DUMMYFUNCTION("""COMPUTED_VALUE"""),45293.64583333333)</f>
        <v>45293.64583</v>
      </c>
      <c r="GL12" s="45">
        <f>IFERROR(__xludf.DUMMYFUNCTION("""COMPUTED_VALUE"""),98.7)</f>
        <v>98.7</v>
      </c>
      <c r="GM12" s="46">
        <f t="shared" si="49"/>
        <v>-0.1296296296</v>
      </c>
      <c r="GN12" s="47"/>
      <c r="GO12" s="37">
        <f>IFERROR(__xludf.DUMMYFUNCTION("""COMPUTED_VALUE"""),45293.64583333333)</f>
        <v>45293.64583</v>
      </c>
      <c r="GP12" s="45">
        <f>IFERROR(__xludf.DUMMYFUNCTION("""COMPUTED_VALUE"""),1200.0)</f>
        <v>1200</v>
      </c>
      <c r="GQ12" s="46">
        <f t="shared" si="50"/>
        <v>0.09135555455</v>
      </c>
      <c r="GR12" s="47"/>
      <c r="GS12" s="37">
        <f>IFERROR(__xludf.DUMMYFUNCTION("""COMPUTED_VALUE"""),45293.64583333333)</f>
        <v>45293.64583</v>
      </c>
      <c r="GT12" s="45">
        <f>IFERROR(__xludf.DUMMYFUNCTION("""COMPUTED_VALUE"""),14.85)</f>
        <v>14.85</v>
      </c>
      <c r="GU12" s="46">
        <f t="shared" si="51"/>
        <v>0.1467181467</v>
      </c>
      <c r="GV12" s="47"/>
      <c r="GW12" s="37">
        <f>IFERROR(__xludf.DUMMYFUNCTION("""COMPUTED_VALUE"""),45294.64583333333)</f>
        <v>45294.64583</v>
      </c>
      <c r="GX12" s="45">
        <f>IFERROR(__xludf.DUMMYFUNCTION("""COMPUTED_VALUE"""),16.4)</f>
        <v>16.4</v>
      </c>
      <c r="GY12" s="46">
        <f t="shared" si="52"/>
        <v>-0.006060606061</v>
      </c>
      <c r="GZ12" s="47"/>
      <c r="HA12" s="37">
        <f>IFERROR(__xludf.DUMMYFUNCTION("""COMPUTED_VALUE"""),45294.64583333333)</f>
        <v>45294.64583</v>
      </c>
      <c r="HB12" s="45">
        <f>IFERROR(__xludf.DUMMYFUNCTION("""COMPUTED_VALUE"""),611.4)</f>
        <v>611.4</v>
      </c>
      <c r="HC12" s="46">
        <f t="shared" si="53"/>
        <v>0.005592105263</v>
      </c>
      <c r="HD12" s="47"/>
      <c r="HE12" s="43">
        <f>IFERROR(__xludf.DUMMYFUNCTION("""COMPUTED_VALUE"""),45294.64583333333)</f>
        <v>45294.64583</v>
      </c>
      <c r="HF12" s="45">
        <f>IFERROR(__xludf.DUMMYFUNCTION("""COMPUTED_VALUE"""),2505.0)</f>
        <v>2505</v>
      </c>
      <c r="HG12" s="46" t="str">
        <f t="shared" si="54"/>
        <v>#DIV/0!</v>
      </c>
      <c r="HH12" s="47"/>
      <c r="HI12" s="37">
        <f>IFERROR(__xludf.DUMMYFUNCTION("""COMPUTED_VALUE"""),45294.64583333333)</f>
        <v>45294.64583</v>
      </c>
      <c r="HJ12" s="45">
        <f>IFERROR(__xludf.DUMMYFUNCTION("""COMPUTED_VALUE"""),5189.95)</f>
        <v>5189.95</v>
      </c>
      <c r="HK12" s="46">
        <f t="shared" si="55"/>
        <v>0.01563585484</v>
      </c>
      <c r="HL12" s="47"/>
      <c r="HM12" s="37">
        <f>IFERROR(__xludf.DUMMYFUNCTION("""COMPUTED_VALUE"""),45294.64583333333)</f>
        <v>45294.64583</v>
      </c>
      <c r="HN12" s="45">
        <f>IFERROR(__xludf.DUMMYFUNCTION("""COMPUTED_VALUE"""),405.0)</f>
        <v>405</v>
      </c>
      <c r="HO12" s="46">
        <f t="shared" si="56"/>
        <v>-0.00381256918</v>
      </c>
      <c r="HP12" s="47"/>
      <c r="HQ12" s="37">
        <f>IFERROR(__xludf.DUMMYFUNCTION("""COMPUTED_VALUE"""),45294.64583333333)</f>
        <v>45294.64583</v>
      </c>
      <c r="HR12" s="45">
        <f>IFERROR(__xludf.DUMMYFUNCTION("""COMPUTED_VALUE"""),244.5)</f>
        <v>244.5</v>
      </c>
      <c r="HS12" s="46">
        <f t="shared" si="57"/>
        <v>-0.03853716083</v>
      </c>
      <c r="HT12" s="47"/>
      <c r="HU12" s="37">
        <f>IFERROR(__xludf.DUMMYFUNCTION("""COMPUTED_VALUE"""),45294.64583333333)</f>
        <v>45294.64583</v>
      </c>
      <c r="HV12" s="45">
        <f>IFERROR(__xludf.DUMMYFUNCTION("""COMPUTED_VALUE"""),61.75)</f>
        <v>61.75</v>
      </c>
      <c r="HW12" s="46">
        <f t="shared" si="58"/>
        <v>-0.01041666667</v>
      </c>
      <c r="HX12" s="47"/>
      <c r="HY12" s="37">
        <f>IFERROR(__xludf.DUMMYFUNCTION("""COMPUTED_VALUE"""),45294.64583333333)</f>
        <v>45294.64583</v>
      </c>
      <c r="HZ12" s="45">
        <f>IFERROR(__xludf.DUMMYFUNCTION("""COMPUTED_VALUE"""),396.0)</f>
        <v>396</v>
      </c>
      <c r="IA12" s="46">
        <f t="shared" si="59"/>
        <v>-0.1483870968</v>
      </c>
      <c r="IB12" s="47"/>
      <c r="IC12" s="37">
        <f>IFERROR(__xludf.DUMMYFUNCTION("""COMPUTED_VALUE"""),45294.64583333333)</f>
        <v>45294.64583</v>
      </c>
      <c r="ID12" s="45">
        <f>IFERROR(__xludf.DUMMYFUNCTION("""COMPUTED_VALUE"""),75.9)</f>
        <v>75.9</v>
      </c>
      <c r="IE12" s="46">
        <f t="shared" si="60"/>
        <v>-0.827008547</v>
      </c>
      <c r="IF12" s="47"/>
      <c r="IG12" s="37">
        <f>IFERROR(__xludf.DUMMYFUNCTION("""COMPUTED_VALUE"""),45294.64583333333)</f>
        <v>45294.64583</v>
      </c>
      <c r="IH12" s="45">
        <f>IFERROR(__xludf.DUMMYFUNCTION("""COMPUTED_VALUE"""),511.75)</f>
        <v>511.75</v>
      </c>
      <c r="II12" s="46">
        <f t="shared" si="61"/>
        <v>-0.03986866792</v>
      </c>
      <c r="IJ12" s="47"/>
      <c r="IK12" s="37">
        <f>IFERROR(__xludf.DUMMYFUNCTION("""COMPUTED_VALUE"""),45294.64583333333)</f>
        <v>45294.64583</v>
      </c>
      <c r="IL12" s="45">
        <f>IFERROR(__xludf.DUMMYFUNCTION("""COMPUTED_VALUE"""),629.35)</f>
        <v>629.35</v>
      </c>
      <c r="IM12" s="46">
        <f t="shared" si="62"/>
        <v>0.01844809451</v>
      </c>
      <c r="IN12" s="47"/>
      <c r="IO12" s="37">
        <f>IFERROR(__xludf.DUMMYFUNCTION("""COMPUTED_VALUE"""),45294.64583333333)</f>
        <v>45294.64583</v>
      </c>
      <c r="IP12" s="45">
        <f>IFERROR(__xludf.DUMMYFUNCTION("""COMPUTED_VALUE"""),136.04)</f>
        <v>136.04</v>
      </c>
      <c r="IQ12" s="46">
        <f t="shared" si="63"/>
        <v>0.0823454531</v>
      </c>
      <c r="IR12" s="47"/>
      <c r="IS12" s="37">
        <f>IFERROR(__xludf.DUMMYFUNCTION("""COMPUTED_VALUE"""),45294.64583333333)</f>
        <v>45294.64583</v>
      </c>
      <c r="IT12" s="45">
        <f>IFERROR(__xludf.DUMMYFUNCTION("""COMPUTED_VALUE"""),1063.0)</f>
        <v>1063</v>
      </c>
      <c r="IU12" s="46">
        <f t="shared" si="64"/>
        <v>0.05876494024</v>
      </c>
      <c r="IV12" s="47"/>
      <c r="IW12" s="37">
        <f>IFERROR(__xludf.DUMMYFUNCTION("""COMPUTED_VALUE"""),45294.64583333333)</f>
        <v>45294.64583</v>
      </c>
      <c r="IX12" s="45">
        <f>IFERROR(__xludf.DUMMYFUNCTION("""COMPUTED_VALUE"""),208.3)</f>
        <v>208.3</v>
      </c>
      <c r="IY12" s="46">
        <f t="shared" si="65"/>
        <v>0.01141053654</v>
      </c>
      <c r="IZ12" s="47"/>
      <c r="JA12" s="37">
        <f>IFERROR(__xludf.DUMMYFUNCTION("""COMPUTED_VALUE"""),45294.64583333333)</f>
        <v>45294.64583</v>
      </c>
      <c r="JB12" s="45">
        <f>IFERROR(__xludf.DUMMYFUNCTION("""COMPUTED_VALUE"""),36451.9)</f>
        <v>36451.9</v>
      </c>
      <c r="JC12" s="46">
        <f t="shared" si="66"/>
        <v>0.02963761187</v>
      </c>
      <c r="JD12" s="47"/>
      <c r="JE12" s="37">
        <f>IFERROR(__xludf.DUMMYFUNCTION("""COMPUTED_VALUE"""),45294.64583333333)</f>
        <v>45294.64583</v>
      </c>
      <c r="JF12" s="45">
        <f>IFERROR(__xludf.DUMMYFUNCTION("""COMPUTED_VALUE"""),656.8)</f>
        <v>656.8</v>
      </c>
      <c r="JG12" s="46">
        <f t="shared" si="67"/>
        <v>0.01829457364</v>
      </c>
      <c r="JH12" s="47"/>
      <c r="JI12" s="37">
        <f>IFERROR(__xludf.DUMMYFUNCTION("""COMPUTED_VALUE"""),45294.64583333333)</f>
        <v>45294.64583</v>
      </c>
      <c r="JJ12" s="45">
        <f>IFERROR(__xludf.DUMMYFUNCTION("""COMPUTED_VALUE"""),311.2)</f>
        <v>311.2</v>
      </c>
      <c r="JK12" s="46">
        <f t="shared" si="68"/>
        <v>-0.06812397065</v>
      </c>
      <c r="JL12" s="47"/>
      <c r="JM12" s="37">
        <f>IFERROR(__xludf.DUMMYFUNCTION("""COMPUTED_VALUE"""),45294.64583333333)</f>
        <v>45294.64583</v>
      </c>
      <c r="JN12" s="45">
        <f>IFERROR(__xludf.DUMMYFUNCTION("""COMPUTED_VALUE"""),16.25)</f>
        <v>16.25</v>
      </c>
      <c r="JO12" s="46">
        <f t="shared" si="69"/>
        <v>-0.962962963</v>
      </c>
      <c r="JP12" s="47"/>
      <c r="JQ12" s="37">
        <f>IFERROR(__xludf.DUMMYFUNCTION("""COMPUTED_VALUE"""),45294.64583333333)</f>
        <v>45294.64583</v>
      </c>
      <c r="JR12" s="45">
        <f>IFERROR(__xludf.DUMMYFUNCTION("""COMPUTED_VALUE"""),105.0)</f>
        <v>105</v>
      </c>
      <c r="JS12" s="46">
        <f t="shared" si="70"/>
        <v>-0.2279411765</v>
      </c>
      <c r="JT12" s="47"/>
      <c r="JU12" s="37">
        <f>IFERROR(__xludf.DUMMYFUNCTION("""COMPUTED_VALUE"""),45294.64583333333)</f>
        <v>45294.64583</v>
      </c>
      <c r="JV12" s="45">
        <f>IFERROR(__xludf.DUMMYFUNCTION("""COMPUTED_VALUE"""),266.7)</f>
        <v>266.7</v>
      </c>
      <c r="JW12" s="46">
        <f t="shared" si="71"/>
        <v>-0.3921367521</v>
      </c>
      <c r="JX12" s="47"/>
      <c r="JY12" s="37">
        <f>IFERROR(__xludf.DUMMYFUNCTION("""COMPUTED_VALUE"""),45294.64583333333)</f>
        <v>45294.64583</v>
      </c>
      <c r="JZ12" s="45">
        <f>IFERROR(__xludf.DUMMYFUNCTION("""COMPUTED_VALUE"""),698.0)</f>
        <v>698</v>
      </c>
      <c r="KA12" s="46">
        <f t="shared" si="72"/>
        <v>0.2667876588</v>
      </c>
      <c r="KB12" s="47"/>
      <c r="KC12" s="37">
        <f>IFERROR(__xludf.DUMMYFUNCTION("""COMPUTED_VALUE"""),45294.64583333333)</f>
        <v>45294.64583</v>
      </c>
      <c r="KD12" s="45">
        <f>IFERROR(__xludf.DUMMYFUNCTION("""COMPUTED_VALUE"""),837.88)</f>
        <v>837.88</v>
      </c>
      <c r="KE12" s="46">
        <f t="shared" si="73"/>
        <v>-0.04083338103</v>
      </c>
      <c r="KF12" s="47"/>
      <c r="KG12" s="37">
        <f>IFERROR(__xludf.DUMMYFUNCTION("""COMPUTED_VALUE"""),45294.64583333333)</f>
        <v>45294.64583</v>
      </c>
      <c r="KH12" s="45">
        <f>IFERROR(__xludf.DUMMYFUNCTION("""COMPUTED_VALUE"""),377.4)</f>
        <v>377.4</v>
      </c>
      <c r="KI12" s="46">
        <f t="shared" si="74"/>
        <v>-0.03230769231</v>
      </c>
      <c r="KJ12" s="47"/>
      <c r="KK12" s="37">
        <f>IFERROR(__xludf.DUMMYFUNCTION("""COMPUTED_VALUE"""),45294.64583333333)</f>
        <v>45294.64583</v>
      </c>
      <c r="KL12" s="45">
        <f>IFERROR(__xludf.DUMMYFUNCTION("""COMPUTED_VALUE"""),9.25)</f>
        <v>9.25</v>
      </c>
      <c r="KM12" s="46">
        <f t="shared" si="75"/>
        <v>-0.005376344086</v>
      </c>
      <c r="KN12" s="47"/>
      <c r="KO12" s="37">
        <f>IFERROR(__xludf.DUMMYFUNCTION("""COMPUTED_VALUE"""),45294.64583333333)</f>
        <v>45294.64583</v>
      </c>
      <c r="KP12" s="45">
        <f>IFERROR(__xludf.DUMMYFUNCTION("""COMPUTED_VALUE"""),237.0)</f>
        <v>237</v>
      </c>
      <c r="KQ12" s="46">
        <f t="shared" si="76"/>
        <v>0.1657648795</v>
      </c>
      <c r="KR12" s="47"/>
      <c r="KS12" s="37">
        <f>IFERROR(__xludf.DUMMYFUNCTION("""COMPUTED_VALUE"""),45294.64583333333)</f>
        <v>45294.64583</v>
      </c>
      <c r="KT12" s="45">
        <f>IFERROR(__xludf.DUMMYFUNCTION("""COMPUTED_VALUE"""),11.85)</f>
        <v>11.85</v>
      </c>
      <c r="KU12" s="46">
        <f t="shared" si="77"/>
        <v>0.07239819005</v>
      </c>
      <c r="KV12" s="47"/>
      <c r="KW12" s="37">
        <f>IFERROR(__xludf.DUMMYFUNCTION("""COMPUTED_VALUE"""),45294.64583333333)</f>
        <v>45294.64583</v>
      </c>
      <c r="KX12" s="45">
        <f>IFERROR(__xludf.DUMMYFUNCTION("""COMPUTED_VALUE"""),2625.95)</f>
        <v>2625.95</v>
      </c>
      <c r="KY12" s="46">
        <f t="shared" si="78"/>
        <v>-0.01647970936</v>
      </c>
      <c r="KZ12" s="47"/>
      <c r="LA12" s="37">
        <f>IFERROR(__xludf.DUMMYFUNCTION("""COMPUTED_VALUE"""),45294.64583333333)</f>
        <v>45294.64583</v>
      </c>
      <c r="LB12" s="45">
        <f>IFERROR(__xludf.DUMMYFUNCTION("""COMPUTED_VALUE"""),19.5)</f>
        <v>19.5</v>
      </c>
      <c r="LC12" s="46">
        <f t="shared" si="79"/>
        <v>0.03448275862</v>
      </c>
      <c r="LD12" s="47"/>
      <c r="LE12" s="37">
        <f>IFERROR(__xludf.DUMMYFUNCTION("""COMPUTED_VALUE"""),45294.64583333333)</f>
        <v>45294.64583</v>
      </c>
      <c r="LF12" s="45">
        <f>IFERROR(__xludf.DUMMYFUNCTION("""COMPUTED_VALUE"""),119.0)</f>
        <v>119</v>
      </c>
      <c r="LG12" s="46">
        <f t="shared" si="80"/>
        <v>-0.048</v>
      </c>
      <c r="LH12" s="47"/>
      <c r="LI12" s="37">
        <f>IFERROR(__xludf.DUMMYFUNCTION("""COMPUTED_VALUE"""),45294.64583333333)</f>
        <v>45294.64583</v>
      </c>
      <c r="LJ12" s="45">
        <f>IFERROR(__xludf.DUMMYFUNCTION("""COMPUTED_VALUE"""),758.55)</f>
        <v>758.55</v>
      </c>
      <c r="LK12" s="46">
        <f t="shared" si="81"/>
        <v>0.04196428571</v>
      </c>
      <c r="LL12" s="47"/>
      <c r="LM12" s="37">
        <f>IFERROR(__xludf.DUMMYFUNCTION("""COMPUTED_VALUE"""),45294.64583333333)</f>
        <v>45294.64583</v>
      </c>
      <c r="LN12" s="45">
        <f>IFERROR(__xludf.DUMMYFUNCTION("""COMPUTED_VALUE"""),840.0)</f>
        <v>840</v>
      </c>
      <c r="LO12" s="46">
        <f t="shared" si="82"/>
        <v>-0.01754385965</v>
      </c>
      <c r="LP12" s="47"/>
      <c r="LQ12" s="37">
        <f>IFERROR(__xludf.DUMMYFUNCTION("""COMPUTED_VALUE"""),45294.64583333333)</f>
        <v>45294.64583</v>
      </c>
      <c r="LR12" s="45">
        <f>IFERROR(__xludf.DUMMYFUNCTION("""COMPUTED_VALUE"""),359.0)</f>
        <v>359</v>
      </c>
      <c r="LS12" s="46">
        <f t="shared" si="83"/>
        <v>-0.017515052</v>
      </c>
      <c r="LT12" s="47"/>
      <c r="LU12" s="37">
        <f>IFERROR(__xludf.DUMMYFUNCTION("""COMPUTED_VALUE"""),45294.64583333333)</f>
        <v>45294.64583</v>
      </c>
      <c r="LV12" s="45">
        <f>IFERROR(__xludf.DUMMYFUNCTION("""COMPUTED_VALUE"""),131.85)</f>
        <v>131.85</v>
      </c>
      <c r="LW12" s="46">
        <f t="shared" si="84"/>
        <v>-0.03618421053</v>
      </c>
      <c r="LX12" s="47"/>
      <c r="LY12" s="37">
        <f>IFERROR(__xludf.DUMMYFUNCTION("""COMPUTED_VALUE"""),45294.64583333333)</f>
        <v>45294.64583</v>
      </c>
      <c r="LZ12" s="45">
        <f>IFERROR(__xludf.DUMMYFUNCTION("""COMPUTED_VALUE"""),589.0)</f>
        <v>589</v>
      </c>
      <c r="MA12" s="46">
        <f t="shared" si="85"/>
        <v>-0.05</v>
      </c>
      <c r="MB12" s="47"/>
      <c r="MC12" s="37"/>
      <c r="MD12" s="45"/>
      <c r="ME12" s="46" t="str">
        <f t="shared" si="86"/>
        <v>#DIV/0!</v>
      </c>
      <c r="MF12" s="47"/>
      <c r="MG12" s="37">
        <f>IFERROR(__xludf.DUMMYFUNCTION("""COMPUTED_VALUE"""),45294.64583333333)</f>
        <v>45294.64583</v>
      </c>
      <c r="MH12" s="45">
        <f>IFERROR(__xludf.DUMMYFUNCTION("""COMPUTED_VALUE"""),2040.0)</f>
        <v>2040</v>
      </c>
      <c r="MI12" s="46">
        <f t="shared" si="87"/>
        <v>0.04031209363</v>
      </c>
      <c r="MJ12" s="47"/>
      <c r="MK12" s="37">
        <f>IFERROR(__xludf.DUMMYFUNCTION("""COMPUTED_VALUE"""),45294.64583333333)</f>
        <v>45294.64583</v>
      </c>
      <c r="ML12" s="45">
        <f>IFERROR(__xludf.DUMMYFUNCTION("""COMPUTED_VALUE"""),389.8)</f>
        <v>389.8</v>
      </c>
      <c r="MM12" s="46">
        <f t="shared" si="88"/>
        <v>-0.02537817227</v>
      </c>
      <c r="MN12" s="47"/>
      <c r="MO12" s="37">
        <f>IFERROR(__xludf.DUMMYFUNCTION("""COMPUTED_VALUE"""),45294.64583333333)</f>
        <v>45294.64583</v>
      </c>
      <c r="MP12" s="45">
        <f>IFERROR(__xludf.DUMMYFUNCTION("""COMPUTED_VALUE"""),726.3)</f>
        <v>726.3</v>
      </c>
      <c r="MQ12" s="46">
        <f t="shared" si="89"/>
        <v>-0.01851351351</v>
      </c>
      <c r="MR12" s="47"/>
      <c r="MS12" s="37">
        <f>IFERROR(__xludf.DUMMYFUNCTION("""COMPUTED_VALUE"""),45294.64583333333)</f>
        <v>45294.64583</v>
      </c>
      <c r="MT12" s="45">
        <f>IFERROR(__xludf.DUMMYFUNCTION("""COMPUTED_VALUE"""),65.25)</f>
        <v>65.25</v>
      </c>
      <c r="MU12" s="46">
        <f t="shared" si="90"/>
        <v>-0.01360544218</v>
      </c>
      <c r="MV12" s="47"/>
      <c r="MW12" s="37">
        <f>IFERROR(__xludf.DUMMYFUNCTION("""COMPUTED_VALUE"""),45294.64583333333)</f>
        <v>45294.64583</v>
      </c>
      <c r="MX12" s="45">
        <f>IFERROR(__xludf.DUMMYFUNCTION("""COMPUTED_VALUE"""),3216.25)</f>
        <v>3216.25</v>
      </c>
      <c r="MY12" s="46">
        <f t="shared" si="91"/>
        <v>0.02200508421</v>
      </c>
      <c r="MZ12" s="47"/>
      <c r="NA12" s="37">
        <f>IFERROR(__xludf.DUMMYFUNCTION("""COMPUTED_VALUE"""),45294.64583333333)</f>
        <v>45294.64583</v>
      </c>
      <c r="NB12" s="45">
        <f>IFERROR(__xludf.DUMMYFUNCTION("""COMPUTED_VALUE"""),15.55)</f>
        <v>15.55</v>
      </c>
      <c r="NC12" s="46">
        <f t="shared" si="92"/>
        <v>0.2292490119</v>
      </c>
      <c r="ND12" s="47"/>
      <c r="NE12" s="37">
        <f>IFERROR(__xludf.DUMMYFUNCTION("""COMPUTED_VALUE"""),45295.64583333333)</f>
        <v>45295.64583</v>
      </c>
      <c r="NF12" s="45">
        <f>IFERROR(__xludf.DUMMYFUNCTION("""COMPUTED_VALUE"""),402.9)</f>
        <v>402.9</v>
      </c>
      <c r="NG12" s="46">
        <f t="shared" si="93"/>
        <v>0.05209557383</v>
      </c>
      <c r="NH12" s="47"/>
      <c r="NI12" s="37">
        <f>IFERROR(__xludf.DUMMYFUNCTION("""COMPUTED_VALUE"""),45295.64583333333)</f>
        <v>45295.64583</v>
      </c>
      <c r="NJ12" s="45">
        <f>IFERROR(__xludf.DUMMYFUNCTION("""COMPUTED_VALUE"""),278.77)</f>
        <v>278.77</v>
      </c>
      <c r="NK12" s="46">
        <f t="shared" si="94"/>
        <v>0.04537443282</v>
      </c>
      <c r="NL12" s="47"/>
      <c r="NM12" s="37">
        <f>IFERROR(__xludf.DUMMYFUNCTION("""COMPUTED_VALUE"""),45295.64583333333)</f>
        <v>45295.64583</v>
      </c>
      <c r="NN12" s="45">
        <f>IFERROR(__xludf.DUMMYFUNCTION("""COMPUTED_VALUE"""),120.7)</f>
        <v>120.7</v>
      </c>
      <c r="NO12" s="46">
        <f t="shared" si="95"/>
        <v>-0.02108678021</v>
      </c>
      <c r="NP12" s="47"/>
      <c r="NQ12" s="37">
        <f>IFERROR(__xludf.DUMMYFUNCTION("""COMPUTED_VALUE"""),45295.64583333333)</f>
        <v>45295.64583</v>
      </c>
      <c r="NR12" s="45">
        <f>IFERROR(__xludf.DUMMYFUNCTION("""COMPUTED_VALUE"""),4006.15)</f>
        <v>4006.15</v>
      </c>
      <c r="NS12" s="46">
        <f t="shared" si="96"/>
        <v>-0.04067289272</v>
      </c>
      <c r="NT12" s="47"/>
      <c r="NU12" s="37">
        <f>IFERROR(__xludf.DUMMYFUNCTION("""COMPUTED_VALUE"""),45295.64583333333)</f>
        <v>45295.64583</v>
      </c>
      <c r="NV12" s="45">
        <f>IFERROR(__xludf.DUMMYFUNCTION("""COMPUTED_VALUE"""),13.45)</f>
        <v>13.45</v>
      </c>
      <c r="NW12" s="46">
        <f t="shared" si="97"/>
        <v>0.05905511811</v>
      </c>
      <c r="NX12" s="47"/>
      <c r="NY12" s="37">
        <f>IFERROR(__xludf.DUMMYFUNCTION("""COMPUTED_VALUE"""),45295.64583333333)</f>
        <v>45295.64583</v>
      </c>
      <c r="NZ12" s="45">
        <f>IFERROR(__xludf.DUMMYFUNCTION("""COMPUTED_VALUE"""),303.4)</f>
        <v>303.4</v>
      </c>
      <c r="OA12" s="46">
        <f t="shared" si="98"/>
        <v>0.2293354943</v>
      </c>
      <c r="OB12" s="47"/>
      <c r="OC12" s="37">
        <f>IFERROR(__xludf.DUMMYFUNCTION("""COMPUTED_VALUE"""),45295.64583333333)</f>
        <v>45295.64583</v>
      </c>
      <c r="OD12" s="45">
        <f>IFERROR(__xludf.DUMMYFUNCTION("""COMPUTED_VALUE"""),1128.6)</f>
        <v>1128.6</v>
      </c>
      <c r="OE12" s="46">
        <f t="shared" si="99"/>
        <v>0.07082878694</v>
      </c>
      <c r="OF12" s="47"/>
      <c r="OG12" s="37">
        <f>IFERROR(__xludf.DUMMYFUNCTION("""COMPUTED_VALUE"""),45295.64583333333)</f>
        <v>45295.64583</v>
      </c>
      <c r="OH12" s="45">
        <f>IFERROR(__xludf.DUMMYFUNCTION("""COMPUTED_VALUE"""),2475.0)</f>
        <v>2475</v>
      </c>
      <c r="OI12" s="46">
        <f t="shared" si="100"/>
        <v>0.01442741208</v>
      </c>
      <c r="OJ12" s="47"/>
      <c r="OK12" s="37"/>
      <c r="OL12" s="45"/>
      <c r="OM12" s="46" t="str">
        <f t="shared" si="101"/>
        <v>#DIV/0!</v>
      </c>
      <c r="ON12" s="47"/>
    </row>
    <row r="13" ht="12.0" customHeight="1">
      <c r="A13" s="37">
        <f>IFERROR(__xludf.DUMMYFUNCTION("""COMPUTED_VALUE"""),45294.64583333333)</f>
        <v>45294.64583</v>
      </c>
      <c r="B13" s="45">
        <f>IFERROR(__xludf.DUMMYFUNCTION("""COMPUTED_VALUE"""),437.2)</f>
        <v>437.2</v>
      </c>
      <c r="C13" s="46">
        <f t="shared" si="1"/>
        <v>-0.003532763533</v>
      </c>
      <c r="D13" s="37"/>
      <c r="E13" s="37">
        <f>IFERROR(__xludf.DUMMYFUNCTION("""COMPUTED_VALUE"""),45294.64583333333)</f>
        <v>45294.64583</v>
      </c>
      <c r="F13" s="45">
        <f>IFERROR(__xludf.DUMMYFUNCTION("""COMPUTED_VALUE"""),630.2)</f>
        <v>630.2</v>
      </c>
      <c r="G13" s="46">
        <f t="shared" si="2"/>
        <v>-0.03786259542</v>
      </c>
      <c r="H13" s="37"/>
      <c r="I13" s="37">
        <f>IFERROR(__xludf.DUMMYFUNCTION("""COMPUTED_VALUE"""),45294.64583333333)</f>
        <v>45294.64583</v>
      </c>
      <c r="J13" s="45">
        <f>IFERROR(__xludf.DUMMYFUNCTION("""COMPUTED_VALUE"""),184.7)</f>
        <v>184.7</v>
      </c>
      <c r="K13" s="46">
        <f t="shared" si="3"/>
        <v>0.003804347826</v>
      </c>
      <c r="L13" s="37"/>
      <c r="M13" s="37">
        <f>IFERROR(__xludf.DUMMYFUNCTION("""COMPUTED_VALUE"""),45294.64583333333)</f>
        <v>45294.64583</v>
      </c>
      <c r="N13" s="45">
        <f>IFERROR(__xludf.DUMMYFUNCTION("""COMPUTED_VALUE"""),90.4)</f>
        <v>90.4</v>
      </c>
      <c r="O13" s="46">
        <f t="shared" si="4"/>
        <v>0.0462962963</v>
      </c>
      <c r="P13" s="37"/>
      <c r="Q13" s="37">
        <f>IFERROR(__xludf.DUMMYFUNCTION("""COMPUTED_VALUE"""),45294.64583333333)</f>
        <v>45294.64583</v>
      </c>
      <c r="R13" s="45">
        <f>IFERROR(__xludf.DUMMYFUNCTION("""COMPUTED_VALUE"""),51.95)</f>
        <v>51.95</v>
      </c>
      <c r="S13" s="46">
        <f t="shared" si="5"/>
        <v>-0.01047619048</v>
      </c>
      <c r="T13" s="37"/>
      <c r="U13" s="37">
        <f>IFERROR(__xludf.DUMMYFUNCTION("""COMPUTED_VALUE"""),45294.64583333333)</f>
        <v>45294.64583</v>
      </c>
      <c r="V13" s="45">
        <f>IFERROR(__xludf.DUMMYFUNCTION("""COMPUTED_VALUE"""),789.75)</f>
        <v>789.75</v>
      </c>
      <c r="W13" s="46">
        <f t="shared" si="6"/>
        <v>0.1922554348</v>
      </c>
      <c r="X13" s="37"/>
      <c r="Y13" s="37">
        <f>IFERROR(__xludf.DUMMYFUNCTION("""COMPUTED_VALUE"""),45294.64583333333)</f>
        <v>45294.64583</v>
      </c>
      <c r="Z13" s="45">
        <f>IFERROR(__xludf.DUMMYFUNCTION("""COMPUTED_VALUE"""),192.6)</f>
        <v>192.6</v>
      </c>
      <c r="AA13" s="46">
        <f t="shared" si="7"/>
        <v>0.04108108108</v>
      </c>
      <c r="AB13" s="37"/>
      <c r="AC13" s="37">
        <f>IFERROR(__xludf.DUMMYFUNCTION("""COMPUTED_VALUE"""),45294.64583333333)</f>
        <v>45294.64583</v>
      </c>
      <c r="AD13" s="45">
        <f>IFERROR(__xludf.DUMMYFUNCTION("""COMPUTED_VALUE"""),2505.0)</f>
        <v>2505</v>
      </c>
      <c r="AE13" s="46">
        <f t="shared" si="8"/>
        <v>0.05495893872</v>
      </c>
      <c r="AF13" s="37"/>
      <c r="AG13" s="37">
        <f>IFERROR(__xludf.DUMMYFUNCTION("""COMPUTED_VALUE"""),45294.64583333333)</f>
        <v>45294.64583</v>
      </c>
      <c r="AH13" s="45">
        <f>IFERROR(__xludf.DUMMYFUNCTION("""COMPUTED_VALUE"""),774.0)</f>
        <v>774</v>
      </c>
      <c r="AI13" s="46">
        <f t="shared" si="9"/>
        <v>-0.07857142857</v>
      </c>
      <c r="AJ13" s="37"/>
      <c r="AK13" s="37">
        <f>IFERROR(__xludf.DUMMYFUNCTION("""COMPUTED_VALUE"""),45294.64583333333)</f>
        <v>45294.64583</v>
      </c>
      <c r="AL13" s="45">
        <f>IFERROR(__xludf.DUMMYFUNCTION("""COMPUTED_VALUE"""),5189.95)</f>
        <v>5189.95</v>
      </c>
      <c r="AM13" s="46">
        <f t="shared" si="10"/>
        <v>-0.001932692308</v>
      </c>
      <c r="AN13" s="37"/>
      <c r="AO13" s="37">
        <f>IFERROR(__xludf.DUMMYFUNCTION("""COMPUTED_VALUE"""),45294.64583333333)</f>
        <v>45294.64583</v>
      </c>
      <c r="AP13" s="45">
        <f>IFERROR(__xludf.DUMMYFUNCTION("""COMPUTED_VALUE"""),885.3)</f>
        <v>885.3</v>
      </c>
      <c r="AQ13" s="46">
        <f t="shared" si="11"/>
        <v>-0.02714285714</v>
      </c>
      <c r="AR13" s="37"/>
      <c r="AS13" s="37">
        <f>IFERROR(__xludf.DUMMYFUNCTION("""COMPUTED_VALUE"""),45294.64583333333)</f>
        <v>45294.64583</v>
      </c>
      <c r="AT13" s="45">
        <f>IFERROR(__xludf.DUMMYFUNCTION("""COMPUTED_VALUE"""),2500.0)</f>
        <v>2500</v>
      </c>
      <c r="AU13" s="46">
        <f t="shared" si="12"/>
        <v>0.006481742421</v>
      </c>
      <c r="AV13" s="37"/>
      <c r="AW13" s="37">
        <f>IFERROR(__xludf.DUMMYFUNCTION("""COMPUTED_VALUE"""),45294.64583333333)</f>
        <v>45294.64583</v>
      </c>
      <c r="AX13" s="45">
        <f>IFERROR(__xludf.DUMMYFUNCTION("""COMPUTED_VALUE"""),5796.0)</f>
        <v>5796</v>
      </c>
      <c r="AY13" s="46">
        <f t="shared" si="13"/>
        <v>0.02682209545</v>
      </c>
      <c r="AZ13" s="37"/>
      <c r="BA13" s="37">
        <f>IFERROR(__xludf.DUMMYFUNCTION("""COMPUTED_VALUE"""),45294.64583333333)</f>
        <v>45294.64583</v>
      </c>
      <c r="BB13" s="45">
        <f>IFERROR(__xludf.DUMMYFUNCTION("""COMPUTED_VALUE"""),463.9)</f>
        <v>463.9</v>
      </c>
      <c r="BC13" s="46">
        <f t="shared" si="14"/>
        <v>-0.009818569904</v>
      </c>
      <c r="BD13" s="37"/>
      <c r="BE13" s="37">
        <f>IFERROR(__xludf.DUMMYFUNCTION("""COMPUTED_VALUE"""),45294.64583333333)</f>
        <v>45294.64583</v>
      </c>
      <c r="BF13" s="45">
        <f>IFERROR(__xludf.DUMMYFUNCTION("""COMPUTED_VALUE"""),346.95)</f>
        <v>346.95</v>
      </c>
      <c r="BG13" s="46">
        <f t="shared" si="15"/>
        <v>-0.1475429975</v>
      </c>
      <c r="BH13" s="37"/>
      <c r="BI13" s="37">
        <f>IFERROR(__xludf.DUMMYFUNCTION("""COMPUTED_VALUE"""),45294.64583333333)</f>
        <v>45294.64583</v>
      </c>
      <c r="BJ13" s="45">
        <f>IFERROR(__xludf.DUMMYFUNCTION("""COMPUTED_VALUE"""),65.0)</f>
        <v>65</v>
      </c>
      <c r="BK13" s="46">
        <f t="shared" si="16"/>
        <v>-0.06407487401</v>
      </c>
      <c r="BL13" s="37"/>
      <c r="BM13" s="37">
        <f>IFERROR(__xludf.DUMMYFUNCTION("""COMPUTED_VALUE"""),45294.64583333333)</f>
        <v>45294.64583</v>
      </c>
      <c r="BN13" s="45">
        <f>IFERROR(__xludf.DUMMYFUNCTION("""COMPUTED_VALUE"""),244.5)</f>
        <v>244.5</v>
      </c>
      <c r="BO13" s="46">
        <f t="shared" si="17"/>
        <v>-0.044921875</v>
      </c>
      <c r="BP13" s="37"/>
      <c r="BQ13" s="37">
        <f>IFERROR(__xludf.DUMMYFUNCTION("""COMPUTED_VALUE"""),45294.64583333333)</f>
        <v>45294.64583</v>
      </c>
      <c r="BR13" s="45">
        <f>IFERROR(__xludf.DUMMYFUNCTION("""COMPUTED_VALUE"""),61.75)</f>
        <v>61.75</v>
      </c>
      <c r="BS13" s="46">
        <f t="shared" si="18"/>
        <v>0.01395730706</v>
      </c>
      <c r="BT13" s="37"/>
      <c r="BU13" s="37">
        <f>IFERROR(__xludf.DUMMYFUNCTION("""COMPUTED_VALUE"""),45294.64583333333)</f>
        <v>45294.64583</v>
      </c>
      <c r="BV13" s="45">
        <f>IFERROR(__xludf.DUMMYFUNCTION("""COMPUTED_VALUE"""),303.25)</f>
        <v>303.25</v>
      </c>
      <c r="BW13" s="46">
        <f t="shared" si="19"/>
        <v>-0.01987718164</v>
      </c>
      <c r="BX13" s="37"/>
      <c r="BY13" s="37">
        <f>IFERROR(__xludf.DUMMYFUNCTION("""COMPUTED_VALUE"""),45294.64583333333)</f>
        <v>45294.64583</v>
      </c>
      <c r="BZ13" s="45">
        <f>IFERROR(__xludf.DUMMYFUNCTION("""COMPUTED_VALUE"""),396.0)</f>
        <v>396</v>
      </c>
      <c r="CA13" s="46">
        <f t="shared" si="20"/>
        <v>-0.03296703297</v>
      </c>
      <c r="CB13" s="37"/>
      <c r="CC13" s="37">
        <f>IFERROR(__xludf.DUMMYFUNCTION("""COMPUTED_VALUE"""),45294.64583333333)</f>
        <v>45294.64583</v>
      </c>
      <c r="CD13" s="45">
        <f>IFERROR(__xludf.DUMMYFUNCTION("""COMPUTED_VALUE"""),232.0)</f>
        <v>232</v>
      </c>
      <c r="CE13" s="46">
        <f t="shared" si="21"/>
        <v>0.00129477773</v>
      </c>
      <c r="CF13" s="37"/>
      <c r="CG13" s="37">
        <f>IFERROR(__xludf.DUMMYFUNCTION("""COMPUTED_VALUE"""),45294.64583333333)</f>
        <v>45294.64583</v>
      </c>
      <c r="CH13" s="45">
        <f>IFERROR(__xludf.DUMMYFUNCTION("""COMPUTED_VALUE"""),656.8)</f>
        <v>656.8</v>
      </c>
      <c r="CI13" s="46">
        <f t="shared" si="22"/>
        <v>0.03270440252</v>
      </c>
      <c r="CJ13" s="37"/>
      <c r="CK13" s="37">
        <f>IFERROR(__xludf.DUMMYFUNCTION("""COMPUTED_VALUE"""),45294.64583333333)</f>
        <v>45294.64583</v>
      </c>
      <c r="CL13" s="45">
        <f>IFERROR(__xludf.DUMMYFUNCTION("""COMPUTED_VALUE"""),311.2)</f>
        <v>311.2</v>
      </c>
      <c r="CM13" s="46">
        <f t="shared" si="23"/>
        <v>-0.0765578635</v>
      </c>
      <c r="CN13" s="37"/>
      <c r="CO13" s="37">
        <f>IFERROR(__xludf.DUMMYFUNCTION("""COMPUTED_VALUE"""),45294.64583333333)</f>
        <v>45294.64583</v>
      </c>
      <c r="CP13" s="45">
        <f>IFERROR(__xludf.DUMMYFUNCTION("""COMPUTED_VALUE"""),16.25)</f>
        <v>16.25</v>
      </c>
      <c r="CQ13" s="46">
        <f t="shared" si="24"/>
        <v>0.09797297297</v>
      </c>
      <c r="CR13" s="37"/>
      <c r="CS13" s="37">
        <f>IFERROR(__xludf.DUMMYFUNCTION("""COMPUTED_VALUE"""),45294.64583333333)</f>
        <v>45294.64583</v>
      </c>
      <c r="CT13" s="45">
        <f>IFERROR(__xludf.DUMMYFUNCTION("""COMPUTED_VALUE"""),193.5)</f>
        <v>193.5</v>
      </c>
      <c r="CU13" s="46">
        <f t="shared" si="25"/>
        <v>-0.02272727273</v>
      </c>
      <c r="CV13" s="37"/>
      <c r="CW13" s="37">
        <f>IFERROR(__xludf.DUMMYFUNCTION("""COMPUTED_VALUE"""),45294.64583333333)</f>
        <v>45294.64583</v>
      </c>
      <c r="CX13" s="45">
        <f>IFERROR(__xludf.DUMMYFUNCTION("""COMPUTED_VALUE"""),684.0)</f>
        <v>684</v>
      </c>
      <c r="CY13" s="46">
        <f t="shared" si="26"/>
        <v>-0.01124635</v>
      </c>
      <c r="CZ13" s="37"/>
      <c r="DA13" s="37">
        <f>IFERROR(__xludf.DUMMYFUNCTION("""COMPUTED_VALUE"""),45294.64583333333)</f>
        <v>45294.64583</v>
      </c>
      <c r="DB13" s="45">
        <f>IFERROR(__xludf.DUMMYFUNCTION("""COMPUTED_VALUE"""),25.8)</f>
        <v>25.8</v>
      </c>
      <c r="DC13" s="46">
        <f t="shared" si="27"/>
        <v>-0.0752688172</v>
      </c>
      <c r="DD13" s="37"/>
      <c r="DE13" s="37">
        <f>IFERROR(__xludf.DUMMYFUNCTION("""COMPUTED_VALUE"""),45294.64583333333)</f>
        <v>45294.64583</v>
      </c>
      <c r="DF13" s="45">
        <f>IFERROR(__xludf.DUMMYFUNCTION("""COMPUTED_VALUE"""),105.0)</f>
        <v>105</v>
      </c>
      <c r="DG13" s="46">
        <f t="shared" si="28"/>
        <v>-0.07325684025</v>
      </c>
      <c r="DH13" s="37"/>
      <c r="DI13" s="37">
        <f>IFERROR(__xludf.DUMMYFUNCTION("""COMPUTED_VALUE"""),45294.64583333333)</f>
        <v>45294.64583</v>
      </c>
      <c r="DJ13" s="45">
        <f>IFERROR(__xludf.DUMMYFUNCTION("""COMPUTED_VALUE"""),1595.1)</f>
        <v>1595.1</v>
      </c>
      <c r="DK13" s="46">
        <f t="shared" si="29"/>
        <v>-0.006044366899</v>
      </c>
      <c r="DL13" s="37"/>
      <c r="DM13" s="37">
        <f>IFERROR(__xludf.DUMMYFUNCTION("""COMPUTED_VALUE"""),45294.64583333333)</f>
        <v>45294.64583</v>
      </c>
      <c r="DN13" s="45">
        <f>IFERROR(__xludf.DUMMYFUNCTION("""COMPUTED_VALUE"""),591.0)</f>
        <v>591</v>
      </c>
      <c r="DO13" s="46">
        <f t="shared" si="30"/>
        <v>0.1023034599</v>
      </c>
      <c r="DP13" s="37"/>
      <c r="DQ13" s="37">
        <f>IFERROR(__xludf.DUMMYFUNCTION("""COMPUTED_VALUE"""),45294.64583333333)</f>
        <v>45294.64583</v>
      </c>
      <c r="DR13" s="45">
        <f>IFERROR(__xludf.DUMMYFUNCTION("""COMPUTED_VALUE"""),221.95)</f>
        <v>221.95</v>
      </c>
      <c r="DS13" s="46">
        <f t="shared" si="31"/>
        <v>0.01811926606</v>
      </c>
      <c r="DT13" s="37"/>
      <c r="DU13" s="37">
        <f>IFERROR(__xludf.DUMMYFUNCTION("""COMPUTED_VALUE"""),45294.64583333333)</f>
        <v>45294.64583</v>
      </c>
      <c r="DV13" s="45">
        <f>IFERROR(__xludf.DUMMYFUNCTION("""COMPUTED_VALUE"""),837.88)</f>
        <v>837.88</v>
      </c>
      <c r="DW13" s="46">
        <f t="shared" si="32"/>
        <v>-0.01483833039</v>
      </c>
      <c r="DX13" s="37"/>
      <c r="DY13" s="37">
        <f>IFERROR(__xludf.DUMMYFUNCTION("""COMPUTED_VALUE"""),45294.64583333333)</f>
        <v>45294.64583</v>
      </c>
      <c r="DZ13" s="45">
        <f>IFERROR(__xludf.DUMMYFUNCTION("""COMPUTED_VALUE"""),11.85)</f>
        <v>11.85</v>
      </c>
      <c r="EA13" s="46">
        <f t="shared" si="33"/>
        <v>0.09216589862</v>
      </c>
      <c r="EB13" s="37"/>
      <c r="EC13" s="37">
        <f>IFERROR(__xludf.DUMMYFUNCTION("""COMPUTED_VALUE"""),45294.64583333333)</f>
        <v>45294.64583</v>
      </c>
      <c r="ED13" s="45">
        <f>IFERROR(__xludf.DUMMYFUNCTION("""COMPUTED_VALUE"""),2625.95)</f>
        <v>2625.95</v>
      </c>
      <c r="EE13" s="46">
        <f t="shared" si="34"/>
        <v>-0.007202268431</v>
      </c>
      <c r="EF13" s="37"/>
      <c r="EG13" s="37">
        <f>IFERROR(__xludf.DUMMYFUNCTION("""COMPUTED_VALUE"""),45294.64583333333)</f>
        <v>45294.64583</v>
      </c>
      <c r="EH13" s="45">
        <f>IFERROR(__xludf.DUMMYFUNCTION("""COMPUTED_VALUE"""),657.3)</f>
        <v>657.3</v>
      </c>
      <c r="EI13" s="46">
        <f t="shared" si="35"/>
        <v>0.01341350601</v>
      </c>
      <c r="EJ13" s="37"/>
      <c r="EK13" s="37">
        <f>IFERROR(__xludf.DUMMYFUNCTION("""COMPUTED_VALUE"""),45294.64583333333)</f>
        <v>45294.64583</v>
      </c>
      <c r="EL13" s="45">
        <f>IFERROR(__xludf.DUMMYFUNCTION("""COMPUTED_VALUE"""),206.0)</f>
        <v>206</v>
      </c>
      <c r="EM13" s="46">
        <f t="shared" si="36"/>
        <v>0.0198019802</v>
      </c>
      <c r="EN13" s="37"/>
      <c r="EO13" s="37">
        <f>IFERROR(__xludf.DUMMYFUNCTION("""COMPUTED_VALUE"""),45294.64583333333)</f>
        <v>45294.64583</v>
      </c>
      <c r="EP13" s="45">
        <f>IFERROR(__xludf.DUMMYFUNCTION("""COMPUTED_VALUE"""),164.4)</f>
        <v>164.4</v>
      </c>
      <c r="EQ13" s="46">
        <f t="shared" si="37"/>
        <v>0.0609874153</v>
      </c>
      <c r="ER13" s="37"/>
      <c r="ES13" s="37">
        <f>IFERROR(__xludf.DUMMYFUNCTION("""COMPUTED_VALUE"""),45294.64583333333)</f>
        <v>45294.64583</v>
      </c>
      <c r="ET13" s="45">
        <f>IFERROR(__xludf.DUMMYFUNCTION("""COMPUTED_VALUE"""),205.0)</f>
        <v>205</v>
      </c>
      <c r="EU13" s="46">
        <f t="shared" si="38"/>
        <v>0.05479804476</v>
      </c>
      <c r="EV13" s="37"/>
      <c r="EW13" s="37">
        <f>IFERROR(__xludf.DUMMYFUNCTION("""COMPUTED_VALUE"""),45294.64583333333)</f>
        <v>45294.64583</v>
      </c>
      <c r="EX13" s="45">
        <f>IFERROR(__xludf.DUMMYFUNCTION("""COMPUTED_VALUE"""),696.3)</f>
        <v>696.3</v>
      </c>
      <c r="EY13" s="46">
        <f t="shared" si="39"/>
        <v>0.07453703704</v>
      </c>
      <c r="EZ13" s="37"/>
      <c r="FA13" s="37">
        <f>IFERROR(__xludf.DUMMYFUNCTION("""COMPUTED_VALUE"""),45294.64583333333)</f>
        <v>45294.64583</v>
      </c>
      <c r="FB13" s="45">
        <f>IFERROR(__xludf.DUMMYFUNCTION("""COMPUTED_VALUE"""),184.75)</f>
        <v>184.75</v>
      </c>
      <c r="FC13" s="46">
        <f t="shared" si="40"/>
        <v>0.05934633028</v>
      </c>
      <c r="FD13" s="37"/>
      <c r="FE13" s="37">
        <f>IFERROR(__xludf.DUMMYFUNCTION("""COMPUTED_VALUE"""),45294.64583333333)</f>
        <v>45294.64583</v>
      </c>
      <c r="FF13" s="45">
        <f>IFERROR(__xludf.DUMMYFUNCTION("""COMPUTED_VALUE"""),346.9)</f>
        <v>346.9</v>
      </c>
      <c r="FG13" s="46">
        <f t="shared" si="41"/>
        <v>0.1381233596</v>
      </c>
      <c r="FH13" s="37"/>
      <c r="FI13" s="37">
        <f>IFERROR(__xludf.DUMMYFUNCTION("""COMPUTED_VALUE"""),45294.64583333333)</f>
        <v>45294.64583</v>
      </c>
      <c r="FJ13" s="45">
        <f>IFERROR(__xludf.DUMMYFUNCTION("""COMPUTED_VALUE"""),589.0)</f>
        <v>589</v>
      </c>
      <c r="FK13" s="46">
        <f t="shared" si="42"/>
        <v>-0.02813299233</v>
      </c>
      <c r="FL13" s="37"/>
      <c r="FM13" s="37">
        <f>IFERROR(__xludf.DUMMYFUNCTION("""COMPUTED_VALUE"""),45294.64583333333)</f>
        <v>45294.64583</v>
      </c>
      <c r="FN13" s="45">
        <f>IFERROR(__xludf.DUMMYFUNCTION("""COMPUTED_VALUE"""),96.2)</f>
        <v>96.2</v>
      </c>
      <c r="FO13" s="46">
        <f t="shared" si="43"/>
        <v>0.01263157895</v>
      </c>
      <c r="FP13" s="37"/>
      <c r="FQ13" s="37">
        <f>IFERROR(__xludf.DUMMYFUNCTION("""COMPUTED_VALUE"""),45294.64583333333)</f>
        <v>45294.64583</v>
      </c>
      <c r="FR13" s="45">
        <f>IFERROR(__xludf.DUMMYFUNCTION("""COMPUTED_VALUE"""),4.55)</f>
        <v>4.55</v>
      </c>
      <c r="FS13" s="46">
        <f t="shared" si="44"/>
        <v>-0.1727272727</v>
      </c>
      <c r="FT13" s="37"/>
      <c r="FU13" s="37">
        <f>IFERROR(__xludf.DUMMYFUNCTION("""COMPUTED_VALUE"""),45294.64583333333)</f>
        <v>45294.64583</v>
      </c>
      <c r="FV13" s="45">
        <f>IFERROR(__xludf.DUMMYFUNCTION("""COMPUTED_VALUE"""),670.0)</f>
        <v>670</v>
      </c>
      <c r="FW13" s="46">
        <f t="shared" si="45"/>
        <v>0.003670137068</v>
      </c>
      <c r="FX13" s="37"/>
      <c r="FY13" s="37">
        <f>IFERROR(__xludf.DUMMYFUNCTION("""COMPUTED_VALUE"""),45294.64583333333)</f>
        <v>45294.64583</v>
      </c>
      <c r="FZ13" s="45">
        <f>IFERROR(__xludf.DUMMYFUNCTION("""COMPUTED_VALUE"""),146.15)</f>
        <v>146.15</v>
      </c>
      <c r="GA13" s="46">
        <f t="shared" si="46"/>
        <v>-0.1392815077</v>
      </c>
      <c r="GB13" s="37"/>
      <c r="GC13" s="37">
        <f>IFERROR(__xludf.DUMMYFUNCTION("""COMPUTED_VALUE"""),45294.64583333333)</f>
        <v>45294.64583</v>
      </c>
      <c r="GD13" s="45">
        <f>IFERROR(__xludf.DUMMYFUNCTION("""COMPUTED_VALUE"""),429.5)</f>
        <v>429.5</v>
      </c>
      <c r="GE13" s="46">
        <f t="shared" si="47"/>
        <v>-0.07014505304</v>
      </c>
      <c r="GF13" s="37"/>
      <c r="GG13" s="37">
        <f>IFERROR(__xludf.DUMMYFUNCTION("""COMPUTED_VALUE"""),45294.64583333333)</f>
        <v>45294.64583</v>
      </c>
      <c r="GH13" s="45">
        <f>IFERROR(__xludf.DUMMYFUNCTION("""COMPUTED_VALUE"""),6206.55)</f>
        <v>6206.55</v>
      </c>
      <c r="GI13" s="46">
        <f t="shared" si="48"/>
        <v>0.1712681638</v>
      </c>
      <c r="GJ13" s="37"/>
      <c r="GK13" s="37">
        <f>IFERROR(__xludf.DUMMYFUNCTION("""COMPUTED_VALUE"""),45294.64583333333)</f>
        <v>45294.64583</v>
      </c>
      <c r="GL13" s="45">
        <f>IFERROR(__xludf.DUMMYFUNCTION("""COMPUTED_VALUE"""),96.35)</f>
        <v>96.35</v>
      </c>
      <c r="GM13" s="46">
        <f t="shared" si="49"/>
        <v>-0.1503527337</v>
      </c>
      <c r="GN13" s="37"/>
      <c r="GO13" s="37">
        <f>IFERROR(__xludf.DUMMYFUNCTION("""COMPUTED_VALUE"""),45294.64583333333)</f>
        <v>45294.64583</v>
      </c>
      <c r="GP13" s="45">
        <f>IFERROR(__xludf.DUMMYFUNCTION("""COMPUTED_VALUE"""),1199.0)</f>
        <v>1199</v>
      </c>
      <c r="GQ13" s="46">
        <f t="shared" si="50"/>
        <v>0.09044609158</v>
      </c>
      <c r="GR13" s="37"/>
      <c r="GS13" s="37">
        <f>IFERROR(__xludf.DUMMYFUNCTION("""COMPUTED_VALUE"""),45294.64583333333)</f>
        <v>45294.64583</v>
      </c>
      <c r="GT13" s="45">
        <f>IFERROR(__xludf.DUMMYFUNCTION("""COMPUTED_VALUE"""),15.55)</f>
        <v>15.55</v>
      </c>
      <c r="GU13" s="46">
        <f t="shared" si="51"/>
        <v>0.2007722008</v>
      </c>
      <c r="GV13" s="37"/>
      <c r="GW13" s="37">
        <f>IFERROR(__xludf.DUMMYFUNCTION("""COMPUTED_VALUE"""),45295.64583333333)</f>
        <v>45295.64583</v>
      </c>
      <c r="GX13" s="45">
        <f>IFERROR(__xludf.DUMMYFUNCTION("""COMPUTED_VALUE"""),16.95)</f>
        <v>16.95</v>
      </c>
      <c r="GY13" s="46">
        <f t="shared" si="52"/>
        <v>0.02727272727</v>
      </c>
      <c r="GZ13" s="37"/>
      <c r="HA13" s="37">
        <f>IFERROR(__xludf.DUMMYFUNCTION("""COMPUTED_VALUE"""),45295.64583333333)</f>
        <v>45295.64583</v>
      </c>
      <c r="HB13" s="45">
        <f>IFERROR(__xludf.DUMMYFUNCTION("""COMPUTED_VALUE"""),595.85)</f>
        <v>595.85</v>
      </c>
      <c r="HC13" s="46">
        <f t="shared" si="53"/>
        <v>-0.01998355263</v>
      </c>
      <c r="HD13" s="37"/>
      <c r="HE13" s="43">
        <f>IFERROR(__xludf.DUMMYFUNCTION("""COMPUTED_VALUE"""),45295.64583333333)</f>
        <v>45295.64583</v>
      </c>
      <c r="HF13" s="45">
        <f>IFERROR(__xludf.DUMMYFUNCTION("""COMPUTED_VALUE"""),2475.0)</f>
        <v>2475</v>
      </c>
      <c r="HG13" s="46" t="str">
        <f t="shared" si="54"/>
        <v>#DIV/0!</v>
      </c>
      <c r="HH13" s="37"/>
      <c r="HI13" s="37">
        <f>IFERROR(__xludf.DUMMYFUNCTION("""COMPUTED_VALUE"""),45295.64583333333)</f>
        <v>45295.64583</v>
      </c>
      <c r="HJ13" s="45">
        <f>IFERROR(__xludf.DUMMYFUNCTION("""COMPUTED_VALUE"""),5345.1)</f>
        <v>5345.1</v>
      </c>
      <c r="HK13" s="46">
        <f t="shared" si="55"/>
        <v>0.04599759298</v>
      </c>
      <c r="HL13" s="37"/>
      <c r="HM13" s="37">
        <f>IFERROR(__xludf.DUMMYFUNCTION("""COMPUTED_VALUE"""),45295.64583333333)</f>
        <v>45295.64583</v>
      </c>
      <c r="HN13" s="45">
        <f>IFERROR(__xludf.DUMMYFUNCTION("""COMPUTED_VALUE"""),416.0)</f>
        <v>416</v>
      </c>
      <c r="HO13" s="46">
        <f t="shared" si="56"/>
        <v>0.02324437339</v>
      </c>
      <c r="HP13" s="37"/>
      <c r="HQ13" s="37">
        <f>IFERROR(__xludf.DUMMYFUNCTION("""COMPUTED_VALUE"""),45295.64583333333)</f>
        <v>45295.64583</v>
      </c>
      <c r="HR13" s="45">
        <f>IFERROR(__xludf.DUMMYFUNCTION("""COMPUTED_VALUE"""),238.25)</f>
        <v>238.25</v>
      </c>
      <c r="HS13" s="46">
        <f t="shared" si="57"/>
        <v>-0.06311443177</v>
      </c>
      <c r="HT13" s="37"/>
      <c r="HU13" s="37">
        <f>IFERROR(__xludf.DUMMYFUNCTION("""COMPUTED_VALUE"""),45295.64583333333)</f>
        <v>45295.64583</v>
      </c>
      <c r="HV13" s="45">
        <f>IFERROR(__xludf.DUMMYFUNCTION("""COMPUTED_VALUE"""),61.55)</f>
        <v>61.55</v>
      </c>
      <c r="HW13" s="46">
        <f t="shared" si="58"/>
        <v>-0.01362179487</v>
      </c>
      <c r="HX13" s="37"/>
      <c r="HY13" s="37">
        <f>IFERROR(__xludf.DUMMYFUNCTION("""COMPUTED_VALUE"""),45295.64583333333)</f>
        <v>45295.64583</v>
      </c>
      <c r="HZ13" s="45">
        <f>IFERROR(__xludf.DUMMYFUNCTION("""COMPUTED_VALUE"""),379.65)</f>
        <v>379.65</v>
      </c>
      <c r="IA13" s="46">
        <f t="shared" si="59"/>
        <v>-0.1835483871</v>
      </c>
      <c r="IB13" s="37"/>
      <c r="IC13" s="37">
        <f>IFERROR(__xludf.DUMMYFUNCTION("""COMPUTED_VALUE"""),45295.64583333333)</f>
        <v>45295.64583</v>
      </c>
      <c r="ID13" s="45">
        <f>IFERROR(__xludf.DUMMYFUNCTION("""COMPUTED_VALUE"""),75.9)</f>
        <v>75.9</v>
      </c>
      <c r="IE13" s="46">
        <f t="shared" si="60"/>
        <v>-0.827008547</v>
      </c>
      <c r="IF13" s="37"/>
      <c r="IG13" s="37">
        <f>IFERROR(__xludf.DUMMYFUNCTION("""COMPUTED_VALUE"""),45295.64583333333)</f>
        <v>45295.64583</v>
      </c>
      <c r="IH13" s="45">
        <f>IFERROR(__xludf.DUMMYFUNCTION("""COMPUTED_VALUE"""),511.6)</f>
        <v>511.6</v>
      </c>
      <c r="II13" s="46">
        <f t="shared" si="61"/>
        <v>-0.04015009381</v>
      </c>
      <c r="IJ13" s="37"/>
      <c r="IK13" s="37">
        <f>IFERROR(__xludf.DUMMYFUNCTION("""COMPUTED_VALUE"""),45295.64583333333)</f>
        <v>45295.64583</v>
      </c>
      <c r="IL13" s="45">
        <f>IFERROR(__xludf.DUMMYFUNCTION("""COMPUTED_VALUE"""),612.5)</f>
        <v>612.5</v>
      </c>
      <c r="IM13" s="46">
        <f t="shared" si="62"/>
        <v>-0.008819483777</v>
      </c>
      <c r="IN13" s="37"/>
      <c r="IO13" s="37">
        <f>IFERROR(__xludf.DUMMYFUNCTION("""COMPUTED_VALUE"""),45295.64583333333)</f>
        <v>45295.64583</v>
      </c>
      <c r="IP13" s="45">
        <f>IFERROR(__xludf.DUMMYFUNCTION("""COMPUTED_VALUE"""),138.76)</f>
        <v>138.76</v>
      </c>
      <c r="IQ13" s="46">
        <f t="shared" si="63"/>
        <v>0.1039859973</v>
      </c>
      <c r="IR13" s="37"/>
      <c r="IS13" s="37">
        <f>IFERROR(__xludf.DUMMYFUNCTION("""COMPUTED_VALUE"""),45295.64583333333)</f>
        <v>45295.64583</v>
      </c>
      <c r="IT13" s="45">
        <f>IFERROR(__xludf.DUMMYFUNCTION("""COMPUTED_VALUE"""),1065.0)</f>
        <v>1065</v>
      </c>
      <c r="IU13" s="46">
        <f t="shared" si="64"/>
        <v>0.06075697211</v>
      </c>
      <c r="IV13" s="37"/>
      <c r="IW13" s="37">
        <f>IFERROR(__xludf.DUMMYFUNCTION("""COMPUTED_VALUE"""),45295.64583333333)</f>
        <v>45295.64583</v>
      </c>
      <c r="IX13" s="45">
        <f>IFERROR(__xludf.DUMMYFUNCTION("""COMPUTED_VALUE"""),215.8)</f>
        <v>215.8</v>
      </c>
      <c r="IY13" s="46">
        <f t="shared" si="65"/>
        <v>0.04782714251</v>
      </c>
      <c r="IZ13" s="37"/>
      <c r="JA13" s="37">
        <f>IFERROR(__xludf.DUMMYFUNCTION("""COMPUTED_VALUE"""),45295.64583333333)</f>
        <v>45295.64583</v>
      </c>
      <c r="JB13" s="45">
        <f>IFERROR(__xludf.DUMMYFUNCTION("""COMPUTED_VALUE"""),34732.7)</f>
        <v>34732.7</v>
      </c>
      <c r="JC13" s="46">
        <f t="shared" si="66"/>
        <v>-0.01892372464</v>
      </c>
      <c r="JD13" s="37"/>
      <c r="JE13" s="37">
        <f>IFERROR(__xludf.DUMMYFUNCTION("""COMPUTED_VALUE"""),45295.64583333333)</f>
        <v>45295.64583</v>
      </c>
      <c r="JF13" s="45">
        <f>IFERROR(__xludf.DUMMYFUNCTION("""COMPUTED_VALUE"""),656.2)</f>
        <v>656.2</v>
      </c>
      <c r="JG13" s="46">
        <f t="shared" si="67"/>
        <v>0.01736434109</v>
      </c>
      <c r="JH13" s="37"/>
      <c r="JI13" s="37">
        <f>IFERROR(__xludf.DUMMYFUNCTION("""COMPUTED_VALUE"""),45295.64583333333)</f>
        <v>45295.64583</v>
      </c>
      <c r="JJ13" s="45">
        <f>IFERROR(__xludf.DUMMYFUNCTION("""COMPUTED_VALUE"""),315.4)</f>
        <v>315.4</v>
      </c>
      <c r="JK13" s="46">
        <f t="shared" si="68"/>
        <v>-0.05554723761</v>
      </c>
      <c r="JL13" s="37"/>
      <c r="JM13" s="37">
        <f>IFERROR(__xludf.DUMMYFUNCTION("""COMPUTED_VALUE"""),45295.64583333333)</f>
        <v>45295.64583</v>
      </c>
      <c r="JN13" s="45">
        <f>IFERROR(__xludf.DUMMYFUNCTION("""COMPUTED_VALUE"""),15.95)</f>
        <v>15.95</v>
      </c>
      <c r="JO13" s="46">
        <f t="shared" si="69"/>
        <v>-0.9636467236</v>
      </c>
      <c r="JP13" s="37"/>
      <c r="JQ13" s="37">
        <f>IFERROR(__xludf.DUMMYFUNCTION("""COMPUTED_VALUE"""),45295.64583333333)</f>
        <v>45295.64583</v>
      </c>
      <c r="JR13" s="45">
        <f>IFERROR(__xludf.DUMMYFUNCTION("""COMPUTED_VALUE"""),103.3)</f>
        <v>103.3</v>
      </c>
      <c r="JS13" s="46">
        <f t="shared" si="70"/>
        <v>-0.2404411765</v>
      </c>
      <c r="JT13" s="37"/>
      <c r="JU13" s="37">
        <f>IFERROR(__xludf.DUMMYFUNCTION("""COMPUTED_VALUE"""),45295.64583333333)</f>
        <v>45295.64583</v>
      </c>
      <c r="JV13" s="45">
        <f>IFERROR(__xludf.DUMMYFUNCTION("""COMPUTED_VALUE"""),267.3)</f>
        <v>267.3</v>
      </c>
      <c r="JW13" s="46">
        <f t="shared" si="71"/>
        <v>-0.3907692308</v>
      </c>
      <c r="JX13" s="37"/>
      <c r="JY13" s="37">
        <f>IFERROR(__xludf.DUMMYFUNCTION("""COMPUTED_VALUE"""),45295.64583333333)</f>
        <v>45295.64583</v>
      </c>
      <c r="JZ13" s="45">
        <f>IFERROR(__xludf.DUMMYFUNCTION("""COMPUTED_VALUE"""),724.45)</f>
        <v>724.45</v>
      </c>
      <c r="KA13" s="46">
        <f t="shared" si="72"/>
        <v>0.3147912886</v>
      </c>
      <c r="KB13" s="37"/>
      <c r="KC13" s="37">
        <f>IFERROR(__xludf.DUMMYFUNCTION("""COMPUTED_VALUE"""),45295.64583333333)</f>
        <v>45295.64583</v>
      </c>
      <c r="KD13" s="45">
        <f>IFERROR(__xludf.DUMMYFUNCTION("""COMPUTED_VALUE"""),862.0)</f>
        <v>862</v>
      </c>
      <c r="KE13" s="46">
        <f t="shared" si="73"/>
        <v>-0.01322191059</v>
      </c>
      <c r="KF13" s="37"/>
      <c r="KG13" s="37">
        <f>IFERROR(__xludf.DUMMYFUNCTION("""COMPUTED_VALUE"""),45295.64583333333)</f>
        <v>45295.64583</v>
      </c>
      <c r="KH13" s="45">
        <f>IFERROR(__xludf.DUMMYFUNCTION("""COMPUTED_VALUE"""),378.0)</f>
        <v>378</v>
      </c>
      <c r="KI13" s="46">
        <f t="shared" si="74"/>
        <v>-0.03076923077</v>
      </c>
      <c r="KJ13" s="37"/>
      <c r="KK13" s="37">
        <f>IFERROR(__xludf.DUMMYFUNCTION("""COMPUTED_VALUE"""),45295.64583333333)</f>
        <v>45295.64583</v>
      </c>
      <c r="KL13" s="45">
        <f>IFERROR(__xludf.DUMMYFUNCTION("""COMPUTED_VALUE"""),9.4)</f>
        <v>9.4</v>
      </c>
      <c r="KM13" s="46">
        <f t="shared" si="75"/>
        <v>0.01075268817</v>
      </c>
      <c r="KN13" s="37"/>
      <c r="KO13" s="37">
        <f>IFERROR(__xludf.DUMMYFUNCTION("""COMPUTED_VALUE"""),45295.64583333333)</f>
        <v>45295.64583</v>
      </c>
      <c r="KP13" s="45">
        <f>IFERROR(__xludf.DUMMYFUNCTION("""COMPUTED_VALUE"""),233.9)</f>
        <v>233.9</v>
      </c>
      <c r="KQ13" s="46">
        <f t="shared" si="76"/>
        <v>0.1505164781</v>
      </c>
      <c r="KR13" s="37"/>
      <c r="KS13" s="37">
        <f>IFERROR(__xludf.DUMMYFUNCTION("""COMPUTED_VALUE"""),45295.64583333333)</f>
        <v>45295.64583</v>
      </c>
      <c r="KT13" s="45">
        <f>IFERROR(__xludf.DUMMYFUNCTION("""COMPUTED_VALUE"""),12.05)</f>
        <v>12.05</v>
      </c>
      <c r="KU13" s="46">
        <f t="shared" si="77"/>
        <v>0.09049773756</v>
      </c>
      <c r="KV13" s="37"/>
      <c r="KW13" s="37">
        <f>IFERROR(__xludf.DUMMYFUNCTION("""COMPUTED_VALUE"""),45295.64583333333)</f>
        <v>45295.64583</v>
      </c>
      <c r="KX13" s="45">
        <f>IFERROR(__xludf.DUMMYFUNCTION("""COMPUTED_VALUE"""),2710.0)</f>
        <v>2710</v>
      </c>
      <c r="KY13" s="46">
        <f t="shared" si="78"/>
        <v>0.0150002809</v>
      </c>
      <c r="KZ13" s="37"/>
      <c r="LA13" s="37">
        <f>IFERROR(__xludf.DUMMYFUNCTION("""COMPUTED_VALUE"""),45295.64583333333)</f>
        <v>45295.64583</v>
      </c>
      <c r="LB13" s="45">
        <f>IFERROR(__xludf.DUMMYFUNCTION("""COMPUTED_VALUE"""),19.6)</f>
        <v>19.6</v>
      </c>
      <c r="LC13" s="46">
        <f t="shared" si="79"/>
        <v>0.03978779841</v>
      </c>
      <c r="LD13" s="37"/>
      <c r="LE13" s="37">
        <f>IFERROR(__xludf.DUMMYFUNCTION("""COMPUTED_VALUE"""),45295.64583333333)</f>
        <v>45295.64583</v>
      </c>
      <c r="LF13" s="45">
        <f>IFERROR(__xludf.DUMMYFUNCTION("""COMPUTED_VALUE"""),123.0)</f>
        <v>123</v>
      </c>
      <c r="LG13" s="46">
        <f t="shared" si="80"/>
        <v>-0.016</v>
      </c>
      <c r="LH13" s="37"/>
      <c r="LI13" s="37">
        <f>IFERROR(__xludf.DUMMYFUNCTION("""COMPUTED_VALUE"""),45295.64583333333)</f>
        <v>45295.64583</v>
      </c>
      <c r="LJ13" s="45">
        <f>IFERROR(__xludf.DUMMYFUNCTION("""COMPUTED_VALUE"""),763.05)</f>
        <v>763.05</v>
      </c>
      <c r="LK13" s="46">
        <f t="shared" si="81"/>
        <v>0.0481456044</v>
      </c>
      <c r="LL13" s="37"/>
      <c r="LM13" s="37">
        <f>IFERROR(__xludf.DUMMYFUNCTION("""COMPUTED_VALUE"""),45295.64583333333)</f>
        <v>45295.64583</v>
      </c>
      <c r="LN13" s="45">
        <f>IFERROR(__xludf.DUMMYFUNCTION("""COMPUTED_VALUE"""),822.0)</f>
        <v>822</v>
      </c>
      <c r="LO13" s="46">
        <f t="shared" si="82"/>
        <v>-0.03859649123</v>
      </c>
      <c r="LP13" s="37"/>
      <c r="LQ13" s="37">
        <f>IFERROR(__xludf.DUMMYFUNCTION("""COMPUTED_VALUE"""),45295.64583333333)</f>
        <v>45295.64583</v>
      </c>
      <c r="LR13" s="45">
        <f>IFERROR(__xludf.DUMMYFUNCTION("""COMPUTED_VALUE"""),357.8)</f>
        <v>357.8</v>
      </c>
      <c r="LS13" s="46">
        <f t="shared" si="83"/>
        <v>-0.02079912425</v>
      </c>
      <c r="LT13" s="37"/>
      <c r="LU13" s="37">
        <f>IFERROR(__xludf.DUMMYFUNCTION("""COMPUTED_VALUE"""),45295.64583333333)</f>
        <v>45295.64583</v>
      </c>
      <c r="LV13" s="45">
        <f>IFERROR(__xludf.DUMMYFUNCTION("""COMPUTED_VALUE"""),134.0)</f>
        <v>134</v>
      </c>
      <c r="LW13" s="46">
        <f t="shared" si="84"/>
        <v>-0.02046783626</v>
      </c>
      <c r="LX13" s="37"/>
      <c r="LY13" s="37">
        <f>IFERROR(__xludf.DUMMYFUNCTION("""COMPUTED_VALUE"""),45295.64583333333)</f>
        <v>45295.64583</v>
      </c>
      <c r="LZ13" s="45">
        <f>IFERROR(__xludf.DUMMYFUNCTION("""COMPUTED_VALUE"""),592.0)</f>
        <v>592</v>
      </c>
      <c r="MA13" s="46">
        <f t="shared" si="85"/>
        <v>-0.04516129032</v>
      </c>
      <c r="MB13" s="37"/>
      <c r="MC13" s="37"/>
      <c r="MD13" s="45"/>
      <c r="ME13" s="46" t="str">
        <f t="shared" si="86"/>
        <v>#DIV/0!</v>
      </c>
      <c r="MF13" s="37"/>
      <c r="MG13" s="37">
        <f>IFERROR(__xludf.DUMMYFUNCTION("""COMPUTED_VALUE"""),45295.64583333333)</f>
        <v>45295.64583</v>
      </c>
      <c r="MH13" s="45">
        <f>IFERROR(__xludf.DUMMYFUNCTION("""COMPUTED_VALUE"""),2057.6)</f>
        <v>2057.6</v>
      </c>
      <c r="MI13" s="46">
        <f t="shared" si="87"/>
        <v>0.04928733522</v>
      </c>
      <c r="MJ13" s="37"/>
      <c r="MK13" s="37">
        <f>IFERROR(__xludf.DUMMYFUNCTION("""COMPUTED_VALUE"""),45295.64583333333)</f>
        <v>45295.64583</v>
      </c>
      <c r="ML13" s="45">
        <f>IFERROR(__xludf.DUMMYFUNCTION("""COMPUTED_VALUE"""),388.3)</f>
        <v>388.3</v>
      </c>
      <c r="MM13" s="46">
        <f t="shared" si="88"/>
        <v>-0.02912864108</v>
      </c>
      <c r="MN13" s="37"/>
      <c r="MO13" s="37">
        <f>IFERROR(__xludf.DUMMYFUNCTION("""COMPUTED_VALUE"""),45295.64583333333)</f>
        <v>45295.64583</v>
      </c>
      <c r="MP13" s="45">
        <f>IFERROR(__xludf.DUMMYFUNCTION("""COMPUTED_VALUE"""),728.0)</f>
        <v>728</v>
      </c>
      <c r="MQ13" s="46">
        <f t="shared" si="89"/>
        <v>-0.01621621622</v>
      </c>
      <c r="MR13" s="37"/>
      <c r="MS13" s="37">
        <f>IFERROR(__xludf.DUMMYFUNCTION("""COMPUTED_VALUE"""),45295.64583333333)</f>
        <v>45295.64583</v>
      </c>
      <c r="MT13" s="45">
        <f>IFERROR(__xludf.DUMMYFUNCTION("""COMPUTED_VALUE"""),65.2)</f>
        <v>65.2</v>
      </c>
      <c r="MU13" s="46">
        <f t="shared" si="90"/>
        <v>-0.01436130008</v>
      </c>
      <c r="MV13" s="37"/>
      <c r="MW13" s="37">
        <f>IFERROR(__xludf.DUMMYFUNCTION("""COMPUTED_VALUE"""),45295.64583333333)</f>
        <v>45295.64583</v>
      </c>
      <c r="MX13" s="45">
        <f>IFERROR(__xludf.DUMMYFUNCTION("""COMPUTED_VALUE"""),3236.65)</f>
        <v>3236.65</v>
      </c>
      <c r="MY13" s="46">
        <f t="shared" si="91"/>
        <v>0.02848744836</v>
      </c>
      <c r="MZ13" s="37"/>
      <c r="NA13" s="37">
        <f>IFERROR(__xludf.DUMMYFUNCTION("""COMPUTED_VALUE"""),45295.64583333333)</f>
        <v>45295.64583</v>
      </c>
      <c r="NB13" s="45">
        <f>IFERROR(__xludf.DUMMYFUNCTION("""COMPUTED_VALUE"""),15.15)</f>
        <v>15.15</v>
      </c>
      <c r="NC13" s="46">
        <f t="shared" si="92"/>
        <v>0.1976284585</v>
      </c>
      <c r="ND13" s="37"/>
      <c r="NE13" s="37">
        <f>IFERROR(__xludf.DUMMYFUNCTION("""COMPUTED_VALUE"""),45296.64583333333)</f>
        <v>45296.64583</v>
      </c>
      <c r="NF13" s="45">
        <f>IFERROR(__xludf.DUMMYFUNCTION("""COMPUTED_VALUE"""),388.05)</f>
        <v>388.05</v>
      </c>
      <c r="NG13" s="46">
        <f t="shared" si="93"/>
        <v>0.01331766549</v>
      </c>
      <c r="NH13" s="37"/>
      <c r="NI13" s="37">
        <f>IFERROR(__xludf.DUMMYFUNCTION("""COMPUTED_VALUE"""),45296.64583333333)</f>
        <v>45296.64583</v>
      </c>
      <c r="NJ13" s="45">
        <f>IFERROR(__xludf.DUMMYFUNCTION("""COMPUTED_VALUE"""),284.67)</f>
        <v>284.67</v>
      </c>
      <c r="NK13" s="46">
        <f t="shared" si="94"/>
        <v>0.06749915626</v>
      </c>
      <c r="NL13" s="37"/>
      <c r="NM13" s="37">
        <f>IFERROR(__xludf.DUMMYFUNCTION("""COMPUTED_VALUE"""),45296.64583333333)</f>
        <v>45296.64583</v>
      </c>
      <c r="NN13" s="45">
        <f>IFERROR(__xludf.DUMMYFUNCTION("""COMPUTED_VALUE"""),120.75)</f>
        <v>120.75</v>
      </c>
      <c r="NO13" s="46">
        <f t="shared" si="95"/>
        <v>-0.02068126521</v>
      </c>
      <c r="NP13" s="37"/>
      <c r="NQ13" s="37">
        <f>IFERROR(__xludf.DUMMYFUNCTION("""COMPUTED_VALUE"""),45296.64583333333)</f>
        <v>45296.64583</v>
      </c>
      <c r="NR13" s="45">
        <f>IFERROR(__xludf.DUMMYFUNCTION("""COMPUTED_VALUE"""),4037.0)</f>
        <v>4037</v>
      </c>
      <c r="NS13" s="46">
        <f t="shared" si="96"/>
        <v>-0.03328544061</v>
      </c>
      <c r="NT13" s="37"/>
      <c r="NU13" s="37">
        <f>IFERROR(__xludf.DUMMYFUNCTION("""COMPUTED_VALUE"""),45296.64583333333)</f>
        <v>45296.64583</v>
      </c>
      <c r="NV13" s="45">
        <f>IFERROR(__xludf.DUMMYFUNCTION("""COMPUTED_VALUE"""),13.6)</f>
        <v>13.6</v>
      </c>
      <c r="NW13" s="46">
        <f t="shared" si="97"/>
        <v>0.07086614173</v>
      </c>
      <c r="NX13" s="37"/>
      <c r="NY13" s="37">
        <f>IFERROR(__xludf.DUMMYFUNCTION("""COMPUTED_VALUE"""),45296.64583333333)</f>
        <v>45296.64583</v>
      </c>
      <c r="NZ13" s="45">
        <f>IFERROR(__xludf.DUMMYFUNCTION("""COMPUTED_VALUE"""),293.35)</f>
        <v>293.35</v>
      </c>
      <c r="OA13" s="46">
        <f t="shared" si="98"/>
        <v>0.1886142626</v>
      </c>
      <c r="OB13" s="37"/>
      <c r="OC13" s="37">
        <f>IFERROR(__xludf.DUMMYFUNCTION("""COMPUTED_VALUE"""),45296.64583333333)</f>
        <v>45296.64583</v>
      </c>
      <c r="OD13" s="45">
        <f>IFERROR(__xludf.DUMMYFUNCTION("""COMPUTED_VALUE"""),1131.15)</f>
        <v>1131.15</v>
      </c>
      <c r="OE13" s="46">
        <f t="shared" si="99"/>
        <v>0.07324825656</v>
      </c>
      <c r="OF13" s="37"/>
      <c r="OG13" s="37">
        <f>IFERROR(__xludf.DUMMYFUNCTION("""COMPUTED_VALUE"""),45296.64583333333)</f>
        <v>45296.64583</v>
      </c>
      <c r="OH13" s="45">
        <f>IFERROR(__xludf.DUMMYFUNCTION("""COMPUTED_VALUE"""),2460.5)</f>
        <v>2460.5</v>
      </c>
      <c r="OI13" s="46">
        <f t="shared" si="100"/>
        <v>0.008484301992</v>
      </c>
      <c r="OJ13" s="37"/>
      <c r="OK13" s="37"/>
      <c r="OL13" s="45"/>
      <c r="OM13" s="46" t="str">
        <f t="shared" si="101"/>
        <v>#DIV/0!</v>
      </c>
      <c r="ON13" s="37"/>
    </row>
    <row r="14" ht="12.0" customHeight="1">
      <c r="A14" s="37">
        <f>IFERROR(__xludf.DUMMYFUNCTION("""COMPUTED_VALUE"""),45295.64583333333)</f>
        <v>45295.64583</v>
      </c>
      <c r="B14" s="45">
        <f>IFERROR(__xludf.DUMMYFUNCTION("""COMPUTED_VALUE"""),433.95)</f>
        <v>433.95</v>
      </c>
      <c r="C14" s="46">
        <f t="shared" si="1"/>
        <v>-0.01094017094</v>
      </c>
      <c r="D14" s="37"/>
      <c r="E14" s="37">
        <f>IFERROR(__xludf.DUMMYFUNCTION("""COMPUTED_VALUE"""),45295.64583333333)</f>
        <v>45295.64583</v>
      </c>
      <c r="F14" s="45">
        <f>IFERROR(__xludf.DUMMYFUNCTION("""COMPUTED_VALUE"""),654.0)</f>
        <v>654</v>
      </c>
      <c r="G14" s="46">
        <f t="shared" si="2"/>
        <v>-0.001526717557</v>
      </c>
      <c r="H14" s="37"/>
      <c r="I14" s="37">
        <f>IFERROR(__xludf.DUMMYFUNCTION("""COMPUTED_VALUE"""),45295.64583333333)</f>
        <v>45295.64583</v>
      </c>
      <c r="J14" s="45">
        <f>IFERROR(__xludf.DUMMYFUNCTION("""COMPUTED_VALUE"""),187.65)</f>
        <v>187.65</v>
      </c>
      <c r="K14" s="46">
        <f t="shared" si="3"/>
        <v>0.01983695652</v>
      </c>
      <c r="L14" s="37"/>
      <c r="M14" s="37">
        <f>IFERROR(__xludf.DUMMYFUNCTION("""COMPUTED_VALUE"""),45295.64583333333)</f>
        <v>45295.64583</v>
      </c>
      <c r="N14" s="45">
        <f>IFERROR(__xludf.DUMMYFUNCTION("""COMPUTED_VALUE"""),94.65)</f>
        <v>94.65</v>
      </c>
      <c r="O14" s="46">
        <f t="shared" si="4"/>
        <v>0.09548611111</v>
      </c>
      <c r="P14" s="37"/>
      <c r="Q14" s="37">
        <f>IFERROR(__xludf.DUMMYFUNCTION("""COMPUTED_VALUE"""),45295.64583333333)</f>
        <v>45295.64583</v>
      </c>
      <c r="R14" s="45">
        <f>IFERROR(__xludf.DUMMYFUNCTION("""COMPUTED_VALUE"""),51.7)</f>
        <v>51.7</v>
      </c>
      <c r="S14" s="46">
        <f t="shared" si="5"/>
        <v>-0.01523809524</v>
      </c>
      <c r="T14" s="37"/>
      <c r="U14" s="37">
        <f>IFERROR(__xludf.DUMMYFUNCTION("""COMPUTED_VALUE"""),45295.64583333333)</f>
        <v>45295.64583</v>
      </c>
      <c r="V14" s="45">
        <f>IFERROR(__xludf.DUMMYFUNCTION("""COMPUTED_VALUE"""),789.45)</f>
        <v>789.45</v>
      </c>
      <c r="W14" s="46">
        <f t="shared" si="6"/>
        <v>0.1918025362</v>
      </c>
      <c r="X14" s="37"/>
      <c r="Y14" s="37">
        <f>IFERROR(__xludf.DUMMYFUNCTION("""COMPUTED_VALUE"""),45295.64583333333)</f>
        <v>45295.64583</v>
      </c>
      <c r="Z14" s="45">
        <f>IFERROR(__xludf.DUMMYFUNCTION("""COMPUTED_VALUE"""),195.6)</f>
        <v>195.6</v>
      </c>
      <c r="AA14" s="46">
        <f t="shared" si="7"/>
        <v>0.0572972973</v>
      </c>
      <c r="AB14" s="37"/>
      <c r="AC14" s="37">
        <f>IFERROR(__xludf.DUMMYFUNCTION("""COMPUTED_VALUE"""),45295.64583333333)</f>
        <v>45295.64583</v>
      </c>
      <c r="AD14" s="45">
        <f>IFERROR(__xludf.DUMMYFUNCTION("""COMPUTED_VALUE"""),2475.0)</f>
        <v>2475</v>
      </c>
      <c r="AE14" s="46">
        <f t="shared" si="8"/>
        <v>0.04232469994</v>
      </c>
      <c r="AF14" s="37"/>
      <c r="AG14" s="37">
        <f>IFERROR(__xludf.DUMMYFUNCTION("""COMPUTED_VALUE"""),45295.64583333333)</f>
        <v>45295.64583</v>
      </c>
      <c r="AH14" s="45">
        <f>IFERROR(__xludf.DUMMYFUNCTION("""COMPUTED_VALUE"""),760.05)</f>
        <v>760.05</v>
      </c>
      <c r="AI14" s="46">
        <f t="shared" si="9"/>
        <v>-0.09517857143</v>
      </c>
      <c r="AJ14" s="37"/>
      <c r="AK14" s="37">
        <f>IFERROR(__xludf.DUMMYFUNCTION("""COMPUTED_VALUE"""),45295.64583333333)</f>
        <v>45295.64583</v>
      </c>
      <c r="AL14" s="45">
        <f>IFERROR(__xludf.DUMMYFUNCTION("""COMPUTED_VALUE"""),5345.1)</f>
        <v>5345.1</v>
      </c>
      <c r="AM14" s="46">
        <f t="shared" si="10"/>
        <v>0.02790384615</v>
      </c>
      <c r="AN14" s="37"/>
      <c r="AO14" s="37">
        <f>IFERROR(__xludf.DUMMYFUNCTION("""COMPUTED_VALUE"""),45295.64583333333)</f>
        <v>45295.64583</v>
      </c>
      <c r="AP14" s="45">
        <f>IFERROR(__xludf.DUMMYFUNCTION("""COMPUTED_VALUE"""),918.5)</f>
        <v>918.5</v>
      </c>
      <c r="AQ14" s="46">
        <f t="shared" si="11"/>
        <v>0.009340659341</v>
      </c>
      <c r="AR14" s="37"/>
      <c r="AS14" s="37">
        <f>IFERROR(__xludf.DUMMYFUNCTION("""COMPUTED_VALUE"""),45295.64583333333)</f>
        <v>45295.64583</v>
      </c>
      <c r="AT14" s="45">
        <f>IFERROR(__xludf.DUMMYFUNCTION("""COMPUTED_VALUE"""),2519.0)</f>
        <v>2519</v>
      </c>
      <c r="AU14" s="46">
        <f t="shared" si="12"/>
        <v>0.01413100366</v>
      </c>
      <c r="AV14" s="37"/>
      <c r="AW14" s="37">
        <f>IFERROR(__xludf.DUMMYFUNCTION("""COMPUTED_VALUE"""),45295.64583333333)</f>
        <v>45295.64583</v>
      </c>
      <c r="AX14" s="45">
        <f>IFERROR(__xludf.DUMMYFUNCTION("""COMPUTED_VALUE"""),5732.0)</f>
        <v>5732</v>
      </c>
      <c r="AY14" s="46">
        <f t="shared" si="13"/>
        <v>0.01548382525</v>
      </c>
      <c r="AZ14" s="37"/>
      <c r="BA14" s="37">
        <f>IFERROR(__xludf.DUMMYFUNCTION("""COMPUTED_VALUE"""),45295.64583333333)</f>
        <v>45295.64583</v>
      </c>
      <c r="BB14" s="45">
        <f>IFERROR(__xludf.DUMMYFUNCTION("""COMPUTED_VALUE"""),459.85)</f>
        <v>459.85</v>
      </c>
      <c r="BC14" s="46">
        <f t="shared" si="14"/>
        <v>-0.01846318036</v>
      </c>
      <c r="BD14" s="37"/>
      <c r="BE14" s="37">
        <f>IFERROR(__xludf.DUMMYFUNCTION("""COMPUTED_VALUE"""),45295.64583333333)</f>
        <v>45295.64583</v>
      </c>
      <c r="BF14" s="45">
        <f>IFERROR(__xludf.DUMMYFUNCTION("""COMPUTED_VALUE"""),337.7)</f>
        <v>337.7</v>
      </c>
      <c r="BG14" s="46">
        <f t="shared" si="15"/>
        <v>-0.1702702703</v>
      </c>
      <c r="BH14" s="37"/>
      <c r="BI14" s="37">
        <f>IFERROR(__xludf.DUMMYFUNCTION("""COMPUTED_VALUE"""),45295.64583333333)</f>
        <v>45295.64583</v>
      </c>
      <c r="BJ14" s="45">
        <f>IFERROR(__xludf.DUMMYFUNCTION("""COMPUTED_VALUE"""),66.2)</f>
        <v>66.2</v>
      </c>
      <c r="BK14" s="46">
        <f t="shared" si="16"/>
        <v>-0.0467962563</v>
      </c>
      <c r="BL14" s="37"/>
      <c r="BM14" s="37">
        <f>IFERROR(__xludf.DUMMYFUNCTION("""COMPUTED_VALUE"""),45295.64583333333)</f>
        <v>45295.64583</v>
      </c>
      <c r="BN14" s="45">
        <f>IFERROR(__xludf.DUMMYFUNCTION("""COMPUTED_VALUE"""),238.25)</f>
        <v>238.25</v>
      </c>
      <c r="BO14" s="46">
        <f t="shared" si="17"/>
        <v>-0.0693359375</v>
      </c>
      <c r="BP14" s="37"/>
      <c r="BQ14" s="37">
        <f>IFERROR(__xludf.DUMMYFUNCTION("""COMPUTED_VALUE"""),45295.64583333333)</f>
        <v>45295.64583</v>
      </c>
      <c r="BR14" s="45">
        <f>IFERROR(__xludf.DUMMYFUNCTION("""COMPUTED_VALUE"""),61.55)</f>
        <v>61.55</v>
      </c>
      <c r="BS14" s="46">
        <f t="shared" si="18"/>
        <v>0.01067323481</v>
      </c>
      <c r="BT14" s="37"/>
      <c r="BU14" s="37">
        <f>IFERROR(__xludf.DUMMYFUNCTION("""COMPUTED_VALUE"""),45295.64583333333)</f>
        <v>45295.64583</v>
      </c>
      <c r="BV14" s="45">
        <f>IFERROR(__xludf.DUMMYFUNCTION("""COMPUTED_VALUE"""),304.95)</f>
        <v>304.95</v>
      </c>
      <c r="BW14" s="46">
        <f t="shared" si="19"/>
        <v>-0.01438267615</v>
      </c>
      <c r="BX14" s="37"/>
      <c r="BY14" s="37">
        <f>IFERROR(__xludf.DUMMYFUNCTION("""COMPUTED_VALUE"""),45295.64583333333)</f>
        <v>45295.64583</v>
      </c>
      <c r="BZ14" s="45">
        <f>IFERROR(__xludf.DUMMYFUNCTION("""COMPUTED_VALUE"""),379.65)</f>
        <v>379.65</v>
      </c>
      <c r="CA14" s="46">
        <f t="shared" si="20"/>
        <v>-0.07289377289</v>
      </c>
      <c r="CB14" s="37"/>
      <c r="CC14" s="37">
        <f>IFERROR(__xludf.DUMMYFUNCTION("""COMPUTED_VALUE"""),45295.64583333333)</f>
        <v>45295.64583</v>
      </c>
      <c r="CD14" s="45">
        <f>IFERROR(__xludf.DUMMYFUNCTION("""COMPUTED_VALUE"""),235.3)</f>
        <v>235.3</v>
      </c>
      <c r="CE14" s="46">
        <f t="shared" si="21"/>
        <v>0.01553733276</v>
      </c>
      <c r="CF14" s="37"/>
      <c r="CG14" s="37">
        <f>IFERROR(__xludf.DUMMYFUNCTION("""COMPUTED_VALUE"""),45295.64583333333)</f>
        <v>45295.64583</v>
      </c>
      <c r="CH14" s="45">
        <f>IFERROR(__xludf.DUMMYFUNCTION("""COMPUTED_VALUE"""),656.2)</f>
        <v>656.2</v>
      </c>
      <c r="CI14" s="46">
        <f t="shared" si="22"/>
        <v>0.03176100629</v>
      </c>
      <c r="CJ14" s="37"/>
      <c r="CK14" s="37">
        <f>IFERROR(__xludf.DUMMYFUNCTION("""COMPUTED_VALUE"""),45295.64583333333)</f>
        <v>45295.64583</v>
      </c>
      <c r="CL14" s="45">
        <f>IFERROR(__xludf.DUMMYFUNCTION("""COMPUTED_VALUE"""),315.4)</f>
        <v>315.4</v>
      </c>
      <c r="CM14" s="46">
        <f t="shared" si="23"/>
        <v>-0.06409495549</v>
      </c>
      <c r="CN14" s="37"/>
      <c r="CO14" s="37">
        <f>IFERROR(__xludf.DUMMYFUNCTION("""COMPUTED_VALUE"""),45295.64583333333)</f>
        <v>45295.64583</v>
      </c>
      <c r="CP14" s="45">
        <f>IFERROR(__xludf.DUMMYFUNCTION("""COMPUTED_VALUE"""),15.95)</f>
        <v>15.95</v>
      </c>
      <c r="CQ14" s="46">
        <f t="shared" si="24"/>
        <v>0.0777027027</v>
      </c>
      <c r="CR14" s="37"/>
      <c r="CS14" s="37">
        <f>IFERROR(__xludf.DUMMYFUNCTION("""COMPUTED_VALUE"""),45295.64583333333)</f>
        <v>45295.64583</v>
      </c>
      <c r="CT14" s="45">
        <f>IFERROR(__xludf.DUMMYFUNCTION("""COMPUTED_VALUE"""),199.35)</f>
        <v>199.35</v>
      </c>
      <c r="CU14" s="46">
        <f t="shared" si="25"/>
        <v>0.006818181818</v>
      </c>
      <c r="CV14" s="37"/>
      <c r="CW14" s="37">
        <f>IFERROR(__xludf.DUMMYFUNCTION("""COMPUTED_VALUE"""),45295.64583333333)</f>
        <v>45295.64583</v>
      </c>
      <c r="CX14" s="45">
        <f>IFERROR(__xludf.DUMMYFUNCTION("""COMPUTED_VALUE"""),687.9)</f>
        <v>687.9</v>
      </c>
      <c r="CY14" s="46">
        <f t="shared" si="26"/>
        <v>-0.005608719535</v>
      </c>
      <c r="CZ14" s="37"/>
      <c r="DA14" s="37">
        <f>IFERROR(__xludf.DUMMYFUNCTION("""COMPUTED_VALUE"""),45295.64583333333)</f>
        <v>45295.64583</v>
      </c>
      <c r="DB14" s="45">
        <f>IFERROR(__xludf.DUMMYFUNCTION("""COMPUTED_VALUE"""),26.75)</f>
        <v>26.75</v>
      </c>
      <c r="DC14" s="46">
        <f t="shared" si="27"/>
        <v>-0.04121863799</v>
      </c>
      <c r="DD14" s="37"/>
      <c r="DE14" s="37">
        <f>IFERROR(__xludf.DUMMYFUNCTION("""COMPUTED_VALUE"""),45295.64583333333)</f>
        <v>45295.64583</v>
      </c>
      <c r="DF14" s="45">
        <f>IFERROR(__xludf.DUMMYFUNCTION("""COMPUTED_VALUE"""),103.3)</f>
        <v>103.3</v>
      </c>
      <c r="DG14" s="46">
        <f t="shared" si="28"/>
        <v>-0.08826125331</v>
      </c>
      <c r="DH14" s="37"/>
      <c r="DI14" s="37">
        <f>IFERROR(__xludf.DUMMYFUNCTION("""COMPUTED_VALUE"""),45295.64583333333)</f>
        <v>45295.64583</v>
      </c>
      <c r="DJ14" s="45">
        <f>IFERROR(__xludf.DUMMYFUNCTION("""COMPUTED_VALUE"""),1550.0)</f>
        <v>1550</v>
      </c>
      <c r="DK14" s="46">
        <f t="shared" si="29"/>
        <v>-0.03414755733</v>
      </c>
      <c r="DL14" s="37"/>
      <c r="DM14" s="37">
        <f>IFERROR(__xludf.DUMMYFUNCTION("""COMPUTED_VALUE"""),45295.64583333333)</f>
        <v>45295.64583</v>
      </c>
      <c r="DN14" s="45">
        <f>IFERROR(__xludf.DUMMYFUNCTION("""COMPUTED_VALUE"""),585.9)</f>
        <v>585.9</v>
      </c>
      <c r="DO14" s="46">
        <f t="shared" si="30"/>
        <v>0.09279119649</v>
      </c>
      <c r="DP14" s="37"/>
      <c r="DQ14" s="37">
        <f>IFERROR(__xludf.DUMMYFUNCTION("""COMPUTED_VALUE"""),45295.64583333333)</f>
        <v>45295.64583</v>
      </c>
      <c r="DR14" s="45">
        <f>IFERROR(__xludf.DUMMYFUNCTION("""COMPUTED_VALUE"""),223.3)</f>
        <v>223.3</v>
      </c>
      <c r="DS14" s="46">
        <f t="shared" si="31"/>
        <v>0.02431192661</v>
      </c>
      <c r="DT14" s="37"/>
      <c r="DU14" s="37">
        <f>IFERROR(__xludf.DUMMYFUNCTION("""COMPUTED_VALUE"""),45295.64583333333)</f>
        <v>45295.64583</v>
      </c>
      <c r="DV14" s="45">
        <f>IFERROR(__xludf.DUMMYFUNCTION("""COMPUTED_VALUE"""),862.0)</f>
        <v>862</v>
      </c>
      <c r="DW14" s="46">
        <f t="shared" si="32"/>
        <v>0.01352145797</v>
      </c>
      <c r="DX14" s="37"/>
      <c r="DY14" s="37">
        <f>IFERROR(__xludf.DUMMYFUNCTION("""COMPUTED_VALUE"""),45295.64583333333)</f>
        <v>45295.64583</v>
      </c>
      <c r="DZ14" s="45">
        <f>IFERROR(__xludf.DUMMYFUNCTION("""COMPUTED_VALUE"""),12.05)</f>
        <v>12.05</v>
      </c>
      <c r="EA14" s="46">
        <f t="shared" si="33"/>
        <v>0.1105990783</v>
      </c>
      <c r="EB14" s="37"/>
      <c r="EC14" s="37">
        <f>IFERROR(__xludf.DUMMYFUNCTION("""COMPUTED_VALUE"""),45295.64583333333)</f>
        <v>45295.64583</v>
      </c>
      <c r="ED14" s="45">
        <f>IFERROR(__xludf.DUMMYFUNCTION("""COMPUTED_VALUE"""),2710.0)</f>
        <v>2710</v>
      </c>
      <c r="EE14" s="46">
        <f t="shared" si="34"/>
        <v>0.02457466919</v>
      </c>
      <c r="EF14" s="37"/>
      <c r="EG14" s="37">
        <f>IFERROR(__xludf.DUMMYFUNCTION("""COMPUTED_VALUE"""),45295.64583333333)</f>
        <v>45295.64583</v>
      </c>
      <c r="EH14" s="45">
        <f>IFERROR(__xludf.DUMMYFUNCTION("""COMPUTED_VALUE"""),668.0)</f>
        <v>668</v>
      </c>
      <c r="EI14" s="46">
        <f t="shared" si="35"/>
        <v>0.02991057663</v>
      </c>
      <c r="EJ14" s="37"/>
      <c r="EK14" s="37">
        <f>IFERROR(__xludf.DUMMYFUNCTION("""COMPUTED_VALUE"""),45295.64583333333)</f>
        <v>45295.64583</v>
      </c>
      <c r="EL14" s="45">
        <f>IFERROR(__xludf.DUMMYFUNCTION("""COMPUTED_VALUE"""),222.6)</f>
        <v>222.6</v>
      </c>
      <c r="EM14" s="46">
        <f t="shared" si="36"/>
        <v>0.101980198</v>
      </c>
      <c r="EN14" s="37"/>
      <c r="EO14" s="37">
        <f>IFERROR(__xludf.DUMMYFUNCTION("""COMPUTED_VALUE"""),45295.64583333333)</f>
        <v>45295.64583</v>
      </c>
      <c r="EP14" s="45">
        <f>IFERROR(__xludf.DUMMYFUNCTION("""COMPUTED_VALUE"""),165.7)</f>
        <v>165.7</v>
      </c>
      <c r="EQ14" s="46">
        <f t="shared" si="37"/>
        <v>0.06937721846</v>
      </c>
      <c r="ER14" s="37"/>
      <c r="ES14" s="37">
        <f>IFERROR(__xludf.DUMMYFUNCTION("""COMPUTED_VALUE"""),45295.64583333333)</f>
        <v>45295.64583</v>
      </c>
      <c r="ET14" s="45">
        <f>IFERROR(__xludf.DUMMYFUNCTION("""COMPUTED_VALUE"""),204.75)</f>
        <v>204.75</v>
      </c>
      <c r="EU14" s="46">
        <f t="shared" si="38"/>
        <v>0.05351170569</v>
      </c>
      <c r="EV14" s="37"/>
      <c r="EW14" s="37">
        <f>IFERROR(__xludf.DUMMYFUNCTION("""COMPUTED_VALUE"""),45295.64583333333)</f>
        <v>45295.64583</v>
      </c>
      <c r="EX14" s="45">
        <f>IFERROR(__xludf.DUMMYFUNCTION("""COMPUTED_VALUE"""),730.0)</f>
        <v>730</v>
      </c>
      <c r="EY14" s="46">
        <f t="shared" si="39"/>
        <v>0.1265432099</v>
      </c>
      <c r="EZ14" s="37"/>
      <c r="FA14" s="37">
        <f>IFERROR(__xludf.DUMMYFUNCTION("""COMPUTED_VALUE"""),45295.64583333333)</f>
        <v>45295.64583</v>
      </c>
      <c r="FB14" s="45">
        <f>IFERROR(__xludf.DUMMYFUNCTION("""COMPUTED_VALUE"""),197.15)</f>
        <v>197.15</v>
      </c>
      <c r="FC14" s="46">
        <f t="shared" si="40"/>
        <v>0.1304472477</v>
      </c>
      <c r="FD14" s="37"/>
      <c r="FE14" s="37">
        <f>IFERROR(__xludf.DUMMYFUNCTION("""COMPUTED_VALUE"""),45295.64583333333)</f>
        <v>45295.64583</v>
      </c>
      <c r="FF14" s="45">
        <f>IFERROR(__xludf.DUMMYFUNCTION("""COMPUTED_VALUE"""),364.2)</f>
        <v>364.2</v>
      </c>
      <c r="FG14" s="46">
        <f t="shared" si="41"/>
        <v>0.1948818898</v>
      </c>
      <c r="FH14" s="37"/>
      <c r="FI14" s="37">
        <f>IFERROR(__xludf.DUMMYFUNCTION("""COMPUTED_VALUE"""),45295.64583333333)</f>
        <v>45295.64583</v>
      </c>
      <c r="FJ14" s="45">
        <f>IFERROR(__xludf.DUMMYFUNCTION("""COMPUTED_VALUE"""),592.0)</f>
        <v>592</v>
      </c>
      <c r="FK14" s="46">
        <f t="shared" si="42"/>
        <v>-0.0231829057</v>
      </c>
      <c r="FL14" s="37"/>
      <c r="FM14" s="37">
        <f>IFERROR(__xludf.DUMMYFUNCTION("""COMPUTED_VALUE"""),45295.64583333333)</f>
        <v>45295.64583</v>
      </c>
      <c r="FN14" s="45">
        <f>IFERROR(__xludf.DUMMYFUNCTION("""COMPUTED_VALUE"""),96.05)</f>
        <v>96.05</v>
      </c>
      <c r="FO14" s="46">
        <f t="shared" si="43"/>
        <v>0.01105263158</v>
      </c>
      <c r="FP14" s="37"/>
      <c r="FQ14" s="37">
        <f>IFERROR(__xludf.DUMMYFUNCTION("""COMPUTED_VALUE"""),45295.64583333333)</f>
        <v>45295.64583</v>
      </c>
      <c r="FR14" s="45">
        <f>IFERROR(__xludf.DUMMYFUNCTION("""COMPUTED_VALUE"""),4.75)</f>
        <v>4.75</v>
      </c>
      <c r="FS14" s="46">
        <f t="shared" si="44"/>
        <v>-0.1363636364</v>
      </c>
      <c r="FT14" s="37"/>
      <c r="FU14" s="37">
        <f>IFERROR(__xludf.DUMMYFUNCTION("""COMPUTED_VALUE"""),45295.64583333333)</f>
        <v>45295.64583</v>
      </c>
      <c r="FV14" s="45">
        <f>IFERROR(__xludf.DUMMYFUNCTION("""COMPUTED_VALUE"""),676.0)</f>
        <v>676</v>
      </c>
      <c r="FW14" s="46">
        <f t="shared" si="45"/>
        <v>0.01265822785</v>
      </c>
      <c r="FX14" s="37"/>
      <c r="FY14" s="37">
        <f>IFERROR(__xludf.DUMMYFUNCTION("""COMPUTED_VALUE"""),45295.64583333333)</f>
        <v>45295.64583</v>
      </c>
      <c r="FZ14" s="45">
        <f>IFERROR(__xludf.DUMMYFUNCTION("""COMPUTED_VALUE"""),173.25)</f>
        <v>173.25</v>
      </c>
      <c r="GA14" s="46">
        <f t="shared" si="46"/>
        <v>0.0203180212</v>
      </c>
      <c r="GB14" s="37"/>
      <c r="GC14" s="37">
        <f>IFERROR(__xludf.DUMMYFUNCTION("""COMPUTED_VALUE"""),45295.64583333333)</f>
        <v>45295.64583</v>
      </c>
      <c r="GD14" s="45">
        <f>IFERROR(__xludf.DUMMYFUNCTION("""COMPUTED_VALUE"""),427.9)</f>
        <v>427.9</v>
      </c>
      <c r="GE14" s="46">
        <f t="shared" si="47"/>
        <v>-0.07360900628</v>
      </c>
      <c r="GF14" s="37"/>
      <c r="GG14" s="37">
        <f>IFERROR(__xludf.DUMMYFUNCTION("""COMPUTED_VALUE"""),45295.64583333333)</f>
        <v>45295.64583</v>
      </c>
      <c r="GH14" s="45">
        <f>IFERROR(__xludf.DUMMYFUNCTION("""COMPUTED_VALUE"""),6510.0)</f>
        <v>6510</v>
      </c>
      <c r="GI14" s="46">
        <f t="shared" si="48"/>
        <v>0.2285336856</v>
      </c>
      <c r="GJ14" s="37"/>
      <c r="GK14" s="37">
        <f>IFERROR(__xludf.DUMMYFUNCTION("""COMPUTED_VALUE"""),45295.64583333333)</f>
        <v>45295.64583</v>
      </c>
      <c r="GL14" s="45">
        <f>IFERROR(__xludf.DUMMYFUNCTION("""COMPUTED_VALUE"""),95.75)</f>
        <v>95.75</v>
      </c>
      <c r="GM14" s="46">
        <f t="shared" si="49"/>
        <v>-0.155643739</v>
      </c>
      <c r="GN14" s="37"/>
      <c r="GO14" s="37">
        <f>IFERROR(__xludf.DUMMYFUNCTION("""COMPUTED_VALUE"""),45295.64583333333)</f>
        <v>45295.64583</v>
      </c>
      <c r="GP14" s="45">
        <f>IFERROR(__xludf.DUMMYFUNCTION("""COMPUTED_VALUE"""),1222.2)</f>
        <v>1222.2</v>
      </c>
      <c r="GQ14" s="46">
        <f t="shared" si="50"/>
        <v>0.1115456323</v>
      </c>
      <c r="GR14" s="37"/>
      <c r="GS14" s="37">
        <f>IFERROR(__xludf.DUMMYFUNCTION("""COMPUTED_VALUE"""),45295.64583333333)</f>
        <v>45295.64583</v>
      </c>
      <c r="GT14" s="45">
        <f>IFERROR(__xludf.DUMMYFUNCTION("""COMPUTED_VALUE"""),15.15)</f>
        <v>15.15</v>
      </c>
      <c r="GU14" s="46">
        <f t="shared" si="51"/>
        <v>0.1698841699</v>
      </c>
      <c r="GV14" s="37"/>
      <c r="GW14" s="37">
        <f>IFERROR(__xludf.DUMMYFUNCTION("""COMPUTED_VALUE"""),45296.64583333333)</f>
        <v>45296.64583</v>
      </c>
      <c r="GX14" s="45">
        <f>IFERROR(__xludf.DUMMYFUNCTION("""COMPUTED_VALUE"""),17.2)</f>
        <v>17.2</v>
      </c>
      <c r="GY14" s="46">
        <f t="shared" si="52"/>
        <v>0.04242424242</v>
      </c>
      <c r="GZ14" s="37"/>
      <c r="HA14" s="37">
        <f>IFERROR(__xludf.DUMMYFUNCTION("""COMPUTED_VALUE"""),45296.64583333333)</f>
        <v>45296.64583</v>
      </c>
      <c r="HB14" s="45">
        <f>IFERROR(__xludf.DUMMYFUNCTION("""COMPUTED_VALUE"""),597.6)</f>
        <v>597.6</v>
      </c>
      <c r="HC14" s="46">
        <f t="shared" si="53"/>
        <v>-0.01710526316</v>
      </c>
      <c r="HD14" s="37"/>
      <c r="HE14" s="43">
        <f>IFERROR(__xludf.DUMMYFUNCTION("""COMPUTED_VALUE"""),45296.64583333333)</f>
        <v>45296.64583</v>
      </c>
      <c r="HF14" s="45">
        <f>IFERROR(__xludf.DUMMYFUNCTION("""COMPUTED_VALUE"""),2460.5)</f>
        <v>2460.5</v>
      </c>
      <c r="HG14" s="46" t="str">
        <f t="shared" si="54"/>
        <v>#DIV/0!</v>
      </c>
      <c r="HH14" s="37"/>
      <c r="HI14" s="37">
        <f>IFERROR(__xludf.DUMMYFUNCTION("""COMPUTED_VALUE"""),45296.64583333333)</f>
        <v>45296.64583</v>
      </c>
      <c r="HJ14" s="45">
        <f>IFERROR(__xludf.DUMMYFUNCTION("""COMPUTED_VALUE"""),5402.0)</f>
        <v>5402</v>
      </c>
      <c r="HK14" s="46">
        <f t="shared" si="55"/>
        <v>0.05713251338</v>
      </c>
      <c r="HL14" s="37"/>
      <c r="HM14" s="37">
        <f>IFERROR(__xludf.DUMMYFUNCTION("""COMPUTED_VALUE"""),45296.64583333333)</f>
        <v>45296.64583</v>
      </c>
      <c r="HN14" s="45">
        <f>IFERROR(__xludf.DUMMYFUNCTION("""COMPUTED_VALUE"""),413.0)</f>
        <v>413</v>
      </c>
      <c r="HO14" s="46">
        <f t="shared" si="56"/>
        <v>0.01586520723</v>
      </c>
      <c r="HP14" s="37"/>
      <c r="HQ14" s="37">
        <f>IFERROR(__xludf.DUMMYFUNCTION("""COMPUTED_VALUE"""),45296.64583333333)</f>
        <v>45296.64583</v>
      </c>
      <c r="HR14" s="45">
        <f>IFERROR(__xludf.DUMMYFUNCTION("""COMPUTED_VALUE"""),235.35)</f>
        <v>235.35</v>
      </c>
      <c r="HS14" s="46">
        <f t="shared" si="57"/>
        <v>-0.07451828549</v>
      </c>
      <c r="HT14" s="37"/>
      <c r="HU14" s="37">
        <f>IFERROR(__xludf.DUMMYFUNCTION("""COMPUTED_VALUE"""),45296.64583333333)</f>
        <v>45296.64583</v>
      </c>
      <c r="HV14" s="45">
        <f>IFERROR(__xludf.DUMMYFUNCTION("""COMPUTED_VALUE"""),71.7)</f>
        <v>71.7</v>
      </c>
      <c r="HW14" s="46">
        <f t="shared" si="58"/>
        <v>0.1490384615</v>
      </c>
      <c r="HX14" s="37"/>
      <c r="HY14" s="37">
        <f>IFERROR(__xludf.DUMMYFUNCTION("""COMPUTED_VALUE"""),45296.64583333333)</f>
        <v>45296.64583</v>
      </c>
      <c r="HZ14" s="45">
        <f>IFERROR(__xludf.DUMMYFUNCTION("""COMPUTED_VALUE"""),376.65)</f>
        <v>376.65</v>
      </c>
      <c r="IA14" s="46">
        <f t="shared" si="59"/>
        <v>-0.19</v>
      </c>
      <c r="IB14" s="37"/>
      <c r="IC14" s="37">
        <f>IFERROR(__xludf.DUMMYFUNCTION("""COMPUTED_VALUE"""),45296.64583333333)</f>
        <v>45296.64583</v>
      </c>
      <c r="ID14" s="45">
        <f>IFERROR(__xludf.DUMMYFUNCTION("""COMPUTED_VALUE"""),75.35)</f>
        <v>75.35</v>
      </c>
      <c r="IE14" s="46">
        <f t="shared" si="60"/>
        <v>-0.8282621083</v>
      </c>
      <c r="IF14" s="37"/>
      <c r="IG14" s="37">
        <f>IFERROR(__xludf.DUMMYFUNCTION("""COMPUTED_VALUE"""),45296.64583333333)</f>
        <v>45296.64583</v>
      </c>
      <c r="IH14" s="45">
        <f>IFERROR(__xludf.DUMMYFUNCTION("""COMPUTED_VALUE"""),510.25)</f>
        <v>510.25</v>
      </c>
      <c r="II14" s="46">
        <f t="shared" si="61"/>
        <v>-0.04268292683</v>
      </c>
      <c r="IJ14" s="37"/>
      <c r="IK14" s="37">
        <f>IFERROR(__xludf.DUMMYFUNCTION("""COMPUTED_VALUE"""),45296.64583333333)</f>
        <v>45296.64583</v>
      </c>
      <c r="IL14" s="45">
        <f>IFERROR(__xludf.DUMMYFUNCTION("""COMPUTED_VALUE"""),584.0)</f>
        <v>584</v>
      </c>
      <c r="IM14" s="46">
        <f t="shared" si="62"/>
        <v>-0.05493972004</v>
      </c>
      <c r="IN14" s="37"/>
      <c r="IO14" s="37">
        <f>IFERROR(__xludf.DUMMYFUNCTION("""COMPUTED_VALUE"""),45296.64583333333)</f>
        <v>45296.64583</v>
      </c>
      <c r="IP14" s="45">
        <f>IFERROR(__xludf.DUMMYFUNCTION("""COMPUTED_VALUE"""),141.54)</f>
        <v>141.54</v>
      </c>
      <c r="IQ14" s="46">
        <f t="shared" si="63"/>
        <v>0.1261039064</v>
      </c>
      <c r="IR14" s="37"/>
      <c r="IS14" s="37">
        <f>IFERROR(__xludf.DUMMYFUNCTION("""COMPUTED_VALUE"""),45296.64583333333)</f>
        <v>45296.64583</v>
      </c>
      <c r="IT14" s="45">
        <f>IFERROR(__xludf.DUMMYFUNCTION("""COMPUTED_VALUE"""),1052.7)</f>
        <v>1052.7</v>
      </c>
      <c r="IU14" s="46">
        <f t="shared" si="64"/>
        <v>0.0485059761</v>
      </c>
      <c r="IV14" s="37"/>
      <c r="IW14" s="37">
        <f>IFERROR(__xludf.DUMMYFUNCTION("""COMPUTED_VALUE"""),45296.64583333333)</f>
        <v>45296.64583</v>
      </c>
      <c r="IX14" s="45">
        <f>IFERROR(__xludf.DUMMYFUNCTION("""COMPUTED_VALUE"""),215.8)</f>
        <v>215.8</v>
      </c>
      <c r="IY14" s="46">
        <f t="shared" si="65"/>
        <v>0.04782714251</v>
      </c>
      <c r="IZ14" s="37"/>
      <c r="JA14" s="37">
        <f>IFERROR(__xludf.DUMMYFUNCTION("""COMPUTED_VALUE"""),45296.64583333333)</f>
        <v>45296.64583</v>
      </c>
      <c r="JB14" s="45">
        <f>IFERROR(__xludf.DUMMYFUNCTION("""COMPUTED_VALUE"""),34775.0)</f>
        <v>34775</v>
      </c>
      <c r="JC14" s="46">
        <f t="shared" si="66"/>
        <v>-0.01772889883</v>
      </c>
      <c r="JD14" s="37"/>
      <c r="JE14" s="37">
        <f>IFERROR(__xludf.DUMMYFUNCTION("""COMPUTED_VALUE"""),45296.64583333333)</f>
        <v>45296.64583</v>
      </c>
      <c r="JF14" s="45">
        <f>IFERROR(__xludf.DUMMYFUNCTION("""COMPUTED_VALUE"""),649.05)</f>
        <v>649.05</v>
      </c>
      <c r="JG14" s="46">
        <f t="shared" si="67"/>
        <v>0.006279069767</v>
      </c>
      <c r="JH14" s="37"/>
      <c r="JI14" s="37">
        <f>IFERROR(__xludf.DUMMYFUNCTION("""COMPUTED_VALUE"""),45296.64583333333)</f>
        <v>45296.64583</v>
      </c>
      <c r="JJ14" s="45">
        <f>IFERROR(__xludf.DUMMYFUNCTION("""COMPUTED_VALUE"""),315.3)</f>
        <v>315.3</v>
      </c>
      <c r="JK14" s="46">
        <f t="shared" si="68"/>
        <v>-0.05584668364</v>
      </c>
      <c r="JL14" s="37"/>
      <c r="JM14" s="37">
        <f>IFERROR(__xludf.DUMMYFUNCTION("""COMPUTED_VALUE"""),45296.64583333333)</f>
        <v>45296.64583</v>
      </c>
      <c r="JN14" s="45">
        <f>IFERROR(__xludf.DUMMYFUNCTION("""COMPUTED_VALUE"""),15.9)</f>
        <v>15.9</v>
      </c>
      <c r="JO14" s="46">
        <f t="shared" si="69"/>
        <v>-0.9637606838</v>
      </c>
      <c r="JP14" s="37"/>
      <c r="JQ14" s="37">
        <f>IFERROR(__xludf.DUMMYFUNCTION("""COMPUTED_VALUE"""),45296.64583333333)</f>
        <v>45296.64583</v>
      </c>
      <c r="JR14" s="45">
        <f>IFERROR(__xludf.DUMMYFUNCTION("""COMPUTED_VALUE"""),106.15)</f>
        <v>106.15</v>
      </c>
      <c r="JS14" s="46">
        <f t="shared" si="70"/>
        <v>-0.2194852941</v>
      </c>
      <c r="JT14" s="37"/>
      <c r="JU14" s="37">
        <f>IFERROR(__xludf.DUMMYFUNCTION("""COMPUTED_VALUE"""),45296.64583333333)</f>
        <v>45296.64583</v>
      </c>
      <c r="JV14" s="45">
        <f>IFERROR(__xludf.DUMMYFUNCTION("""COMPUTED_VALUE"""),263.1)</f>
        <v>263.1</v>
      </c>
      <c r="JW14" s="46">
        <f t="shared" si="71"/>
        <v>-0.4003418803</v>
      </c>
      <c r="JX14" s="37"/>
      <c r="JY14" s="37">
        <f>IFERROR(__xludf.DUMMYFUNCTION("""COMPUTED_VALUE"""),45296.64583333333)</f>
        <v>45296.64583</v>
      </c>
      <c r="JZ14" s="45">
        <f>IFERROR(__xludf.DUMMYFUNCTION("""COMPUTED_VALUE"""),699.05)</f>
        <v>699.05</v>
      </c>
      <c r="KA14" s="46">
        <f t="shared" si="72"/>
        <v>0.2686932849</v>
      </c>
      <c r="KB14" s="37"/>
      <c r="KC14" s="37">
        <f>IFERROR(__xludf.DUMMYFUNCTION("""COMPUTED_VALUE"""),45296.64583333333)</f>
        <v>45296.64583</v>
      </c>
      <c r="KD14" s="45">
        <f>IFERROR(__xludf.DUMMYFUNCTION("""COMPUTED_VALUE"""),879.5)</f>
        <v>879.5</v>
      </c>
      <c r="KE14" s="46">
        <f t="shared" si="73"/>
        <v>0.006811287276</v>
      </c>
      <c r="KF14" s="37"/>
      <c r="KG14" s="37">
        <f>IFERROR(__xludf.DUMMYFUNCTION("""COMPUTED_VALUE"""),45296.64583333333)</f>
        <v>45296.64583</v>
      </c>
      <c r="KH14" s="45">
        <f>IFERROR(__xludf.DUMMYFUNCTION("""COMPUTED_VALUE"""),384.45)</f>
        <v>384.45</v>
      </c>
      <c r="KI14" s="46">
        <f t="shared" si="74"/>
        <v>-0.01423076923</v>
      </c>
      <c r="KJ14" s="37"/>
      <c r="KK14" s="37">
        <f>IFERROR(__xludf.DUMMYFUNCTION("""COMPUTED_VALUE"""),45296.64583333333)</f>
        <v>45296.64583</v>
      </c>
      <c r="KL14" s="45">
        <f>IFERROR(__xludf.DUMMYFUNCTION("""COMPUTED_VALUE"""),9.5)</f>
        <v>9.5</v>
      </c>
      <c r="KM14" s="46">
        <f t="shared" si="75"/>
        <v>0.02150537634</v>
      </c>
      <c r="KN14" s="37"/>
      <c r="KO14" s="37">
        <f>IFERROR(__xludf.DUMMYFUNCTION("""COMPUTED_VALUE"""),45296.64583333333)</f>
        <v>45296.64583</v>
      </c>
      <c r="KP14" s="45">
        <f>IFERROR(__xludf.DUMMYFUNCTION("""COMPUTED_VALUE"""),242.2)</f>
        <v>242.2</v>
      </c>
      <c r="KQ14" s="46">
        <f t="shared" si="76"/>
        <v>0.1913428431</v>
      </c>
      <c r="KR14" s="37"/>
      <c r="KS14" s="37">
        <f>IFERROR(__xludf.DUMMYFUNCTION("""COMPUTED_VALUE"""),45296.64583333333)</f>
        <v>45296.64583</v>
      </c>
      <c r="KT14" s="45">
        <f>IFERROR(__xludf.DUMMYFUNCTION("""COMPUTED_VALUE"""),12.25)</f>
        <v>12.25</v>
      </c>
      <c r="KU14" s="46">
        <f t="shared" si="77"/>
        <v>0.1085972851</v>
      </c>
      <c r="KV14" s="37"/>
      <c r="KW14" s="37">
        <f>IFERROR(__xludf.DUMMYFUNCTION("""COMPUTED_VALUE"""),45296.64583333333)</f>
        <v>45296.64583</v>
      </c>
      <c r="KX14" s="45">
        <f>IFERROR(__xludf.DUMMYFUNCTION("""COMPUTED_VALUE"""),2689.0)</f>
        <v>2689</v>
      </c>
      <c r="KY14" s="46">
        <f t="shared" si="78"/>
        <v>0.007134965074</v>
      </c>
      <c r="KZ14" s="37"/>
      <c r="LA14" s="37">
        <f>IFERROR(__xludf.DUMMYFUNCTION("""COMPUTED_VALUE"""),45296.64583333333)</f>
        <v>45296.64583</v>
      </c>
      <c r="LB14" s="45">
        <f>IFERROR(__xludf.DUMMYFUNCTION("""COMPUTED_VALUE"""),20.2)</f>
        <v>20.2</v>
      </c>
      <c r="LC14" s="46">
        <f t="shared" si="79"/>
        <v>0.07161803714</v>
      </c>
      <c r="LD14" s="37"/>
      <c r="LE14" s="37">
        <f>IFERROR(__xludf.DUMMYFUNCTION("""COMPUTED_VALUE"""),45296.64583333333)</f>
        <v>45296.64583</v>
      </c>
      <c r="LF14" s="45">
        <f>IFERROR(__xludf.DUMMYFUNCTION("""COMPUTED_VALUE"""),121.7)</f>
        <v>121.7</v>
      </c>
      <c r="LG14" s="46">
        <f t="shared" si="80"/>
        <v>-0.0264</v>
      </c>
      <c r="LH14" s="37"/>
      <c r="LI14" s="37">
        <f>IFERROR(__xludf.DUMMYFUNCTION("""COMPUTED_VALUE"""),45296.64583333333)</f>
        <v>45296.64583</v>
      </c>
      <c r="LJ14" s="45">
        <f>IFERROR(__xludf.DUMMYFUNCTION("""COMPUTED_VALUE"""),753.0)</f>
        <v>753</v>
      </c>
      <c r="LK14" s="46">
        <f t="shared" si="81"/>
        <v>0.03434065934</v>
      </c>
      <c r="LL14" s="37"/>
      <c r="LM14" s="37">
        <f>IFERROR(__xludf.DUMMYFUNCTION("""COMPUTED_VALUE"""),45296.64583333333)</f>
        <v>45296.64583</v>
      </c>
      <c r="LN14" s="45">
        <f>IFERROR(__xludf.DUMMYFUNCTION("""COMPUTED_VALUE"""),820.0)</f>
        <v>820</v>
      </c>
      <c r="LO14" s="46">
        <f t="shared" si="82"/>
        <v>-0.04093567251</v>
      </c>
      <c r="LP14" s="37"/>
      <c r="LQ14" s="37">
        <f>IFERROR(__xludf.DUMMYFUNCTION("""COMPUTED_VALUE"""),45296.64583333333)</f>
        <v>45296.64583</v>
      </c>
      <c r="LR14" s="45">
        <f>IFERROR(__xludf.DUMMYFUNCTION("""COMPUTED_VALUE"""),359.8)</f>
        <v>359.8</v>
      </c>
      <c r="LS14" s="46">
        <f t="shared" si="83"/>
        <v>-0.0153256705</v>
      </c>
      <c r="LT14" s="37"/>
      <c r="LU14" s="37">
        <f>IFERROR(__xludf.DUMMYFUNCTION("""COMPUTED_VALUE"""),45296.64583333333)</f>
        <v>45296.64583</v>
      </c>
      <c r="LV14" s="45">
        <f>IFERROR(__xludf.DUMMYFUNCTION("""COMPUTED_VALUE"""),148.0)</f>
        <v>148</v>
      </c>
      <c r="LW14" s="46">
        <f t="shared" si="84"/>
        <v>0.08187134503</v>
      </c>
      <c r="LX14" s="37"/>
      <c r="LY14" s="37">
        <f>IFERROR(__xludf.DUMMYFUNCTION("""COMPUTED_VALUE"""),45296.64583333333)</f>
        <v>45296.64583</v>
      </c>
      <c r="LZ14" s="45">
        <f>IFERROR(__xludf.DUMMYFUNCTION("""COMPUTED_VALUE"""),595.0)</f>
        <v>595</v>
      </c>
      <c r="MA14" s="46">
        <f t="shared" si="85"/>
        <v>-0.04032258065</v>
      </c>
      <c r="MB14" s="37"/>
      <c r="MC14" s="37"/>
      <c r="MD14" s="45"/>
      <c r="ME14" s="46" t="str">
        <f t="shared" si="86"/>
        <v>#DIV/0!</v>
      </c>
      <c r="MF14" s="37"/>
      <c r="MG14" s="37">
        <f>IFERROR(__xludf.DUMMYFUNCTION("""COMPUTED_VALUE"""),45296.64583333333)</f>
        <v>45296.64583</v>
      </c>
      <c r="MH14" s="45">
        <f>IFERROR(__xludf.DUMMYFUNCTION("""COMPUTED_VALUE"""),2026.0)</f>
        <v>2026</v>
      </c>
      <c r="MI14" s="46">
        <f t="shared" si="87"/>
        <v>0.03317269691</v>
      </c>
      <c r="MJ14" s="37"/>
      <c r="MK14" s="37">
        <f>IFERROR(__xludf.DUMMYFUNCTION("""COMPUTED_VALUE"""),45296.64583333333)</f>
        <v>45296.64583</v>
      </c>
      <c r="ML14" s="45">
        <f>IFERROR(__xludf.DUMMYFUNCTION("""COMPUTED_VALUE"""),393.45)</f>
        <v>393.45</v>
      </c>
      <c r="MM14" s="46">
        <f t="shared" si="88"/>
        <v>-0.0162520315</v>
      </c>
      <c r="MN14" s="37"/>
      <c r="MO14" s="37">
        <f>IFERROR(__xludf.DUMMYFUNCTION("""COMPUTED_VALUE"""),45296.64583333333)</f>
        <v>45296.64583</v>
      </c>
      <c r="MP14" s="45">
        <f>IFERROR(__xludf.DUMMYFUNCTION("""COMPUTED_VALUE"""),721.9)</f>
        <v>721.9</v>
      </c>
      <c r="MQ14" s="46">
        <f t="shared" si="89"/>
        <v>-0.02445945946</v>
      </c>
      <c r="MR14" s="37"/>
      <c r="MS14" s="37">
        <f>IFERROR(__xludf.DUMMYFUNCTION("""COMPUTED_VALUE"""),45296.64583333333)</f>
        <v>45296.64583</v>
      </c>
      <c r="MT14" s="45">
        <f>IFERROR(__xludf.DUMMYFUNCTION("""COMPUTED_VALUE"""),63.9)</f>
        <v>63.9</v>
      </c>
      <c r="MU14" s="46">
        <f t="shared" si="90"/>
        <v>-0.03401360544</v>
      </c>
      <c r="MV14" s="37"/>
      <c r="MW14" s="37">
        <f>IFERROR(__xludf.DUMMYFUNCTION("""COMPUTED_VALUE"""),45296.64583333333)</f>
        <v>45296.64583</v>
      </c>
      <c r="MX14" s="45">
        <f>IFERROR(__xludf.DUMMYFUNCTION("""COMPUTED_VALUE"""),3295.9)</f>
        <v>3295.9</v>
      </c>
      <c r="MY14" s="46">
        <f t="shared" si="91"/>
        <v>0.04731490308</v>
      </c>
      <c r="MZ14" s="37"/>
      <c r="NA14" s="37">
        <f>IFERROR(__xludf.DUMMYFUNCTION("""COMPUTED_VALUE"""),45296.64583333333)</f>
        <v>45296.64583</v>
      </c>
      <c r="NB14" s="45">
        <f>IFERROR(__xludf.DUMMYFUNCTION("""COMPUTED_VALUE"""),14.2)</f>
        <v>14.2</v>
      </c>
      <c r="NC14" s="46">
        <f t="shared" si="92"/>
        <v>0.1225296443</v>
      </c>
      <c r="ND14" s="37"/>
      <c r="NE14" s="37">
        <f>IFERROR(__xludf.DUMMYFUNCTION("""COMPUTED_VALUE"""),45299.64583333333)</f>
        <v>45299.64583</v>
      </c>
      <c r="NF14" s="45">
        <f>IFERROR(__xludf.DUMMYFUNCTION("""COMPUTED_VALUE"""),385.4)</f>
        <v>385.4</v>
      </c>
      <c r="NG14" s="46">
        <f t="shared" si="93"/>
        <v>0.00639770205</v>
      </c>
      <c r="NH14" s="37"/>
      <c r="NI14" s="37">
        <f>IFERROR(__xludf.DUMMYFUNCTION("""COMPUTED_VALUE"""),45299.64583333333)</f>
        <v>45299.64583</v>
      </c>
      <c r="NJ14" s="45">
        <f>IFERROR(__xludf.DUMMYFUNCTION("""COMPUTED_VALUE"""),292.0)</f>
        <v>292</v>
      </c>
      <c r="NK14" s="46">
        <f t="shared" si="94"/>
        <v>0.09498631267</v>
      </c>
      <c r="NL14" s="37"/>
      <c r="NM14" s="37">
        <f>IFERROR(__xludf.DUMMYFUNCTION("""COMPUTED_VALUE"""),45299.64583333333)</f>
        <v>45299.64583</v>
      </c>
      <c r="NN14" s="45">
        <f>IFERROR(__xludf.DUMMYFUNCTION("""COMPUTED_VALUE"""),117.6)</f>
        <v>117.6</v>
      </c>
      <c r="NO14" s="46">
        <f t="shared" si="95"/>
        <v>-0.04622871046</v>
      </c>
      <c r="NP14" s="37"/>
      <c r="NQ14" s="37">
        <f>IFERROR(__xludf.DUMMYFUNCTION("""COMPUTED_VALUE"""),45299.64583333333)</f>
        <v>45299.64583</v>
      </c>
      <c r="NR14" s="45">
        <f>IFERROR(__xludf.DUMMYFUNCTION("""COMPUTED_VALUE"""),4050.0)</f>
        <v>4050</v>
      </c>
      <c r="NS14" s="46">
        <f t="shared" si="96"/>
        <v>-0.03017241379</v>
      </c>
      <c r="NT14" s="37"/>
      <c r="NU14" s="37">
        <f>IFERROR(__xludf.DUMMYFUNCTION("""COMPUTED_VALUE"""),45299.64583333333)</f>
        <v>45299.64583</v>
      </c>
      <c r="NV14" s="45">
        <f>IFERROR(__xludf.DUMMYFUNCTION("""COMPUTED_VALUE"""),13.6)</f>
        <v>13.6</v>
      </c>
      <c r="NW14" s="46">
        <f t="shared" si="97"/>
        <v>0.07086614173</v>
      </c>
      <c r="NX14" s="37"/>
      <c r="NY14" s="37">
        <f>IFERROR(__xludf.DUMMYFUNCTION("""COMPUTED_VALUE"""),45299.64583333333)</f>
        <v>45299.64583</v>
      </c>
      <c r="NZ14" s="45">
        <f>IFERROR(__xludf.DUMMYFUNCTION("""COMPUTED_VALUE"""),287.6)</f>
        <v>287.6</v>
      </c>
      <c r="OA14" s="46">
        <f t="shared" si="98"/>
        <v>0.1653160454</v>
      </c>
      <c r="OB14" s="37"/>
      <c r="OC14" s="37">
        <f>IFERROR(__xludf.DUMMYFUNCTION("""COMPUTED_VALUE"""),45299.64583333333)</f>
        <v>45299.64583</v>
      </c>
      <c r="OD14" s="45">
        <f>IFERROR(__xludf.DUMMYFUNCTION("""COMPUTED_VALUE"""),1129.0)</f>
        <v>1129</v>
      </c>
      <c r="OE14" s="46">
        <f t="shared" si="99"/>
        <v>0.07120831159</v>
      </c>
      <c r="OF14" s="37"/>
      <c r="OG14" s="37">
        <f>IFERROR(__xludf.DUMMYFUNCTION("""COMPUTED_VALUE"""),45299.64583333333)</f>
        <v>45299.64583</v>
      </c>
      <c r="OH14" s="45">
        <f>IFERROR(__xludf.DUMMYFUNCTION("""COMPUTED_VALUE"""),2437.5)</f>
        <v>2437.5</v>
      </c>
      <c r="OI14" s="46">
        <f t="shared" si="100"/>
        <v>-0.0009427002213</v>
      </c>
      <c r="OJ14" s="37"/>
      <c r="OK14" s="37"/>
      <c r="OL14" s="45"/>
      <c r="OM14" s="46" t="str">
        <f t="shared" si="101"/>
        <v>#DIV/0!</v>
      </c>
      <c r="ON14" s="37"/>
    </row>
    <row r="15" ht="12.0" customHeight="1">
      <c r="A15" s="37">
        <f>IFERROR(__xludf.DUMMYFUNCTION("""COMPUTED_VALUE"""),45296.64583333333)</f>
        <v>45296.64583</v>
      </c>
      <c r="B15" s="45">
        <f>IFERROR(__xludf.DUMMYFUNCTION("""COMPUTED_VALUE"""),433.45)</f>
        <v>433.45</v>
      </c>
      <c r="C15" s="46">
        <f t="shared" si="1"/>
        <v>-0.01207977208</v>
      </c>
      <c r="D15" s="37"/>
      <c r="E15" s="37">
        <f>IFERROR(__xludf.DUMMYFUNCTION("""COMPUTED_VALUE"""),45296.64583333333)</f>
        <v>45296.64583</v>
      </c>
      <c r="F15" s="45">
        <f>IFERROR(__xludf.DUMMYFUNCTION("""COMPUTED_VALUE"""),654.5)</f>
        <v>654.5</v>
      </c>
      <c r="G15" s="46">
        <f t="shared" si="2"/>
        <v>-0.0007633587786</v>
      </c>
      <c r="H15" s="37"/>
      <c r="I15" s="37">
        <f>IFERROR(__xludf.DUMMYFUNCTION("""COMPUTED_VALUE"""),45296.64583333333)</f>
        <v>45296.64583</v>
      </c>
      <c r="J15" s="45">
        <f>IFERROR(__xludf.DUMMYFUNCTION("""COMPUTED_VALUE"""),188.65)</f>
        <v>188.65</v>
      </c>
      <c r="K15" s="46">
        <f t="shared" si="3"/>
        <v>0.02527173913</v>
      </c>
      <c r="L15" s="37"/>
      <c r="M15" s="37">
        <f>IFERROR(__xludf.DUMMYFUNCTION("""COMPUTED_VALUE"""),45296.64583333333)</f>
        <v>45296.64583</v>
      </c>
      <c r="N15" s="45">
        <f>IFERROR(__xludf.DUMMYFUNCTION("""COMPUTED_VALUE"""),92.95)</f>
        <v>92.95</v>
      </c>
      <c r="O15" s="46">
        <f t="shared" si="4"/>
        <v>0.07581018519</v>
      </c>
      <c r="P15" s="37"/>
      <c r="Q15" s="37">
        <f>IFERROR(__xludf.DUMMYFUNCTION("""COMPUTED_VALUE"""),45296.64583333333)</f>
        <v>45296.64583</v>
      </c>
      <c r="R15" s="45">
        <f>IFERROR(__xludf.DUMMYFUNCTION("""COMPUTED_VALUE"""),51.2)</f>
        <v>51.2</v>
      </c>
      <c r="S15" s="46">
        <f t="shared" si="5"/>
        <v>-0.02476190476</v>
      </c>
      <c r="T15" s="37"/>
      <c r="U15" s="37">
        <f>IFERROR(__xludf.DUMMYFUNCTION("""COMPUTED_VALUE"""),45296.64583333333)</f>
        <v>45296.64583</v>
      </c>
      <c r="V15" s="45">
        <f>IFERROR(__xludf.DUMMYFUNCTION("""COMPUTED_VALUE"""),772.55)</f>
        <v>772.55</v>
      </c>
      <c r="W15" s="46">
        <f t="shared" si="6"/>
        <v>0.1662892512</v>
      </c>
      <c r="X15" s="37"/>
      <c r="Y15" s="37">
        <f>IFERROR(__xludf.DUMMYFUNCTION("""COMPUTED_VALUE"""),45296.64583333333)</f>
        <v>45296.64583</v>
      </c>
      <c r="Z15" s="45">
        <f>IFERROR(__xludf.DUMMYFUNCTION("""COMPUTED_VALUE"""),194.1)</f>
        <v>194.1</v>
      </c>
      <c r="AA15" s="46">
        <f t="shared" si="7"/>
        <v>0.04918918919</v>
      </c>
      <c r="AB15" s="37"/>
      <c r="AC15" s="37">
        <f>IFERROR(__xludf.DUMMYFUNCTION("""COMPUTED_VALUE"""),45296.64583333333)</f>
        <v>45296.64583</v>
      </c>
      <c r="AD15" s="45">
        <f>IFERROR(__xludf.DUMMYFUNCTION("""COMPUTED_VALUE"""),2460.5)</f>
        <v>2460.5</v>
      </c>
      <c r="AE15" s="46">
        <f t="shared" si="8"/>
        <v>0.03621815119</v>
      </c>
      <c r="AF15" s="37"/>
      <c r="AG15" s="37">
        <f>IFERROR(__xludf.DUMMYFUNCTION("""COMPUTED_VALUE"""),45296.64583333333)</f>
        <v>45296.64583</v>
      </c>
      <c r="AH15" s="45">
        <f>IFERROR(__xludf.DUMMYFUNCTION("""COMPUTED_VALUE"""),760.9)</f>
        <v>760.9</v>
      </c>
      <c r="AI15" s="46">
        <f t="shared" si="9"/>
        <v>-0.09416666667</v>
      </c>
      <c r="AJ15" s="37"/>
      <c r="AK15" s="37">
        <f>IFERROR(__xludf.DUMMYFUNCTION("""COMPUTED_VALUE"""),45296.64583333333)</f>
        <v>45296.64583</v>
      </c>
      <c r="AL15" s="45">
        <f>IFERROR(__xludf.DUMMYFUNCTION("""COMPUTED_VALUE"""),5402.0)</f>
        <v>5402</v>
      </c>
      <c r="AM15" s="46">
        <f t="shared" si="10"/>
        <v>0.03884615385</v>
      </c>
      <c r="AN15" s="37"/>
      <c r="AO15" s="37">
        <f>IFERROR(__xludf.DUMMYFUNCTION("""COMPUTED_VALUE"""),45296.64583333333)</f>
        <v>45296.64583</v>
      </c>
      <c r="AP15" s="45">
        <f>IFERROR(__xludf.DUMMYFUNCTION("""COMPUTED_VALUE"""),916.95)</f>
        <v>916.95</v>
      </c>
      <c r="AQ15" s="46">
        <f t="shared" si="11"/>
        <v>0.007637362637</v>
      </c>
      <c r="AR15" s="37"/>
      <c r="AS15" s="37">
        <f>IFERROR(__xludf.DUMMYFUNCTION("""COMPUTED_VALUE"""),45296.64583333333)</f>
        <v>45296.64583</v>
      </c>
      <c r="AT15" s="45">
        <f>IFERROR(__xludf.DUMMYFUNCTION("""COMPUTED_VALUE"""),2509.0)</f>
        <v>2509</v>
      </c>
      <c r="AU15" s="46">
        <f t="shared" si="12"/>
        <v>0.01010507669</v>
      </c>
      <c r="AV15" s="37"/>
      <c r="AW15" s="37">
        <f>IFERROR(__xludf.DUMMYFUNCTION("""COMPUTED_VALUE"""),45296.64583333333)</f>
        <v>45296.64583</v>
      </c>
      <c r="AX15" s="45">
        <f>IFERROR(__xludf.DUMMYFUNCTION("""COMPUTED_VALUE"""),5677.95)</f>
        <v>5677.95</v>
      </c>
      <c r="AY15" s="46">
        <f t="shared" si="13"/>
        <v>0.00590830174</v>
      </c>
      <c r="AZ15" s="37"/>
      <c r="BA15" s="37">
        <f>IFERROR(__xludf.DUMMYFUNCTION("""COMPUTED_VALUE"""),45296.64583333333)</f>
        <v>45296.64583</v>
      </c>
      <c r="BB15" s="45">
        <f>IFERROR(__xludf.DUMMYFUNCTION("""COMPUTED_VALUE"""),463.0)</f>
        <v>463</v>
      </c>
      <c r="BC15" s="46">
        <f t="shared" si="14"/>
        <v>-0.01173959445</v>
      </c>
      <c r="BD15" s="37"/>
      <c r="BE15" s="37">
        <f>IFERROR(__xludf.DUMMYFUNCTION("""COMPUTED_VALUE"""),45296.64583333333)</f>
        <v>45296.64583</v>
      </c>
      <c r="BF15" s="45">
        <f>IFERROR(__xludf.DUMMYFUNCTION("""COMPUTED_VALUE"""),327.6)</f>
        <v>327.6</v>
      </c>
      <c r="BG15" s="46">
        <f t="shared" si="15"/>
        <v>-0.1950859951</v>
      </c>
      <c r="BH15" s="37"/>
      <c r="BI15" s="37">
        <f>IFERROR(__xludf.DUMMYFUNCTION("""COMPUTED_VALUE"""),45296.64583333333)</f>
        <v>45296.64583</v>
      </c>
      <c r="BJ15" s="45">
        <f>IFERROR(__xludf.DUMMYFUNCTION("""COMPUTED_VALUE"""),65.75)</f>
        <v>65.75</v>
      </c>
      <c r="BK15" s="46">
        <f t="shared" si="16"/>
        <v>-0.05327573794</v>
      </c>
      <c r="BL15" s="37"/>
      <c r="BM15" s="37">
        <f>IFERROR(__xludf.DUMMYFUNCTION("""COMPUTED_VALUE"""),45296.64583333333)</f>
        <v>45296.64583</v>
      </c>
      <c r="BN15" s="45">
        <f>IFERROR(__xludf.DUMMYFUNCTION("""COMPUTED_VALUE"""),235.35)</f>
        <v>235.35</v>
      </c>
      <c r="BO15" s="46">
        <f t="shared" si="17"/>
        <v>-0.0806640625</v>
      </c>
      <c r="BP15" s="37"/>
      <c r="BQ15" s="37">
        <f>IFERROR(__xludf.DUMMYFUNCTION("""COMPUTED_VALUE"""),45296.64583333333)</f>
        <v>45296.64583</v>
      </c>
      <c r="BR15" s="45">
        <f>IFERROR(__xludf.DUMMYFUNCTION("""COMPUTED_VALUE"""),71.7)</f>
        <v>71.7</v>
      </c>
      <c r="BS15" s="46">
        <f t="shared" si="18"/>
        <v>0.1773399015</v>
      </c>
      <c r="BT15" s="37"/>
      <c r="BU15" s="37">
        <f>IFERROR(__xludf.DUMMYFUNCTION("""COMPUTED_VALUE"""),45296.64583333333)</f>
        <v>45296.64583</v>
      </c>
      <c r="BV15" s="45">
        <f>IFERROR(__xludf.DUMMYFUNCTION("""COMPUTED_VALUE"""),308.8)</f>
        <v>308.8</v>
      </c>
      <c r="BW15" s="46">
        <f t="shared" si="19"/>
        <v>-0.001939237233</v>
      </c>
      <c r="BX15" s="37"/>
      <c r="BY15" s="37">
        <f>IFERROR(__xludf.DUMMYFUNCTION("""COMPUTED_VALUE"""),45296.64583333333)</f>
        <v>45296.64583</v>
      </c>
      <c r="BZ15" s="45">
        <f>IFERROR(__xludf.DUMMYFUNCTION("""COMPUTED_VALUE"""),376.65)</f>
        <v>376.65</v>
      </c>
      <c r="CA15" s="46">
        <f t="shared" si="20"/>
        <v>-0.08021978022</v>
      </c>
      <c r="CB15" s="37"/>
      <c r="CC15" s="37">
        <f>IFERROR(__xludf.DUMMYFUNCTION("""COMPUTED_VALUE"""),45296.64583333333)</f>
        <v>45296.64583</v>
      </c>
      <c r="CD15" s="45">
        <f>IFERROR(__xludf.DUMMYFUNCTION("""COMPUTED_VALUE"""),228.0)</f>
        <v>228</v>
      </c>
      <c r="CE15" s="46">
        <f t="shared" si="21"/>
        <v>-0.01596892533</v>
      </c>
      <c r="CF15" s="37"/>
      <c r="CG15" s="37">
        <f>IFERROR(__xludf.DUMMYFUNCTION("""COMPUTED_VALUE"""),45296.64583333333)</f>
        <v>45296.64583</v>
      </c>
      <c r="CH15" s="45">
        <f>IFERROR(__xludf.DUMMYFUNCTION("""COMPUTED_VALUE"""),649.05)</f>
        <v>649.05</v>
      </c>
      <c r="CI15" s="46">
        <f t="shared" si="22"/>
        <v>0.02051886792</v>
      </c>
      <c r="CJ15" s="37"/>
      <c r="CK15" s="37">
        <f>IFERROR(__xludf.DUMMYFUNCTION("""COMPUTED_VALUE"""),45296.64583333333)</f>
        <v>45296.64583</v>
      </c>
      <c r="CL15" s="45">
        <f>IFERROR(__xludf.DUMMYFUNCTION("""COMPUTED_VALUE"""),315.3)</f>
        <v>315.3</v>
      </c>
      <c r="CM15" s="46">
        <f t="shared" si="23"/>
        <v>-0.06439169139</v>
      </c>
      <c r="CN15" s="37"/>
      <c r="CO15" s="37">
        <f>IFERROR(__xludf.DUMMYFUNCTION("""COMPUTED_VALUE"""),45296.64583333333)</f>
        <v>45296.64583</v>
      </c>
      <c r="CP15" s="45">
        <f>IFERROR(__xludf.DUMMYFUNCTION("""COMPUTED_VALUE"""),15.9)</f>
        <v>15.9</v>
      </c>
      <c r="CQ15" s="46">
        <f t="shared" si="24"/>
        <v>0.07432432432</v>
      </c>
      <c r="CR15" s="37"/>
      <c r="CS15" s="37">
        <f>IFERROR(__xludf.DUMMYFUNCTION("""COMPUTED_VALUE"""),45296.64583333333)</f>
        <v>45296.64583</v>
      </c>
      <c r="CT15" s="45">
        <f>IFERROR(__xludf.DUMMYFUNCTION("""COMPUTED_VALUE"""),198.4)</f>
        <v>198.4</v>
      </c>
      <c r="CU15" s="46">
        <f t="shared" si="25"/>
        <v>0.00202020202</v>
      </c>
      <c r="CV15" s="37"/>
      <c r="CW15" s="37">
        <f>IFERROR(__xludf.DUMMYFUNCTION("""COMPUTED_VALUE"""),45296.64583333333)</f>
        <v>45296.64583</v>
      </c>
      <c r="CX15" s="45">
        <f>IFERROR(__xludf.DUMMYFUNCTION("""COMPUTED_VALUE"""),691.95)</f>
        <v>691.95</v>
      </c>
      <c r="CY15" s="46">
        <f t="shared" si="26"/>
        <v>0.0002457428662</v>
      </c>
      <c r="CZ15" s="37"/>
      <c r="DA15" s="37">
        <f>IFERROR(__xludf.DUMMYFUNCTION("""COMPUTED_VALUE"""),45296.64583333333)</f>
        <v>45296.64583</v>
      </c>
      <c r="DB15" s="45">
        <f>IFERROR(__xludf.DUMMYFUNCTION("""COMPUTED_VALUE"""),27.45)</f>
        <v>27.45</v>
      </c>
      <c r="DC15" s="46">
        <f t="shared" si="27"/>
        <v>-0.01612903226</v>
      </c>
      <c r="DD15" s="37"/>
      <c r="DE15" s="37">
        <f>IFERROR(__xludf.DUMMYFUNCTION("""COMPUTED_VALUE"""),45296.64583333333)</f>
        <v>45296.64583</v>
      </c>
      <c r="DF15" s="45">
        <f>IFERROR(__xludf.DUMMYFUNCTION("""COMPUTED_VALUE"""),106.15)</f>
        <v>106.15</v>
      </c>
      <c r="DG15" s="46">
        <f t="shared" si="28"/>
        <v>-0.06310679612</v>
      </c>
      <c r="DH15" s="37"/>
      <c r="DI15" s="37">
        <f>IFERROR(__xludf.DUMMYFUNCTION("""COMPUTED_VALUE"""),45296.64583333333)</f>
        <v>45296.64583</v>
      </c>
      <c r="DJ15" s="45">
        <f>IFERROR(__xludf.DUMMYFUNCTION("""COMPUTED_VALUE"""),1545.0)</f>
        <v>1545</v>
      </c>
      <c r="DK15" s="46">
        <f t="shared" si="29"/>
        <v>-0.03726321037</v>
      </c>
      <c r="DL15" s="37"/>
      <c r="DM15" s="37">
        <f>IFERROR(__xludf.DUMMYFUNCTION("""COMPUTED_VALUE"""),45296.64583333333)</f>
        <v>45296.64583</v>
      </c>
      <c r="DN15" s="45">
        <f>IFERROR(__xludf.DUMMYFUNCTION("""COMPUTED_VALUE"""),598.2)</f>
        <v>598.2</v>
      </c>
      <c r="DO15" s="46">
        <f t="shared" si="30"/>
        <v>0.1157325375</v>
      </c>
      <c r="DP15" s="37"/>
      <c r="DQ15" s="37">
        <f>IFERROR(__xludf.DUMMYFUNCTION("""COMPUTED_VALUE"""),45296.64583333333)</f>
        <v>45296.64583</v>
      </c>
      <c r="DR15" s="45">
        <f>IFERROR(__xludf.DUMMYFUNCTION("""COMPUTED_VALUE"""),239.4)</f>
        <v>239.4</v>
      </c>
      <c r="DS15" s="46">
        <f t="shared" si="31"/>
        <v>0.09816513761</v>
      </c>
      <c r="DT15" s="37"/>
      <c r="DU15" s="37">
        <f>IFERROR(__xludf.DUMMYFUNCTION("""COMPUTED_VALUE"""),45296.64583333333)</f>
        <v>45296.64583</v>
      </c>
      <c r="DV15" s="45">
        <f>IFERROR(__xludf.DUMMYFUNCTION("""COMPUTED_VALUE"""),879.5)</f>
        <v>879.5</v>
      </c>
      <c r="DW15" s="46">
        <f t="shared" si="32"/>
        <v>0.03409758965</v>
      </c>
      <c r="DX15" s="37"/>
      <c r="DY15" s="37">
        <f>IFERROR(__xludf.DUMMYFUNCTION("""COMPUTED_VALUE"""),45296.64583333333)</f>
        <v>45296.64583</v>
      </c>
      <c r="DZ15" s="45">
        <f>IFERROR(__xludf.DUMMYFUNCTION("""COMPUTED_VALUE"""),12.25)</f>
        <v>12.25</v>
      </c>
      <c r="EA15" s="46">
        <f t="shared" si="33"/>
        <v>0.1290322581</v>
      </c>
      <c r="EB15" s="37"/>
      <c r="EC15" s="37">
        <f>IFERROR(__xludf.DUMMYFUNCTION("""COMPUTED_VALUE"""),45296.64583333333)</f>
        <v>45296.64583</v>
      </c>
      <c r="ED15" s="45">
        <f>IFERROR(__xludf.DUMMYFUNCTION("""COMPUTED_VALUE"""),2689.0)</f>
        <v>2689</v>
      </c>
      <c r="EE15" s="46">
        <f t="shared" si="34"/>
        <v>0.01663516068</v>
      </c>
      <c r="EF15" s="37"/>
      <c r="EG15" s="37">
        <f>IFERROR(__xludf.DUMMYFUNCTION("""COMPUTED_VALUE"""),45296.64583333333)</f>
        <v>45296.64583</v>
      </c>
      <c r="EH15" s="45">
        <f>IFERROR(__xludf.DUMMYFUNCTION("""COMPUTED_VALUE"""),657.45)</f>
        <v>657.45</v>
      </c>
      <c r="EI15" s="46">
        <f t="shared" si="35"/>
        <v>0.01364477336</v>
      </c>
      <c r="EJ15" s="37"/>
      <c r="EK15" s="37">
        <f>IFERROR(__xludf.DUMMYFUNCTION("""COMPUTED_VALUE"""),45296.64583333333)</f>
        <v>45296.64583</v>
      </c>
      <c r="EL15" s="45">
        <f>IFERROR(__xludf.DUMMYFUNCTION("""COMPUTED_VALUE"""),237.0)</f>
        <v>237</v>
      </c>
      <c r="EM15" s="46">
        <f t="shared" si="36"/>
        <v>0.1732673267</v>
      </c>
      <c r="EN15" s="37"/>
      <c r="EO15" s="37">
        <f>IFERROR(__xludf.DUMMYFUNCTION("""COMPUTED_VALUE"""),45296.64583333333)</f>
        <v>45296.64583</v>
      </c>
      <c r="EP15" s="45">
        <f>IFERROR(__xludf.DUMMYFUNCTION("""COMPUTED_VALUE"""),167.1)</f>
        <v>167.1</v>
      </c>
      <c r="EQ15" s="46">
        <f t="shared" si="37"/>
        <v>0.07841239109</v>
      </c>
      <c r="ER15" s="37"/>
      <c r="ES15" s="37">
        <f>IFERROR(__xludf.DUMMYFUNCTION("""COMPUTED_VALUE"""),45296.64583333333)</f>
        <v>45296.64583</v>
      </c>
      <c r="ET15" s="45">
        <f>IFERROR(__xludf.DUMMYFUNCTION("""COMPUTED_VALUE"""),211.8)</f>
        <v>211.8</v>
      </c>
      <c r="EU15" s="46">
        <f t="shared" si="38"/>
        <v>0.08978646771</v>
      </c>
      <c r="EV15" s="37"/>
      <c r="EW15" s="37">
        <f>IFERROR(__xludf.DUMMYFUNCTION("""COMPUTED_VALUE"""),45296.64583333333)</f>
        <v>45296.64583</v>
      </c>
      <c r="EX15" s="45">
        <f>IFERROR(__xludf.DUMMYFUNCTION("""COMPUTED_VALUE"""),736.0)</f>
        <v>736</v>
      </c>
      <c r="EY15" s="46">
        <f t="shared" si="39"/>
        <v>0.1358024691</v>
      </c>
      <c r="EZ15" s="37"/>
      <c r="FA15" s="37">
        <f>IFERROR(__xludf.DUMMYFUNCTION("""COMPUTED_VALUE"""),45296.64583333333)</f>
        <v>45296.64583</v>
      </c>
      <c r="FB15" s="45">
        <f>IFERROR(__xludf.DUMMYFUNCTION("""COMPUTED_VALUE"""),201.55)</f>
        <v>201.55</v>
      </c>
      <c r="FC15" s="46">
        <f t="shared" si="40"/>
        <v>0.1556766055</v>
      </c>
      <c r="FD15" s="37"/>
      <c r="FE15" s="37">
        <f>IFERROR(__xludf.DUMMYFUNCTION("""COMPUTED_VALUE"""),45296.64583333333)</f>
        <v>45296.64583</v>
      </c>
      <c r="FF15" s="45">
        <f>IFERROR(__xludf.DUMMYFUNCTION("""COMPUTED_VALUE"""),382.4)</f>
        <v>382.4</v>
      </c>
      <c r="FG15" s="46">
        <f t="shared" si="41"/>
        <v>0.2545931759</v>
      </c>
      <c r="FH15" s="37"/>
      <c r="FI15" s="37">
        <f>IFERROR(__xludf.DUMMYFUNCTION("""COMPUTED_VALUE"""),45296.64583333333)</f>
        <v>45296.64583</v>
      </c>
      <c r="FJ15" s="45">
        <f>IFERROR(__xludf.DUMMYFUNCTION("""COMPUTED_VALUE"""),595.0)</f>
        <v>595</v>
      </c>
      <c r="FK15" s="46">
        <f t="shared" si="42"/>
        <v>-0.01823281907</v>
      </c>
      <c r="FL15" s="37"/>
      <c r="FM15" s="37">
        <f>IFERROR(__xludf.DUMMYFUNCTION("""COMPUTED_VALUE"""),45296.64583333333)</f>
        <v>45296.64583</v>
      </c>
      <c r="FN15" s="45">
        <f>IFERROR(__xludf.DUMMYFUNCTION("""COMPUTED_VALUE"""),102.5)</f>
        <v>102.5</v>
      </c>
      <c r="FO15" s="46">
        <f t="shared" si="43"/>
        <v>0.07894736842</v>
      </c>
      <c r="FP15" s="37"/>
      <c r="FQ15" s="37">
        <f>IFERROR(__xludf.DUMMYFUNCTION("""COMPUTED_VALUE"""),45296.64583333333)</f>
        <v>45296.64583</v>
      </c>
      <c r="FR15" s="45">
        <f>IFERROR(__xludf.DUMMYFUNCTION("""COMPUTED_VALUE"""),4.95)</f>
        <v>4.95</v>
      </c>
      <c r="FS15" s="46">
        <f t="shared" si="44"/>
        <v>-0.1</v>
      </c>
      <c r="FT15" s="37"/>
      <c r="FU15" s="37">
        <f>IFERROR(__xludf.DUMMYFUNCTION("""COMPUTED_VALUE"""),45296.64583333333)</f>
        <v>45296.64583</v>
      </c>
      <c r="FV15" s="45">
        <f>IFERROR(__xludf.DUMMYFUNCTION("""COMPUTED_VALUE"""),687.25)</f>
        <v>687.25</v>
      </c>
      <c r="FW15" s="46">
        <f t="shared" si="45"/>
        <v>0.02951089806</v>
      </c>
      <c r="FX15" s="37"/>
      <c r="FY15" s="37">
        <f>IFERROR(__xludf.DUMMYFUNCTION("""COMPUTED_VALUE"""),45296.64583333333)</f>
        <v>45296.64583</v>
      </c>
      <c r="FZ15" s="45">
        <f>IFERROR(__xludf.DUMMYFUNCTION("""COMPUTED_VALUE"""),178.65)</f>
        <v>178.65</v>
      </c>
      <c r="GA15" s="46">
        <f t="shared" si="46"/>
        <v>0.05212014134</v>
      </c>
      <c r="GB15" s="37"/>
      <c r="GC15" s="37">
        <f>IFERROR(__xludf.DUMMYFUNCTION("""COMPUTED_VALUE"""),45296.64583333333)</f>
        <v>45296.64583</v>
      </c>
      <c r="GD15" s="45">
        <f>IFERROR(__xludf.DUMMYFUNCTION("""COMPUTED_VALUE"""),422.5)</f>
        <v>422.5</v>
      </c>
      <c r="GE15" s="46">
        <f t="shared" si="47"/>
        <v>-0.08529984845</v>
      </c>
      <c r="GF15" s="37"/>
      <c r="GG15" s="37">
        <f>IFERROR(__xludf.DUMMYFUNCTION("""COMPUTED_VALUE"""),45296.64583333333)</f>
        <v>45296.64583</v>
      </c>
      <c r="GH15" s="45">
        <f>IFERROR(__xludf.DUMMYFUNCTION("""COMPUTED_VALUE"""),6380.0)</f>
        <v>6380</v>
      </c>
      <c r="GI15" s="46">
        <f t="shared" si="48"/>
        <v>0.2040007549</v>
      </c>
      <c r="GJ15" s="37"/>
      <c r="GK15" s="37">
        <f>IFERROR(__xludf.DUMMYFUNCTION("""COMPUTED_VALUE"""),45296.64583333333)</f>
        <v>45296.64583</v>
      </c>
      <c r="GL15" s="45">
        <f>IFERROR(__xludf.DUMMYFUNCTION("""COMPUTED_VALUE"""),95.0)</f>
        <v>95</v>
      </c>
      <c r="GM15" s="46">
        <f t="shared" si="49"/>
        <v>-0.1622574956</v>
      </c>
      <c r="GN15" s="37"/>
      <c r="GO15" s="37">
        <f>IFERROR(__xludf.DUMMYFUNCTION("""COMPUTED_VALUE"""),45296.64583333333)</f>
        <v>45296.64583</v>
      </c>
      <c r="GP15" s="45">
        <f>IFERROR(__xludf.DUMMYFUNCTION("""COMPUTED_VALUE"""),1203.0)</f>
        <v>1203</v>
      </c>
      <c r="GQ15" s="46">
        <f t="shared" si="50"/>
        <v>0.09408394343</v>
      </c>
      <c r="GR15" s="37"/>
      <c r="GS15" s="37">
        <f>IFERROR(__xludf.DUMMYFUNCTION("""COMPUTED_VALUE"""),45296.64583333333)</f>
        <v>45296.64583</v>
      </c>
      <c r="GT15" s="45">
        <f>IFERROR(__xludf.DUMMYFUNCTION("""COMPUTED_VALUE"""),14.2)</f>
        <v>14.2</v>
      </c>
      <c r="GU15" s="46">
        <f t="shared" si="51"/>
        <v>0.09652509653</v>
      </c>
      <c r="GV15" s="37"/>
      <c r="GW15" s="37">
        <f>IFERROR(__xludf.DUMMYFUNCTION("""COMPUTED_VALUE"""),45299.64583333333)</f>
        <v>45299.64583</v>
      </c>
      <c r="GX15" s="45">
        <f>IFERROR(__xludf.DUMMYFUNCTION("""COMPUTED_VALUE"""),18.8)</f>
        <v>18.8</v>
      </c>
      <c r="GY15" s="46">
        <f t="shared" si="52"/>
        <v>0.1393939394</v>
      </c>
      <c r="GZ15" s="37"/>
      <c r="HA15" s="37">
        <f>IFERROR(__xludf.DUMMYFUNCTION("""COMPUTED_VALUE"""),45299.64583333333)</f>
        <v>45299.64583</v>
      </c>
      <c r="HB15" s="45">
        <f>IFERROR(__xludf.DUMMYFUNCTION("""COMPUTED_VALUE"""),592.5)</f>
        <v>592.5</v>
      </c>
      <c r="HC15" s="46">
        <f t="shared" si="53"/>
        <v>-0.02549342105</v>
      </c>
      <c r="HD15" s="37"/>
      <c r="HE15" s="43">
        <f>IFERROR(__xludf.DUMMYFUNCTION("""COMPUTED_VALUE"""),45299.64583333333)</f>
        <v>45299.64583</v>
      </c>
      <c r="HF15" s="45">
        <f>IFERROR(__xludf.DUMMYFUNCTION("""COMPUTED_VALUE"""),2437.5)</f>
        <v>2437.5</v>
      </c>
      <c r="HG15" s="46" t="str">
        <f t="shared" si="54"/>
        <v>#DIV/0!</v>
      </c>
      <c r="HH15" s="37"/>
      <c r="HI15" s="37">
        <f>IFERROR(__xludf.DUMMYFUNCTION("""COMPUTED_VALUE"""),45299.64583333333)</f>
        <v>45299.64583</v>
      </c>
      <c r="HJ15" s="45">
        <f>IFERROR(__xludf.DUMMYFUNCTION("""COMPUTED_VALUE"""),5450.0)</f>
        <v>5450</v>
      </c>
      <c r="HK15" s="46">
        <f t="shared" si="55"/>
        <v>0.06652576785</v>
      </c>
      <c r="HL15" s="37"/>
      <c r="HM15" s="37">
        <f>IFERROR(__xludf.DUMMYFUNCTION("""COMPUTED_VALUE"""),45299.64583333333)</f>
        <v>45299.64583</v>
      </c>
      <c r="HN15" s="45">
        <f>IFERROR(__xludf.DUMMYFUNCTION("""COMPUTED_VALUE"""),393.0)</f>
        <v>393</v>
      </c>
      <c r="HO15" s="46">
        <f t="shared" si="56"/>
        <v>-0.0333292338</v>
      </c>
      <c r="HP15" s="37"/>
      <c r="HQ15" s="37">
        <f>IFERROR(__xludf.DUMMYFUNCTION("""COMPUTED_VALUE"""),45299.64583333333)</f>
        <v>45299.64583</v>
      </c>
      <c r="HR15" s="45">
        <f>IFERROR(__xludf.DUMMYFUNCTION("""COMPUTED_VALUE"""),231.0)</f>
        <v>231</v>
      </c>
      <c r="HS15" s="46">
        <f t="shared" si="57"/>
        <v>-0.09162406606</v>
      </c>
      <c r="HT15" s="37"/>
      <c r="HU15" s="37">
        <f>IFERROR(__xludf.DUMMYFUNCTION("""COMPUTED_VALUE"""),45299.64583333333)</f>
        <v>45299.64583</v>
      </c>
      <c r="HV15" s="45">
        <f>IFERROR(__xludf.DUMMYFUNCTION("""COMPUTED_VALUE"""),85.9)</f>
        <v>85.9</v>
      </c>
      <c r="HW15" s="46">
        <f t="shared" si="58"/>
        <v>0.3766025641</v>
      </c>
      <c r="HX15" s="37"/>
      <c r="HY15" s="37">
        <f>IFERROR(__xludf.DUMMYFUNCTION("""COMPUTED_VALUE"""),45299.64583333333)</f>
        <v>45299.64583</v>
      </c>
      <c r="HZ15" s="45">
        <f>IFERROR(__xludf.DUMMYFUNCTION("""COMPUTED_VALUE"""),374.5)</f>
        <v>374.5</v>
      </c>
      <c r="IA15" s="46">
        <f t="shared" si="59"/>
        <v>-0.1946236559</v>
      </c>
      <c r="IB15" s="37"/>
      <c r="IC15" s="37">
        <f>IFERROR(__xludf.DUMMYFUNCTION("""COMPUTED_VALUE"""),45299.64583333333)</f>
        <v>45299.64583</v>
      </c>
      <c r="ID15" s="45">
        <f>IFERROR(__xludf.DUMMYFUNCTION("""COMPUTED_VALUE"""),76.75)</f>
        <v>76.75</v>
      </c>
      <c r="IE15" s="46">
        <f t="shared" si="60"/>
        <v>-0.8250712251</v>
      </c>
      <c r="IF15" s="37"/>
      <c r="IG15" s="37">
        <f>IFERROR(__xludf.DUMMYFUNCTION("""COMPUTED_VALUE"""),45299.64583333333)</f>
        <v>45299.64583</v>
      </c>
      <c r="IH15" s="45">
        <f>IFERROR(__xludf.DUMMYFUNCTION("""COMPUTED_VALUE"""),510.1)</f>
        <v>510.1</v>
      </c>
      <c r="II15" s="46">
        <f t="shared" si="61"/>
        <v>-0.04296435272</v>
      </c>
      <c r="IJ15" s="37"/>
      <c r="IK15" s="37">
        <f>IFERROR(__xludf.DUMMYFUNCTION("""COMPUTED_VALUE"""),45299.64583333333)</f>
        <v>45299.64583</v>
      </c>
      <c r="IL15" s="45">
        <f>IFERROR(__xludf.DUMMYFUNCTION("""COMPUTED_VALUE"""),579.95)</f>
        <v>579.95</v>
      </c>
      <c r="IM15" s="46">
        <f t="shared" si="62"/>
        <v>-0.06149364835</v>
      </c>
      <c r="IN15" s="37"/>
      <c r="IO15" s="37">
        <f>IFERROR(__xludf.DUMMYFUNCTION("""COMPUTED_VALUE"""),45299.64583333333)</f>
        <v>45299.64583</v>
      </c>
      <c r="IP15" s="45">
        <f>IFERROR(__xludf.DUMMYFUNCTION("""COMPUTED_VALUE"""),144.37)</f>
        <v>144.37</v>
      </c>
      <c r="IQ15" s="46">
        <f t="shared" si="63"/>
        <v>0.1486196197</v>
      </c>
      <c r="IR15" s="37"/>
      <c r="IS15" s="37">
        <f>IFERROR(__xludf.DUMMYFUNCTION("""COMPUTED_VALUE"""),45299.64583333333)</f>
        <v>45299.64583</v>
      </c>
      <c r="IT15" s="45">
        <f>IFERROR(__xludf.DUMMYFUNCTION("""COMPUTED_VALUE"""),1052.7)</f>
        <v>1052.7</v>
      </c>
      <c r="IU15" s="46">
        <f t="shared" si="64"/>
        <v>0.0485059761</v>
      </c>
      <c r="IV15" s="37"/>
      <c r="IW15" s="37">
        <f>IFERROR(__xludf.DUMMYFUNCTION("""COMPUTED_VALUE"""),45299.64583333333)</f>
        <v>45299.64583</v>
      </c>
      <c r="IX15" s="45">
        <f>IFERROR(__xludf.DUMMYFUNCTION("""COMPUTED_VALUE"""),211.85)</f>
        <v>211.85</v>
      </c>
      <c r="IY15" s="46">
        <f t="shared" si="65"/>
        <v>0.02864773003</v>
      </c>
      <c r="IZ15" s="37"/>
      <c r="JA15" s="37">
        <f>IFERROR(__xludf.DUMMYFUNCTION("""COMPUTED_VALUE"""),45299.64583333333)</f>
        <v>45299.64583</v>
      </c>
      <c r="JB15" s="45">
        <f>IFERROR(__xludf.DUMMYFUNCTION("""COMPUTED_VALUE"""),35103.75)</f>
        <v>35103.75</v>
      </c>
      <c r="JC15" s="46">
        <f t="shared" si="66"/>
        <v>-0.008442870802</v>
      </c>
      <c r="JD15" s="37"/>
      <c r="JE15" s="37">
        <f>IFERROR(__xludf.DUMMYFUNCTION("""COMPUTED_VALUE"""),45299.64583333333)</f>
        <v>45299.64583</v>
      </c>
      <c r="JF15" s="45">
        <f>IFERROR(__xludf.DUMMYFUNCTION("""COMPUTED_VALUE"""),629.0)</f>
        <v>629</v>
      </c>
      <c r="JG15" s="46">
        <f t="shared" si="67"/>
        <v>-0.02480620155</v>
      </c>
      <c r="JH15" s="37"/>
      <c r="JI15" s="37">
        <f>IFERROR(__xludf.DUMMYFUNCTION("""COMPUTED_VALUE"""),45299.64583333333)</f>
        <v>45299.64583</v>
      </c>
      <c r="JJ15" s="45">
        <f>IFERROR(__xludf.DUMMYFUNCTION("""COMPUTED_VALUE"""),305.35)</f>
        <v>305.35</v>
      </c>
      <c r="JK15" s="46">
        <f t="shared" si="68"/>
        <v>-0.08564156311</v>
      </c>
      <c r="JL15" s="37"/>
      <c r="JM15" s="37">
        <f>IFERROR(__xludf.DUMMYFUNCTION("""COMPUTED_VALUE"""),45299.64583333333)</f>
        <v>45299.64583</v>
      </c>
      <c r="JN15" s="45">
        <f>IFERROR(__xludf.DUMMYFUNCTION("""COMPUTED_VALUE"""),18.3)</f>
        <v>18.3</v>
      </c>
      <c r="JO15" s="46">
        <f t="shared" si="69"/>
        <v>-0.9582905983</v>
      </c>
      <c r="JP15" s="37"/>
      <c r="JQ15" s="37">
        <f>IFERROR(__xludf.DUMMYFUNCTION("""COMPUTED_VALUE"""),45299.64583333333)</f>
        <v>45299.64583</v>
      </c>
      <c r="JR15" s="45">
        <f>IFERROR(__xludf.DUMMYFUNCTION("""COMPUTED_VALUE"""),104.05)</f>
        <v>104.05</v>
      </c>
      <c r="JS15" s="46">
        <f t="shared" si="70"/>
        <v>-0.2349264706</v>
      </c>
      <c r="JT15" s="37"/>
      <c r="JU15" s="37">
        <f>IFERROR(__xludf.DUMMYFUNCTION("""COMPUTED_VALUE"""),45299.64583333333)</f>
        <v>45299.64583</v>
      </c>
      <c r="JV15" s="45">
        <f>IFERROR(__xludf.DUMMYFUNCTION("""COMPUTED_VALUE"""),261.95)</f>
        <v>261.95</v>
      </c>
      <c r="JW15" s="46">
        <f t="shared" si="71"/>
        <v>-0.402962963</v>
      </c>
      <c r="JX15" s="37"/>
      <c r="JY15" s="37">
        <f>IFERROR(__xludf.DUMMYFUNCTION("""COMPUTED_VALUE"""),45299.64583333333)</f>
        <v>45299.64583</v>
      </c>
      <c r="JZ15" s="45">
        <f>IFERROR(__xludf.DUMMYFUNCTION("""COMPUTED_VALUE"""),744.3)</f>
        <v>744.3</v>
      </c>
      <c r="KA15" s="46">
        <f t="shared" si="72"/>
        <v>0.3508166969</v>
      </c>
      <c r="KB15" s="37"/>
      <c r="KC15" s="37">
        <f>IFERROR(__xludf.DUMMYFUNCTION("""COMPUTED_VALUE"""),45299.64583333333)</f>
        <v>45299.64583</v>
      </c>
      <c r="KD15" s="45">
        <f>IFERROR(__xludf.DUMMYFUNCTION("""COMPUTED_VALUE"""),872.5)</f>
        <v>872.5</v>
      </c>
      <c r="KE15" s="46">
        <f t="shared" si="73"/>
        <v>-0.001201991872</v>
      </c>
      <c r="KF15" s="37"/>
      <c r="KG15" s="37">
        <f>IFERROR(__xludf.DUMMYFUNCTION("""COMPUTED_VALUE"""),45299.64583333333)</f>
        <v>45299.64583</v>
      </c>
      <c r="KH15" s="45">
        <f>IFERROR(__xludf.DUMMYFUNCTION("""COMPUTED_VALUE"""),418.9)</f>
        <v>418.9</v>
      </c>
      <c r="KI15" s="46">
        <f t="shared" si="74"/>
        <v>0.0741025641</v>
      </c>
      <c r="KJ15" s="37"/>
      <c r="KK15" s="37">
        <f>IFERROR(__xludf.DUMMYFUNCTION("""COMPUTED_VALUE"""),45299.64583333333)</f>
        <v>45299.64583</v>
      </c>
      <c r="KL15" s="45">
        <f>IFERROR(__xludf.DUMMYFUNCTION("""COMPUTED_VALUE"""),9.5)</f>
        <v>9.5</v>
      </c>
      <c r="KM15" s="46">
        <f t="shared" si="75"/>
        <v>0.02150537634</v>
      </c>
      <c r="KN15" s="37"/>
      <c r="KO15" s="37">
        <f>IFERROR(__xludf.DUMMYFUNCTION("""COMPUTED_VALUE"""),45299.64583333333)</f>
        <v>45299.64583</v>
      </c>
      <c r="KP15" s="45">
        <f>IFERROR(__xludf.DUMMYFUNCTION("""COMPUTED_VALUE"""),254.0)</f>
        <v>254</v>
      </c>
      <c r="KQ15" s="46">
        <f t="shared" si="76"/>
        <v>0.2493851451</v>
      </c>
      <c r="KR15" s="37"/>
      <c r="KS15" s="37">
        <f>IFERROR(__xludf.DUMMYFUNCTION("""COMPUTED_VALUE"""),45299.64583333333)</f>
        <v>45299.64583</v>
      </c>
      <c r="KT15" s="45">
        <f>IFERROR(__xludf.DUMMYFUNCTION("""COMPUTED_VALUE"""),12.45)</f>
        <v>12.45</v>
      </c>
      <c r="KU15" s="46">
        <f t="shared" si="77"/>
        <v>0.1266968326</v>
      </c>
      <c r="KV15" s="37"/>
      <c r="KW15" s="37">
        <f>IFERROR(__xludf.DUMMYFUNCTION("""COMPUTED_VALUE"""),45299.64583333333)</f>
        <v>45299.64583</v>
      </c>
      <c r="KX15" s="45">
        <f>IFERROR(__xludf.DUMMYFUNCTION("""COMPUTED_VALUE"""),2649.9)</f>
        <v>2649.9</v>
      </c>
      <c r="KY15" s="46">
        <f t="shared" si="78"/>
        <v>-0.007509503923</v>
      </c>
      <c r="KZ15" s="37"/>
      <c r="LA15" s="37">
        <f>IFERROR(__xludf.DUMMYFUNCTION("""COMPUTED_VALUE"""),45299.64583333333)</f>
        <v>45299.64583</v>
      </c>
      <c r="LB15" s="45">
        <f>IFERROR(__xludf.DUMMYFUNCTION("""COMPUTED_VALUE"""),21.05)</f>
        <v>21.05</v>
      </c>
      <c r="LC15" s="46">
        <f t="shared" si="79"/>
        <v>0.1167108753</v>
      </c>
      <c r="LD15" s="37"/>
      <c r="LE15" s="37">
        <f>IFERROR(__xludf.DUMMYFUNCTION("""COMPUTED_VALUE"""),45299.64583333333)</f>
        <v>45299.64583</v>
      </c>
      <c r="LF15" s="45">
        <f>IFERROR(__xludf.DUMMYFUNCTION("""COMPUTED_VALUE"""),124.7)</f>
        <v>124.7</v>
      </c>
      <c r="LG15" s="46">
        <f t="shared" si="80"/>
        <v>-0.0024</v>
      </c>
      <c r="LH15" s="37"/>
      <c r="LI15" s="37">
        <f>IFERROR(__xludf.DUMMYFUNCTION("""COMPUTED_VALUE"""),45299.64583333333)</f>
        <v>45299.64583</v>
      </c>
      <c r="LJ15" s="45">
        <f>IFERROR(__xludf.DUMMYFUNCTION("""COMPUTED_VALUE"""),747.6)</f>
        <v>747.6</v>
      </c>
      <c r="LK15" s="46">
        <f t="shared" si="81"/>
        <v>0.02692307692</v>
      </c>
      <c r="LL15" s="37"/>
      <c r="LM15" s="37">
        <f>IFERROR(__xludf.DUMMYFUNCTION("""COMPUTED_VALUE"""),45299.64583333333)</f>
        <v>45299.64583</v>
      </c>
      <c r="LN15" s="45">
        <f>IFERROR(__xludf.DUMMYFUNCTION("""COMPUTED_VALUE"""),817.3)</f>
        <v>817.3</v>
      </c>
      <c r="LO15" s="46">
        <f t="shared" si="82"/>
        <v>-0.04409356725</v>
      </c>
      <c r="LP15" s="37"/>
      <c r="LQ15" s="37">
        <f>IFERROR(__xludf.DUMMYFUNCTION("""COMPUTED_VALUE"""),45299.64583333333)</f>
        <v>45299.64583</v>
      </c>
      <c r="LR15" s="45">
        <f>IFERROR(__xludf.DUMMYFUNCTION("""COMPUTED_VALUE"""),356.3)</f>
        <v>356.3</v>
      </c>
      <c r="LS15" s="46">
        <f t="shared" si="83"/>
        <v>-0.02490421456</v>
      </c>
      <c r="LT15" s="37"/>
      <c r="LU15" s="37">
        <f>IFERROR(__xludf.DUMMYFUNCTION("""COMPUTED_VALUE"""),45299.64583333333)</f>
        <v>45299.64583</v>
      </c>
      <c r="LV15" s="45">
        <f>IFERROR(__xludf.DUMMYFUNCTION("""COMPUTED_VALUE"""),149.95)</f>
        <v>149.95</v>
      </c>
      <c r="LW15" s="46">
        <f t="shared" si="84"/>
        <v>0.09612573099</v>
      </c>
      <c r="LX15" s="37"/>
      <c r="LY15" s="37">
        <f>IFERROR(__xludf.DUMMYFUNCTION("""COMPUTED_VALUE"""),45299.64583333333)</f>
        <v>45299.64583</v>
      </c>
      <c r="LZ15" s="45">
        <f>IFERROR(__xludf.DUMMYFUNCTION("""COMPUTED_VALUE"""),591.0)</f>
        <v>591</v>
      </c>
      <c r="MA15" s="46">
        <f t="shared" si="85"/>
        <v>-0.04677419355</v>
      </c>
      <c r="MB15" s="37"/>
      <c r="MC15" s="37"/>
      <c r="MD15" s="45"/>
      <c r="ME15" s="46" t="str">
        <f t="shared" si="86"/>
        <v>#DIV/0!</v>
      </c>
      <c r="MF15" s="37"/>
      <c r="MG15" s="37">
        <f>IFERROR(__xludf.DUMMYFUNCTION("""COMPUTED_VALUE"""),45299.64583333333)</f>
        <v>45299.64583</v>
      </c>
      <c r="MH15" s="45">
        <f>IFERROR(__xludf.DUMMYFUNCTION("""COMPUTED_VALUE"""),2017.7)</f>
        <v>2017.7</v>
      </c>
      <c r="MI15" s="46">
        <f t="shared" si="87"/>
        <v>0.02894005457</v>
      </c>
      <c r="MJ15" s="37"/>
      <c r="MK15" s="37">
        <f>IFERROR(__xludf.DUMMYFUNCTION("""COMPUTED_VALUE"""),45299.64583333333)</f>
        <v>45299.64583</v>
      </c>
      <c r="ML15" s="45">
        <f>IFERROR(__xludf.DUMMYFUNCTION("""COMPUTED_VALUE"""),383.75)</f>
        <v>383.75</v>
      </c>
      <c r="MM15" s="46">
        <f t="shared" si="88"/>
        <v>-0.04050506313</v>
      </c>
      <c r="MN15" s="37"/>
      <c r="MO15" s="37">
        <f>IFERROR(__xludf.DUMMYFUNCTION("""COMPUTED_VALUE"""),45299.64583333333)</f>
        <v>45299.64583</v>
      </c>
      <c r="MP15" s="45">
        <f>IFERROR(__xludf.DUMMYFUNCTION("""COMPUTED_VALUE"""),722.2)</f>
        <v>722.2</v>
      </c>
      <c r="MQ15" s="46">
        <f t="shared" si="89"/>
        <v>-0.02405405405</v>
      </c>
      <c r="MR15" s="37"/>
      <c r="MS15" s="37">
        <f>IFERROR(__xludf.DUMMYFUNCTION("""COMPUTED_VALUE"""),45299.64583333333)</f>
        <v>45299.64583</v>
      </c>
      <c r="MT15" s="45">
        <f>IFERROR(__xludf.DUMMYFUNCTION("""COMPUTED_VALUE"""),62.15)</f>
        <v>62.15</v>
      </c>
      <c r="MU15" s="46">
        <f t="shared" si="90"/>
        <v>-0.0604686319</v>
      </c>
      <c r="MV15" s="37"/>
      <c r="MW15" s="37">
        <f>IFERROR(__xludf.DUMMYFUNCTION("""COMPUTED_VALUE"""),45299.64583333333)</f>
        <v>45299.64583</v>
      </c>
      <c r="MX15" s="45">
        <f>IFERROR(__xludf.DUMMYFUNCTION("""COMPUTED_VALUE"""),3304.3)</f>
        <v>3304.3</v>
      </c>
      <c r="MY15" s="46">
        <f t="shared" si="91"/>
        <v>0.04998411185</v>
      </c>
      <c r="MZ15" s="37"/>
      <c r="NA15" s="37">
        <f>IFERROR(__xludf.DUMMYFUNCTION("""COMPUTED_VALUE"""),45299.64583333333)</f>
        <v>45299.64583</v>
      </c>
      <c r="NB15" s="45">
        <f>IFERROR(__xludf.DUMMYFUNCTION("""COMPUTED_VALUE"""),14.3)</f>
        <v>14.3</v>
      </c>
      <c r="NC15" s="46">
        <f t="shared" si="92"/>
        <v>0.1304347826</v>
      </c>
      <c r="ND15" s="37"/>
      <c r="NE15" s="37">
        <f>IFERROR(__xludf.DUMMYFUNCTION("""COMPUTED_VALUE"""),45300.64583333333)</f>
        <v>45300.64583</v>
      </c>
      <c r="NF15" s="45">
        <f>IFERROR(__xludf.DUMMYFUNCTION("""COMPUTED_VALUE"""),384.0)</f>
        <v>384</v>
      </c>
      <c r="NG15" s="46">
        <f t="shared" si="93"/>
        <v>0.002741872307</v>
      </c>
      <c r="NH15" s="37"/>
      <c r="NI15" s="37">
        <f>IFERROR(__xludf.DUMMYFUNCTION("""COMPUTED_VALUE"""),45300.64583333333)</f>
        <v>45300.64583</v>
      </c>
      <c r="NJ15" s="45">
        <f>IFERROR(__xludf.DUMMYFUNCTION("""COMPUTED_VALUE"""),294.23)</f>
        <v>294.23</v>
      </c>
      <c r="NK15" s="46">
        <f t="shared" si="94"/>
        <v>0.1033487081</v>
      </c>
      <c r="NL15" s="37"/>
      <c r="NM15" s="37">
        <f>IFERROR(__xludf.DUMMYFUNCTION("""COMPUTED_VALUE"""),45300.64583333333)</f>
        <v>45300.64583</v>
      </c>
      <c r="NN15" s="45">
        <f>IFERROR(__xludf.DUMMYFUNCTION("""COMPUTED_VALUE"""),116.6)</f>
        <v>116.6</v>
      </c>
      <c r="NO15" s="46">
        <f t="shared" si="95"/>
        <v>-0.05433901054</v>
      </c>
      <c r="NP15" s="37"/>
      <c r="NQ15" s="37">
        <f>IFERROR(__xludf.DUMMYFUNCTION("""COMPUTED_VALUE"""),45300.64583333333)</f>
        <v>45300.64583</v>
      </c>
      <c r="NR15" s="45">
        <f>IFERROR(__xludf.DUMMYFUNCTION("""COMPUTED_VALUE"""),4148.75)</f>
        <v>4148.75</v>
      </c>
      <c r="NS15" s="46">
        <f t="shared" si="96"/>
        <v>-0.006525383142</v>
      </c>
      <c r="NT15" s="37"/>
      <c r="NU15" s="37">
        <f>IFERROR(__xludf.DUMMYFUNCTION("""COMPUTED_VALUE"""),45300.64583333333)</f>
        <v>45300.64583</v>
      </c>
      <c r="NV15" s="45">
        <f>IFERROR(__xludf.DUMMYFUNCTION("""COMPUTED_VALUE"""),13.5)</f>
        <v>13.5</v>
      </c>
      <c r="NW15" s="46">
        <f t="shared" si="97"/>
        <v>0.06299212598</v>
      </c>
      <c r="NX15" s="37"/>
      <c r="NY15" s="37">
        <f>IFERROR(__xludf.DUMMYFUNCTION("""COMPUTED_VALUE"""),45300.64583333333)</f>
        <v>45300.64583</v>
      </c>
      <c r="NZ15" s="45">
        <f>IFERROR(__xludf.DUMMYFUNCTION("""COMPUTED_VALUE"""),305.95)</f>
        <v>305.95</v>
      </c>
      <c r="OA15" s="46">
        <f t="shared" si="98"/>
        <v>0.2396677472</v>
      </c>
      <c r="OB15" s="37"/>
      <c r="OC15" s="37">
        <f>IFERROR(__xludf.DUMMYFUNCTION("""COMPUTED_VALUE"""),45300.64583333333)</f>
        <v>45300.64583</v>
      </c>
      <c r="OD15" s="45">
        <f>IFERROR(__xludf.DUMMYFUNCTION("""COMPUTED_VALUE"""),1120.15)</f>
        <v>1120.15</v>
      </c>
      <c r="OE15" s="46">
        <f t="shared" si="99"/>
        <v>0.06281132881</v>
      </c>
      <c r="OF15" s="37"/>
      <c r="OG15" s="37">
        <f>IFERROR(__xludf.DUMMYFUNCTION("""COMPUTED_VALUE"""),45300.64583333333)</f>
        <v>45300.64583</v>
      </c>
      <c r="OH15" s="45">
        <f>IFERROR(__xludf.DUMMYFUNCTION("""COMPUTED_VALUE"""),2484.93)</f>
        <v>2484.93</v>
      </c>
      <c r="OI15" s="46">
        <f t="shared" si="100"/>
        <v>0.01849741782</v>
      </c>
      <c r="OJ15" s="37"/>
      <c r="OK15" s="37"/>
      <c r="OL15" s="45"/>
      <c r="OM15" s="46" t="str">
        <f t="shared" si="101"/>
        <v>#DIV/0!</v>
      </c>
      <c r="ON15" s="37"/>
    </row>
    <row r="16" ht="12.0" customHeight="1">
      <c r="A16" s="37">
        <f>IFERROR(__xludf.DUMMYFUNCTION("""COMPUTED_VALUE"""),45299.64583333333)</f>
        <v>45299.64583</v>
      </c>
      <c r="B16" s="45">
        <f>IFERROR(__xludf.DUMMYFUNCTION("""COMPUTED_VALUE"""),429.45)</f>
        <v>429.45</v>
      </c>
      <c r="C16" s="46">
        <f t="shared" si="1"/>
        <v>-0.0211965812</v>
      </c>
      <c r="D16" s="37"/>
      <c r="E16" s="37">
        <f>IFERROR(__xludf.DUMMYFUNCTION("""COMPUTED_VALUE"""),45299.64583333333)</f>
        <v>45299.64583</v>
      </c>
      <c r="F16" s="45">
        <f>IFERROR(__xludf.DUMMYFUNCTION("""COMPUTED_VALUE"""),650.95)</f>
        <v>650.95</v>
      </c>
      <c r="G16" s="46">
        <f t="shared" si="2"/>
        <v>-0.006183206107</v>
      </c>
      <c r="H16" s="37"/>
      <c r="I16" s="37">
        <f>IFERROR(__xludf.DUMMYFUNCTION("""COMPUTED_VALUE"""),45299.64583333333)</f>
        <v>45299.64583</v>
      </c>
      <c r="J16" s="45">
        <f>IFERROR(__xludf.DUMMYFUNCTION("""COMPUTED_VALUE"""),187.5)</f>
        <v>187.5</v>
      </c>
      <c r="K16" s="46">
        <f t="shared" si="3"/>
        <v>0.01902173913</v>
      </c>
      <c r="L16" s="37"/>
      <c r="M16" s="37">
        <f>IFERROR(__xludf.DUMMYFUNCTION("""COMPUTED_VALUE"""),45299.64583333333)</f>
        <v>45299.64583</v>
      </c>
      <c r="N16" s="45">
        <f>IFERROR(__xludf.DUMMYFUNCTION("""COMPUTED_VALUE"""),93.95)</f>
        <v>93.95</v>
      </c>
      <c r="O16" s="46">
        <f t="shared" si="4"/>
        <v>0.08738425926</v>
      </c>
      <c r="P16" s="37"/>
      <c r="Q16" s="37">
        <f>IFERROR(__xludf.DUMMYFUNCTION("""COMPUTED_VALUE"""),45299.64583333333)</f>
        <v>45299.64583</v>
      </c>
      <c r="R16" s="45">
        <f>IFERROR(__xludf.DUMMYFUNCTION("""COMPUTED_VALUE"""),51.2)</f>
        <v>51.2</v>
      </c>
      <c r="S16" s="46">
        <f t="shared" si="5"/>
        <v>-0.02476190476</v>
      </c>
      <c r="T16" s="37"/>
      <c r="U16" s="37">
        <f>IFERROR(__xludf.DUMMYFUNCTION("""COMPUTED_VALUE"""),45299.64583333333)</f>
        <v>45299.64583</v>
      </c>
      <c r="V16" s="45">
        <f>IFERROR(__xludf.DUMMYFUNCTION("""COMPUTED_VALUE"""),769.05)</f>
        <v>769.05</v>
      </c>
      <c r="W16" s="46">
        <f t="shared" si="6"/>
        <v>0.1610054348</v>
      </c>
      <c r="X16" s="37"/>
      <c r="Y16" s="37">
        <f>IFERROR(__xludf.DUMMYFUNCTION("""COMPUTED_VALUE"""),45299.64583333333)</f>
        <v>45299.64583</v>
      </c>
      <c r="Z16" s="45">
        <f>IFERROR(__xludf.DUMMYFUNCTION("""COMPUTED_VALUE"""),189.0)</f>
        <v>189</v>
      </c>
      <c r="AA16" s="46">
        <f t="shared" si="7"/>
        <v>0.02162162162</v>
      </c>
      <c r="AB16" s="37"/>
      <c r="AC16" s="37">
        <f>IFERROR(__xludf.DUMMYFUNCTION("""COMPUTED_VALUE"""),45299.64583333333)</f>
        <v>45299.64583</v>
      </c>
      <c r="AD16" s="45">
        <f>IFERROR(__xludf.DUMMYFUNCTION("""COMPUTED_VALUE"""),2437.5)</f>
        <v>2437.5</v>
      </c>
      <c r="AE16" s="46">
        <f t="shared" si="8"/>
        <v>0.02653190145</v>
      </c>
      <c r="AF16" s="37"/>
      <c r="AG16" s="37">
        <f>IFERROR(__xludf.DUMMYFUNCTION("""COMPUTED_VALUE"""),45299.64583333333)</f>
        <v>45299.64583</v>
      </c>
      <c r="AH16" s="45">
        <f>IFERROR(__xludf.DUMMYFUNCTION("""COMPUTED_VALUE"""),754.0)</f>
        <v>754</v>
      </c>
      <c r="AI16" s="46">
        <f t="shared" si="9"/>
        <v>-0.1023809524</v>
      </c>
      <c r="AJ16" s="37"/>
      <c r="AK16" s="37">
        <f>IFERROR(__xludf.DUMMYFUNCTION("""COMPUTED_VALUE"""),45299.64583333333)</f>
        <v>45299.64583</v>
      </c>
      <c r="AL16" s="45">
        <f>IFERROR(__xludf.DUMMYFUNCTION("""COMPUTED_VALUE"""),5450.0)</f>
        <v>5450</v>
      </c>
      <c r="AM16" s="46">
        <f t="shared" si="10"/>
        <v>0.04807692308</v>
      </c>
      <c r="AN16" s="37"/>
      <c r="AO16" s="37">
        <f>IFERROR(__xludf.DUMMYFUNCTION("""COMPUTED_VALUE"""),45299.64583333333)</f>
        <v>45299.64583</v>
      </c>
      <c r="AP16" s="45">
        <f>IFERROR(__xludf.DUMMYFUNCTION("""COMPUTED_VALUE"""),897.35)</f>
        <v>897.35</v>
      </c>
      <c r="AQ16" s="46">
        <f t="shared" si="11"/>
        <v>-0.0139010989</v>
      </c>
      <c r="AR16" s="37"/>
      <c r="AS16" s="37">
        <f>IFERROR(__xludf.DUMMYFUNCTION("""COMPUTED_VALUE"""),45299.64583333333)</f>
        <v>45299.64583</v>
      </c>
      <c r="AT16" s="45">
        <f>IFERROR(__xludf.DUMMYFUNCTION("""COMPUTED_VALUE"""),2459.95)</f>
        <v>2459.95</v>
      </c>
      <c r="AU16" s="46">
        <f t="shared" si="12"/>
        <v>-0.009642095092</v>
      </c>
      <c r="AV16" s="37"/>
      <c r="AW16" s="37">
        <f>IFERROR(__xludf.DUMMYFUNCTION("""COMPUTED_VALUE"""),45299.64583333333)</f>
        <v>45299.64583</v>
      </c>
      <c r="AX16" s="45">
        <f>IFERROR(__xludf.DUMMYFUNCTION("""COMPUTED_VALUE"""),5740.0)</f>
        <v>5740</v>
      </c>
      <c r="AY16" s="46">
        <f t="shared" si="13"/>
        <v>0.01690110902</v>
      </c>
      <c r="AZ16" s="37"/>
      <c r="BA16" s="37">
        <f>IFERROR(__xludf.DUMMYFUNCTION("""COMPUTED_VALUE"""),45299.64583333333)</f>
        <v>45299.64583</v>
      </c>
      <c r="BB16" s="45">
        <f>IFERROR(__xludf.DUMMYFUNCTION("""COMPUTED_VALUE"""),460.0)</f>
        <v>460</v>
      </c>
      <c r="BC16" s="46">
        <f t="shared" si="14"/>
        <v>-0.01814300961</v>
      </c>
      <c r="BD16" s="37"/>
      <c r="BE16" s="37">
        <f>IFERROR(__xludf.DUMMYFUNCTION("""COMPUTED_VALUE"""),45299.64583333333)</f>
        <v>45299.64583</v>
      </c>
      <c r="BF16" s="45">
        <f>IFERROR(__xludf.DUMMYFUNCTION("""COMPUTED_VALUE"""),327.9)</f>
        <v>327.9</v>
      </c>
      <c r="BG16" s="46">
        <f t="shared" si="15"/>
        <v>-0.1943488943</v>
      </c>
      <c r="BH16" s="37"/>
      <c r="BI16" s="37">
        <f>IFERROR(__xludf.DUMMYFUNCTION("""COMPUTED_VALUE"""),45299.64583333333)</f>
        <v>45299.64583</v>
      </c>
      <c r="BJ16" s="45">
        <f>IFERROR(__xludf.DUMMYFUNCTION("""COMPUTED_VALUE"""),71.5)</f>
        <v>71.5</v>
      </c>
      <c r="BK16" s="46">
        <f t="shared" si="16"/>
        <v>0.02951763859</v>
      </c>
      <c r="BL16" s="37"/>
      <c r="BM16" s="37">
        <f>IFERROR(__xludf.DUMMYFUNCTION("""COMPUTED_VALUE"""),45299.64583333333)</f>
        <v>45299.64583</v>
      </c>
      <c r="BN16" s="45">
        <f>IFERROR(__xludf.DUMMYFUNCTION("""COMPUTED_VALUE"""),231.0)</f>
        <v>231</v>
      </c>
      <c r="BO16" s="46">
        <f t="shared" si="17"/>
        <v>-0.09765625</v>
      </c>
      <c r="BP16" s="37"/>
      <c r="BQ16" s="37">
        <f>IFERROR(__xludf.DUMMYFUNCTION("""COMPUTED_VALUE"""),45299.64583333333)</f>
        <v>45299.64583</v>
      </c>
      <c r="BR16" s="45">
        <f>IFERROR(__xludf.DUMMYFUNCTION("""COMPUTED_VALUE"""),85.9)</f>
        <v>85.9</v>
      </c>
      <c r="BS16" s="46">
        <f t="shared" si="18"/>
        <v>0.4105090312</v>
      </c>
      <c r="BT16" s="37"/>
      <c r="BU16" s="37">
        <f>IFERROR(__xludf.DUMMYFUNCTION("""COMPUTED_VALUE"""),45299.64583333333)</f>
        <v>45299.64583</v>
      </c>
      <c r="BV16" s="45">
        <f>IFERROR(__xludf.DUMMYFUNCTION("""COMPUTED_VALUE"""),305.45)</f>
        <v>305.45</v>
      </c>
      <c r="BW16" s="46">
        <f t="shared" si="19"/>
        <v>-0.01276664512</v>
      </c>
      <c r="BX16" s="37"/>
      <c r="BY16" s="37">
        <f>IFERROR(__xludf.DUMMYFUNCTION("""COMPUTED_VALUE"""),45299.64583333333)</f>
        <v>45299.64583</v>
      </c>
      <c r="BZ16" s="45">
        <f>IFERROR(__xludf.DUMMYFUNCTION("""COMPUTED_VALUE"""),374.5)</f>
        <v>374.5</v>
      </c>
      <c r="CA16" s="46">
        <f t="shared" si="20"/>
        <v>-0.08547008547</v>
      </c>
      <c r="CB16" s="37"/>
      <c r="CC16" s="37">
        <f>IFERROR(__xludf.DUMMYFUNCTION("""COMPUTED_VALUE"""),45299.64583333333)</f>
        <v>45299.64583</v>
      </c>
      <c r="CD16" s="45">
        <f>IFERROR(__xludf.DUMMYFUNCTION("""COMPUTED_VALUE"""),228.85)</f>
        <v>228.85</v>
      </c>
      <c r="CE16" s="46">
        <f t="shared" si="21"/>
        <v>-0.01230038843</v>
      </c>
      <c r="CF16" s="37"/>
      <c r="CG16" s="37">
        <f>IFERROR(__xludf.DUMMYFUNCTION("""COMPUTED_VALUE"""),45299.64583333333)</f>
        <v>45299.64583</v>
      </c>
      <c r="CH16" s="45">
        <f>IFERROR(__xludf.DUMMYFUNCTION("""COMPUTED_VALUE"""),629.0)</f>
        <v>629</v>
      </c>
      <c r="CI16" s="46">
        <f t="shared" si="22"/>
        <v>-0.01100628931</v>
      </c>
      <c r="CJ16" s="37"/>
      <c r="CK16" s="37">
        <f>IFERROR(__xludf.DUMMYFUNCTION("""COMPUTED_VALUE"""),45299.64583333333)</f>
        <v>45299.64583</v>
      </c>
      <c r="CL16" s="45">
        <f>IFERROR(__xludf.DUMMYFUNCTION("""COMPUTED_VALUE"""),305.35)</f>
        <v>305.35</v>
      </c>
      <c r="CM16" s="46">
        <f t="shared" si="23"/>
        <v>-0.09391691395</v>
      </c>
      <c r="CN16" s="37"/>
      <c r="CO16" s="37">
        <f>IFERROR(__xludf.DUMMYFUNCTION("""COMPUTED_VALUE"""),45299.64583333333)</f>
        <v>45299.64583</v>
      </c>
      <c r="CP16" s="45">
        <f>IFERROR(__xludf.DUMMYFUNCTION("""COMPUTED_VALUE"""),18.3)</f>
        <v>18.3</v>
      </c>
      <c r="CQ16" s="46">
        <f t="shared" si="24"/>
        <v>0.2364864865</v>
      </c>
      <c r="CR16" s="37"/>
      <c r="CS16" s="37">
        <f>IFERROR(__xludf.DUMMYFUNCTION("""COMPUTED_VALUE"""),45299.64583333333)</f>
        <v>45299.64583</v>
      </c>
      <c r="CT16" s="45">
        <f>IFERROR(__xludf.DUMMYFUNCTION("""COMPUTED_VALUE"""),210.0)</f>
        <v>210</v>
      </c>
      <c r="CU16" s="46">
        <f t="shared" si="25"/>
        <v>0.06060606061</v>
      </c>
      <c r="CV16" s="37"/>
      <c r="CW16" s="37">
        <f>IFERROR(__xludf.DUMMYFUNCTION("""COMPUTED_VALUE"""),45299.64583333333)</f>
        <v>45299.64583</v>
      </c>
      <c r="CX16" s="45">
        <f>IFERROR(__xludf.DUMMYFUNCTION("""COMPUTED_VALUE"""),685.0)</f>
        <v>685</v>
      </c>
      <c r="CY16" s="46">
        <f t="shared" si="26"/>
        <v>-0.009800803724</v>
      </c>
      <c r="CZ16" s="37"/>
      <c r="DA16" s="37">
        <f>IFERROR(__xludf.DUMMYFUNCTION("""COMPUTED_VALUE"""),45299.64583333333)</f>
        <v>45299.64583</v>
      </c>
      <c r="DB16" s="45">
        <f>IFERROR(__xludf.DUMMYFUNCTION("""COMPUTED_VALUE"""),26.9)</f>
        <v>26.9</v>
      </c>
      <c r="DC16" s="46">
        <f t="shared" si="27"/>
        <v>-0.03584229391</v>
      </c>
      <c r="DD16" s="37"/>
      <c r="DE16" s="37">
        <f>IFERROR(__xludf.DUMMYFUNCTION("""COMPUTED_VALUE"""),45299.64583333333)</f>
        <v>45299.64583</v>
      </c>
      <c r="DF16" s="45">
        <f>IFERROR(__xludf.DUMMYFUNCTION("""COMPUTED_VALUE"""),104.05)</f>
        <v>104.05</v>
      </c>
      <c r="DG16" s="46">
        <f t="shared" si="28"/>
        <v>-0.08164165931</v>
      </c>
      <c r="DH16" s="37"/>
      <c r="DI16" s="37">
        <f>IFERROR(__xludf.DUMMYFUNCTION("""COMPUTED_VALUE"""),45299.64583333333)</f>
        <v>45299.64583</v>
      </c>
      <c r="DJ16" s="45">
        <f>IFERROR(__xludf.DUMMYFUNCTION("""COMPUTED_VALUE"""),1569.95)</f>
        <v>1569.95</v>
      </c>
      <c r="DK16" s="46">
        <f t="shared" si="29"/>
        <v>-0.02171610169</v>
      </c>
      <c r="DL16" s="37"/>
      <c r="DM16" s="37">
        <f>IFERROR(__xludf.DUMMYFUNCTION("""COMPUTED_VALUE"""),45299.64583333333)</f>
        <v>45299.64583</v>
      </c>
      <c r="DN16" s="45">
        <f>IFERROR(__xludf.DUMMYFUNCTION("""COMPUTED_VALUE"""),589.0)</f>
        <v>589</v>
      </c>
      <c r="DO16" s="46">
        <f t="shared" si="30"/>
        <v>0.0985731605</v>
      </c>
      <c r="DP16" s="37"/>
      <c r="DQ16" s="37">
        <f>IFERROR(__xludf.DUMMYFUNCTION("""COMPUTED_VALUE"""),45299.64583333333)</f>
        <v>45299.64583</v>
      </c>
      <c r="DR16" s="45">
        <f>IFERROR(__xludf.DUMMYFUNCTION("""COMPUTED_VALUE"""),232.2)</f>
        <v>232.2</v>
      </c>
      <c r="DS16" s="46">
        <f t="shared" si="31"/>
        <v>0.06513761468</v>
      </c>
      <c r="DT16" s="37"/>
      <c r="DU16" s="37">
        <f>IFERROR(__xludf.DUMMYFUNCTION("""COMPUTED_VALUE"""),45299.64583333333)</f>
        <v>45299.64583</v>
      </c>
      <c r="DV16" s="45">
        <f>IFERROR(__xludf.DUMMYFUNCTION("""COMPUTED_VALUE"""),872.5)</f>
        <v>872.5</v>
      </c>
      <c r="DW16" s="46">
        <f t="shared" si="32"/>
        <v>0.02586713698</v>
      </c>
      <c r="DX16" s="37"/>
      <c r="DY16" s="37">
        <f>IFERROR(__xludf.DUMMYFUNCTION("""COMPUTED_VALUE"""),45299.64583333333)</f>
        <v>45299.64583</v>
      </c>
      <c r="DZ16" s="45">
        <f>IFERROR(__xludf.DUMMYFUNCTION("""COMPUTED_VALUE"""),12.45)</f>
        <v>12.45</v>
      </c>
      <c r="EA16" s="46">
        <f t="shared" si="33"/>
        <v>0.1474654378</v>
      </c>
      <c r="EB16" s="37"/>
      <c r="EC16" s="37">
        <f>IFERROR(__xludf.DUMMYFUNCTION("""COMPUTED_VALUE"""),45299.64583333333)</f>
        <v>45299.64583</v>
      </c>
      <c r="ED16" s="45">
        <f>IFERROR(__xludf.DUMMYFUNCTION("""COMPUTED_VALUE"""),2649.9)</f>
        <v>2649.9</v>
      </c>
      <c r="EE16" s="46">
        <f t="shared" si="34"/>
        <v>0.001852551985</v>
      </c>
      <c r="EF16" s="37"/>
      <c r="EG16" s="37">
        <f>IFERROR(__xludf.DUMMYFUNCTION("""COMPUTED_VALUE"""),45299.64583333333)</f>
        <v>45299.64583</v>
      </c>
      <c r="EH16" s="45">
        <f>IFERROR(__xludf.DUMMYFUNCTION("""COMPUTED_VALUE"""),641.0)</f>
        <v>641</v>
      </c>
      <c r="EI16" s="46">
        <f t="shared" si="35"/>
        <v>-0.01171754548</v>
      </c>
      <c r="EJ16" s="37"/>
      <c r="EK16" s="37">
        <f>IFERROR(__xludf.DUMMYFUNCTION("""COMPUTED_VALUE"""),45299.64583333333)</f>
        <v>45299.64583</v>
      </c>
      <c r="EL16" s="45">
        <f>IFERROR(__xludf.DUMMYFUNCTION("""COMPUTED_VALUE"""),222.2)</f>
        <v>222.2</v>
      </c>
      <c r="EM16" s="46">
        <f t="shared" si="36"/>
        <v>0.1</v>
      </c>
      <c r="EN16" s="37"/>
      <c r="EO16" s="37">
        <f>IFERROR(__xludf.DUMMYFUNCTION("""COMPUTED_VALUE"""),45299.64583333333)</f>
        <v>45299.64583</v>
      </c>
      <c r="EP16" s="45">
        <f>IFERROR(__xludf.DUMMYFUNCTION("""COMPUTED_VALUE"""),165.35)</f>
        <v>165.35</v>
      </c>
      <c r="EQ16" s="46">
        <f t="shared" si="37"/>
        <v>0.0671184253</v>
      </c>
      <c r="ER16" s="37"/>
      <c r="ES16" s="37">
        <f>IFERROR(__xludf.DUMMYFUNCTION("""COMPUTED_VALUE"""),45299.64583333333)</f>
        <v>45299.64583</v>
      </c>
      <c r="ET16" s="45">
        <f>IFERROR(__xludf.DUMMYFUNCTION("""COMPUTED_VALUE"""),209.0)</f>
        <v>209</v>
      </c>
      <c r="EU16" s="46">
        <f t="shared" si="38"/>
        <v>0.07537947003</v>
      </c>
      <c r="EV16" s="37"/>
      <c r="EW16" s="37">
        <f>IFERROR(__xludf.DUMMYFUNCTION("""COMPUTED_VALUE"""),45299.64583333333)</f>
        <v>45299.64583</v>
      </c>
      <c r="EX16" s="45">
        <f>IFERROR(__xludf.DUMMYFUNCTION("""COMPUTED_VALUE"""),719.9)</f>
        <v>719.9</v>
      </c>
      <c r="EY16" s="46">
        <f t="shared" si="39"/>
        <v>0.1109567901</v>
      </c>
      <c r="EZ16" s="37"/>
      <c r="FA16" s="37">
        <f>IFERROR(__xludf.DUMMYFUNCTION("""COMPUTED_VALUE"""),45299.64583333333)</f>
        <v>45299.64583</v>
      </c>
      <c r="FB16" s="45">
        <f>IFERROR(__xludf.DUMMYFUNCTION("""COMPUTED_VALUE"""),195.0)</f>
        <v>195</v>
      </c>
      <c r="FC16" s="46">
        <f t="shared" si="40"/>
        <v>0.1181192661</v>
      </c>
      <c r="FD16" s="37"/>
      <c r="FE16" s="37">
        <f>IFERROR(__xludf.DUMMYFUNCTION("""COMPUTED_VALUE"""),45299.64583333333)</f>
        <v>45299.64583</v>
      </c>
      <c r="FF16" s="45">
        <f>IFERROR(__xludf.DUMMYFUNCTION("""COMPUTED_VALUE"""),388.25)</f>
        <v>388.25</v>
      </c>
      <c r="FG16" s="46">
        <f t="shared" si="41"/>
        <v>0.2737860892</v>
      </c>
      <c r="FH16" s="37"/>
      <c r="FI16" s="37">
        <f>IFERROR(__xludf.DUMMYFUNCTION("""COMPUTED_VALUE"""),45299.64583333333)</f>
        <v>45299.64583</v>
      </c>
      <c r="FJ16" s="45">
        <f>IFERROR(__xludf.DUMMYFUNCTION("""COMPUTED_VALUE"""),591.0)</f>
        <v>591</v>
      </c>
      <c r="FK16" s="46">
        <f t="shared" si="42"/>
        <v>-0.02483293458</v>
      </c>
      <c r="FL16" s="37"/>
      <c r="FM16" s="37">
        <f>IFERROR(__xludf.DUMMYFUNCTION("""COMPUTED_VALUE"""),45299.64583333333)</f>
        <v>45299.64583</v>
      </c>
      <c r="FN16" s="45">
        <f>IFERROR(__xludf.DUMMYFUNCTION("""COMPUTED_VALUE"""),106.0)</f>
        <v>106</v>
      </c>
      <c r="FO16" s="46">
        <f t="shared" si="43"/>
        <v>0.1157894737</v>
      </c>
      <c r="FP16" s="37"/>
      <c r="FQ16" s="37">
        <f>IFERROR(__xludf.DUMMYFUNCTION("""COMPUTED_VALUE"""),45299.64583333333)</f>
        <v>45299.64583</v>
      </c>
      <c r="FR16" s="45">
        <f>IFERROR(__xludf.DUMMYFUNCTION("""COMPUTED_VALUE"""),5.1)</f>
        <v>5.1</v>
      </c>
      <c r="FS16" s="46">
        <f t="shared" si="44"/>
        <v>-0.07272727273</v>
      </c>
      <c r="FT16" s="37"/>
      <c r="FU16" s="37">
        <f>IFERROR(__xludf.DUMMYFUNCTION("""COMPUTED_VALUE"""),45299.64583333333)</f>
        <v>45299.64583</v>
      </c>
      <c r="FV16" s="45">
        <f>IFERROR(__xludf.DUMMYFUNCTION("""COMPUTED_VALUE"""),671.45)</f>
        <v>671.45</v>
      </c>
      <c r="FW16" s="46">
        <f t="shared" si="45"/>
        <v>0.005842259007</v>
      </c>
      <c r="FX16" s="37"/>
      <c r="FY16" s="37">
        <f>IFERROR(__xludf.DUMMYFUNCTION("""COMPUTED_VALUE"""),45299.64583333333)</f>
        <v>45299.64583</v>
      </c>
      <c r="FZ16" s="45">
        <f>IFERROR(__xludf.DUMMYFUNCTION("""COMPUTED_VALUE"""),174.45)</f>
        <v>174.45</v>
      </c>
      <c r="GA16" s="46">
        <f t="shared" si="46"/>
        <v>0.02738515901</v>
      </c>
      <c r="GB16" s="37"/>
      <c r="GC16" s="37">
        <f>IFERROR(__xludf.DUMMYFUNCTION("""COMPUTED_VALUE"""),45299.64583333333)</f>
        <v>45299.64583</v>
      </c>
      <c r="GD16" s="45">
        <f>IFERROR(__xludf.DUMMYFUNCTION("""COMPUTED_VALUE"""),415.6)</f>
        <v>415.6</v>
      </c>
      <c r="GE16" s="46">
        <f t="shared" si="47"/>
        <v>-0.1002381468</v>
      </c>
      <c r="GF16" s="37"/>
      <c r="GG16" s="37">
        <f>IFERROR(__xludf.DUMMYFUNCTION("""COMPUTED_VALUE"""),45299.64583333333)</f>
        <v>45299.64583</v>
      </c>
      <c r="GH16" s="45">
        <f>IFERROR(__xludf.DUMMYFUNCTION("""COMPUTED_VALUE"""),6293.0)</f>
        <v>6293</v>
      </c>
      <c r="GI16" s="46">
        <f t="shared" si="48"/>
        <v>0.1875825627</v>
      </c>
      <c r="GJ16" s="37"/>
      <c r="GK16" s="37">
        <f>IFERROR(__xludf.DUMMYFUNCTION("""COMPUTED_VALUE"""),45299.64583333333)</f>
        <v>45299.64583</v>
      </c>
      <c r="GL16" s="45">
        <f>IFERROR(__xludf.DUMMYFUNCTION("""COMPUTED_VALUE"""),94.45)</f>
        <v>94.45</v>
      </c>
      <c r="GM16" s="46">
        <f t="shared" si="49"/>
        <v>-0.1671075838</v>
      </c>
      <c r="GN16" s="37"/>
      <c r="GO16" s="37">
        <f>IFERROR(__xludf.DUMMYFUNCTION("""COMPUTED_VALUE"""),45299.64583333333)</f>
        <v>45299.64583</v>
      </c>
      <c r="GP16" s="45">
        <f>IFERROR(__xludf.DUMMYFUNCTION("""COMPUTED_VALUE"""),1197.9)</f>
        <v>1197.9</v>
      </c>
      <c r="GQ16" s="46">
        <f t="shared" si="50"/>
        <v>0.08944568232</v>
      </c>
      <c r="GR16" s="37"/>
      <c r="GS16" s="37">
        <f>IFERROR(__xludf.DUMMYFUNCTION("""COMPUTED_VALUE"""),45299.64583333333)</f>
        <v>45299.64583</v>
      </c>
      <c r="GT16" s="45">
        <f>IFERROR(__xludf.DUMMYFUNCTION("""COMPUTED_VALUE"""),14.3)</f>
        <v>14.3</v>
      </c>
      <c r="GU16" s="46">
        <f t="shared" si="51"/>
        <v>0.1042471042</v>
      </c>
      <c r="GV16" s="37"/>
      <c r="GW16" s="37">
        <f>IFERROR(__xludf.DUMMYFUNCTION("""COMPUTED_VALUE"""),45300.64583333333)</f>
        <v>45300.64583</v>
      </c>
      <c r="GX16" s="45">
        <f>IFERROR(__xludf.DUMMYFUNCTION("""COMPUTED_VALUE"""),18.8)</f>
        <v>18.8</v>
      </c>
      <c r="GY16" s="46">
        <f t="shared" si="52"/>
        <v>0.1393939394</v>
      </c>
      <c r="GZ16" s="37"/>
      <c r="HA16" s="37">
        <f>IFERROR(__xludf.DUMMYFUNCTION("""COMPUTED_VALUE"""),45300.64583333333)</f>
        <v>45300.64583</v>
      </c>
      <c r="HB16" s="45">
        <f>IFERROR(__xludf.DUMMYFUNCTION("""COMPUTED_VALUE"""),584.9)</f>
        <v>584.9</v>
      </c>
      <c r="HC16" s="46">
        <f t="shared" si="53"/>
        <v>-0.03799342105</v>
      </c>
      <c r="HD16" s="37"/>
      <c r="HE16" s="43">
        <f>IFERROR(__xludf.DUMMYFUNCTION("""COMPUTED_VALUE"""),45300.64583333333)</f>
        <v>45300.64583</v>
      </c>
      <c r="HF16" s="45">
        <f>IFERROR(__xludf.DUMMYFUNCTION("""COMPUTED_VALUE"""),2484.93)</f>
        <v>2484.93</v>
      </c>
      <c r="HG16" s="46" t="str">
        <f t="shared" si="54"/>
        <v>#DIV/0!</v>
      </c>
      <c r="HH16" s="37"/>
      <c r="HI16" s="37">
        <f>IFERROR(__xludf.DUMMYFUNCTION("""COMPUTED_VALUE"""),45300.64583333333)</f>
        <v>45300.64583</v>
      </c>
      <c r="HJ16" s="45">
        <f>IFERROR(__xludf.DUMMYFUNCTION("""COMPUTED_VALUE"""),5475.0)</f>
        <v>5475</v>
      </c>
      <c r="HK16" s="46">
        <f t="shared" si="55"/>
        <v>0.07141808789</v>
      </c>
      <c r="HL16" s="37"/>
      <c r="HM16" s="37">
        <f>IFERROR(__xludf.DUMMYFUNCTION("""COMPUTED_VALUE"""),45300.64583333333)</f>
        <v>45300.64583</v>
      </c>
      <c r="HN16" s="45">
        <f>IFERROR(__xludf.DUMMYFUNCTION("""COMPUTED_VALUE"""),397.7)</f>
        <v>397.7</v>
      </c>
      <c r="HO16" s="46">
        <f t="shared" si="56"/>
        <v>-0.02176854015</v>
      </c>
      <c r="HP16" s="37"/>
      <c r="HQ16" s="37">
        <f>IFERROR(__xludf.DUMMYFUNCTION("""COMPUTED_VALUE"""),45300.64583333333)</f>
        <v>45300.64583</v>
      </c>
      <c r="HR16" s="45">
        <f>IFERROR(__xludf.DUMMYFUNCTION("""COMPUTED_VALUE"""),225.6)</f>
        <v>225.6</v>
      </c>
      <c r="HS16" s="46">
        <f t="shared" si="57"/>
        <v>-0.1128588282</v>
      </c>
      <c r="HT16" s="37"/>
      <c r="HU16" s="37">
        <f>IFERROR(__xludf.DUMMYFUNCTION("""COMPUTED_VALUE"""),45300.64583333333)</f>
        <v>45300.64583</v>
      </c>
      <c r="HV16" s="45">
        <f>IFERROR(__xludf.DUMMYFUNCTION("""COMPUTED_VALUE"""),91.75)</f>
        <v>91.75</v>
      </c>
      <c r="HW16" s="46">
        <f t="shared" si="58"/>
        <v>0.4703525641</v>
      </c>
      <c r="HX16" s="37"/>
      <c r="HY16" s="37">
        <f>IFERROR(__xludf.DUMMYFUNCTION("""COMPUTED_VALUE"""),45300.64583333333)</f>
        <v>45300.64583</v>
      </c>
      <c r="HZ16" s="45">
        <f>IFERROR(__xludf.DUMMYFUNCTION("""COMPUTED_VALUE"""),356.9)</f>
        <v>356.9</v>
      </c>
      <c r="IA16" s="46">
        <f t="shared" si="59"/>
        <v>-0.2324731183</v>
      </c>
      <c r="IB16" s="37"/>
      <c r="IC16" s="37">
        <f>IFERROR(__xludf.DUMMYFUNCTION("""COMPUTED_VALUE"""),45300.64583333333)</f>
        <v>45300.64583</v>
      </c>
      <c r="ID16" s="45">
        <f>IFERROR(__xludf.DUMMYFUNCTION("""COMPUTED_VALUE"""),79.0)</f>
        <v>79</v>
      </c>
      <c r="IE16" s="46">
        <f t="shared" si="60"/>
        <v>-0.8199430199</v>
      </c>
      <c r="IF16" s="37"/>
      <c r="IG16" s="37">
        <f>IFERROR(__xludf.DUMMYFUNCTION("""COMPUTED_VALUE"""),45300.64583333333)</f>
        <v>45300.64583</v>
      </c>
      <c r="IH16" s="45">
        <f>IFERROR(__xludf.DUMMYFUNCTION("""COMPUTED_VALUE"""),519.0)</f>
        <v>519</v>
      </c>
      <c r="II16" s="46">
        <f t="shared" si="61"/>
        <v>-0.02626641651</v>
      </c>
      <c r="IJ16" s="37"/>
      <c r="IK16" s="37">
        <f>IFERROR(__xludf.DUMMYFUNCTION("""COMPUTED_VALUE"""),45300.64583333333)</f>
        <v>45300.64583</v>
      </c>
      <c r="IL16" s="45">
        <f>IFERROR(__xludf.DUMMYFUNCTION("""COMPUTED_VALUE"""),578.65)</f>
        <v>578.65</v>
      </c>
      <c r="IM16" s="46">
        <f t="shared" si="62"/>
        <v>-0.06359737843</v>
      </c>
      <c r="IN16" s="37"/>
      <c r="IO16" s="37">
        <f>IFERROR(__xludf.DUMMYFUNCTION("""COMPUTED_VALUE"""),45300.64583333333)</f>
        <v>45300.64583</v>
      </c>
      <c r="IP16" s="45">
        <f>IFERROR(__xludf.DUMMYFUNCTION("""COMPUTED_VALUE"""),147.25)</f>
        <v>147.25</v>
      </c>
      <c r="IQ16" s="46">
        <f t="shared" si="63"/>
        <v>0.1715331371</v>
      </c>
      <c r="IR16" s="37"/>
      <c r="IS16" s="37">
        <f>IFERROR(__xludf.DUMMYFUNCTION("""COMPUTED_VALUE"""),45300.64583333333)</f>
        <v>45300.64583</v>
      </c>
      <c r="IT16" s="45">
        <f>IFERROR(__xludf.DUMMYFUNCTION("""COMPUTED_VALUE"""),1060.0)</f>
        <v>1060</v>
      </c>
      <c r="IU16" s="46">
        <f t="shared" si="64"/>
        <v>0.05577689243</v>
      </c>
      <c r="IV16" s="37"/>
      <c r="IW16" s="37">
        <f>IFERROR(__xludf.DUMMYFUNCTION("""COMPUTED_VALUE"""),45300.64583333333)</f>
        <v>45300.64583</v>
      </c>
      <c r="IX16" s="45">
        <f>IFERROR(__xludf.DUMMYFUNCTION("""COMPUTED_VALUE"""),212.0)</f>
        <v>212</v>
      </c>
      <c r="IY16" s="46">
        <f t="shared" si="65"/>
        <v>0.02937606215</v>
      </c>
      <c r="IZ16" s="37"/>
      <c r="JA16" s="37">
        <f>IFERROR(__xludf.DUMMYFUNCTION("""COMPUTED_VALUE"""),45300.64583333333)</f>
        <v>45300.64583</v>
      </c>
      <c r="JB16" s="45">
        <f>IFERROR(__xludf.DUMMYFUNCTION("""COMPUTED_VALUE"""),34788.0)</f>
        <v>34788</v>
      </c>
      <c r="JC16" s="46">
        <f t="shared" si="66"/>
        <v>-0.01736169468</v>
      </c>
      <c r="JD16" s="37"/>
      <c r="JE16" s="37">
        <f>IFERROR(__xludf.DUMMYFUNCTION("""COMPUTED_VALUE"""),45300.64583333333)</f>
        <v>45300.64583</v>
      </c>
      <c r="JF16" s="45">
        <f>IFERROR(__xludf.DUMMYFUNCTION("""COMPUTED_VALUE"""),609.4)</f>
        <v>609.4</v>
      </c>
      <c r="JG16" s="46">
        <f t="shared" si="67"/>
        <v>-0.05519379845</v>
      </c>
      <c r="JH16" s="37"/>
      <c r="JI16" s="37">
        <f>IFERROR(__xludf.DUMMYFUNCTION("""COMPUTED_VALUE"""),45300.64583333333)</f>
        <v>45300.64583</v>
      </c>
      <c r="JJ16" s="45">
        <f>IFERROR(__xludf.DUMMYFUNCTION("""COMPUTED_VALUE"""),298.15)</f>
        <v>298.15</v>
      </c>
      <c r="JK16" s="46">
        <f t="shared" si="68"/>
        <v>-0.1072016769</v>
      </c>
      <c r="JL16" s="37"/>
      <c r="JM16" s="37">
        <f>IFERROR(__xludf.DUMMYFUNCTION("""COMPUTED_VALUE"""),45300.64583333333)</f>
        <v>45300.64583</v>
      </c>
      <c r="JN16" s="45">
        <f>IFERROR(__xludf.DUMMYFUNCTION("""COMPUTED_VALUE"""),18.65)</f>
        <v>18.65</v>
      </c>
      <c r="JO16" s="46">
        <f t="shared" si="69"/>
        <v>-0.9574928775</v>
      </c>
      <c r="JP16" s="37"/>
      <c r="JQ16" s="37">
        <f>IFERROR(__xludf.DUMMYFUNCTION("""COMPUTED_VALUE"""),45300.64583333333)</f>
        <v>45300.64583</v>
      </c>
      <c r="JR16" s="45">
        <f>IFERROR(__xludf.DUMMYFUNCTION("""COMPUTED_VALUE"""),104.95)</f>
        <v>104.95</v>
      </c>
      <c r="JS16" s="46">
        <f t="shared" si="70"/>
        <v>-0.2283088235</v>
      </c>
      <c r="JT16" s="37"/>
      <c r="JU16" s="37">
        <f>IFERROR(__xludf.DUMMYFUNCTION("""COMPUTED_VALUE"""),45300.64583333333)</f>
        <v>45300.64583</v>
      </c>
      <c r="JV16" s="45">
        <f>IFERROR(__xludf.DUMMYFUNCTION("""COMPUTED_VALUE"""),261.05)</f>
        <v>261.05</v>
      </c>
      <c r="JW16" s="46">
        <f t="shared" si="71"/>
        <v>-0.405014245</v>
      </c>
      <c r="JX16" s="37"/>
      <c r="JY16" s="37">
        <f>IFERROR(__xludf.DUMMYFUNCTION("""COMPUTED_VALUE"""),45300.64583333333)</f>
        <v>45300.64583</v>
      </c>
      <c r="JZ16" s="45">
        <f>IFERROR(__xludf.DUMMYFUNCTION("""COMPUTED_VALUE"""),758.45)</f>
        <v>758.45</v>
      </c>
      <c r="KA16" s="46">
        <f t="shared" si="72"/>
        <v>0.3764972777</v>
      </c>
      <c r="KB16" s="37"/>
      <c r="KC16" s="37">
        <f>IFERROR(__xludf.DUMMYFUNCTION("""COMPUTED_VALUE"""),45300.64583333333)</f>
        <v>45300.64583</v>
      </c>
      <c r="KD16" s="45">
        <f>IFERROR(__xludf.DUMMYFUNCTION("""COMPUTED_VALUE"""),877.5)</f>
        <v>877.5</v>
      </c>
      <c r="KE16" s="46">
        <f t="shared" si="73"/>
        <v>0.004521778948</v>
      </c>
      <c r="KF16" s="37"/>
      <c r="KG16" s="37">
        <f>IFERROR(__xludf.DUMMYFUNCTION("""COMPUTED_VALUE"""),45300.64583333333)</f>
        <v>45300.64583</v>
      </c>
      <c r="KH16" s="45">
        <f>IFERROR(__xludf.DUMMYFUNCTION("""COMPUTED_VALUE"""),449.7)</f>
        <v>449.7</v>
      </c>
      <c r="KI16" s="46">
        <f t="shared" si="74"/>
        <v>0.1530769231</v>
      </c>
      <c r="KJ16" s="37"/>
      <c r="KK16" s="37">
        <f>IFERROR(__xludf.DUMMYFUNCTION("""COMPUTED_VALUE"""),45300.64583333333)</f>
        <v>45300.64583</v>
      </c>
      <c r="KL16" s="45">
        <f>IFERROR(__xludf.DUMMYFUNCTION("""COMPUTED_VALUE"""),9.5)</f>
        <v>9.5</v>
      </c>
      <c r="KM16" s="46">
        <f t="shared" si="75"/>
        <v>0.02150537634</v>
      </c>
      <c r="KN16" s="37"/>
      <c r="KO16" s="37">
        <f>IFERROR(__xludf.DUMMYFUNCTION("""COMPUTED_VALUE"""),45300.64583333333)</f>
        <v>45300.64583</v>
      </c>
      <c r="KP16" s="45">
        <f>IFERROR(__xludf.DUMMYFUNCTION("""COMPUTED_VALUE"""),265.0)</f>
        <v>265</v>
      </c>
      <c r="KQ16" s="46">
        <f t="shared" si="76"/>
        <v>0.3034923758</v>
      </c>
      <c r="KR16" s="37"/>
      <c r="KS16" s="37">
        <f>IFERROR(__xludf.DUMMYFUNCTION("""COMPUTED_VALUE"""),45300.64583333333)</f>
        <v>45300.64583</v>
      </c>
      <c r="KT16" s="45">
        <f>IFERROR(__xludf.DUMMYFUNCTION("""COMPUTED_VALUE"""),12.65)</f>
        <v>12.65</v>
      </c>
      <c r="KU16" s="46">
        <f t="shared" si="77"/>
        <v>0.1447963801</v>
      </c>
      <c r="KV16" s="37"/>
      <c r="KW16" s="37">
        <f>IFERROR(__xludf.DUMMYFUNCTION("""COMPUTED_VALUE"""),45300.64583333333)</f>
        <v>45300.64583</v>
      </c>
      <c r="KX16" s="45">
        <f>IFERROR(__xludf.DUMMYFUNCTION("""COMPUTED_VALUE"""),2630.5)</f>
        <v>2630.5</v>
      </c>
      <c r="KY16" s="46">
        <f t="shared" si="78"/>
        <v>-0.01477555759</v>
      </c>
      <c r="KZ16" s="37"/>
      <c r="LA16" s="37">
        <f>IFERROR(__xludf.DUMMYFUNCTION("""COMPUTED_VALUE"""),45300.64583333333)</f>
        <v>45300.64583</v>
      </c>
      <c r="LB16" s="45">
        <f>IFERROR(__xludf.DUMMYFUNCTION("""COMPUTED_VALUE"""),21.45)</f>
        <v>21.45</v>
      </c>
      <c r="LC16" s="46">
        <f t="shared" si="79"/>
        <v>0.1379310345</v>
      </c>
      <c r="LD16" s="37"/>
      <c r="LE16" s="37">
        <f>IFERROR(__xludf.DUMMYFUNCTION("""COMPUTED_VALUE"""),45300.64583333333)</f>
        <v>45300.64583</v>
      </c>
      <c r="LF16" s="45">
        <f>IFERROR(__xludf.DUMMYFUNCTION("""COMPUTED_VALUE"""),119.65)</f>
        <v>119.65</v>
      </c>
      <c r="LG16" s="46">
        <f t="shared" si="80"/>
        <v>-0.0428</v>
      </c>
      <c r="LH16" s="37"/>
      <c r="LI16" s="37">
        <f>IFERROR(__xludf.DUMMYFUNCTION("""COMPUTED_VALUE"""),45300.64583333333)</f>
        <v>45300.64583</v>
      </c>
      <c r="LJ16" s="45">
        <f>IFERROR(__xludf.DUMMYFUNCTION("""COMPUTED_VALUE"""),747.0)</f>
        <v>747</v>
      </c>
      <c r="LK16" s="46">
        <f t="shared" si="81"/>
        <v>0.0260989011</v>
      </c>
      <c r="LL16" s="37"/>
      <c r="LM16" s="37">
        <f>IFERROR(__xludf.DUMMYFUNCTION("""COMPUTED_VALUE"""),45300.64583333333)</f>
        <v>45300.64583</v>
      </c>
      <c r="LN16" s="45">
        <f>IFERROR(__xludf.DUMMYFUNCTION("""COMPUTED_VALUE"""),822.85)</f>
        <v>822.85</v>
      </c>
      <c r="LO16" s="46">
        <f t="shared" si="82"/>
        <v>-0.03760233918</v>
      </c>
      <c r="LP16" s="37"/>
      <c r="LQ16" s="37">
        <f>IFERROR(__xludf.DUMMYFUNCTION("""COMPUTED_VALUE"""),45300.64583333333)</f>
        <v>45300.64583</v>
      </c>
      <c r="LR16" s="45">
        <f>IFERROR(__xludf.DUMMYFUNCTION("""COMPUTED_VALUE"""),424.1)</f>
        <v>424.1</v>
      </c>
      <c r="LS16" s="46">
        <f t="shared" si="83"/>
        <v>0.1606458675</v>
      </c>
      <c r="LT16" s="37"/>
      <c r="LU16" s="37">
        <f>IFERROR(__xludf.DUMMYFUNCTION("""COMPUTED_VALUE"""),45300.64583333333)</f>
        <v>45300.64583</v>
      </c>
      <c r="LV16" s="45">
        <f>IFERROR(__xludf.DUMMYFUNCTION("""COMPUTED_VALUE"""),148.8)</f>
        <v>148.8</v>
      </c>
      <c r="LW16" s="46">
        <f t="shared" si="84"/>
        <v>0.08771929825</v>
      </c>
      <c r="LX16" s="37"/>
      <c r="LY16" s="37">
        <f>IFERROR(__xludf.DUMMYFUNCTION("""COMPUTED_VALUE"""),45300.64583333333)</f>
        <v>45300.64583</v>
      </c>
      <c r="LZ16" s="45">
        <f>IFERROR(__xludf.DUMMYFUNCTION("""COMPUTED_VALUE"""),584.0)</f>
        <v>584</v>
      </c>
      <c r="MA16" s="46">
        <f t="shared" si="85"/>
        <v>-0.05806451613</v>
      </c>
      <c r="MB16" s="37"/>
      <c r="MC16" s="37"/>
      <c r="MD16" s="45"/>
      <c r="ME16" s="46" t="str">
        <f t="shared" si="86"/>
        <v>#DIV/0!</v>
      </c>
      <c r="MF16" s="37"/>
      <c r="MG16" s="37">
        <f>IFERROR(__xludf.DUMMYFUNCTION("""COMPUTED_VALUE"""),45300.64583333333)</f>
        <v>45300.64583</v>
      </c>
      <c r="MH16" s="45">
        <f>IFERROR(__xludf.DUMMYFUNCTION("""COMPUTED_VALUE"""),2000.0)</f>
        <v>2000</v>
      </c>
      <c r="MI16" s="46">
        <f t="shared" si="87"/>
        <v>0.01991381728</v>
      </c>
      <c r="MJ16" s="37"/>
      <c r="MK16" s="37">
        <f>IFERROR(__xludf.DUMMYFUNCTION("""COMPUTED_VALUE"""),45300.64583333333)</f>
        <v>45300.64583</v>
      </c>
      <c r="ML16" s="45">
        <f>IFERROR(__xludf.DUMMYFUNCTION("""COMPUTED_VALUE"""),391.35)</f>
        <v>391.35</v>
      </c>
      <c r="MM16" s="46">
        <f t="shared" si="88"/>
        <v>-0.02150268784</v>
      </c>
      <c r="MN16" s="37"/>
      <c r="MO16" s="37">
        <f>IFERROR(__xludf.DUMMYFUNCTION("""COMPUTED_VALUE"""),45300.64583333333)</f>
        <v>45300.64583</v>
      </c>
      <c r="MP16" s="45">
        <f>IFERROR(__xludf.DUMMYFUNCTION("""COMPUTED_VALUE"""),717.0)</f>
        <v>717</v>
      </c>
      <c r="MQ16" s="46">
        <f t="shared" si="89"/>
        <v>-0.03108108108</v>
      </c>
      <c r="MR16" s="37"/>
      <c r="MS16" s="37">
        <f>IFERROR(__xludf.DUMMYFUNCTION("""COMPUTED_VALUE"""),45300.64583333333)</f>
        <v>45300.64583</v>
      </c>
      <c r="MT16" s="45">
        <f>IFERROR(__xludf.DUMMYFUNCTION("""COMPUTED_VALUE"""),62.35)</f>
        <v>62.35</v>
      </c>
      <c r="MU16" s="46">
        <f t="shared" si="90"/>
        <v>-0.0574452003</v>
      </c>
      <c r="MV16" s="37"/>
      <c r="MW16" s="37">
        <f>IFERROR(__xludf.DUMMYFUNCTION("""COMPUTED_VALUE"""),45300.64583333333)</f>
        <v>45300.64583</v>
      </c>
      <c r="MX16" s="45">
        <f>IFERROR(__xludf.DUMMYFUNCTION("""COMPUTED_VALUE"""),3281.4)</f>
        <v>3281.4</v>
      </c>
      <c r="MY16" s="46">
        <f t="shared" si="91"/>
        <v>0.04270734032</v>
      </c>
      <c r="MZ16" s="37"/>
      <c r="NA16" s="37">
        <f>IFERROR(__xludf.DUMMYFUNCTION("""COMPUTED_VALUE"""),45300.64583333333)</f>
        <v>45300.64583</v>
      </c>
      <c r="NB16" s="45">
        <f>IFERROR(__xludf.DUMMYFUNCTION("""COMPUTED_VALUE"""),14.25)</f>
        <v>14.25</v>
      </c>
      <c r="NC16" s="46">
        <f t="shared" si="92"/>
        <v>0.1264822134</v>
      </c>
      <c r="ND16" s="37"/>
      <c r="NE16" s="37">
        <f>IFERROR(__xludf.DUMMYFUNCTION("""COMPUTED_VALUE"""),45301.64583333333)</f>
        <v>45301.64583</v>
      </c>
      <c r="NF16" s="45">
        <f>IFERROR(__xludf.DUMMYFUNCTION("""COMPUTED_VALUE"""),382.5)</f>
        <v>382.5</v>
      </c>
      <c r="NG16" s="46">
        <f t="shared" si="93"/>
        <v>-0.001175088132</v>
      </c>
      <c r="NH16" s="37"/>
      <c r="NI16" s="37">
        <f>IFERROR(__xludf.DUMMYFUNCTION("""COMPUTED_VALUE"""),45301.64583333333)</f>
        <v>45301.64583</v>
      </c>
      <c r="NJ16" s="45">
        <f>IFERROR(__xludf.DUMMYFUNCTION("""COMPUTED_VALUE"""),291.0)</f>
        <v>291</v>
      </c>
      <c r="NK16" s="46">
        <f t="shared" si="94"/>
        <v>0.09123635955</v>
      </c>
      <c r="NL16" s="37"/>
      <c r="NM16" s="37">
        <f>IFERROR(__xludf.DUMMYFUNCTION("""COMPUTED_VALUE"""),45301.64583333333)</f>
        <v>45301.64583</v>
      </c>
      <c r="NN16" s="45">
        <f>IFERROR(__xludf.DUMMYFUNCTION("""COMPUTED_VALUE"""),115.65)</f>
        <v>115.65</v>
      </c>
      <c r="NO16" s="46">
        <f t="shared" si="95"/>
        <v>-0.06204379562</v>
      </c>
      <c r="NP16" s="37"/>
      <c r="NQ16" s="37">
        <f>IFERROR(__xludf.DUMMYFUNCTION("""COMPUTED_VALUE"""),45301.64583333333)</f>
        <v>45301.64583</v>
      </c>
      <c r="NR16" s="45">
        <f>IFERROR(__xludf.DUMMYFUNCTION("""COMPUTED_VALUE"""),4177.0)</f>
        <v>4177</v>
      </c>
      <c r="NS16" s="46">
        <f t="shared" si="96"/>
        <v>0.0002394636015</v>
      </c>
      <c r="NT16" s="37"/>
      <c r="NU16" s="37">
        <f>IFERROR(__xludf.DUMMYFUNCTION("""COMPUTED_VALUE"""),45301.64583333333)</f>
        <v>45301.64583</v>
      </c>
      <c r="NV16" s="45">
        <f>IFERROR(__xludf.DUMMYFUNCTION("""COMPUTED_VALUE"""),14.2)</f>
        <v>14.2</v>
      </c>
      <c r="NW16" s="46">
        <f t="shared" si="97"/>
        <v>0.1181102362</v>
      </c>
      <c r="NX16" s="37"/>
      <c r="NY16" s="37">
        <f>IFERROR(__xludf.DUMMYFUNCTION("""COMPUTED_VALUE"""),45301.64583333333)</f>
        <v>45301.64583</v>
      </c>
      <c r="NZ16" s="45">
        <f>IFERROR(__xludf.DUMMYFUNCTION("""COMPUTED_VALUE"""),297.0)</f>
        <v>297</v>
      </c>
      <c r="OA16" s="46">
        <f t="shared" si="98"/>
        <v>0.2034035656</v>
      </c>
      <c r="OB16" s="37"/>
      <c r="OC16" s="37">
        <f>IFERROR(__xludf.DUMMYFUNCTION("""COMPUTED_VALUE"""),45301.64583333333)</f>
        <v>45301.64583</v>
      </c>
      <c r="OD16" s="45">
        <f>IFERROR(__xludf.DUMMYFUNCTION("""COMPUTED_VALUE"""),1117.7)</f>
        <v>1117.7</v>
      </c>
      <c r="OE16" s="46">
        <f t="shared" si="99"/>
        <v>0.06048674036</v>
      </c>
      <c r="OF16" s="37"/>
      <c r="OG16" s="37">
        <f>IFERROR(__xludf.DUMMYFUNCTION("""COMPUTED_VALUE"""),45301.64583333333)</f>
        <v>45301.64583</v>
      </c>
      <c r="OH16" s="45">
        <f>IFERROR(__xludf.DUMMYFUNCTION("""COMPUTED_VALUE"""),2460.0)</f>
        <v>2460</v>
      </c>
      <c r="OI16" s="46">
        <f t="shared" si="100"/>
        <v>0.008279367161</v>
      </c>
      <c r="OJ16" s="37"/>
      <c r="OK16" s="37"/>
      <c r="OL16" s="45"/>
      <c r="OM16" s="46" t="str">
        <f t="shared" si="101"/>
        <v>#DIV/0!</v>
      </c>
      <c r="ON16" s="37"/>
    </row>
    <row r="17" ht="12.0" customHeight="1">
      <c r="A17" s="37">
        <f>IFERROR(__xludf.DUMMYFUNCTION("""COMPUTED_VALUE"""),45300.64583333333)</f>
        <v>45300.64583</v>
      </c>
      <c r="B17" s="45">
        <f>IFERROR(__xludf.DUMMYFUNCTION("""COMPUTED_VALUE"""),428.5)</f>
        <v>428.5</v>
      </c>
      <c r="C17" s="46">
        <f t="shared" si="1"/>
        <v>-0.02336182336</v>
      </c>
      <c r="D17" s="37"/>
      <c r="E17" s="37">
        <f>IFERROR(__xludf.DUMMYFUNCTION("""COMPUTED_VALUE"""),45300.64583333333)</f>
        <v>45300.64583</v>
      </c>
      <c r="F17" s="45">
        <f>IFERROR(__xludf.DUMMYFUNCTION("""COMPUTED_VALUE"""),699.9)</f>
        <v>699.9</v>
      </c>
      <c r="G17" s="46">
        <f t="shared" si="2"/>
        <v>0.06854961832</v>
      </c>
      <c r="H17" s="37"/>
      <c r="I17" s="37">
        <f>IFERROR(__xludf.DUMMYFUNCTION("""COMPUTED_VALUE"""),45300.64583333333)</f>
        <v>45300.64583</v>
      </c>
      <c r="J17" s="45">
        <f>IFERROR(__xludf.DUMMYFUNCTION("""COMPUTED_VALUE"""),186.7)</f>
        <v>186.7</v>
      </c>
      <c r="K17" s="46">
        <f t="shared" si="3"/>
        <v>0.01467391304</v>
      </c>
      <c r="L17" s="37"/>
      <c r="M17" s="37">
        <f>IFERROR(__xludf.DUMMYFUNCTION("""COMPUTED_VALUE"""),45300.64583333333)</f>
        <v>45300.64583</v>
      </c>
      <c r="N17" s="45">
        <f>IFERROR(__xludf.DUMMYFUNCTION("""COMPUTED_VALUE"""),93.0)</f>
        <v>93</v>
      </c>
      <c r="O17" s="46">
        <f t="shared" si="4"/>
        <v>0.07638888889</v>
      </c>
      <c r="P17" s="37"/>
      <c r="Q17" s="37">
        <f>IFERROR(__xludf.DUMMYFUNCTION("""COMPUTED_VALUE"""),45300.64583333333)</f>
        <v>45300.64583</v>
      </c>
      <c r="R17" s="45">
        <f>IFERROR(__xludf.DUMMYFUNCTION("""COMPUTED_VALUE"""),52.15)</f>
        <v>52.15</v>
      </c>
      <c r="S17" s="46">
        <f t="shared" si="5"/>
        <v>-0.006666666667</v>
      </c>
      <c r="T17" s="37"/>
      <c r="U17" s="37">
        <f>IFERROR(__xludf.DUMMYFUNCTION("""COMPUTED_VALUE"""),45300.64583333333)</f>
        <v>45300.64583</v>
      </c>
      <c r="V17" s="45">
        <f>IFERROR(__xludf.DUMMYFUNCTION("""COMPUTED_VALUE"""),787.55)</f>
        <v>787.55</v>
      </c>
      <c r="W17" s="46">
        <f t="shared" si="6"/>
        <v>0.1889341787</v>
      </c>
      <c r="X17" s="37"/>
      <c r="Y17" s="37">
        <f>IFERROR(__xludf.DUMMYFUNCTION("""COMPUTED_VALUE"""),45300.64583333333)</f>
        <v>45300.64583</v>
      </c>
      <c r="Z17" s="45">
        <f>IFERROR(__xludf.DUMMYFUNCTION("""COMPUTED_VALUE"""),185.45)</f>
        <v>185.45</v>
      </c>
      <c r="AA17" s="46">
        <f t="shared" si="7"/>
        <v>0.002432432432</v>
      </c>
      <c r="AB17" s="37"/>
      <c r="AC17" s="37">
        <f>IFERROR(__xludf.DUMMYFUNCTION("""COMPUTED_VALUE"""),45300.64583333333)</f>
        <v>45300.64583</v>
      </c>
      <c r="AD17" s="45">
        <f>IFERROR(__xludf.DUMMYFUNCTION("""COMPUTED_VALUE"""),2484.93)</f>
        <v>2484.93</v>
      </c>
      <c r="AE17" s="46">
        <f t="shared" si="8"/>
        <v>0.04650663298</v>
      </c>
      <c r="AF17" s="37"/>
      <c r="AG17" s="37">
        <f>IFERROR(__xludf.DUMMYFUNCTION("""COMPUTED_VALUE"""),45300.64583333333)</f>
        <v>45300.64583</v>
      </c>
      <c r="AH17" s="45">
        <f>IFERROR(__xludf.DUMMYFUNCTION("""COMPUTED_VALUE"""),757.95)</f>
        <v>757.95</v>
      </c>
      <c r="AI17" s="46">
        <f t="shared" si="9"/>
        <v>-0.09767857143</v>
      </c>
      <c r="AJ17" s="37"/>
      <c r="AK17" s="37">
        <f>IFERROR(__xludf.DUMMYFUNCTION("""COMPUTED_VALUE"""),45300.64583333333)</f>
        <v>45300.64583</v>
      </c>
      <c r="AL17" s="45">
        <f>IFERROR(__xludf.DUMMYFUNCTION("""COMPUTED_VALUE"""),5475.0)</f>
        <v>5475</v>
      </c>
      <c r="AM17" s="46">
        <f t="shared" si="10"/>
        <v>0.05288461538</v>
      </c>
      <c r="AN17" s="37"/>
      <c r="AO17" s="37">
        <f>IFERROR(__xludf.DUMMYFUNCTION("""COMPUTED_VALUE"""),45300.64583333333)</f>
        <v>45300.64583</v>
      </c>
      <c r="AP17" s="45">
        <f>IFERROR(__xludf.DUMMYFUNCTION("""COMPUTED_VALUE"""),897.3)</f>
        <v>897.3</v>
      </c>
      <c r="AQ17" s="46">
        <f t="shared" si="11"/>
        <v>-0.01395604396</v>
      </c>
      <c r="AR17" s="37"/>
      <c r="AS17" s="37">
        <f>IFERROR(__xludf.DUMMYFUNCTION("""COMPUTED_VALUE"""),45300.64583333333)</f>
        <v>45300.64583</v>
      </c>
      <c r="AT17" s="45">
        <f>IFERROR(__xludf.DUMMYFUNCTION("""COMPUTED_VALUE"""),2459.05)</f>
        <v>2459.05</v>
      </c>
      <c r="AU17" s="46">
        <f t="shared" si="12"/>
        <v>-0.01000442852</v>
      </c>
      <c r="AV17" s="37"/>
      <c r="AW17" s="37">
        <f>IFERROR(__xludf.DUMMYFUNCTION("""COMPUTED_VALUE"""),45300.64583333333)</f>
        <v>45300.64583</v>
      </c>
      <c r="AX17" s="45">
        <f>IFERROR(__xludf.DUMMYFUNCTION("""COMPUTED_VALUE"""),5739.85)</f>
        <v>5739.85</v>
      </c>
      <c r="AY17" s="46">
        <f t="shared" si="13"/>
        <v>0.01687453495</v>
      </c>
      <c r="AZ17" s="37"/>
      <c r="BA17" s="37">
        <f>IFERROR(__xludf.DUMMYFUNCTION("""COMPUTED_VALUE"""),45300.64583333333)</f>
        <v>45300.64583</v>
      </c>
      <c r="BB17" s="45">
        <f>IFERROR(__xludf.DUMMYFUNCTION("""COMPUTED_VALUE"""),462.5)</f>
        <v>462.5</v>
      </c>
      <c r="BC17" s="46">
        <f t="shared" si="14"/>
        <v>-0.01280683031</v>
      </c>
      <c r="BD17" s="37"/>
      <c r="BE17" s="37">
        <f>IFERROR(__xludf.DUMMYFUNCTION("""COMPUTED_VALUE"""),45300.64583333333)</f>
        <v>45300.64583</v>
      </c>
      <c r="BF17" s="45">
        <f>IFERROR(__xludf.DUMMYFUNCTION("""COMPUTED_VALUE"""),322.5)</f>
        <v>322.5</v>
      </c>
      <c r="BG17" s="46">
        <f t="shared" si="15"/>
        <v>-0.2076167076</v>
      </c>
      <c r="BH17" s="37"/>
      <c r="BI17" s="37">
        <f>IFERROR(__xludf.DUMMYFUNCTION("""COMPUTED_VALUE"""),45300.64583333333)</f>
        <v>45300.64583</v>
      </c>
      <c r="BJ17" s="45">
        <f>IFERROR(__xludf.DUMMYFUNCTION("""COMPUTED_VALUE"""),78.5)</f>
        <v>78.5</v>
      </c>
      <c r="BK17" s="46">
        <f t="shared" si="16"/>
        <v>0.1303095752</v>
      </c>
      <c r="BL17" s="37"/>
      <c r="BM17" s="37">
        <f>IFERROR(__xludf.DUMMYFUNCTION("""COMPUTED_VALUE"""),45300.64583333333)</f>
        <v>45300.64583</v>
      </c>
      <c r="BN17" s="45">
        <f>IFERROR(__xludf.DUMMYFUNCTION("""COMPUTED_VALUE"""),225.6)</f>
        <v>225.6</v>
      </c>
      <c r="BO17" s="46">
        <f t="shared" si="17"/>
        <v>-0.11875</v>
      </c>
      <c r="BP17" s="37"/>
      <c r="BQ17" s="37">
        <f>IFERROR(__xludf.DUMMYFUNCTION("""COMPUTED_VALUE"""),45300.64583333333)</f>
        <v>45300.64583</v>
      </c>
      <c r="BR17" s="45">
        <f>IFERROR(__xludf.DUMMYFUNCTION("""COMPUTED_VALUE"""),91.75)</f>
        <v>91.75</v>
      </c>
      <c r="BS17" s="46">
        <f t="shared" si="18"/>
        <v>0.5065681445</v>
      </c>
      <c r="BT17" s="37"/>
      <c r="BU17" s="37">
        <f>IFERROR(__xludf.DUMMYFUNCTION("""COMPUTED_VALUE"""),45300.64583333333)</f>
        <v>45300.64583</v>
      </c>
      <c r="BV17" s="45">
        <f>IFERROR(__xludf.DUMMYFUNCTION("""COMPUTED_VALUE"""),308.7)</f>
        <v>308.7</v>
      </c>
      <c r="BW17" s="46">
        <f t="shared" si="19"/>
        <v>-0.002262443439</v>
      </c>
      <c r="BX17" s="37"/>
      <c r="BY17" s="37">
        <f>IFERROR(__xludf.DUMMYFUNCTION("""COMPUTED_VALUE"""),45300.64583333333)</f>
        <v>45300.64583</v>
      </c>
      <c r="BZ17" s="45">
        <f>IFERROR(__xludf.DUMMYFUNCTION("""COMPUTED_VALUE"""),356.9)</f>
        <v>356.9</v>
      </c>
      <c r="CA17" s="46">
        <f t="shared" si="20"/>
        <v>-0.1284493284</v>
      </c>
      <c r="CB17" s="37"/>
      <c r="CC17" s="37">
        <f>IFERROR(__xludf.DUMMYFUNCTION("""COMPUTED_VALUE"""),45300.64583333333)</f>
        <v>45300.64583</v>
      </c>
      <c r="CD17" s="45">
        <f>IFERROR(__xludf.DUMMYFUNCTION("""COMPUTED_VALUE"""),223.8)</f>
        <v>223.8</v>
      </c>
      <c r="CE17" s="46">
        <f t="shared" si="21"/>
        <v>-0.03409581355</v>
      </c>
      <c r="CF17" s="37"/>
      <c r="CG17" s="37">
        <f>IFERROR(__xludf.DUMMYFUNCTION("""COMPUTED_VALUE"""),45300.64583333333)</f>
        <v>45300.64583</v>
      </c>
      <c r="CH17" s="45">
        <f>IFERROR(__xludf.DUMMYFUNCTION("""COMPUTED_VALUE"""),609.4)</f>
        <v>609.4</v>
      </c>
      <c r="CI17" s="46">
        <f t="shared" si="22"/>
        <v>-0.04182389937</v>
      </c>
      <c r="CJ17" s="37"/>
      <c r="CK17" s="37">
        <f>IFERROR(__xludf.DUMMYFUNCTION("""COMPUTED_VALUE"""),45300.64583333333)</f>
        <v>45300.64583</v>
      </c>
      <c r="CL17" s="45">
        <f>IFERROR(__xludf.DUMMYFUNCTION("""COMPUTED_VALUE"""),298.15)</f>
        <v>298.15</v>
      </c>
      <c r="CM17" s="46">
        <f t="shared" si="23"/>
        <v>-0.1152818991</v>
      </c>
      <c r="CN17" s="37"/>
      <c r="CO17" s="37">
        <f>IFERROR(__xludf.DUMMYFUNCTION("""COMPUTED_VALUE"""),45300.64583333333)</f>
        <v>45300.64583</v>
      </c>
      <c r="CP17" s="45">
        <f>IFERROR(__xludf.DUMMYFUNCTION("""COMPUTED_VALUE"""),18.65)</f>
        <v>18.65</v>
      </c>
      <c r="CQ17" s="46">
        <f t="shared" si="24"/>
        <v>0.2601351351</v>
      </c>
      <c r="CR17" s="37"/>
      <c r="CS17" s="37">
        <f>IFERROR(__xludf.DUMMYFUNCTION("""COMPUTED_VALUE"""),45300.64583333333)</f>
        <v>45300.64583</v>
      </c>
      <c r="CT17" s="45">
        <f>IFERROR(__xludf.DUMMYFUNCTION("""COMPUTED_VALUE"""),207.95)</f>
        <v>207.95</v>
      </c>
      <c r="CU17" s="46">
        <f t="shared" si="25"/>
        <v>0.05025252525</v>
      </c>
      <c r="CV17" s="37"/>
      <c r="CW17" s="37">
        <f>IFERROR(__xludf.DUMMYFUNCTION("""COMPUTED_VALUE"""),45300.64583333333)</f>
        <v>45300.64583</v>
      </c>
      <c r="CX17" s="45">
        <f>IFERROR(__xludf.DUMMYFUNCTION("""COMPUTED_VALUE"""),685.88)</f>
        <v>685.88</v>
      </c>
      <c r="CY17" s="46">
        <f t="shared" si="26"/>
        <v>-0.008528723004</v>
      </c>
      <c r="CZ17" s="37"/>
      <c r="DA17" s="37">
        <f>IFERROR(__xludf.DUMMYFUNCTION("""COMPUTED_VALUE"""),45300.64583333333)</f>
        <v>45300.64583</v>
      </c>
      <c r="DB17" s="45">
        <f>IFERROR(__xludf.DUMMYFUNCTION("""COMPUTED_VALUE"""),29.9)</f>
        <v>29.9</v>
      </c>
      <c r="DC17" s="46">
        <f t="shared" si="27"/>
        <v>0.07168458781</v>
      </c>
      <c r="DD17" s="37"/>
      <c r="DE17" s="37">
        <f>IFERROR(__xludf.DUMMYFUNCTION("""COMPUTED_VALUE"""),45300.64583333333)</f>
        <v>45300.64583</v>
      </c>
      <c r="DF17" s="45">
        <f>IFERROR(__xludf.DUMMYFUNCTION("""COMPUTED_VALUE"""),104.95)</f>
        <v>104.95</v>
      </c>
      <c r="DG17" s="46">
        <f t="shared" si="28"/>
        <v>-0.07369814651</v>
      </c>
      <c r="DH17" s="37"/>
      <c r="DI17" s="37">
        <f>IFERROR(__xludf.DUMMYFUNCTION("""COMPUTED_VALUE"""),45300.64583333333)</f>
        <v>45300.64583</v>
      </c>
      <c r="DJ17" s="45">
        <f>IFERROR(__xludf.DUMMYFUNCTION("""COMPUTED_VALUE"""),1566.25)</f>
        <v>1566.25</v>
      </c>
      <c r="DK17" s="46">
        <f t="shared" si="29"/>
        <v>-0.02402168495</v>
      </c>
      <c r="DL17" s="37"/>
      <c r="DM17" s="37">
        <f>IFERROR(__xludf.DUMMYFUNCTION("""COMPUTED_VALUE"""),45300.64583333333)</f>
        <v>45300.64583</v>
      </c>
      <c r="DN17" s="45">
        <f>IFERROR(__xludf.DUMMYFUNCTION("""COMPUTED_VALUE"""),572.35)</f>
        <v>572.35</v>
      </c>
      <c r="DO17" s="46">
        <f t="shared" si="30"/>
        <v>0.06751841835</v>
      </c>
      <c r="DP17" s="37"/>
      <c r="DQ17" s="37">
        <f>IFERROR(__xludf.DUMMYFUNCTION("""COMPUTED_VALUE"""),45300.64583333333)</f>
        <v>45300.64583</v>
      </c>
      <c r="DR17" s="45">
        <f>IFERROR(__xludf.DUMMYFUNCTION("""COMPUTED_VALUE"""),229.95)</f>
        <v>229.95</v>
      </c>
      <c r="DS17" s="46">
        <f t="shared" si="31"/>
        <v>0.05481651376</v>
      </c>
      <c r="DT17" s="37"/>
      <c r="DU17" s="37">
        <f>IFERROR(__xludf.DUMMYFUNCTION("""COMPUTED_VALUE"""),45300.64583333333)</f>
        <v>45300.64583</v>
      </c>
      <c r="DV17" s="45">
        <f>IFERROR(__xludf.DUMMYFUNCTION("""COMPUTED_VALUE"""),877.5)</f>
        <v>877.5</v>
      </c>
      <c r="DW17" s="46">
        <f t="shared" si="32"/>
        <v>0.03174603175</v>
      </c>
      <c r="DX17" s="37"/>
      <c r="DY17" s="37">
        <f>IFERROR(__xludf.DUMMYFUNCTION("""COMPUTED_VALUE"""),45300.64583333333)</f>
        <v>45300.64583</v>
      </c>
      <c r="DZ17" s="45">
        <f>IFERROR(__xludf.DUMMYFUNCTION("""COMPUTED_VALUE"""),12.65)</f>
        <v>12.65</v>
      </c>
      <c r="EA17" s="46">
        <f t="shared" si="33"/>
        <v>0.1658986175</v>
      </c>
      <c r="EB17" s="37"/>
      <c r="EC17" s="37">
        <f>IFERROR(__xludf.DUMMYFUNCTION("""COMPUTED_VALUE"""),45300.64583333333)</f>
        <v>45300.64583</v>
      </c>
      <c r="ED17" s="45">
        <f>IFERROR(__xludf.DUMMYFUNCTION("""COMPUTED_VALUE"""),2630.5)</f>
        <v>2630.5</v>
      </c>
      <c r="EE17" s="46">
        <f t="shared" si="34"/>
        <v>-0.005482041588</v>
      </c>
      <c r="EF17" s="37"/>
      <c r="EG17" s="37">
        <f>IFERROR(__xludf.DUMMYFUNCTION("""COMPUTED_VALUE"""),45300.64583333333)</f>
        <v>45300.64583</v>
      </c>
      <c r="EH17" s="45">
        <f>IFERROR(__xludf.DUMMYFUNCTION("""COMPUTED_VALUE"""),667.0)</f>
        <v>667</v>
      </c>
      <c r="EI17" s="46">
        <f t="shared" si="35"/>
        <v>0.02836879433</v>
      </c>
      <c r="EJ17" s="37"/>
      <c r="EK17" s="37">
        <f>IFERROR(__xludf.DUMMYFUNCTION("""COMPUTED_VALUE"""),45300.64583333333)</f>
        <v>45300.64583</v>
      </c>
      <c r="EL17" s="45">
        <f>IFERROR(__xludf.DUMMYFUNCTION("""COMPUTED_VALUE"""),215.0)</f>
        <v>215</v>
      </c>
      <c r="EM17" s="46">
        <f t="shared" si="36"/>
        <v>0.06435643564</v>
      </c>
      <c r="EN17" s="37"/>
      <c r="EO17" s="37">
        <f>IFERROR(__xludf.DUMMYFUNCTION("""COMPUTED_VALUE"""),45300.64583333333)</f>
        <v>45300.64583</v>
      </c>
      <c r="EP17" s="45">
        <f>IFERROR(__xludf.DUMMYFUNCTION("""COMPUTED_VALUE"""),162.75)</f>
        <v>162.75</v>
      </c>
      <c r="EQ17" s="46">
        <f t="shared" si="37"/>
        <v>0.05033881897</v>
      </c>
      <c r="ER17" s="37"/>
      <c r="ES17" s="37">
        <f>IFERROR(__xludf.DUMMYFUNCTION("""COMPUTED_VALUE"""),45300.64583333333)</f>
        <v>45300.64583</v>
      </c>
      <c r="ET17" s="45">
        <f>IFERROR(__xludf.DUMMYFUNCTION("""COMPUTED_VALUE"""),208.4)</f>
        <v>208.4</v>
      </c>
      <c r="EU17" s="46">
        <f t="shared" si="38"/>
        <v>0.07229225624</v>
      </c>
      <c r="EV17" s="37"/>
      <c r="EW17" s="37">
        <f>IFERROR(__xludf.DUMMYFUNCTION("""COMPUTED_VALUE"""),45300.64583333333)</f>
        <v>45300.64583</v>
      </c>
      <c r="EX17" s="45">
        <f>IFERROR(__xludf.DUMMYFUNCTION("""COMPUTED_VALUE"""),707.9)</f>
        <v>707.9</v>
      </c>
      <c r="EY17" s="46">
        <f t="shared" si="39"/>
        <v>0.0924382716</v>
      </c>
      <c r="EZ17" s="37"/>
      <c r="FA17" s="37">
        <f>IFERROR(__xludf.DUMMYFUNCTION("""COMPUTED_VALUE"""),45300.64583333333)</f>
        <v>45300.64583</v>
      </c>
      <c r="FB17" s="45">
        <f>IFERROR(__xludf.DUMMYFUNCTION("""COMPUTED_VALUE"""),203.0)</f>
        <v>203</v>
      </c>
      <c r="FC17" s="46">
        <f t="shared" si="40"/>
        <v>0.1639908257</v>
      </c>
      <c r="FD17" s="37"/>
      <c r="FE17" s="37">
        <f>IFERROR(__xludf.DUMMYFUNCTION("""COMPUTED_VALUE"""),45300.64583333333)</f>
        <v>45300.64583</v>
      </c>
      <c r="FF17" s="45">
        <f>IFERROR(__xludf.DUMMYFUNCTION("""COMPUTED_VALUE"""),360.2)</f>
        <v>360.2</v>
      </c>
      <c r="FG17" s="46">
        <f t="shared" si="41"/>
        <v>0.1817585302</v>
      </c>
      <c r="FH17" s="37"/>
      <c r="FI17" s="37">
        <f>IFERROR(__xludf.DUMMYFUNCTION("""COMPUTED_VALUE"""),45300.64583333333)</f>
        <v>45300.64583</v>
      </c>
      <c r="FJ17" s="45">
        <f>IFERROR(__xludf.DUMMYFUNCTION("""COMPUTED_VALUE"""),584.0)</f>
        <v>584</v>
      </c>
      <c r="FK17" s="46">
        <f t="shared" si="42"/>
        <v>-0.0363831367</v>
      </c>
      <c r="FL17" s="37"/>
      <c r="FM17" s="37">
        <f>IFERROR(__xludf.DUMMYFUNCTION("""COMPUTED_VALUE"""),45300.64583333333)</f>
        <v>45300.64583</v>
      </c>
      <c r="FN17" s="45">
        <f>IFERROR(__xludf.DUMMYFUNCTION("""COMPUTED_VALUE"""),103.05)</f>
        <v>103.05</v>
      </c>
      <c r="FO17" s="46">
        <f t="shared" si="43"/>
        <v>0.08473684211</v>
      </c>
      <c r="FP17" s="37"/>
      <c r="FQ17" s="37">
        <f>IFERROR(__xludf.DUMMYFUNCTION("""COMPUTED_VALUE"""),45300.64583333333)</f>
        <v>45300.64583</v>
      </c>
      <c r="FR17" s="45">
        <f>IFERROR(__xludf.DUMMYFUNCTION("""COMPUTED_VALUE"""),5.0)</f>
        <v>5</v>
      </c>
      <c r="FS17" s="46">
        <f t="shared" si="44"/>
        <v>-0.09090909091</v>
      </c>
      <c r="FT17" s="37"/>
      <c r="FU17" s="37">
        <f>IFERROR(__xludf.DUMMYFUNCTION("""COMPUTED_VALUE"""),45300.64583333333)</f>
        <v>45300.64583</v>
      </c>
      <c r="FV17" s="45">
        <f>IFERROR(__xludf.DUMMYFUNCTION("""COMPUTED_VALUE"""),664.45)</f>
        <v>664.45</v>
      </c>
      <c r="FW17" s="46">
        <f t="shared" si="45"/>
        <v>-0.004643846903</v>
      </c>
      <c r="FX17" s="37"/>
      <c r="FY17" s="37">
        <f>IFERROR(__xludf.DUMMYFUNCTION("""COMPUTED_VALUE"""),45300.64583333333)</f>
        <v>45300.64583</v>
      </c>
      <c r="FZ17" s="45">
        <f>IFERROR(__xludf.DUMMYFUNCTION("""COMPUTED_VALUE"""),178.0)</f>
        <v>178</v>
      </c>
      <c r="GA17" s="46">
        <f t="shared" si="46"/>
        <v>0.04829210836</v>
      </c>
      <c r="GB17" s="37"/>
      <c r="GC17" s="37">
        <f>IFERROR(__xludf.DUMMYFUNCTION("""COMPUTED_VALUE"""),45300.64583333333)</f>
        <v>45300.64583</v>
      </c>
      <c r="GD17" s="45">
        <f>IFERROR(__xludf.DUMMYFUNCTION("""COMPUTED_VALUE"""),419.85)</f>
        <v>419.85</v>
      </c>
      <c r="GE17" s="46">
        <f t="shared" si="47"/>
        <v>-0.091037021</v>
      </c>
      <c r="GF17" s="37"/>
      <c r="GG17" s="37">
        <f>IFERROR(__xludf.DUMMYFUNCTION("""COMPUTED_VALUE"""),45300.64583333333)</f>
        <v>45300.64583</v>
      </c>
      <c r="GH17" s="45">
        <f>IFERROR(__xludf.DUMMYFUNCTION("""COMPUTED_VALUE"""),6150.0)</f>
        <v>6150</v>
      </c>
      <c r="GI17" s="46">
        <f t="shared" si="48"/>
        <v>0.1605963389</v>
      </c>
      <c r="GJ17" s="37"/>
      <c r="GK17" s="37">
        <f>IFERROR(__xludf.DUMMYFUNCTION("""COMPUTED_VALUE"""),45300.64583333333)</f>
        <v>45300.64583</v>
      </c>
      <c r="GL17" s="45">
        <f>IFERROR(__xludf.DUMMYFUNCTION("""COMPUTED_VALUE"""),92.6)</f>
        <v>92.6</v>
      </c>
      <c r="GM17" s="46">
        <f t="shared" si="49"/>
        <v>-0.1834215168</v>
      </c>
      <c r="GN17" s="37"/>
      <c r="GO17" s="37">
        <f>IFERROR(__xludf.DUMMYFUNCTION("""COMPUTED_VALUE"""),45300.64583333333)</f>
        <v>45300.64583</v>
      </c>
      <c r="GP17" s="45">
        <f>IFERROR(__xludf.DUMMYFUNCTION("""COMPUTED_VALUE"""),1178.8)</f>
        <v>1178.8</v>
      </c>
      <c r="GQ17" s="46">
        <f t="shared" si="50"/>
        <v>0.07207493975</v>
      </c>
      <c r="GR17" s="37"/>
      <c r="GS17" s="37">
        <f>IFERROR(__xludf.DUMMYFUNCTION("""COMPUTED_VALUE"""),45300.64583333333)</f>
        <v>45300.64583</v>
      </c>
      <c r="GT17" s="45">
        <f>IFERROR(__xludf.DUMMYFUNCTION("""COMPUTED_VALUE"""),14.25)</f>
        <v>14.25</v>
      </c>
      <c r="GU17" s="46">
        <f t="shared" si="51"/>
        <v>0.1003861004</v>
      </c>
      <c r="GV17" s="37"/>
      <c r="GW17" s="37">
        <f>IFERROR(__xludf.DUMMYFUNCTION("""COMPUTED_VALUE"""),45301.64583333333)</f>
        <v>45301.64583</v>
      </c>
      <c r="GX17" s="45">
        <f>IFERROR(__xludf.DUMMYFUNCTION("""COMPUTED_VALUE"""),17.8)</f>
        <v>17.8</v>
      </c>
      <c r="GY17" s="46">
        <f t="shared" si="52"/>
        <v>0.07878787879</v>
      </c>
      <c r="GZ17" s="37"/>
      <c r="HA17" s="37">
        <f>IFERROR(__xludf.DUMMYFUNCTION("""COMPUTED_VALUE"""),45301.64583333333)</f>
        <v>45301.64583</v>
      </c>
      <c r="HB17" s="45">
        <f>IFERROR(__xludf.DUMMYFUNCTION("""COMPUTED_VALUE"""),582.0)</f>
        <v>582</v>
      </c>
      <c r="HC17" s="46">
        <f t="shared" si="53"/>
        <v>-0.04276315789</v>
      </c>
      <c r="HD17" s="37"/>
      <c r="HE17" s="43">
        <f>IFERROR(__xludf.DUMMYFUNCTION("""COMPUTED_VALUE"""),45301.64583333333)</f>
        <v>45301.64583</v>
      </c>
      <c r="HF17" s="45">
        <f>IFERROR(__xludf.DUMMYFUNCTION("""COMPUTED_VALUE"""),2460.0)</f>
        <v>2460</v>
      </c>
      <c r="HG17" s="46" t="str">
        <f t="shared" si="54"/>
        <v>#DIV/0!</v>
      </c>
      <c r="HH17" s="37"/>
      <c r="HI17" s="37">
        <f>IFERROR(__xludf.DUMMYFUNCTION("""COMPUTED_VALUE"""),45301.64583333333)</f>
        <v>45301.64583</v>
      </c>
      <c r="HJ17" s="45">
        <f>IFERROR(__xludf.DUMMYFUNCTION("""COMPUTED_VALUE"""),5450.0)</f>
        <v>5450</v>
      </c>
      <c r="HK17" s="46">
        <f t="shared" si="55"/>
        <v>0.06652576785</v>
      </c>
      <c r="HL17" s="37"/>
      <c r="HM17" s="37">
        <f>IFERROR(__xludf.DUMMYFUNCTION("""COMPUTED_VALUE"""),45301.64583333333)</f>
        <v>45301.64583</v>
      </c>
      <c r="HN17" s="45">
        <f>IFERROR(__xludf.DUMMYFUNCTION("""COMPUTED_VALUE"""),399.15)</f>
        <v>399.15</v>
      </c>
      <c r="HO17" s="46">
        <f t="shared" si="56"/>
        <v>-0.01820194318</v>
      </c>
      <c r="HP17" s="37"/>
      <c r="HQ17" s="37">
        <f>IFERROR(__xludf.DUMMYFUNCTION("""COMPUTED_VALUE"""),45301.64583333333)</f>
        <v>45301.64583</v>
      </c>
      <c r="HR17" s="45">
        <f>IFERROR(__xludf.DUMMYFUNCTION("""COMPUTED_VALUE"""),231.85)</f>
        <v>231.85</v>
      </c>
      <c r="HS17" s="46">
        <f t="shared" si="57"/>
        <v>-0.08828155722</v>
      </c>
      <c r="HT17" s="37"/>
      <c r="HU17" s="37">
        <f>IFERROR(__xludf.DUMMYFUNCTION("""COMPUTED_VALUE"""),45301.64583333333)</f>
        <v>45301.64583</v>
      </c>
      <c r="HV17" s="45">
        <f>IFERROR(__xludf.DUMMYFUNCTION("""COMPUTED_VALUE"""),91.2)</f>
        <v>91.2</v>
      </c>
      <c r="HW17" s="46">
        <f t="shared" si="58"/>
        <v>0.4615384615</v>
      </c>
      <c r="HX17" s="37"/>
      <c r="HY17" s="37">
        <f>IFERROR(__xludf.DUMMYFUNCTION("""COMPUTED_VALUE"""),45301.64583333333)</f>
        <v>45301.64583</v>
      </c>
      <c r="HZ17" s="45">
        <f>IFERROR(__xludf.DUMMYFUNCTION("""COMPUTED_VALUE"""),355.0)</f>
        <v>355</v>
      </c>
      <c r="IA17" s="46">
        <f t="shared" si="59"/>
        <v>-0.2365591398</v>
      </c>
      <c r="IB17" s="37"/>
      <c r="IC17" s="37">
        <f>IFERROR(__xludf.DUMMYFUNCTION("""COMPUTED_VALUE"""),45301.64583333333)</f>
        <v>45301.64583</v>
      </c>
      <c r="ID17" s="45">
        <f>IFERROR(__xludf.DUMMYFUNCTION("""COMPUTED_VALUE"""),80.55)</f>
        <v>80.55</v>
      </c>
      <c r="IE17" s="46">
        <f t="shared" si="60"/>
        <v>-0.8164102564</v>
      </c>
      <c r="IF17" s="37"/>
      <c r="IG17" s="37">
        <f>IFERROR(__xludf.DUMMYFUNCTION("""COMPUTED_VALUE"""),45301.64583333333)</f>
        <v>45301.64583</v>
      </c>
      <c r="IH17" s="45">
        <f>IFERROR(__xludf.DUMMYFUNCTION("""COMPUTED_VALUE"""),519.4)</f>
        <v>519.4</v>
      </c>
      <c r="II17" s="46">
        <f t="shared" si="61"/>
        <v>-0.02551594747</v>
      </c>
      <c r="IJ17" s="37"/>
      <c r="IK17" s="37">
        <f>IFERROR(__xludf.DUMMYFUNCTION("""COMPUTED_VALUE"""),45301.64583333333)</f>
        <v>45301.64583</v>
      </c>
      <c r="IL17" s="45">
        <f>IFERROR(__xludf.DUMMYFUNCTION("""COMPUTED_VALUE"""),574.45)</f>
        <v>574.45</v>
      </c>
      <c r="IM17" s="46">
        <f t="shared" si="62"/>
        <v>-0.07039404483</v>
      </c>
      <c r="IN17" s="37"/>
      <c r="IO17" s="37">
        <f>IFERROR(__xludf.DUMMYFUNCTION("""COMPUTED_VALUE"""),45301.64583333333)</f>
        <v>45301.64583</v>
      </c>
      <c r="IP17" s="45">
        <f>IFERROR(__xludf.DUMMYFUNCTION("""COMPUTED_VALUE"""),150.2)</f>
        <v>150.2</v>
      </c>
      <c r="IQ17" s="46">
        <f t="shared" si="63"/>
        <v>0.1950035802</v>
      </c>
      <c r="IR17" s="37"/>
      <c r="IS17" s="37">
        <f>IFERROR(__xludf.DUMMYFUNCTION("""COMPUTED_VALUE"""),45301.64583333333)</f>
        <v>45301.64583</v>
      </c>
      <c r="IT17" s="45">
        <f>IFERROR(__xludf.DUMMYFUNCTION("""COMPUTED_VALUE"""),1055.0)</f>
        <v>1055</v>
      </c>
      <c r="IU17" s="46">
        <f t="shared" si="64"/>
        <v>0.05079681275</v>
      </c>
      <c r="IV17" s="37"/>
      <c r="IW17" s="37">
        <f>IFERROR(__xludf.DUMMYFUNCTION("""COMPUTED_VALUE"""),45301.64583333333)</f>
        <v>45301.64583</v>
      </c>
      <c r="IX17" s="45">
        <f>IFERROR(__xludf.DUMMYFUNCTION("""COMPUTED_VALUE"""),214.9)</f>
        <v>214.9</v>
      </c>
      <c r="IY17" s="46">
        <f t="shared" si="65"/>
        <v>0.04345714979</v>
      </c>
      <c r="IZ17" s="37"/>
      <c r="JA17" s="37">
        <f>IFERROR(__xludf.DUMMYFUNCTION("""COMPUTED_VALUE"""),45301.64583333333)</f>
        <v>45301.64583</v>
      </c>
      <c r="JB17" s="45">
        <f>IFERROR(__xludf.DUMMYFUNCTION("""COMPUTED_VALUE"""),34327.95)</f>
        <v>34327.95</v>
      </c>
      <c r="JC17" s="46">
        <f t="shared" si="66"/>
        <v>-0.03035648461</v>
      </c>
      <c r="JD17" s="37"/>
      <c r="JE17" s="37">
        <f>IFERROR(__xludf.DUMMYFUNCTION("""COMPUTED_VALUE"""),45301.64583333333)</f>
        <v>45301.64583</v>
      </c>
      <c r="JF17" s="45">
        <f>IFERROR(__xludf.DUMMYFUNCTION("""COMPUTED_VALUE"""),607.4)</f>
        <v>607.4</v>
      </c>
      <c r="JG17" s="46">
        <f t="shared" si="67"/>
        <v>-0.05829457364</v>
      </c>
      <c r="JH17" s="37"/>
      <c r="JI17" s="37">
        <f>IFERROR(__xludf.DUMMYFUNCTION("""COMPUTED_VALUE"""),45301.64583333333)</f>
        <v>45301.64583</v>
      </c>
      <c r="JJ17" s="45">
        <f>IFERROR(__xludf.DUMMYFUNCTION("""COMPUTED_VALUE"""),298.55)</f>
        <v>298.55</v>
      </c>
      <c r="JK17" s="46">
        <f t="shared" si="68"/>
        <v>-0.1060038928</v>
      </c>
      <c r="JL17" s="37"/>
      <c r="JM17" s="37">
        <f>IFERROR(__xludf.DUMMYFUNCTION("""COMPUTED_VALUE"""),45301.64583333333)</f>
        <v>45301.64583</v>
      </c>
      <c r="JN17" s="45">
        <f>IFERROR(__xludf.DUMMYFUNCTION("""COMPUTED_VALUE"""),17.45)</f>
        <v>17.45</v>
      </c>
      <c r="JO17" s="46">
        <f t="shared" si="69"/>
        <v>-0.9602279202</v>
      </c>
      <c r="JP17" s="37"/>
      <c r="JQ17" s="37">
        <f>IFERROR(__xludf.DUMMYFUNCTION("""COMPUTED_VALUE"""),45301.64583333333)</f>
        <v>45301.64583</v>
      </c>
      <c r="JR17" s="45">
        <f>IFERROR(__xludf.DUMMYFUNCTION("""COMPUTED_VALUE"""),102.15)</f>
        <v>102.15</v>
      </c>
      <c r="JS17" s="46">
        <f t="shared" si="70"/>
        <v>-0.2488970588</v>
      </c>
      <c r="JT17" s="37"/>
      <c r="JU17" s="37">
        <f>IFERROR(__xludf.DUMMYFUNCTION("""COMPUTED_VALUE"""),45301.64583333333)</f>
        <v>45301.64583</v>
      </c>
      <c r="JV17" s="45">
        <f>IFERROR(__xludf.DUMMYFUNCTION("""COMPUTED_VALUE"""),262.0)</f>
        <v>262</v>
      </c>
      <c r="JW17" s="46">
        <f t="shared" si="71"/>
        <v>-0.4028490028</v>
      </c>
      <c r="JX17" s="37"/>
      <c r="JY17" s="37">
        <f>IFERROR(__xludf.DUMMYFUNCTION("""COMPUTED_VALUE"""),45301.64583333333)</f>
        <v>45301.64583</v>
      </c>
      <c r="JZ17" s="45">
        <f>IFERROR(__xludf.DUMMYFUNCTION("""COMPUTED_VALUE"""),731.45)</f>
        <v>731.45</v>
      </c>
      <c r="KA17" s="46">
        <f t="shared" si="72"/>
        <v>0.3274954628</v>
      </c>
      <c r="KB17" s="37"/>
      <c r="KC17" s="37">
        <f>IFERROR(__xludf.DUMMYFUNCTION("""COMPUTED_VALUE"""),45301.64583333333)</f>
        <v>45301.64583</v>
      </c>
      <c r="KD17" s="45">
        <f>IFERROR(__xludf.DUMMYFUNCTION("""COMPUTED_VALUE"""),875.0)</f>
        <v>875</v>
      </c>
      <c r="KE17" s="46">
        <f t="shared" si="73"/>
        <v>0.001659893538</v>
      </c>
      <c r="KF17" s="37"/>
      <c r="KG17" s="37">
        <f>IFERROR(__xludf.DUMMYFUNCTION("""COMPUTED_VALUE"""),45301.64583333333)</f>
        <v>45301.64583</v>
      </c>
      <c r="KH17" s="45">
        <f>IFERROR(__xludf.DUMMYFUNCTION("""COMPUTED_VALUE"""),464.0)</f>
        <v>464</v>
      </c>
      <c r="KI17" s="46">
        <f t="shared" si="74"/>
        <v>0.1897435897</v>
      </c>
      <c r="KJ17" s="37"/>
      <c r="KK17" s="37">
        <f>IFERROR(__xludf.DUMMYFUNCTION("""COMPUTED_VALUE"""),45301.64583333333)</f>
        <v>45301.64583</v>
      </c>
      <c r="KL17" s="45">
        <f>IFERROR(__xludf.DUMMYFUNCTION("""COMPUTED_VALUE"""),9.5)</f>
        <v>9.5</v>
      </c>
      <c r="KM17" s="46">
        <f t="shared" si="75"/>
        <v>0.02150537634</v>
      </c>
      <c r="KN17" s="37"/>
      <c r="KO17" s="37">
        <f>IFERROR(__xludf.DUMMYFUNCTION("""COMPUTED_VALUE"""),45301.64583333333)</f>
        <v>45301.64583</v>
      </c>
      <c r="KP17" s="45">
        <f>IFERROR(__xludf.DUMMYFUNCTION("""COMPUTED_VALUE"""),251.5)</f>
        <v>251.5</v>
      </c>
      <c r="KQ17" s="46">
        <f t="shared" si="76"/>
        <v>0.2370880472</v>
      </c>
      <c r="KR17" s="37"/>
      <c r="KS17" s="37">
        <f>IFERROR(__xludf.DUMMYFUNCTION("""COMPUTED_VALUE"""),45301.64583333333)</f>
        <v>45301.64583</v>
      </c>
      <c r="KT17" s="45">
        <f>IFERROR(__xludf.DUMMYFUNCTION("""COMPUTED_VALUE"""),12.9)</f>
        <v>12.9</v>
      </c>
      <c r="KU17" s="46">
        <f t="shared" si="77"/>
        <v>0.1674208145</v>
      </c>
      <c r="KV17" s="37"/>
      <c r="KW17" s="37">
        <f>IFERROR(__xludf.DUMMYFUNCTION("""COMPUTED_VALUE"""),45301.64583333333)</f>
        <v>45301.64583</v>
      </c>
      <c r="KX17" s="45">
        <f>IFERROR(__xludf.DUMMYFUNCTION("""COMPUTED_VALUE"""),2540.0)</f>
        <v>2540</v>
      </c>
      <c r="KY17" s="46">
        <f t="shared" si="78"/>
        <v>-0.04867132343</v>
      </c>
      <c r="KZ17" s="37"/>
      <c r="LA17" s="37">
        <f>IFERROR(__xludf.DUMMYFUNCTION("""COMPUTED_VALUE"""),45301.64583333333)</f>
        <v>45301.64583</v>
      </c>
      <c r="LB17" s="45">
        <f>IFERROR(__xludf.DUMMYFUNCTION("""COMPUTED_VALUE"""),21.7)</f>
        <v>21.7</v>
      </c>
      <c r="LC17" s="46">
        <f t="shared" si="79"/>
        <v>0.151193634</v>
      </c>
      <c r="LD17" s="37"/>
      <c r="LE17" s="37">
        <f>IFERROR(__xludf.DUMMYFUNCTION("""COMPUTED_VALUE"""),45301.64583333333)</f>
        <v>45301.64583</v>
      </c>
      <c r="LF17" s="45">
        <f>IFERROR(__xludf.DUMMYFUNCTION("""COMPUTED_VALUE"""),117.75)</f>
        <v>117.75</v>
      </c>
      <c r="LG17" s="46">
        <f t="shared" si="80"/>
        <v>-0.058</v>
      </c>
      <c r="LH17" s="37"/>
      <c r="LI17" s="37">
        <f>IFERROR(__xludf.DUMMYFUNCTION("""COMPUTED_VALUE"""),45301.64583333333)</f>
        <v>45301.64583</v>
      </c>
      <c r="LJ17" s="45">
        <f>IFERROR(__xludf.DUMMYFUNCTION("""COMPUTED_VALUE"""),742.6)</f>
        <v>742.6</v>
      </c>
      <c r="LK17" s="46">
        <f t="shared" si="81"/>
        <v>0.02005494505</v>
      </c>
      <c r="LL17" s="37"/>
      <c r="LM17" s="37">
        <f>IFERROR(__xludf.DUMMYFUNCTION("""COMPUTED_VALUE"""),45301.64583333333)</f>
        <v>45301.64583</v>
      </c>
      <c r="LN17" s="45">
        <f>IFERROR(__xludf.DUMMYFUNCTION("""COMPUTED_VALUE"""),815.0)</f>
        <v>815</v>
      </c>
      <c r="LO17" s="46">
        <f t="shared" si="82"/>
        <v>-0.04678362573</v>
      </c>
      <c r="LP17" s="37"/>
      <c r="LQ17" s="37">
        <f>IFERROR(__xludf.DUMMYFUNCTION("""COMPUTED_VALUE"""),45301.64583333333)</f>
        <v>45301.64583</v>
      </c>
      <c r="LR17" s="45">
        <f>IFERROR(__xludf.DUMMYFUNCTION("""COMPUTED_VALUE"""),446.4)</f>
        <v>446.4</v>
      </c>
      <c r="LS17" s="46">
        <f t="shared" si="83"/>
        <v>0.2216748768</v>
      </c>
      <c r="LT17" s="37"/>
      <c r="LU17" s="37">
        <f>IFERROR(__xludf.DUMMYFUNCTION("""COMPUTED_VALUE"""),45301.64583333333)</f>
        <v>45301.64583</v>
      </c>
      <c r="LV17" s="45">
        <f>IFERROR(__xludf.DUMMYFUNCTION("""COMPUTED_VALUE"""),142.95)</f>
        <v>142.95</v>
      </c>
      <c r="LW17" s="46">
        <f t="shared" si="84"/>
        <v>0.04495614035</v>
      </c>
      <c r="LX17" s="37"/>
      <c r="LY17" s="37">
        <f>IFERROR(__xludf.DUMMYFUNCTION("""COMPUTED_VALUE"""),45301.64583333333)</f>
        <v>45301.64583</v>
      </c>
      <c r="LZ17" s="45">
        <f>IFERROR(__xludf.DUMMYFUNCTION("""COMPUTED_VALUE"""),584.4)</f>
        <v>584.4</v>
      </c>
      <c r="MA17" s="46">
        <f t="shared" si="85"/>
        <v>-0.05741935484</v>
      </c>
      <c r="MB17" s="37"/>
      <c r="MC17" s="37"/>
      <c r="MD17" s="45"/>
      <c r="ME17" s="46" t="str">
        <f t="shared" si="86"/>
        <v>#DIV/0!</v>
      </c>
      <c r="MF17" s="37"/>
      <c r="MG17" s="37">
        <f>IFERROR(__xludf.DUMMYFUNCTION("""COMPUTED_VALUE"""),45301.64583333333)</f>
        <v>45301.64583</v>
      </c>
      <c r="MH17" s="45">
        <f>IFERROR(__xludf.DUMMYFUNCTION("""COMPUTED_VALUE"""),1963.05)</f>
        <v>1963.05</v>
      </c>
      <c r="MI17" s="46">
        <f t="shared" si="87"/>
        <v>0.001070909508</v>
      </c>
      <c r="MJ17" s="37"/>
      <c r="MK17" s="37">
        <f>IFERROR(__xludf.DUMMYFUNCTION("""COMPUTED_VALUE"""),45301.64583333333)</f>
        <v>45301.64583</v>
      </c>
      <c r="ML17" s="45">
        <f>IFERROR(__xludf.DUMMYFUNCTION("""COMPUTED_VALUE"""),386.85)</f>
        <v>386.85</v>
      </c>
      <c r="MM17" s="46">
        <f t="shared" si="88"/>
        <v>-0.03275409426</v>
      </c>
      <c r="MN17" s="37"/>
      <c r="MO17" s="37">
        <f>IFERROR(__xludf.DUMMYFUNCTION("""COMPUTED_VALUE"""),45301.64583333333)</f>
        <v>45301.64583</v>
      </c>
      <c r="MP17" s="45">
        <f>IFERROR(__xludf.DUMMYFUNCTION("""COMPUTED_VALUE"""),742.0)</f>
        <v>742</v>
      </c>
      <c r="MQ17" s="46">
        <f t="shared" si="89"/>
        <v>0.002702702703</v>
      </c>
      <c r="MR17" s="37"/>
      <c r="MS17" s="37">
        <f>IFERROR(__xludf.DUMMYFUNCTION("""COMPUTED_VALUE"""),45301.64583333333)</f>
        <v>45301.64583</v>
      </c>
      <c r="MT17" s="45">
        <f>IFERROR(__xludf.DUMMYFUNCTION("""COMPUTED_VALUE"""),60.7)</f>
        <v>60.7</v>
      </c>
      <c r="MU17" s="46">
        <f t="shared" si="90"/>
        <v>-0.08238851096</v>
      </c>
      <c r="MV17" s="37"/>
      <c r="MW17" s="37">
        <f>IFERROR(__xludf.DUMMYFUNCTION("""COMPUTED_VALUE"""),45301.64583333333)</f>
        <v>45301.64583</v>
      </c>
      <c r="MX17" s="45">
        <f>IFERROR(__xludf.DUMMYFUNCTION("""COMPUTED_VALUE"""),3255.95)</f>
        <v>3255.95</v>
      </c>
      <c r="MY17" s="46">
        <f t="shared" si="91"/>
        <v>0.03462027328</v>
      </c>
      <c r="MZ17" s="37"/>
      <c r="NA17" s="37">
        <f>IFERROR(__xludf.DUMMYFUNCTION("""COMPUTED_VALUE"""),45301.64583333333)</f>
        <v>45301.64583</v>
      </c>
      <c r="NB17" s="45">
        <f>IFERROR(__xludf.DUMMYFUNCTION("""COMPUTED_VALUE"""),14.0)</f>
        <v>14</v>
      </c>
      <c r="NC17" s="46">
        <f t="shared" si="92"/>
        <v>0.1067193676</v>
      </c>
      <c r="ND17" s="37"/>
      <c r="NE17" s="37">
        <f>IFERROR(__xludf.DUMMYFUNCTION("""COMPUTED_VALUE"""),45302.64583333333)</f>
        <v>45302.64583</v>
      </c>
      <c r="NF17" s="45">
        <f>IFERROR(__xludf.DUMMYFUNCTION("""COMPUTED_VALUE"""),381.9)</f>
        <v>381.9</v>
      </c>
      <c r="NG17" s="46">
        <f t="shared" si="93"/>
        <v>-0.002741872307</v>
      </c>
      <c r="NH17" s="37"/>
      <c r="NI17" s="37">
        <f>IFERROR(__xludf.DUMMYFUNCTION("""COMPUTED_VALUE"""),45302.64583333333)</f>
        <v>45302.64583</v>
      </c>
      <c r="NJ17" s="45">
        <f>IFERROR(__xludf.DUMMYFUNCTION("""COMPUTED_VALUE"""),298.3)</f>
        <v>298.3</v>
      </c>
      <c r="NK17" s="46">
        <f t="shared" si="94"/>
        <v>0.1186110174</v>
      </c>
      <c r="NL17" s="37"/>
      <c r="NM17" s="37">
        <f>IFERROR(__xludf.DUMMYFUNCTION("""COMPUTED_VALUE"""),45302.64583333333)</f>
        <v>45302.64583</v>
      </c>
      <c r="NN17" s="45">
        <f>IFERROR(__xludf.DUMMYFUNCTION("""COMPUTED_VALUE"""),116.55)</f>
        <v>116.55</v>
      </c>
      <c r="NO17" s="46">
        <f t="shared" si="95"/>
        <v>-0.05474452555</v>
      </c>
      <c r="NP17" s="37"/>
      <c r="NQ17" s="37">
        <f>IFERROR(__xludf.DUMMYFUNCTION("""COMPUTED_VALUE"""),45302.64583333333)</f>
        <v>45302.64583</v>
      </c>
      <c r="NR17" s="45">
        <f>IFERROR(__xludf.DUMMYFUNCTION("""COMPUTED_VALUE"""),4395.0)</f>
        <v>4395</v>
      </c>
      <c r="NS17" s="46">
        <f t="shared" si="96"/>
        <v>0.05244252874</v>
      </c>
      <c r="NT17" s="37"/>
      <c r="NU17" s="37">
        <f>IFERROR(__xludf.DUMMYFUNCTION("""COMPUTED_VALUE"""),45302.64583333333)</f>
        <v>45302.64583</v>
      </c>
      <c r="NV17" s="45">
        <f>IFERROR(__xludf.DUMMYFUNCTION("""COMPUTED_VALUE"""),14.15)</f>
        <v>14.15</v>
      </c>
      <c r="NW17" s="46">
        <f t="shared" si="97"/>
        <v>0.1141732283</v>
      </c>
      <c r="NX17" s="37"/>
      <c r="NY17" s="37">
        <f>IFERROR(__xludf.DUMMYFUNCTION("""COMPUTED_VALUE"""),45302.64583333333)</f>
        <v>45302.64583</v>
      </c>
      <c r="NZ17" s="45">
        <f>IFERROR(__xludf.DUMMYFUNCTION("""COMPUTED_VALUE"""),295.6)</f>
        <v>295.6</v>
      </c>
      <c r="OA17" s="46">
        <f t="shared" si="98"/>
        <v>0.1977309562</v>
      </c>
      <c r="OB17" s="37"/>
      <c r="OC17" s="37">
        <f>IFERROR(__xludf.DUMMYFUNCTION("""COMPUTED_VALUE"""),45302.64583333333)</f>
        <v>45302.64583</v>
      </c>
      <c r="OD17" s="45">
        <f>IFERROR(__xludf.DUMMYFUNCTION("""COMPUTED_VALUE"""),1124.95)</f>
        <v>1124.95</v>
      </c>
      <c r="OE17" s="46">
        <f t="shared" si="99"/>
        <v>0.06736562456</v>
      </c>
      <c r="OF17" s="37"/>
      <c r="OG17" s="37">
        <f>IFERROR(__xludf.DUMMYFUNCTION("""COMPUTED_VALUE"""),45302.64583333333)</f>
        <v>45302.64583</v>
      </c>
      <c r="OH17" s="45">
        <f>IFERROR(__xludf.DUMMYFUNCTION("""COMPUTED_VALUE"""),2485.0)</f>
        <v>2485</v>
      </c>
      <c r="OI17" s="46">
        <f t="shared" si="100"/>
        <v>0.0185261087</v>
      </c>
      <c r="OJ17" s="37"/>
      <c r="OK17" s="37"/>
      <c r="OL17" s="45"/>
      <c r="OM17" s="46" t="str">
        <f t="shared" si="101"/>
        <v>#DIV/0!</v>
      </c>
      <c r="ON17" s="37"/>
    </row>
    <row r="18" ht="12.0" customHeight="1">
      <c r="A18" s="37">
        <f>IFERROR(__xludf.DUMMYFUNCTION("""COMPUTED_VALUE"""),45301.64583333333)</f>
        <v>45301.64583</v>
      </c>
      <c r="B18" s="45">
        <f>IFERROR(__xludf.DUMMYFUNCTION("""COMPUTED_VALUE"""),430.65)</f>
        <v>430.65</v>
      </c>
      <c r="C18" s="46">
        <f t="shared" si="1"/>
        <v>-0.01846153846</v>
      </c>
      <c r="D18" s="37"/>
      <c r="E18" s="37">
        <f>IFERROR(__xludf.DUMMYFUNCTION("""COMPUTED_VALUE"""),45301.64583333333)</f>
        <v>45301.64583</v>
      </c>
      <c r="F18" s="45">
        <f>IFERROR(__xludf.DUMMYFUNCTION("""COMPUTED_VALUE"""),708.1)</f>
        <v>708.1</v>
      </c>
      <c r="G18" s="46">
        <f t="shared" si="2"/>
        <v>0.08106870229</v>
      </c>
      <c r="H18" s="37"/>
      <c r="I18" s="37">
        <f>IFERROR(__xludf.DUMMYFUNCTION("""COMPUTED_VALUE"""),45301.64583333333)</f>
        <v>45301.64583</v>
      </c>
      <c r="J18" s="45">
        <f>IFERROR(__xludf.DUMMYFUNCTION("""COMPUTED_VALUE"""),186.0)</f>
        <v>186</v>
      </c>
      <c r="K18" s="46">
        <f t="shared" si="3"/>
        <v>0.01086956522</v>
      </c>
      <c r="L18" s="37"/>
      <c r="M18" s="37">
        <f>IFERROR(__xludf.DUMMYFUNCTION("""COMPUTED_VALUE"""),45301.64583333333)</f>
        <v>45301.64583</v>
      </c>
      <c r="N18" s="45">
        <f>IFERROR(__xludf.DUMMYFUNCTION("""COMPUTED_VALUE"""),90.8)</f>
        <v>90.8</v>
      </c>
      <c r="O18" s="46">
        <f t="shared" si="4"/>
        <v>0.05092592593</v>
      </c>
      <c r="P18" s="37"/>
      <c r="Q18" s="37">
        <f>IFERROR(__xludf.DUMMYFUNCTION("""COMPUTED_VALUE"""),45301.64583333333)</f>
        <v>45301.64583</v>
      </c>
      <c r="R18" s="45">
        <f>IFERROR(__xludf.DUMMYFUNCTION("""COMPUTED_VALUE"""),51.25)</f>
        <v>51.25</v>
      </c>
      <c r="S18" s="46">
        <f t="shared" si="5"/>
        <v>-0.02380952381</v>
      </c>
      <c r="T18" s="37"/>
      <c r="U18" s="37">
        <f>IFERROR(__xludf.DUMMYFUNCTION("""COMPUTED_VALUE"""),45301.64583333333)</f>
        <v>45301.64583</v>
      </c>
      <c r="V18" s="45">
        <f>IFERROR(__xludf.DUMMYFUNCTION("""COMPUTED_VALUE"""),839.75)</f>
        <v>839.75</v>
      </c>
      <c r="W18" s="46">
        <f t="shared" si="6"/>
        <v>0.2677385266</v>
      </c>
      <c r="X18" s="37"/>
      <c r="Y18" s="37">
        <f>IFERROR(__xludf.DUMMYFUNCTION("""COMPUTED_VALUE"""),45301.64583333333)</f>
        <v>45301.64583</v>
      </c>
      <c r="Z18" s="45">
        <f>IFERROR(__xludf.DUMMYFUNCTION("""COMPUTED_VALUE"""),181.95)</f>
        <v>181.95</v>
      </c>
      <c r="AA18" s="46">
        <f t="shared" si="7"/>
        <v>-0.01648648649</v>
      </c>
      <c r="AB18" s="37"/>
      <c r="AC18" s="37">
        <f>IFERROR(__xludf.DUMMYFUNCTION("""COMPUTED_VALUE"""),45301.64583333333)</f>
        <v>45301.64583</v>
      </c>
      <c r="AD18" s="45">
        <f>IFERROR(__xludf.DUMMYFUNCTION("""COMPUTED_VALUE"""),2460.0)</f>
        <v>2460</v>
      </c>
      <c r="AE18" s="46">
        <f t="shared" si="8"/>
        <v>0.03600758054</v>
      </c>
      <c r="AF18" s="37"/>
      <c r="AG18" s="37">
        <f>IFERROR(__xludf.DUMMYFUNCTION("""COMPUTED_VALUE"""),45301.64583333333)</f>
        <v>45301.64583</v>
      </c>
      <c r="AH18" s="45">
        <f>IFERROR(__xludf.DUMMYFUNCTION("""COMPUTED_VALUE"""),743.8)</f>
        <v>743.8</v>
      </c>
      <c r="AI18" s="46">
        <f t="shared" si="9"/>
        <v>-0.1145238095</v>
      </c>
      <c r="AJ18" s="37"/>
      <c r="AK18" s="37">
        <f>IFERROR(__xludf.DUMMYFUNCTION("""COMPUTED_VALUE"""),45301.64583333333)</f>
        <v>45301.64583</v>
      </c>
      <c r="AL18" s="45">
        <f>IFERROR(__xludf.DUMMYFUNCTION("""COMPUTED_VALUE"""),5450.0)</f>
        <v>5450</v>
      </c>
      <c r="AM18" s="46">
        <f t="shared" si="10"/>
        <v>0.04807692308</v>
      </c>
      <c r="AN18" s="37"/>
      <c r="AO18" s="37">
        <f>IFERROR(__xludf.DUMMYFUNCTION("""COMPUTED_VALUE"""),45301.64583333333)</f>
        <v>45301.64583</v>
      </c>
      <c r="AP18" s="45">
        <f>IFERROR(__xludf.DUMMYFUNCTION("""COMPUTED_VALUE"""),883.95)</f>
        <v>883.95</v>
      </c>
      <c r="AQ18" s="46">
        <f t="shared" si="11"/>
        <v>-0.02862637363</v>
      </c>
      <c r="AR18" s="37"/>
      <c r="AS18" s="37">
        <f>IFERROR(__xludf.DUMMYFUNCTION("""COMPUTED_VALUE"""),45301.64583333333)</f>
        <v>45301.64583</v>
      </c>
      <c r="AT18" s="45">
        <f>IFERROR(__xludf.DUMMYFUNCTION("""COMPUTED_VALUE"""),2450.0)</f>
        <v>2450</v>
      </c>
      <c r="AU18" s="46">
        <f t="shared" si="12"/>
        <v>-0.01364789243</v>
      </c>
      <c r="AV18" s="37"/>
      <c r="AW18" s="37">
        <f>IFERROR(__xludf.DUMMYFUNCTION("""COMPUTED_VALUE"""),45301.64583333333)</f>
        <v>45301.64583</v>
      </c>
      <c r="AX18" s="45">
        <f>IFERROR(__xludf.DUMMYFUNCTION("""COMPUTED_VALUE"""),6760.0)</f>
        <v>6760</v>
      </c>
      <c r="AY18" s="46">
        <f t="shared" si="13"/>
        <v>0.1976047904</v>
      </c>
      <c r="AZ18" s="37"/>
      <c r="BA18" s="37">
        <f>IFERROR(__xludf.DUMMYFUNCTION("""COMPUTED_VALUE"""),45301.64583333333)</f>
        <v>45301.64583</v>
      </c>
      <c r="BB18" s="45">
        <f>IFERROR(__xludf.DUMMYFUNCTION("""COMPUTED_VALUE"""),456.0)</f>
        <v>456</v>
      </c>
      <c r="BC18" s="46">
        <f t="shared" si="14"/>
        <v>-0.02668089648</v>
      </c>
      <c r="BD18" s="37"/>
      <c r="BE18" s="37">
        <f>IFERROR(__xludf.DUMMYFUNCTION("""COMPUTED_VALUE"""),45301.64583333333)</f>
        <v>45301.64583</v>
      </c>
      <c r="BF18" s="45">
        <f>IFERROR(__xludf.DUMMYFUNCTION("""COMPUTED_VALUE"""),320.0)</f>
        <v>320</v>
      </c>
      <c r="BG18" s="46">
        <f t="shared" si="15"/>
        <v>-0.2137592138</v>
      </c>
      <c r="BH18" s="37"/>
      <c r="BI18" s="37">
        <f>IFERROR(__xludf.DUMMYFUNCTION("""COMPUTED_VALUE"""),45301.64583333333)</f>
        <v>45301.64583</v>
      </c>
      <c r="BJ18" s="45">
        <f>IFERROR(__xludf.DUMMYFUNCTION("""COMPUTED_VALUE"""),86.35)</f>
        <v>86.35</v>
      </c>
      <c r="BK18" s="46">
        <f t="shared" si="16"/>
        <v>0.2433405328</v>
      </c>
      <c r="BL18" s="37"/>
      <c r="BM18" s="37">
        <f>IFERROR(__xludf.DUMMYFUNCTION("""COMPUTED_VALUE"""),45301.64583333333)</f>
        <v>45301.64583</v>
      </c>
      <c r="BN18" s="45">
        <f>IFERROR(__xludf.DUMMYFUNCTION("""COMPUTED_VALUE"""),231.85)</f>
        <v>231.85</v>
      </c>
      <c r="BO18" s="46">
        <f t="shared" si="17"/>
        <v>-0.0943359375</v>
      </c>
      <c r="BP18" s="37"/>
      <c r="BQ18" s="37">
        <f>IFERROR(__xludf.DUMMYFUNCTION("""COMPUTED_VALUE"""),45301.64583333333)</f>
        <v>45301.64583</v>
      </c>
      <c r="BR18" s="45">
        <f>IFERROR(__xludf.DUMMYFUNCTION("""COMPUTED_VALUE"""),91.2)</f>
        <v>91.2</v>
      </c>
      <c r="BS18" s="46">
        <f t="shared" si="18"/>
        <v>0.4975369458</v>
      </c>
      <c r="BT18" s="37"/>
      <c r="BU18" s="37">
        <f>IFERROR(__xludf.DUMMYFUNCTION("""COMPUTED_VALUE"""),45301.64583333333)</f>
        <v>45301.64583</v>
      </c>
      <c r="BV18" s="45">
        <f>IFERROR(__xludf.DUMMYFUNCTION("""COMPUTED_VALUE"""),307.95)</f>
        <v>307.95</v>
      </c>
      <c r="BW18" s="46">
        <f t="shared" si="19"/>
        <v>-0.004686489981</v>
      </c>
      <c r="BX18" s="37"/>
      <c r="BY18" s="37">
        <f>IFERROR(__xludf.DUMMYFUNCTION("""COMPUTED_VALUE"""),45301.64583333333)</f>
        <v>45301.64583</v>
      </c>
      <c r="BZ18" s="45">
        <f>IFERROR(__xludf.DUMMYFUNCTION("""COMPUTED_VALUE"""),355.0)</f>
        <v>355</v>
      </c>
      <c r="CA18" s="46">
        <f t="shared" si="20"/>
        <v>-0.1330891331</v>
      </c>
      <c r="CB18" s="37"/>
      <c r="CC18" s="37">
        <f>IFERROR(__xludf.DUMMYFUNCTION("""COMPUTED_VALUE"""),45301.64583333333)</f>
        <v>45301.64583</v>
      </c>
      <c r="CD18" s="45">
        <f>IFERROR(__xludf.DUMMYFUNCTION("""COMPUTED_VALUE"""),235.8)</f>
        <v>235.8</v>
      </c>
      <c r="CE18" s="46">
        <f t="shared" si="21"/>
        <v>0.01769529564</v>
      </c>
      <c r="CF18" s="37"/>
      <c r="CG18" s="37">
        <f>IFERROR(__xludf.DUMMYFUNCTION("""COMPUTED_VALUE"""),45301.64583333333)</f>
        <v>45301.64583</v>
      </c>
      <c r="CH18" s="45">
        <f>IFERROR(__xludf.DUMMYFUNCTION("""COMPUTED_VALUE"""),607.4)</f>
        <v>607.4</v>
      </c>
      <c r="CI18" s="46">
        <f t="shared" si="22"/>
        <v>-0.04496855346</v>
      </c>
      <c r="CJ18" s="37"/>
      <c r="CK18" s="37">
        <f>IFERROR(__xludf.DUMMYFUNCTION("""COMPUTED_VALUE"""),45301.64583333333)</f>
        <v>45301.64583</v>
      </c>
      <c r="CL18" s="45">
        <f>IFERROR(__xludf.DUMMYFUNCTION("""COMPUTED_VALUE"""),298.55)</f>
        <v>298.55</v>
      </c>
      <c r="CM18" s="46">
        <f t="shared" si="23"/>
        <v>-0.1140949555</v>
      </c>
      <c r="CN18" s="37"/>
      <c r="CO18" s="37">
        <f>IFERROR(__xludf.DUMMYFUNCTION("""COMPUTED_VALUE"""),45301.64583333333)</f>
        <v>45301.64583</v>
      </c>
      <c r="CP18" s="45">
        <f>IFERROR(__xludf.DUMMYFUNCTION("""COMPUTED_VALUE"""),17.45)</f>
        <v>17.45</v>
      </c>
      <c r="CQ18" s="46">
        <f t="shared" si="24"/>
        <v>0.1790540541</v>
      </c>
      <c r="CR18" s="37"/>
      <c r="CS18" s="37">
        <f>IFERROR(__xludf.DUMMYFUNCTION("""COMPUTED_VALUE"""),45301.64583333333)</f>
        <v>45301.64583</v>
      </c>
      <c r="CT18" s="45">
        <f>IFERROR(__xludf.DUMMYFUNCTION("""COMPUTED_VALUE"""),217.8)</f>
        <v>217.8</v>
      </c>
      <c r="CU18" s="46">
        <f t="shared" si="25"/>
        <v>0.1</v>
      </c>
      <c r="CV18" s="37"/>
      <c r="CW18" s="37">
        <f>IFERROR(__xludf.DUMMYFUNCTION("""COMPUTED_VALUE"""),45301.64583333333)</f>
        <v>45301.64583</v>
      </c>
      <c r="CX18" s="45">
        <f>IFERROR(__xludf.DUMMYFUNCTION("""COMPUTED_VALUE"""),802.8)</f>
        <v>802.8</v>
      </c>
      <c r="CY18" s="46">
        <f t="shared" si="26"/>
        <v>0.1604845471</v>
      </c>
      <c r="CZ18" s="37"/>
      <c r="DA18" s="37">
        <f>IFERROR(__xludf.DUMMYFUNCTION("""COMPUTED_VALUE"""),45301.64583333333)</f>
        <v>45301.64583</v>
      </c>
      <c r="DB18" s="45">
        <f>IFERROR(__xludf.DUMMYFUNCTION("""COMPUTED_VALUE"""),30.5)</f>
        <v>30.5</v>
      </c>
      <c r="DC18" s="46">
        <f t="shared" si="27"/>
        <v>0.09318996416</v>
      </c>
      <c r="DD18" s="37"/>
      <c r="DE18" s="37">
        <f>IFERROR(__xludf.DUMMYFUNCTION("""COMPUTED_VALUE"""),45301.64583333333)</f>
        <v>45301.64583</v>
      </c>
      <c r="DF18" s="45">
        <f>IFERROR(__xludf.DUMMYFUNCTION("""COMPUTED_VALUE"""),102.15)</f>
        <v>102.15</v>
      </c>
      <c r="DG18" s="46">
        <f t="shared" si="28"/>
        <v>-0.09841129744</v>
      </c>
      <c r="DH18" s="37"/>
      <c r="DI18" s="37">
        <f>IFERROR(__xludf.DUMMYFUNCTION("""COMPUTED_VALUE"""),45301.64583333333)</f>
        <v>45301.64583</v>
      </c>
      <c r="DJ18" s="45">
        <f>IFERROR(__xludf.DUMMYFUNCTION("""COMPUTED_VALUE"""),1551.5)</f>
        <v>1551.5</v>
      </c>
      <c r="DK18" s="46">
        <f t="shared" si="29"/>
        <v>-0.03321286142</v>
      </c>
      <c r="DL18" s="37"/>
      <c r="DM18" s="37">
        <f>IFERROR(__xludf.DUMMYFUNCTION("""COMPUTED_VALUE"""),45301.64583333333)</f>
        <v>45301.64583</v>
      </c>
      <c r="DN18" s="45">
        <f>IFERROR(__xludf.DUMMYFUNCTION("""COMPUTED_VALUE"""),574.85)</f>
        <v>574.85</v>
      </c>
      <c r="DO18" s="46">
        <f t="shared" si="30"/>
        <v>0.07218129255</v>
      </c>
      <c r="DP18" s="37"/>
      <c r="DQ18" s="37">
        <f>IFERROR(__xludf.DUMMYFUNCTION("""COMPUTED_VALUE"""),45301.64583333333)</f>
        <v>45301.64583</v>
      </c>
      <c r="DR18" s="45">
        <f>IFERROR(__xludf.DUMMYFUNCTION("""COMPUTED_VALUE"""),227.9)</f>
        <v>227.9</v>
      </c>
      <c r="DS18" s="46">
        <f t="shared" si="31"/>
        <v>0.04541284404</v>
      </c>
      <c r="DT18" s="37"/>
      <c r="DU18" s="37">
        <f>IFERROR(__xludf.DUMMYFUNCTION("""COMPUTED_VALUE"""),45301.64583333333)</f>
        <v>45301.64583</v>
      </c>
      <c r="DV18" s="45">
        <f>IFERROR(__xludf.DUMMYFUNCTION("""COMPUTED_VALUE"""),875.0)</f>
        <v>875</v>
      </c>
      <c r="DW18" s="46">
        <f t="shared" si="32"/>
        <v>0.02880658436</v>
      </c>
      <c r="DX18" s="37"/>
      <c r="DY18" s="37">
        <f>IFERROR(__xludf.DUMMYFUNCTION("""COMPUTED_VALUE"""),45301.64583333333)</f>
        <v>45301.64583</v>
      </c>
      <c r="DZ18" s="45">
        <f>IFERROR(__xludf.DUMMYFUNCTION("""COMPUTED_VALUE"""),12.9)</f>
        <v>12.9</v>
      </c>
      <c r="EA18" s="46">
        <f t="shared" si="33"/>
        <v>0.1889400922</v>
      </c>
      <c r="EB18" s="37"/>
      <c r="EC18" s="37">
        <f>IFERROR(__xludf.DUMMYFUNCTION("""COMPUTED_VALUE"""),45301.64583333333)</f>
        <v>45301.64583</v>
      </c>
      <c r="ED18" s="45">
        <f>IFERROR(__xludf.DUMMYFUNCTION("""COMPUTED_VALUE"""),2540.0)</f>
        <v>2540</v>
      </c>
      <c r="EE18" s="46">
        <f t="shared" si="34"/>
        <v>-0.03969754253</v>
      </c>
      <c r="EF18" s="37"/>
      <c r="EG18" s="37">
        <f>IFERROR(__xludf.DUMMYFUNCTION("""COMPUTED_VALUE"""),45301.64583333333)</f>
        <v>45301.64583</v>
      </c>
      <c r="EH18" s="45">
        <f>IFERROR(__xludf.DUMMYFUNCTION("""COMPUTED_VALUE"""),694.0)</f>
        <v>694</v>
      </c>
      <c r="EI18" s="46">
        <f t="shared" si="35"/>
        <v>0.06999691644</v>
      </c>
      <c r="EJ18" s="37"/>
      <c r="EK18" s="37">
        <f>IFERROR(__xludf.DUMMYFUNCTION("""COMPUTED_VALUE"""),45301.64583333333)</f>
        <v>45301.64583</v>
      </c>
      <c r="EL18" s="45">
        <f>IFERROR(__xludf.DUMMYFUNCTION("""COMPUTED_VALUE"""),205.45)</f>
        <v>205.45</v>
      </c>
      <c r="EM18" s="46">
        <f t="shared" si="36"/>
        <v>0.01707920792</v>
      </c>
      <c r="EN18" s="37"/>
      <c r="EO18" s="37">
        <f>IFERROR(__xludf.DUMMYFUNCTION("""COMPUTED_VALUE"""),45301.64583333333)</f>
        <v>45301.64583</v>
      </c>
      <c r="EP18" s="45">
        <f>IFERROR(__xludf.DUMMYFUNCTION("""COMPUTED_VALUE"""),161.4)</f>
        <v>161.4</v>
      </c>
      <c r="EQ18" s="46">
        <f t="shared" si="37"/>
        <v>0.04162633107</v>
      </c>
      <c r="ER18" s="37"/>
      <c r="ES18" s="37">
        <f>IFERROR(__xludf.DUMMYFUNCTION("""COMPUTED_VALUE"""),45301.64583333333)</f>
        <v>45301.64583</v>
      </c>
      <c r="ET18" s="45">
        <f>IFERROR(__xludf.DUMMYFUNCTION("""COMPUTED_VALUE"""),202.75)</f>
        <v>202.75</v>
      </c>
      <c r="EU18" s="46">
        <f t="shared" si="38"/>
        <v>0.04322099305</v>
      </c>
      <c r="EV18" s="37"/>
      <c r="EW18" s="37">
        <f>IFERROR(__xludf.DUMMYFUNCTION("""COMPUTED_VALUE"""),45301.64583333333)</f>
        <v>45301.64583</v>
      </c>
      <c r="EX18" s="45">
        <f>IFERROR(__xludf.DUMMYFUNCTION("""COMPUTED_VALUE"""),700.05)</f>
        <v>700.05</v>
      </c>
      <c r="EY18" s="46">
        <f t="shared" si="39"/>
        <v>0.08032407407</v>
      </c>
      <c r="EZ18" s="37"/>
      <c r="FA18" s="37">
        <f>IFERROR(__xludf.DUMMYFUNCTION("""COMPUTED_VALUE"""),45301.64583333333)</f>
        <v>45301.64583</v>
      </c>
      <c r="FB18" s="45">
        <f>IFERROR(__xludf.DUMMYFUNCTION("""COMPUTED_VALUE"""),198.4)</f>
        <v>198.4</v>
      </c>
      <c r="FC18" s="46">
        <f t="shared" si="40"/>
        <v>0.1376146789</v>
      </c>
      <c r="FD18" s="37"/>
      <c r="FE18" s="37">
        <f>IFERROR(__xludf.DUMMYFUNCTION("""COMPUTED_VALUE"""),45301.64583333333)</f>
        <v>45301.64583</v>
      </c>
      <c r="FF18" s="45">
        <f>IFERROR(__xludf.DUMMYFUNCTION("""COMPUTED_VALUE"""),348.65)</f>
        <v>348.65</v>
      </c>
      <c r="FG18" s="46">
        <f t="shared" si="41"/>
        <v>0.1438648294</v>
      </c>
      <c r="FH18" s="37"/>
      <c r="FI18" s="37">
        <f>IFERROR(__xludf.DUMMYFUNCTION("""COMPUTED_VALUE"""),45301.64583333333)</f>
        <v>45301.64583</v>
      </c>
      <c r="FJ18" s="45">
        <f>IFERROR(__xludf.DUMMYFUNCTION("""COMPUTED_VALUE"""),584.4)</f>
        <v>584.4</v>
      </c>
      <c r="FK18" s="46">
        <f t="shared" si="42"/>
        <v>-0.03572312515</v>
      </c>
      <c r="FL18" s="37"/>
      <c r="FM18" s="37">
        <f>IFERROR(__xludf.DUMMYFUNCTION("""COMPUTED_VALUE"""),45301.64583333333)</f>
        <v>45301.64583</v>
      </c>
      <c r="FN18" s="45">
        <f>IFERROR(__xludf.DUMMYFUNCTION("""COMPUTED_VALUE"""),108.3)</f>
        <v>108.3</v>
      </c>
      <c r="FO18" s="46">
        <f t="shared" si="43"/>
        <v>0.14</v>
      </c>
      <c r="FP18" s="37"/>
      <c r="FQ18" s="37">
        <f>IFERROR(__xludf.DUMMYFUNCTION("""COMPUTED_VALUE"""),45301.64583333333)</f>
        <v>45301.64583</v>
      </c>
      <c r="FR18" s="45">
        <f>IFERROR(__xludf.DUMMYFUNCTION("""COMPUTED_VALUE"""),4.9)</f>
        <v>4.9</v>
      </c>
      <c r="FS18" s="46">
        <f t="shared" si="44"/>
        <v>-0.1090909091</v>
      </c>
      <c r="FT18" s="37"/>
      <c r="FU18" s="37">
        <f>IFERROR(__xludf.DUMMYFUNCTION("""COMPUTED_VALUE"""),45301.64583333333)</f>
        <v>45301.64583</v>
      </c>
      <c r="FV18" s="45">
        <f>IFERROR(__xludf.DUMMYFUNCTION("""COMPUTED_VALUE"""),687.15)</f>
        <v>687.15</v>
      </c>
      <c r="FW18" s="46">
        <f t="shared" si="45"/>
        <v>0.02936109655</v>
      </c>
      <c r="FX18" s="37"/>
      <c r="FY18" s="37">
        <f>IFERROR(__xludf.DUMMYFUNCTION("""COMPUTED_VALUE"""),45301.64583333333)</f>
        <v>45301.64583</v>
      </c>
      <c r="FZ18" s="45">
        <f>IFERROR(__xludf.DUMMYFUNCTION("""COMPUTED_VALUE"""),185.7)</f>
        <v>185.7</v>
      </c>
      <c r="GA18" s="46">
        <f t="shared" si="46"/>
        <v>0.09363957597</v>
      </c>
      <c r="GB18" s="37"/>
      <c r="GC18" s="37">
        <f>IFERROR(__xludf.DUMMYFUNCTION("""COMPUTED_VALUE"""),45301.64583333333)</f>
        <v>45301.64583</v>
      </c>
      <c r="GD18" s="45">
        <f>IFERROR(__xludf.DUMMYFUNCTION("""COMPUTED_VALUE"""),427.0)</f>
        <v>427</v>
      </c>
      <c r="GE18" s="46">
        <f t="shared" si="47"/>
        <v>-0.07555747997</v>
      </c>
      <c r="GF18" s="37"/>
      <c r="GG18" s="37">
        <f>IFERROR(__xludf.DUMMYFUNCTION("""COMPUTED_VALUE"""),45301.64583333333)</f>
        <v>45301.64583</v>
      </c>
      <c r="GH18" s="45">
        <f>IFERROR(__xludf.DUMMYFUNCTION("""COMPUTED_VALUE"""),5849.0)</f>
        <v>5849</v>
      </c>
      <c r="GI18" s="46">
        <f t="shared" si="48"/>
        <v>0.1037931685</v>
      </c>
      <c r="GJ18" s="37"/>
      <c r="GK18" s="37">
        <f>IFERROR(__xludf.DUMMYFUNCTION("""COMPUTED_VALUE"""),45301.64583333333)</f>
        <v>45301.64583</v>
      </c>
      <c r="GL18" s="45">
        <f>IFERROR(__xludf.DUMMYFUNCTION("""COMPUTED_VALUE"""),89.3)</f>
        <v>89.3</v>
      </c>
      <c r="GM18" s="46">
        <f t="shared" si="49"/>
        <v>-0.2125220459</v>
      </c>
      <c r="GN18" s="37"/>
      <c r="GO18" s="37">
        <f>IFERROR(__xludf.DUMMYFUNCTION("""COMPUTED_VALUE"""),45301.64583333333)</f>
        <v>45301.64583</v>
      </c>
      <c r="GP18" s="45">
        <f>IFERROR(__xludf.DUMMYFUNCTION("""COMPUTED_VALUE"""),1170.85)</f>
        <v>1170.85</v>
      </c>
      <c r="GQ18" s="46">
        <f t="shared" si="50"/>
        <v>0.0648447092</v>
      </c>
      <c r="GR18" s="37"/>
      <c r="GS18" s="37">
        <f>IFERROR(__xludf.DUMMYFUNCTION("""COMPUTED_VALUE"""),45301.64583333333)</f>
        <v>45301.64583</v>
      </c>
      <c r="GT18" s="45">
        <f>IFERROR(__xludf.DUMMYFUNCTION("""COMPUTED_VALUE"""),14.0)</f>
        <v>14</v>
      </c>
      <c r="GU18" s="46">
        <f t="shared" si="51"/>
        <v>0.08108108108</v>
      </c>
      <c r="GV18" s="37"/>
      <c r="GW18" s="37">
        <f>IFERROR(__xludf.DUMMYFUNCTION("""COMPUTED_VALUE"""),45302.64583333333)</f>
        <v>45302.64583</v>
      </c>
      <c r="GX18" s="45">
        <f>IFERROR(__xludf.DUMMYFUNCTION("""COMPUTED_VALUE"""),17.45)</f>
        <v>17.45</v>
      </c>
      <c r="GY18" s="46">
        <f t="shared" si="52"/>
        <v>0.05757575758</v>
      </c>
      <c r="GZ18" s="37"/>
      <c r="HA18" s="37">
        <f>IFERROR(__xludf.DUMMYFUNCTION("""COMPUTED_VALUE"""),45302.64583333333)</f>
        <v>45302.64583</v>
      </c>
      <c r="HB18" s="45">
        <f>IFERROR(__xludf.DUMMYFUNCTION("""COMPUTED_VALUE"""),587.0)</f>
        <v>587</v>
      </c>
      <c r="HC18" s="46">
        <f t="shared" si="53"/>
        <v>-0.03453947368</v>
      </c>
      <c r="HD18" s="37"/>
      <c r="HE18" s="43">
        <f>IFERROR(__xludf.DUMMYFUNCTION("""COMPUTED_VALUE"""),45302.64583333333)</f>
        <v>45302.64583</v>
      </c>
      <c r="HF18" s="45">
        <f>IFERROR(__xludf.DUMMYFUNCTION("""COMPUTED_VALUE"""),2485.0)</f>
        <v>2485</v>
      </c>
      <c r="HG18" s="46" t="str">
        <f t="shared" si="54"/>
        <v>#DIV/0!</v>
      </c>
      <c r="HH18" s="37"/>
      <c r="HI18" s="37">
        <f>IFERROR(__xludf.DUMMYFUNCTION("""COMPUTED_VALUE"""),45302.64583333333)</f>
        <v>45302.64583</v>
      </c>
      <c r="HJ18" s="45">
        <f>IFERROR(__xludf.DUMMYFUNCTION("""COMPUTED_VALUE"""),5452.45)</f>
        <v>5452.45</v>
      </c>
      <c r="HK18" s="46">
        <f t="shared" si="55"/>
        <v>0.06700521521</v>
      </c>
      <c r="HL18" s="37"/>
      <c r="HM18" s="37">
        <f>IFERROR(__xludf.DUMMYFUNCTION("""COMPUTED_VALUE"""),45302.64583333333)</f>
        <v>45302.64583</v>
      </c>
      <c r="HN18" s="45">
        <f>IFERROR(__xludf.DUMMYFUNCTION("""COMPUTED_VALUE"""),414.1)</f>
        <v>414.1</v>
      </c>
      <c r="HO18" s="46">
        <f t="shared" si="56"/>
        <v>0.01857090149</v>
      </c>
      <c r="HP18" s="37"/>
      <c r="HQ18" s="37">
        <f>IFERROR(__xludf.DUMMYFUNCTION("""COMPUTED_VALUE"""),45302.64583333333)</f>
        <v>45302.64583</v>
      </c>
      <c r="HR18" s="45">
        <f>IFERROR(__xludf.DUMMYFUNCTION("""COMPUTED_VALUE"""),238.0)</f>
        <v>238</v>
      </c>
      <c r="HS18" s="46">
        <f t="shared" si="57"/>
        <v>-0.06409752261</v>
      </c>
      <c r="HT18" s="37"/>
      <c r="HU18" s="37">
        <f>IFERROR(__xludf.DUMMYFUNCTION("""COMPUTED_VALUE"""),45302.64583333333)</f>
        <v>45302.64583</v>
      </c>
      <c r="HV18" s="45">
        <f>IFERROR(__xludf.DUMMYFUNCTION("""COMPUTED_VALUE"""),84.8)</f>
        <v>84.8</v>
      </c>
      <c r="HW18" s="46">
        <f t="shared" si="58"/>
        <v>0.358974359</v>
      </c>
      <c r="HX18" s="37"/>
      <c r="HY18" s="37">
        <f>IFERROR(__xludf.DUMMYFUNCTION("""COMPUTED_VALUE"""),45302.64583333333)</f>
        <v>45302.64583</v>
      </c>
      <c r="HZ18" s="45">
        <f>IFERROR(__xludf.DUMMYFUNCTION("""COMPUTED_VALUE"""),367.95)</f>
        <v>367.95</v>
      </c>
      <c r="IA18" s="46">
        <f t="shared" si="59"/>
        <v>-0.2087096774</v>
      </c>
      <c r="IB18" s="37"/>
      <c r="IC18" s="37">
        <f>IFERROR(__xludf.DUMMYFUNCTION("""COMPUTED_VALUE"""),45302.64583333333)</f>
        <v>45302.64583</v>
      </c>
      <c r="ID18" s="45">
        <f>IFERROR(__xludf.DUMMYFUNCTION("""COMPUTED_VALUE"""),80.5)</f>
        <v>80.5</v>
      </c>
      <c r="IE18" s="46">
        <f t="shared" si="60"/>
        <v>-0.8165242165</v>
      </c>
      <c r="IF18" s="37"/>
      <c r="IG18" s="37">
        <f>IFERROR(__xludf.DUMMYFUNCTION("""COMPUTED_VALUE"""),45302.64583333333)</f>
        <v>45302.64583</v>
      </c>
      <c r="IH18" s="45">
        <f>IFERROR(__xludf.DUMMYFUNCTION("""COMPUTED_VALUE"""),559.0)</f>
        <v>559</v>
      </c>
      <c r="II18" s="46">
        <f t="shared" si="61"/>
        <v>0.0487804878</v>
      </c>
      <c r="IJ18" s="37"/>
      <c r="IK18" s="37">
        <f>IFERROR(__xludf.DUMMYFUNCTION("""COMPUTED_VALUE"""),45302.64583333333)</f>
        <v>45302.64583</v>
      </c>
      <c r="IL18" s="45">
        <f>IFERROR(__xludf.DUMMYFUNCTION("""COMPUTED_VALUE"""),575.5)</f>
        <v>575.5</v>
      </c>
      <c r="IM18" s="46">
        <f t="shared" si="62"/>
        <v>-0.06869487823</v>
      </c>
      <c r="IN18" s="37"/>
      <c r="IO18" s="37">
        <f>IFERROR(__xludf.DUMMYFUNCTION("""COMPUTED_VALUE"""),45302.64583333333)</f>
        <v>45302.64583</v>
      </c>
      <c r="IP18" s="45">
        <f>IFERROR(__xludf.DUMMYFUNCTION("""COMPUTED_VALUE"""),153.2)</f>
        <v>153.2</v>
      </c>
      <c r="IQ18" s="46">
        <f t="shared" si="63"/>
        <v>0.2188718275</v>
      </c>
      <c r="IR18" s="37"/>
      <c r="IS18" s="37">
        <f>IFERROR(__xludf.DUMMYFUNCTION("""COMPUTED_VALUE"""),45302.64583333333)</f>
        <v>45302.64583</v>
      </c>
      <c r="IT18" s="45">
        <f>IFERROR(__xludf.DUMMYFUNCTION("""COMPUTED_VALUE"""),1040.85)</f>
        <v>1040.85</v>
      </c>
      <c r="IU18" s="46">
        <f t="shared" si="64"/>
        <v>0.03670318725</v>
      </c>
      <c r="IV18" s="37"/>
      <c r="IW18" s="37">
        <f>IFERROR(__xludf.DUMMYFUNCTION("""COMPUTED_VALUE"""),45302.64583333333)</f>
        <v>45302.64583</v>
      </c>
      <c r="IX18" s="45">
        <f>IFERROR(__xludf.DUMMYFUNCTION("""COMPUTED_VALUE"""),216.45)</f>
        <v>216.45</v>
      </c>
      <c r="IY18" s="46">
        <f t="shared" si="65"/>
        <v>0.05098324836</v>
      </c>
      <c r="IZ18" s="37"/>
      <c r="JA18" s="37">
        <f>IFERROR(__xludf.DUMMYFUNCTION("""COMPUTED_VALUE"""),45302.64583333333)</f>
        <v>45302.64583</v>
      </c>
      <c r="JB18" s="45">
        <f>IFERROR(__xludf.DUMMYFUNCTION("""COMPUTED_VALUE"""),34448.0)</f>
        <v>34448</v>
      </c>
      <c r="JC18" s="46">
        <f t="shared" si="66"/>
        <v>-0.02696549552</v>
      </c>
      <c r="JD18" s="37"/>
      <c r="JE18" s="37">
        <f>IFERROR(__xludf.DUMMYFUNCTION("""COMPUTED_VALUE"""),45302.64583333333)</f>
        <v>45302.64583</v>
      </c>
      <c r="JF18" s="45">
        <f>IFERROR(__xludf.DUMMYFUNCTION("""COMPUTED_VALUE"""),622.55)</f>
        <v>622.55</v>
      </c>
      <c r="JG18" s="46">
        <f t="shared" si="67"/>
        <v>-0.03480620155</v>
      </c>
      <c r="JH18" s="37"/>
      <c r="JI18" s="37">
        <f>IFERROR(__xludf.DUMMYFUNCTION("""COMPUTED_VALUE"""),45302.64583333333)</f>
        <v>45302.64583</v>
      </c>
      <c r="JJ18" s="45">
        <f>IFERROR(__xludf.DUMMYFUNCTION("""COMPUTED_VALUE"""),311.95)</f>
        <v>311.95</v>
      </c>
      <c r="JK18" s="46">
        <f t="shared" si="68"/>
        <v>-0.06587812547</v>
      </c>
      <c r="JL18" s="37"/>
      <c r="JM18" s="37">
        <f>IFERROR(__xludf.DUMMYFUNCTION("""COMPUTED_VALUE"""),45302.64583333333)</f>
        <v>45302.64583</v>
      </c>
      <c r="JN18" s="45">
        <f>IFERROR(__xludf.DUMMYFUNCTION("""COMPUTED_VALUE"""),16.95)</f>
        <v>16.95</v>
      </c>
      <c r="JO18" s="46">
        <f t="shared" si="69"/>
        <v>-0.9613675214</v>
      </c>
      <c r="JP18" s="37"/>
      <c r="JQ18" s="37">
        <f>IFERROR(__xludf.DUMMYFUNCTION("""COMPUTED_VALUE"""),45302.64583333333)</f>
        <v>45302.64583</v>
      </c>
      <c r="JR18" s="45">
        <f>IFERROR(__xludf.DUMMYFUNCTION("""COMPUTED_VALUE"""),102.0)</f>
        <v>102</v>
      </c>
      <c r="JS18" s="46">
        <f t="shared" si="70"/>
        <v>-0.25</v>
      </c>
      <c r="JT18" s="37"/>
      <c r="JU18" s="37">
        <f>IFERROR(__xludf.DUMMYFUNCTION("""COMPUTED_VALUE"""),45302.64583333333)</f>
        <v>45302.64583</v>
      </c>
      <c r="JV18" s="45">
        <f>IFERROR(__xludf.DUMMYFUNCTION("""COMPUTED_VALUE"""),262.2)</f>
        <v>262.2</v>
      </c>
      <c r="JW18" s="46">
        <f t="shared" si="71"/>
        <v>-0.4023931624</v>
      </c>
      <c r="JX18" s="37"/>
      <c r="JY18" s="37">
        <f>IFERROR(__xludf.DUMMYFUNCTION("""COMPUTED_VALUE"""),45302.64583333333)</f>
        <v>45302.64583</v>
      </c>
      <c r="JZ18" s="45">
        <f>IFERROR(__xludf.DUMMYFUNCTION("""COMPUTED_VALUE"""),704.7)</f>
        <v>704.7</v>
      </c>
      <c r="KA18" s="46">
        <f t="shared" si="72"/>
        <v>0.2789473684</v>
      </c>
      <c r="KB18" s="37"/>
      <c r="KC18" s="37">
        <f>IFERROR(__xludf.DUMMYFUNCTION("""COMPUTED_VALUE"""),45302.64583333333)</f>
        <v>45302.64583</v>
      </c>
      <c r="KD18" s="45">
        <f>IFERROR(__xludf.DUMMYFUNCTION("""COMPUTED_VALUE"""),878.5)</f>
        <v>878.5</v>
      </c>
      <c r="KE18" s="46">
        <f t="shared" si="73"/>
        <v>0.005666533112</v>
      </c>
      <c r="KF18" s="37"/>
      <c r="KG18" s="37">
        <f>IFERROR(__xludf.DUMMYFUNCTION("""COMPUTED_VALUE"""),45302.64583333333)</f>
        <v>45302.64583</v>
      </c>
      <c r="KH18" s="45">
        <f>IFERROR(__xludf.DUMMYFUNCTION("""COMPUTED_VALUE"""),460.0)</f>
        <v>460</v>
      </c>
      <c r="KI18" s="46">
        <f t="shared" si="74"/>
        <v>0.1794871795</v>
      </c>
      <c r="KJ18" s="37"/>
      <c r="KK18" s="37">
        <f>IFERROR(__xludf.DUMMYFUNCTION("""COMPUTED_VALUE"""),45302.64583333333)</f>
        <v>45302.64583</v>
      </c>
      <c r="KL18" s="45">
        <f>IFERROR(__xludf.DUMMYFUNCTION("""COMPUTED_VALUE"""),9.6)</f>
        <v>9.6</v>
      </c>
      <c r="KM18" s="46">
        <f t="shared" si="75"/>
        <v>0.03225806452</v>
      </c>
      <c r="KN18" s="37"/>
      <c r="KO18" s="37">
        <f>IFERROR(__xludf.DUMMYFUNCTION("""COMPUTED_VALUE"""),45302.64583333333)</f>
        <v>45302.64583</v>
      </c>
      <c r="KP18" s="45">
        <f>IFERROR(__xludf.DUMMYFUNCTION("""COMPUTED_VALUE"""),254.8)</f>
        <v>254.8</v>
      </c>
      <c r="KQ18" s="46">
        <f t="shared" si="76"/>
        <v>0.2533202164</v>
      </c>
      <c r="KR18" s="37"/>
      <c r="KS18" s="37">
        <f>IFERROR(__xludf.DUMMYFUNCTION("""COMPUTED_VALUE"""),45302.64583333333)</f>
        <v>45302.64583</v>
      </c>
      <c r="KT18" s="45">
        <f>IFERROR(__xludf.DUMMYFUNCTION("""COMPUTED_VALUE"""),12.45)</f>
        <v>12.45</v>
      </c>
      <c r="KU18" s="46">
        <f t="shared" si="77"/>
        <v>0.1266968326</v>
      </c>
      <c r="KV18" s="37"/>
      <c r="KW18" s="37">
        <f>IFERROR(__xludf.DUMMYFUNCTION("""COMPUTED_VALUE"""),45302.64583333333)</f>
        <v>45302.64583</v>
      </c>
      <c r="KX18" s="45">
        <f>IFERROR(__xludf.DUMMYFUNCTION("""COMPUTED_VALUE"""),2532.1)</f>
        <v>2532.1</v>
      </c>
      <c r="KY18" s="46">
        <f t="shared" si="78"/>
        <v>-0.05163018034</v>
      </c>
      <c r="KZ18" s="37"/>
      <c r="LA18" s="37">
        <f>IFERROR(__xludf.DUMMYFUNCTION("""COMPUTED_VALUE"""),45302.64583333333)</f>
        <v>45302.64583</v>
      </c>
      <c r="LB18" s="45">
        <f>IFERROR(__xludf.DUMMYFUNCTION("""COMPUTED_VALUE"""),22.55)</f>
        <v>22.55</v>
      </c>
      <c r="LC18" s="46">
        <f t="shared" si="79"/>
        <v>0.1962864721</v>
      </c>
      <c r="LD18" s="37"/>
      <c r="LE18" s="37">
        <f>IFERROR(__xludf.DUMMYFUNCTION("""COMPUTED_VALUE"""),45302.64583333333)</f>
        <v>45302.64583</v>
      </c>
      <c r="LF18" s="45">
        <f>IFERROR(__xludf.DUMMYFUNCTION("""COMPUTED_VALUE"""),116.5)</f>
        <v>116.5</v>
      </c>
      <c r="LG18" s="46">
        <f t="shared" si="80"/>
        <v>-0.068</v>
      </c>
      <c r="LH18" s="37"/>
      <c r="LI18" s="37">
        <f>IFERROR(__xludf.DUMMYFUNCTION("""COMPUTED_VALUE"""),45302.64583333333)</f>
        <v>45302.64583</v>
      </c>
      <c r="LJ18" s="45">
        <f>IFERROR(__xludf.DUMMYFUNCTION("""COMPUTED_VALUE"""),733.45)</f>
        <v>733.45</v>
      </c>
      <c r="LK18" s="46">
        <f t="shared" si="81"/>
        <v>0.007486263736</v>
      </c>
      <c r="LL18" s="37"/>
      <c r="LM18" s="37">
        <f>IFERROR(__xludf.DUMMYFUNCTION("""COMPUTED_VALUE"""),45302.64583333333)</f>
        <v>45302.64583</v>
      </c>
      <c r="LN18" s="45">
        <f>IFERROR(__xludf.DUMMYFUNCTION("""COMPUTED_VALUE"""),831.3)</f>
        <v>831.3</v>
      </c>
      <c r="LO18" s="46">
        <f t="shared" si="82"/>
        <v>-0.02771929825</v>
      </c>
      <c r="LP18" s="37"/>
      <c r="LQ18" s="37">
        <f>IFERROR(__xludf.DUMMYFUNCTION("""COMPUTED_VALUE"""),45302.64583333333)</f>
        <v>45302.64583</v>
      </c>
      <c r="LR18" s="45">
        <f>IFERROR(__xludf.DUMMYFUNCTION("""COMPUTED_VALUE"""),452.7)</f>
        <v>452.7</v>
      </c>
      <c r="LS18" s="46">
        <f t="shared" si="83"/>
        <v>0.2389162562</v>
      </c>
      <c r="LT18" s="37"/>
      <c r="LU18" s="37">
        <f>IFERROR(__xludf.DUMMYFUNCTION("""COMPUTED_VALUE"""),45302.64583333333)</f>
        <v>45302.64583</v>
      </c>
      <c r="LV18" s="45">
        <f>IFERROR(__xludf.DUMMYFUNCTION("""COMPUTED_VALUE"""),139.75)</f>
        <v>139.75</v>
      </c>
      <c r="LW18" s="46">
        <f t="shared" si="84"/>
        <v>0.02156432749</v>
      </c>
      <c r="LX18" s="37"/>
      <c r="LY18" s="37">
        <f>IFERROR(__xludf.DUMMYFUNCTION("""COMPUTED_VALUE"""),45302.64583333333)</f>
        <v>45302.64583</v>
      </c>
      <c r="LZ18" s="45">
        <f>IFERROR(__xludf.DUMMYFUNCTION("""COMPUTED_VALUE"""),585.25)</f>
        <v>585.25</v>
      </c>
      <c r="MA18" s="46">
        <f t="shared" si="85"/>
        <v>-0.0560483871</v>
      </c>
      <c r="MB18" s="37"/>
      <c r="MC18" s="37"/>
      <c r="MD18" s="45"/>
      <c r="ME18" s="46" t="str">
        <f t="shared" si="86"/>
        <v>#DIV/0!</v>
      </c>
      <c r="MF18" s="37"/>
      <c r="MG18" s="37">
        <f>IFERROR(__xludf.DUMMYFUNCTION("""COMPUTED_VALUE"""),45302.64583333333)</f>
        <v>45302.64583</v>
      </c>
      <c r="MH18" s="45">
        <f>IFERROR(__xludf.DUMMYFUNCTION("""COMPUTED_VALUE"""),1978.0)</f>
        <v>1978</v>
      </c>
      <c r="MI18" s="46">
        <f t="shared" si="87"/>
        <v>0.008694765292</v>
      </c>
      <c r="MJ18" s="37"/>
      <c r="MK18" s="37">
        <f>IFERROR(__xludf.DUMMYFUNCTION("""COMPUTED_VALUE"""),45302.64583333333)</f>
        <v>45302.64583</v>
      </c>
      <c r="ML18" s="45">
        <f>IFERROR(__xludf.DUMMYFUNCTION("""COMPUTED_VALUE"""),381.3)</f>
        <v>381.3</v>
      </c>
      <c r="MM18" s="46">
        <f t="shared" si="88"/>
        <v>-0.04663082885</v>
      </c>
      <c r="MN18" s="37"/>
      <c r="MO18" s="37">
        <f>IFERROR(__xludf.DUMMYFUNCTION("""COMPUTED_VALUE"""),45302.64583333333)</f>
        <v>45302.64583</v>
      </c>
      <c r="MP18" s="45">
        <f>IFERROR(__xludf.DUMMYFUNCTION("""COMPUTED_VALUE"""),746.2)</f>
        <v>746.2</v>
      </c>
      <c r="MQ18" s="46">
        <f t="shared" si="89"/>
        <v>0.008378378378</v>
      </c>
      <c r="MR18" s="37"/>
      <c r="MS18" s="37">
        <f>IFERROR(__xludf.DUMMYFUNCTION("""COMPUTED_VALUE"""),45302.64583333333)</f>
        <v>45302.64583</v>
      </c>
      <c r="MT18" s="45">
        <f>IFERROR(__xludf.DUMMYFUNCTION("""COMPUTED_VALUE"""),61.75)</f>
        <v>61.75</v>
      </c>
      <c r="MU18" s="46">
        <f t="shared" si="90"/>
        <v>-0.06651549509</v>
      </c>
      <c r="MV18" s="37"/>
      <c r="MW18" s="37">
        <f>IFERROR(__xludf.DUMMYFUNCTION("""COMPUTED_VALUE"""),45302.64583333333)</f>
        <v>45302.64583</v>
      </c>
      <c r="MX18" s="45">
        <f>IFERROR(__xludf.DUMMYFUNCTION("""COMPUTED_VALUE"""),3226.5)</f>
        <v>3226.5</v>
      </c>
      <c r="MY18" s="46">
        <f t="shared" si="91"/>
        <v>0.02526215443</v>
      </c>
      <c r="MZ18" s="37"/>
      <c r="NA18" s="37">
        <f>IFERROR(__xludf.DUMMYFUNCTION("""COMPUTED_VALUE"""),45302.64583333333)</f>
        <v>45302.64583</v>
      </c>
      <c r="NB18" s="45">
        <f>IFERROR(__xludf.DUMMYFUNCTION("""COMPUTED_VALUE"""),13.7)</f>
        <v>13.7</v>
      </c>
      <c r="NC18" s="46">
        <f t="shared" si="92"/>
        <v>0.08300395257</v>
      </c>
      <c r="ND18" s="37"/>
      <c r="NE18" s="37">
        <f>IFERROR(__xludf.DUMMYFUNCTION("""COMPUTED_VALUE"""),45303.64583333333)</f>
        <v>45303.64583</v>
      </c>
      <c r="NF18" s="45">
        <f>IFERROR(__xludf.DUMMYFUNCTION("""COMPUTED_VALUE"""),389.4)</f>
        <v>389.4</v>
      </c>
      <c r="NG18" s="46">
        <f t="shared" si="93"/>
        <v>0.01684292989</v>
      </c>
      <c r="NH18" s="37"/>
      <c r="NI18" s="37">
        <f>IFERROR(__xludf.DUMMYFUNCTION("""COMPUTED_VALUE"""),45303.64583333333)</f>
        <v>45303.64583</v>
      </c>
      <c r="NJ18" s="45">
        <f>IFERROR(__xludf.DUMMYFUNCTION("""COMPUTED_VALUE"""),302.13)</f>
        <v>302.13</v>
      </c>
      <c r="NK18" s="46">
        <f t="shared" si="94"/>
        <v>0.1329733378</v>
      </c>
      <c r="NL18" s="37"/>
      <c r="NM18" s="37">
        <f>IFERROR(__xludf.DUMMYFUNCTION("""COMPUTED_VALUE"""),45303.64583333333)</f>
        <v>45303.64583</v>
      </c>
      <c r="NN18" s="45">
        <f>IFERROR(__xludf.DUMMYFUNCTION("""COMPUTED_VALUE"""),116.35)</f>
        <v>116.35</v>
      </c>
      <c r="NO18" s="46">
        <f t="shared" si="95"/>
        <v>-0.05636658556</v>
      </c>
      <c r="NP18" s="37"/>
      <c r="NQ18" s="37">
        <f>IFERROR(__xludf.DUMMYFUNCTION("""COMPUTED_VALUE"""),45303.64583333333)</f>
        <v>45303.64583</v>
      </c>
      <c r="NR18" s="45">
        <f>IFERROR(__xludf.DUMMYFUNCTION("""COMPUTED_VALUE"""),4395.0)</f>
        <v>4395</v>
      </c>
      <c r="NS18" s="46">
        <f t="shared" si="96"/>
        <v>0.05244252874</v>
      </c>
      <c r="NT18" s="37"/>
      <c r="NU18" s="37">
        <f>IFERROR(__xludf.DUMMYFUNCTION("""COMPUTED_VALUE"""),45303.64583333333)</f>
        <v>45303.64583</v>
      </c>
      <c r="NV18" s="45">
        <f>IFERROR(__xludf.DUMMYFUNCTION("""COMPUTED_VALUE"""),14.15)</f>
        <v>14.15</v>
      </c>
      <c r="NW18" s="46">
        <f t="shared" si="97"/>
        <v>0.1141732283</v>
      </c>
      <c r="NX18" s="37"/>
      <c r="NY18" s="37">
        <f>IFERROR(__xludf.DUMMYFUNCTION("""COMPUTED_VALUE"""),45303.64583333333)</f>
        <v>45303.64583</v>
      </c>
      <c r="NZ18" s="45">
        <f>IFERROR(__xludf.DUMMYFUNCTION("""COMPUTED_VALUE"""),294.0)</f>
        <v>294</v>
      </c>
      <c r="OA18" s="46">
        <f t="shared" si="98"/>
        <v>0.1912479741</v>
      </c>
      <c r="OB18" s="37"/>
      <c r="OC18" s="37">
        <f>IFERROR(__xludf.DUMMYFUNCTION("""COMPUTED_VALUE"""),45303.64583333333)</f>
        <v>45303.64583</v>
      </c>
      <c r="OD18" s="45">
        <f>IFERROR(__xludf.DUMMYFUNCTION("""COMPUTED_VALUE"""),1165.55)</f>
        <v>1165.55</v>
      </c>
      <c r="OE18" s="46">
        <f t="shared" si="99"/>
        <v>0.1058873761</v>
      </c>
      <c r="OF18" s="37"/>
      <c r="OG18" s="37">
        <f>IFERROR(__xludf.DUMMYFUNCTION("""COMPUTED_VALUE"""),45303.64583333333)</f>
        <v>45303.64583</v>
      </c>
      <c r="OH18" s="45">
        <f>IFERROR(__xludf.DUMMYFUNCTION("""COMPUTED_VALUE"""),2709.98)</f>
        <v>2709.98</v>
      </c>
      <c r="OI18" s="46">
        <f t="shared" si="100"/>
        <v>0.1107385851</v>
      </c>
      <c r="OJ18" s="37"/>
      <c r="OK18" s="37"/>
      <c r="OL18" s="45"/>
      <c r="OM18" s="46" t="str">
        <f t="shared" si="101"/>
        <v>#DIV/0!</v>
      </c>
      <c r="ON18" s="37"/>
    </row>
    <row r="19" ht="12.0" customHeight="1">
      <c r="A19" s="37">
        <f>IFERROR(__xludf.DUMMYFUNCTION("""COMPUTED_VALUE"""),45302.64583333333)</f>
        <v>45302.64583</v>
      </c>
      <c r="B19" s="45">
        <f>IFERROR(__xludf.DUMMYFUNCTION("""COMPUTED_VALUE"""),425.95)</f>
        <v>425.95</v>
      </c>
      <c r="C19" s="46">
        <f t="shared" si="1"/>
        <v>-0.02917378917</v>
      </c>
      <c r="D19" s="37"/>
      <c r="E19" s="37">
        <f>IFERROR(__xludf.DUMMYFUNCTION("""COMPUTED_VALUE"""),45302.64583333333)</f>
        <v>45302.64583</v>
      </c>
      <c r="F19" s="45">
        <f>IFERROR(__xludf.DUMMYFUNCTION("""COMPUTED_VALUE"""),704.9)</f>
        <v>704.9</v>
      </c>
      <c r="G19" s="46">
        <f t="shared" si="2"/>
        <v>0.07618320611</v>
      </c>
      <c r="H19" s="37"/>
      <c r="I19" s="37">
        <f>IFERROR(__xludf.DUMMYFUNCTION("""COMPUTED_VALUE"""),45302.64583333333)</f>
        <v>45302.64583</v>
      </c>
      <c r="J19" s="45">
        <f>IFERROR(__xludf.DUMMYFUNCTION("""COMPUTED_VALUE"""),187.65)</f>
        <v>187.65</v>
      </c>
      <c r="K19" s="46">
        <f t="shared" si="3"/>
        <v>0.01983695652</v>
      </c>
      <c r="L19" s="37"/>
      <c r="M19" s="37">
        <f>IFERROR(__xludf.DUMMYFUNCTION("""COMPUTED_VALUE"""),45302.64583333333)</f>
        <v>45302.64583</v>
      </c>
      <c r="N19" s="45">
        <f>IFERROR(__xludf.DUMMYFUNCTION("""COMPUTED_VALUE"""),91.45)</f>
        <v>91.45</v>
      </c>
      <c r="O19" s="46">
        <f t="shared" si="4"/>
        <v>0.05844907407</v>
      </c>
      <c r="P19" s="37"/>
      <c r="Q19" s="37">
        <f>IFERROR(__xludf.DUMMYFUNCTION("""COMPUTED_VALUE"""),45302.64583333333)</f>
        <v>45302.64583</v>
      </c>
      <c r="R19" s="45">
        <f>IFERROR(__xludf.DUMMYFUNCTION("""COMPUTED_VALUE"""),50.65)</f>
        <v>50.65</v>
      </c>
      <c r="S19" s="46">
        <f t="shared" si="5"/>
        <v>-0.03523809524</v>
      </c>
      <c r="T19" s="37"/>
      <c r="U19" s="37">
        <f>IFERROR(__xludf.DUMMYFUNCTION("""COMPUTED_VALUE"""),45302.64583333333)</f>
        <v>45302.64583</v>
      </c>
      <c r="V19" s="45">
        <f>IFERROR(__xludf.DUMMYFUNCTION("""COMPUTED_VALUE"""),841.65)</f>
        <v>841.65</v>
      </c>
      <c r="W19" s="46">
        <f t="shared" si="6"/>
        <v>0.2706068841</v>
      </c>
      <c r="X19" s="37"/>
      <c r="Y19" s="37">
        <f>IFERROR(__xludf.DUMMYFUNCTION("""COMPUTED_VALUE"""),45302.64583333333)</f>
        <v>45302.64583</v>
      </c>
      <c r="Z19" s="45">
        <f>IFERROR(__xludf.DUMMYFUNCTION("""COMPUTED_VALUE"""),183.25)</f>
        <v>183.25</v>
      </c>
      <c r="AA19" s="46">
        <f t="shared" si="7"/>
        <v>-0.009459459459</v>
      </c>
      <c r="AB19" s="37"/>
      <c r="AC19" s="37">
        <f>IFERROR(__xludf.DUMMYFUNCTION("""COMPUTED_VALUE"""),45302.64583333333)</f>
        <v>45302.64583</v>
      </c>
      <c r="AD19" s="45">
        <f>IFERROR(__xludf.DUMMYFUNCTION("""COMPUTED_VALUE"""),2485.0)</f>
        <v>2485</v>
      </c>
      <c r="AE19" s="46">
        <f t="shared" si="8"/>
        <v>0.04653611287</v>
      </c>
      <c r="AF19" s="37"/>
      <c r="AG19" s="37">
        <f>IFERROR(__xludf.DUMMYFUNCTION("""COMPUTED_VALUE"""),45302.64583333333)</f>
        <v>45302.64583</v>
      </c>
      <c r="AH19" s="45">
        <f>IFERROR(__xludf.DUMMYFUNCTION("""COMPUTED_VALUE"""),733.3)</f>
        <v>733.3</v>
      </c>
      <c r="AI19" s="46">
        <f t="shared" si="9"/>
        <v>-0.1270238095</v>
      </c>
      <c r="AJ19" s="37"/>
      <c r="AK19" s="37">
        <f>IFERROR(__xludf.DUMMYFUNCTION("""COMPUTED_VALUE"""),45302.64583333333)</f>
        <v>45302.64583</v>
      </c>
      <c r="AL19" s="45">
        <f>IFERROR(__xludf.DUMMYFUNCTION("""COMPUTED_VALUE"""),5452.45)</f>
        <v>5452.45</v>
      </c>
      <c r="AM19" s="46">
        <f t="shared" si="10"/>
        <v>0.04854807692</v>
      </c>
      <c r="AN19" s="37"/>
      <c r="AO19" s="37">
        <f>IFERROR(__xludf.DUMMYFUNCTION("""COMPUTED_VALUE"""),45302.64583333333)</f>
        <v>45302.64583</v>
      </c>
      <c r="AP19" s="45">
        <f>IFERROR(__xludf.DUMMYFUNCTION("""COMPUTED_VALUE"""),900.75)</f>
        <v>900.75</v>
      </c>
      <c r="AQ19" s="46">
        <f t="shared" si="11"/>
        <v>-0.01016483516</v>
      </c>
      <c r="AR19" s="37"/>
      <c r="AS19" s="37">
        <f>IFERROR(__xludf.DUMMYFUNCTION("""COMPUTED_VALUE"""),45302.64583333333)</f>
        <v>45302.64583</v>
      </c>
      <c r="AT19" s="45">
        <f>IFERROR(__xludf.DUMMYFUNCTION("""COMPUTED_VALUE"""),2480.35)</f>
        <v>2480.35</v>
      </c>
      <c r="AU19" s="46">
        <f t="shared" si="12"/>
        <v>-0.001429204074</v>
      </c>
      <c r="AV19" s="37"/>
      <c r="AW19" s="37">
        <f>IFERROR(__xludf.DUMMYFUNCTION("""COMPUTED_VALUE"""),45302.64583333333)</f>
        <v>45302.64583</v>
      </c>
      <c r="AX19" s="45">
        <f>IFERROR(__xludf.DUMMYFUNCTION("""COMPUTED_VALUE"""),6629.75)</f>
        <v>6629.75</v>
      </c>
      <c r="AY19" s="46">
        <f t="shared" si="13"/>
        <v>0.1745296389</v>
      </c>
      <c r="AZ19" s="37"/>
      <c r="BA19" s="37">
        <f>IFERROR(__xludf.DUMMYFUNCTION("""COMPUTED_VALUE"""),45302.64583333333)</f>
        <v>45302.64583</v>
      </c>
      <c r="BB19" s="45">
        <f>IFERROR(__xludf.DUMMYFUNCTION("""COMPUTED_VALUE"""),456.9)</f>
        <v>456.9</v>
      </c>
      <c r="BC19" s="46">
        <f t="shared" si="14"/>
        <v>-0.02475987193</v>
      </c>
      <c r="BD19" s="37"/>
      <c r="BE19" s="37">
        <f>IFERROR(__xludf.DUMMYFUNCTION("""COMPUTED_VALUE"""),45302.64583333333)</f>
        <v>45302.64583</v>
      </c>
      <c r="BF19" s="45">
        <f>IFERROR(__xludf.DUMMYFUNCTION("""COMPUTED_VALUE"""),319.4)</f>
        <v>319.4</v>
      </c>
      <c r="BG19" s="46">
        <f t="shared" si="15"/>
        <v>-0.2152334152</v>
      </c>
      <c r="BH19" s="37"/>
      <c r="BI19" s="37">
        <f>IFERROR(__xludf.DUMMYFUNCTION("""COMPUTED_VALUE"""),45302.64583333333)</f>
        <v>45302.64583</v>
      </c>
      <c r="BJ19" s="45">
        <f>IFERROR(__xludf.DUMMYFUNCTION("""COMPUTED_VALUE"""),90.65)</f>
        <v>90.65</v>
      </c>
      <c r="BK19" s="46">
        <f t="shared" si="16"/>
        <v>0.3052555796</v>
      </c>
      <c r="BL19" s="37"/>
      <c r="BM19" s="37">
        <f>IFERROR(__xludf.DUMMYFUNCTION("""COMPUTED_VALUE"""),45302.64583333333)</f>
        <v>45302.64583</v>
      </c>
      <c r="BN19" s="45">
        <f>IFERROR(__xludf.DUMMYFUNCTION("""COMPUTED_VALUE"""),238.0)</f>
        <v>238</v>
      </c>
      <c r="BO19" s="46">
        <f t="shared" si="17"/>
        <v>-0.0703125</v>
      </c>
      <c r="BP19" s="37"/>
      <c r="BQ19" s="37">
        <f>IFERROR(__xludf.DUMMYFUNCTION("""COMPUTED_VALUE"""),45302.64583333333)</f>
        <v>45302.64583</v>
      </c>
      <c r="BR19" s="45">
        <f>IFERROR(__xludf.DUMMYFUNCTION("""COMPUTED_VALUE"""),84.8)</f>
        <v>84.8</v>
      </c>
      <c r="BS19" s="46">
        <f t="shared" si="18"/>
        <v>0.3924466338</v>
      </c>
      <c r="BT19" s="37"/>
      <c r="BU19" s="37">
        <f>IFERROR(__xludf.DUMMYFUNCTION("""COMPUTED_VALUE"""),45302.64583333333)</f>
        <v>45302.64583</v>
      </c>
      <c r="BV19" s="45">
        <f>IFERROR(__xludf.DUMMYFUNCTION("""COMPUTED_VALUE"""),314.0)</f>
        <v>314</v>
      </c>
      <c r="BW19" s="46">
        <f t="shared" si="19"/>
        <v>0.01486748546</v>
      </c>
      <c r="BX19" s="37"/>
      <c r="BY19" s="37">
        <f>IFERROR(__xludf.DUMMYFUNCTION("""COMPUTED_VALUE"""),45302.64583333333)</f>
        <v>45302.64583</v>
      </c>
      <c r="BZ19" s="45">
        <f>IFERROR(__xludf.DUMMYFUNCTION("""COMPUTED_VALUE"""),367.95)</f>
        <v>367.95</v>
      </c>
      <c r="CA19" s="46">
        <f t="shared" si="20"/>
        <v>-0.1014652015</v>
      </c>
      <c r="CB19" s="37"/>
      <c r="CC19" s="37">
        <f>IFERROR(__xludf.DUMMYFUNCTION("""COMPUTED_VALUE"""),45302.64583333333)</f>
        <v>45302.64583</v>
      </c>
      <c r="CD19" s="45">
        <f>IFERROR(__xludf.DUMMYFUNCTION("""COMPUTED_VALUE"""),260.75)</f>
        <v>260.75</v>
      </c>
      <c r="CE19" s="46">
        <f t="shared" si="21"/>
        <v>0.1253776435</v>
      </c>
      <c r="CF19" s="37"/>
      <c r="CG19" s="37">
        <f>IFERROR(__xludf.DUMMYFUNCTION("""COMPUTED_VALUE"""),45302.64583333333)</f>
        <v>45302.64583</v>
      </c>
      <c r="CH19" s="45">
        <f>IFERROR(__xludf.DUMMYFUNCTION("""COMPUTED_VALUE"""),622.55)</f>
        <v>622.55</v>
      </c>
      <c r="CI19" s="46">
        <f t="shared" si="22"/>
        <v>-0.02114779874</v>
      </c>
      <c r="CJ19" s="37"/>
      <c r="CK19" s="37">
        <f>IFERROR(__xludf.DUMMYFUNCTION("""COMPUTED_VALUE"""),45302.64583333333)</f>
        <v>45302.64583</v>
      </c>
      <c r="CL19" s="45">
        <f>IFERROR(__xludf.DUMMYFUNCTION("""COMPUTED_VALUE"""),311.95)</f>
        <v>311.95</v>
      </c>
      <c r="CM19" s="46">
        <f t="shared" si="23"/>
        <v>-0.07433234421</v>
      </c>
      <c r="CN19" s="37"/>
      <c r="CO19" s="37">
        <f>IFERROR(__xludf.DUMMYFUNCTION("""COMPUTED_VALUE"""),45302.64583333333)</f>
        <v>45302.64583</v>
      </c>
      <c r="CP19" s="45">
        <f>IFERROR(__xludf.DUMMYFUNCTION("""COMPUTED_VALUE"""),16.95)</f>
        <v>16.95</v>
      </c>
      <c r="CQ19" s="46">
        <f t="shared" si="24"/>
        <v>0.1452702703</v>
      </c>
      <c r="CR19" s="37"/>
      <c r="CS19" s="37">
        <f>IFERROR(__xludf.DUMMYFUNCTION("""COMPUTED_VALUE"""),45302.64583333333)</f>
        <v>45302.64583</v>
      </c>
      <c r="CT19" s="45">
        <f>IFERROR(__xludf.DUMMYFUNCTION("""COMPUTED_VALUE"""),212.9)</f>
        <v>212.9</v>
      </c>
      <c r="CU19" s="46">
        <f t="shared" si="25"/>
        <v>0.07525252525</v>
      </c>
      <c r="CV19" s="37"/>
      <c r="CW19" s="37">
        <f>IFERROR(__xludf.DUMMYFUNCTION("""COMPUTED_VALUE"""),45302.64583333333)</f>
        <v>45302.64583</v>
      </c>
      <c r="CX19" s="45">
        <f>IFERROR(__xludf.DUMMYFUNCTION("""COMPUTED_VALUE"""),792.8)</f>
        <v>792.8</v>
      </c>
      <c r="CY19" s="46">
        <f t="shared" si="26"/>
        <v>0.1460290844</v>
      </c>
      <c r="CZ19" s="37"/>
      <c r="DA19" s="37">
        <f>IFERROR(__xludf.DUMMYFUNCTION("""COMPUTED_VALUE"""),45302.64583333333)</f>
        <v>45302.64583</v>
      </c>
      <c r="DB19" s="45">
        <f>IFERROR(__xludf.DUMMYFUNCTION("""COMPUTED_VALUE"""),29.75)</f>
        <v>29.75</v>
      </c>
      <c r="DC19" s="46">
        <f t="shared" si="27"/>
        <v>0.06630824373</v>
      </c>
      <c r="DD19" s="37"/>
      <c r="DE19" s="37">
        <f>IFERROR(__xludf.DUMMYFUNCTION("""COMPUTED_VALUE"""),45302.64583333333)</f>
        <v>45302.64583</v>
      </c>
      <c r="DF19" s="45">
        <f>IFERROR(__xludf.DUMMYFUNCTION("""COMPUTED_VALUE"""),102.0)</f>
        <v>102</v>
      </c>
      <c r="DG19" s="46">
        <f t="shared" si="28"/>
        <v>-0.09973521624</v>
      </c>
      <c r="DH19" s="37"/>
      <c r="DI19" s="37">
        <f>IFERROR(__xludf.DUMMYFUNCTION("""COMPUTED_VALUE"""),45302.64583333333)</f>
        <v>45302.64583</v>
      </c>
      <c r="DJ19" s="45">
        <f>IFERROR(__xludf.DUMMYFUNCTION("""COMPUTED_VALUE"""),1538.05)</f>
        <v>1538.05</v>
      </c>
      <c r="DK19" s="46">
        <f t="shared" si="29"/>
        <v>-0.0415939681</v>
      </c>
      <c r="DL19" s="37"/>
      <c r="DM19" s="37">
        <f>IFERROR(__xludf.DUMMYFUNCTION("""COMPUTED_VALUE"""),45302.64583333333)</f>
        <v>45302.64583</v>
      </c>
      <c r="DN19" s="45">
        <f>IFERROR(__xludf.DUMMYFUNCTION("""COMPUTED_VALUE"""),578.5)</f>
        <v>578.5</v>
      </c>
      <c r="DO19" s="46">
        <f t="shared" si="30"/>
        <v>0.07898908887</v>
      </c>
      <c r="DP19" s="37"/>
      <c r="DQ19" s="37">
        <f>IFERROR(__xludf.DUMMYFUNCTION("""COMPUTED_VALUE"""),45302.64583333333)</f>
        <v>45302.64583</v>
      </c>
      <c r="DR19" s="45">
        <f>IFERROR(__xludf.DUMMYFUNCTION("""COMPUTED_VALUE"""),232.0)</f>
        <v>232</v>
      </c>
      <c r="DS19" s="46">
        <f t="shared" si="31"/>
        <v>0.06422018349</v>
      </c>
      <c r="DT19" s="37"/>
      <c r="DU19" s="37">
        <f>IFERROR(__xludf.DUMMYFUNCTION("""COMPUTED_VALUE"""),45302.64583333333)</f>
        <v>45302.64583</v>
      </c>
      <c r="DV19" s="45">
        <f>IFERROR(__xludf.DUMMYFUNCTION("""COMPUTED_VALUE"""),878.5)</f>
        <v>878.5</v>
      </c>
      <c r="DW19" s="46">
        <f t="shared" si="32"/>
        <v>0.0329218107</v>
      </c>
      <c r="DX19" s="37"/>
      <c r="DY19" s="37">
        <f>IFERROR(__xludf.DUMMYFUNCTION("""COMPUTED_VALUE"""),45302.64583333333)</f>
        <v>45302.64583</v>
      </c>
      <c r="DZ19" s="45">
        <f>IFERROR(__xludf.DUMMYFUNCTION("""COMPUTED_VALUE"""),12.45)</f>
        <v>12.45</v>
      </c>
      <c r="EA19" s="46">
        <f t="shared" si="33"/>
        <v>0.1474654378</v>
      </c>
      <c r="EB19" s="37"/>
      <c r="EC19" s="37">
        <f>IFERROR(__xludf.DUMMYFUNCTION("""COMPUTED_VALUE"""),45302.64583333333)</f>
        <v>45302.64583</v>
      </c>
      <c r="ED19" s="45">
        <f>IFERROR(__xludf.DUMMYFUNCTION("""COMPUTED_VALUE"""),2532.1)</f>
        <v>2532.1</v>
      </c>
      <c r="EE19" s="46">
        <f t="shared" si="34"/>
        <v>-0.04268431002</v>
      </c>
      <c r="EF19" s="37"/>
      <c r="EG19" s="37">
        <f>IFERROR(__xludf.DUMMYFUNCTION("""COMPUTED_VALUE"""),45302.64583333333)</f>
        <v>45302.64583</v>
      </c>
      <c r="EH19" s="45">
        <f>IFERROR(__xludf.DUMMYFUNCTION("""COMPUTED_VALUE"""),791.0)</f>
        <v>791</v>
      </c>
      <c r="EI19" s="46">
        <f t="shared" si="35"/>
        <v>0.2195497996</v>
      </c>
      <c r="EJ19" s="37"/>
      <c r="EK19" s="37">
        <f>IFERROR(__xludf.DUMMYFUNCTION("""COMPUTED_VALUE"""),45302.64583333333)</f>
        <v>45302.64583</v>
      </c>
      <c r="EL19" s="45">
        <f>IFERROR(__xludf.DUMMYFUNCTION("""COMPUTED_VALUE"""),211.05)</f>
        <v>211.05</v>
      </c>
      <c r="EM19" s="46">
        <f t="shared" si="36"/>
        <v>0.0448019802</v>
      </c>
      <c r="EN19" s="37"/>
      <c r="EO19" s="37">
        <f>IFERROR(__xludf.DUMMYFUNCTION("""COMPUTED_VALUE"""),45302.64583333333)</f>
        <v>45302.64583</v>
      </c>
      <c r="EP19" s="45">
        <f>IFERROR(__xludf.DUMMYFUNCTION("""COMPUTED_VALUE"""),161.1)</f>
        <v>161.1</v>
      </c>
      <c r="EQ19" s="46">
        <f t="shared" si="37"/>
        <v>0.03969022265</v>
      </c>
      <c r="ER19" s="37"/>
      <c r="ES19" s="37">
        <f>IFERROR(__xludf.DUMMYFUNCTION("""COMPUTED_VALUE"""),45302.64583333333)</f>
        <v>45302.64583</v>
      </c>
      <c r="ET19" s="45">
        <f>IFERROR(__xludf.DUMMYFUNCTION("""COMPUTED_VALUE"""),202.0)</f>
        <v>202</v>
      </c>
      <c r="EU19" s="46">
        <f t="shared" si="38"/>
        <v>0.03936197582</v>
      </c>
      <c r="EV19" s="37"/>
      <c r="EW19" s="37">
        <f>IFERROR(__xludf.DUMMYFUNCTION("""COMPUTED_VALUE"""),45302.64583333333)</f>
        <v>45302.64583</v>
      </c>
      <c r="EX19" s="45">
        <f>IFERROR(__xludf.DUMMYFUNCTION("""COMPUTED_VALUE"""),698.0)</f>
        <v>698</v>
      </c>
      <c r="EY19" s="46">
        <f t="shared" si="39"/>
        <v>0.07716049383</v>
      </c>
      <c r="EZ19" s="37"/>
      <c r="FA19" s="37">
        <f>IFERROR(__xludf.DUMMYFUNCTION("""COMPUTED_VALUE"""),45302.64583333333)</f>
        <v>45302.64583</v>
      </c>
      <c r="FB19" s="45">
        <f>IFERROR(__xludf.DUMMYFUNCTION("""COMPUTED_VALUE"""),197.0)</f>
        <v>197</v>
      </c>
      <c r="FC19" s="46">
        <f t="shared" si="40"/>
        <v>0.129587156</v>
      </c>
      <c r="FD19" s="37"/>
      <c r="FE19" s="37">
        <f>IFERROR(__xludf.DUMMYFUNCTION("""COMPUTED_VALUE"""),45302.64583333333)</f>
        <v>45302.64583</v>
      </c>
      <c r="FF19" s="45">
        <f>IFERROR(__xludf.DUMMYFUNCTION("""COMPUTED_VALUE"""),355.55)</f>
        <v>355.55</v>
      </c>
      <c r="FG19" s="46">
        <f t="shared" si="41"/>
        <v>0.1665026247</v>
      </c>
      <c r="FH19" s="37"/>
      <c r="FI19" s="37">
        <f>IFERROR(__xludf.DUMMYFUNCTION("""COMPUTED_VALUE"""),45302.64583333333)</f>
        <v>45302.64583</v>
      </c>
      <c r="FJ19" s="45">
        <f>IFERROR(__xludf.DUMMYFUNCTION("""COMPUTED_VALUE"""),585.25)</f>
        <v>585.25</v>
      </c>
      <c r="FK19" s="46">
        <f t="shared" si="42"/>
        <v>-0.03432060061</v>
      </c>
      <c r="FL19" s="37"/>
      <c r="FM19" s="37">
        <f>IFERROR(__xludf.DUMMYFUNCTION("""COMPUTED_VALUE"""),45302.64583333333)</f>
        <v>45302.64583</v>
      </c>
      <c r="FN19" s="45">
        <f>IFERROR(__xludf.DUMMYFUNCTION("""COMPUTED_VALUE"""),107.7)</f>
        <v>107.7</v>
      </c>
      <c r="FO19" s="46">
        <f t="shared" si="43"/>
        <v>0.1336842105</v>
      </c>
      <c r="FP19" s="37"/>
      <c r="FQ19" s="37">
        <f>IFERROR(__xludf.DUMMYFUNCTION("""COMPUTED_VALUE"""),45302.64583333333)</f>
        <v>45302.64583</v>
      </c>
      <c r="FR19" s="45">
        <f>IFERROR(__xludf.DUMMYFUNCTION("""COMPUTED_VALUE"""),4.8)</f>
        <v>4.8</v>
      </c>
      <c r="FS19" s="46">
        <f t="shared" si="44"/>
        <v>-0.1272727273</v>
      </c>
      <c r="FT19" s="37"/>
      <c r="FU19" s="37">
        <f>IFERROR(__xludf.DUMMYFUNCTION("""COMPUTED_VALUE"""),45302.64583333333)</f>
        <v>45302.64583</v>
      </c>
      <c r="FV19" s="45">
        <f>IFERROR(__xludf.DUMMYFUNCTION("""COMPUTED_VALUE"""),708.5)</f>
        <v>708.5</v>
      </c>
      <c r="FW19" s="46">
        <f t="shared" si="45"/>
        <v>0.06134371957</v>
      </c>
      <c r="FX19" s="37"/>
      <c r="FY19" s="37">
        <f>IFERROR(__xludf.DUMMYFUNCTION("""COMPUTED_VALUE"""),45302.64583333333)</f>
        <v>45302.64583</v>
      </c>
      <c r="FZ19" s="45">
        <f>IFERROR(__xludf.DUMMYFUNCTION("""COMPUTED_VALUE"""),179.95)</f>
        <v>179.95</v>
      </c>
      <c r="GA19" s="46">
        <f t="shared" si="46"/>
        <v>0.0597762073</v>
      </c>
      <c r="GB19" s="37"/>
      <c r="GC19" s="37">
        <f>IFERROR(__xludf.DUMMYFUNCTION("""COMPUTED_VALUE"""),45302.64583333333)</f>
        <v>45302.64583</v>
      </c>
      <c r="GD19" s="45">
        <f>IFERROR(__xludf.DUMMYFUNCTION("""COMPUTED_VALUE"""),420.0)</f>
        <v>420</v>
      </c>
      <c r="GE19" s="46">
        <f t="shared" si="47"/>
        <v>-0.09071227538</v>
      </c>
      <c r="GF19" s="37"/>
      <c r="GG19" s="37">
        <f>IFERROR(__xludf.DUMMYFUNCTION("""COMPUTED_VALUE"""),45302.64583333333)</f>
        <v>45302.64583</v>
      </c>
      <c r="GH19" s="45">
        <f>IFERROR(__xludf.DUMMYFUNCTION("""COMPUTED_VALUE"""),5749.0)</f>
        <v>5749</v>
      </c>
      <c r="GI19" s="46">
        <f t="shared" si="48"/>
        <v>0.08492168334</v>
      </c>
      <c r="GJ19" s="37"/>
      <c r="GK19" s="37">
        <f>IFERROR(__xludf.DUMMYFUNCTION("""COMPUTED_VALUE"""),45302.64583333333)</f>
        <v>45302.64583</v>
      </c>
      <c r="GL19" s="45">
        <f>IFERROR(__xludf.DUMMYFUNCTION("""COMPUTED_VALUE"""),91.95)</f>
        <v>91.95</v>
      </c>
      <c r="GM19" s="46">
        <f t="shared" si="49"/>
        <v>-0.1891534392</v>
      </c>
      <c r="GN19" s="37"/>
      <c r="GO19" s="37">
        <f>IFERROR(__xludf.DUMMYFUNCTION("""COMPUTED_VALUE"""),45302.64583333333)</f>
        <v>45302.64583</v>
      </c>
      <c r="GP19" s="45">
        <f>IFERROR(__xludf.DUMMYFUNCTION("""COMPUTED_VALUE"""),1165.0)</f>
        <v>1165</v>
      </c>
      <c r="GQ19" s="46">
        <f t="shared" si="50"/>
        <v>0.05952435087</v>
      </c>
      <c r="GR19" s="37"/>
      <c r="GS19" s="37">
        <f>IFERROR(__xludf.DUMMYFUNCTION("""COMPUTED_VALUE"""),45302.64583333333)</f>
        <v>45302.64583</v>
      </c>
      <c r="GT19" s="45">
        <f>IFERROR(__xludf.DUMMYFUNCTION("""COMPUTED_VALUE"""),13.7)</f>
        <v>13.7</v>
      </c>
      <c r="GU19" s="46">
        <f t="shared" si="51"/>
        <v>0.05791505792</v>
      </c>
      <c r="GV19" s="37"/>
      <c r="GW19" s="37">
        <f>IFERROR(__xludf.DUMMYFUNCTION("""COMPUTED_VALUE"""),45303.64583333333)</f>
        <v>45303.64583</v>
      </c>
      <c r="GX19" s="45">
        <f>IFERROR(__xludf.DUMMYFUNCTION("""COMPUTED_VALUE"""),17.45)</f>
        <v>17.45</v>
      </c>
      <c r="GY19" s="46">
        <f t="shared" si="52"/>
        <v>0.05757575758</v>
      </c>
      <c r="GZ19" s="37"/>
      <c r="HA19" s="37">
        <f>IFERROR(__xludf.DUMMYFUNCTION("""COMPUTED_VALUE"""),45303.64583333333)</f>
        <v>45303.64583</v>
      </c>
      <c r="HB19" s="45">
        <f>IFERROR(__xludf.DUMMYFUNCTION("""COMPUTED_VALUE"""),585.5)</f>
        <v>585.5</v>
      </c>
      <c r="HC19" s="46">
        <f t="shared" si="53"/>
        <v>-0.03700657895</v>
      </c>
      <c r="HD19" s="37"/>
      <c r="HE19" s="43">
        <f>IFERROR(__xludf.DUMMYFUNCTION("""COMPUTED_VALUE"""),45303.64583333333)</f>
        <v>45303.64583</v>
      </c>
      <c r="HF19" s="45">
        <f>IFERROR(__xludf.DUMMYFUNCTION("""COMPUTED_VALUE"""),2709.98)</f>
        <v>2709.98</v>
      </c>
      <c r="HG19" s="46" t="str">
        <f t="shared" si="54"/>
        <v>#DIV/0!</v>
      </c>
      <c r="HH19" s="37"/>
      <c r="HI19" s="37">
        <f>IFERROR(__xludf.DUMMYFUNCTION("""COMPUTED_VALUE"""),45303.64583333333)</f>
        <v>45303.64583</v>
      </c>
      <c r="HJ19" s="45">
        <f>IFERROR(__xludf.DUMMYFUNCTION("""COMPUTED_VALUE"""),5460.0)</f>
        <v>5460</v>
      </c>
      <c r="HK19" s="46">
        <f t="shared" si="55"/>
        <v>0.06848269586</v>
      </c>
      <c r="HL19" s="37"/>
      <c r="HM19" s="37">
        <f>IFERROR(__xludf.DUMMYFUNCTION("""COMPUTED_VALUE"""),45303.64583333333)</f>
        <v>45303.64583</v>
      </c>
      <c r="HN19" s="45">
        <f>IFERROR(__xludf.DUMMYFUNCTION("""COMPUTED_VALUE"""),424.0)</f>
        <v>424</v>
      </c>
      <c r="HO19" s="46">
        <f t="shared" si="56"/>
        <v>0.0429221498</v>
      </c>
      <c r="HP19" s="37"/>
      <c r="HQ19" s="37">
        <f>IFERROR(__xludf.DUMMYFUNCTION("""COMPUTED_VALUE"""),45303.64583333333)</f>
        <v>45303.64583</v>
      </c>
      <c r="HR19" s="45">
        <f>IFERROR(__xludf.DUMMYFUNCTION("""COMPUTED_VALUE"""),238.5)</f>
        <v>238.5</v>
      </c>
      <c r="HS19" s="46">
        <f t="shared" si="57"/>
        <v>-0.06213134094</v>
      </c>
      <c r="HT19" s="37"/>
      <c r="HU19" s="37">
        <f>IFERROR(__xludf.DUMMYFUNCTION("""COMPUTED_VALUE"""),45303.64583333333)</f>
        <v>45303.64583</v>
      </c>
      <c r="HV19" s="45">
        <f>IFERROR(__xludf.DUMMYFUNCTION("""COMPUTED_VALUE"""),77.5)</f>
        <v>77.5</v>
      </c>
      <c r="HW19" s="46">
        <f t="shared" si="58"/>
        <v>0.2419871795</v>
      </c>
      <c r="HX19" s="37"/>
      <c r="HY19" s="37">
        <f>IFERROR(__xludf.DUMMYFUNCTION("""COMPUTED_VALUE"""),45303.64583333333)</f>
        <v>45303.64583</v>
      </c>
      <c r="HZ19" s="45">
        <f>IFERROR(__xludf.DUMMYFUNCTION("""COMPUTED_VALUE"""),354.95)</f>
        <v>354.95</v>
      </c>
      <c r="IA19" s="46">
        <f t="shared" si="59"/>
        <v>-0.2366666667</v>
      </c>
      <c r="IB19" s="37"/>
      <c r="IC19" s="37">
        <f>IFERROR(__xludf.DUMMYFUNCTION("""COMPUTED_VALUE"""),45303.64583333333)</f>
        <v>45303.64583</v>
      </c>
      <c r="ID19" s="45">
        <f>IFERROR(__xludf.DUMMYFUNCTION("""COMPUTED_VALUE"""),79.5)</f>
        <v>79.5</v>
      </c>
      <c r="IE19" s="46">
        <f t="shared" si="60"/>
        <v>-0.8188034188</v>
      </c>
      <c r="IF19" s="37"/>
      <c r="IG19" s="37">
        <f>IFERROR(__xludf.DUMMYFUNCTION("""COMPUTED_VALUE"""),45303.64583333333)</f>
        <v>45303.64583</v>
      </c>
      <c r="IH19" s="45">
        <f>IFERROR(__xludf.DUMMYFUNCTION("""COMPUTED_VALUE"""),560.0)</f>
        <v>560</v>
      </c>
      <c r="II19" s="46">
        <f t="shared" si="61"/>
        <v>0.05065666041</v>
      </c>
      <c r="IJ19" s="37"/>
      <c r="IK19" s="37">
        <f>IFERROR(__xludf.DUMMYFUNCTION("""COMPUTED_VALUE"""),45303.64583333333)</f>
        <v>45303.64583</v>
      </c>
      <c r="IL19" s="45">
        <f>IFERROR(__xludf.DUMMYFUNCTION("""COMPUTED_VALUE"""),573.55)</f>
        <v>573.55</v>
      </c>
      <c r="IM19" s="46">
        <f t="shared" si="62"/>
        <v>-0.07185047334</v>
      </c>
      <c r="IN19" s="37"/>
      <c r="IO19" s="37">
        <f>IFERROR(__xludf.DUMMYFUNCTION("""COMPUTED_VALUE"""),45303.64583333333)</f>
        <v>45303.64583</v>
      </c>
      <c r="IP19" s="45">
        <f>IFERROR(__xludf.DUMMYFUNCTION("""COMPUTED_VALUE"""),156.26)</f>
        <v>156.26</v>
      </c>
      <c r="IQ19" s="46">
        <f t="shared" si="63"/>
        <v>0.2432174397</v>
      </c>
      <c r="IR19" s="37"/>
      <c r="IS19" s="37">
        <f>IFERROR(__xludf.DUMMYFUNCTION("""COMPUTED_VALUE"""),45303.64583333333)</f>
        <v>45303.64583</v>
      </c>
      <c r="IT19" s="45">
        <f>IFERROR(__xludf.DUMMYFUNCTION("""COMPUTED_VALUE"""),1038.85)</f>
        <v>1038.85</v>
      </c>
      <c r="IU19" s="46">
        <f t="shared" si="64"/>
        <v>0.03471115538</v>
      </c>
      <c r="IV19" s="37"/>
      <c r="IW19" s="37">
        <f>IFERROR(__xludf.DUMMYFUNCTION("""COMPUTED_VALUE"""),45303.64583333333)</f>
        <v>45303.64583</v>
      </c>
      <c r="IX19" s="45">
        <f>IFERROR(__xludf.DUMMYFUNCTION("""COMPUTED_VALUE"""),223.6)</f>
        <v>223.6</v>
      </c>
      <c r="IY19" s="46">
        <f t="shared" si="65"/>
        <v>0.08570041272</v>
      </c>
      <c r="IZ19" s="37"/>
      <c r="JA19" s="37">
        <f>IFERROR(__xludf.DUMMYFUNCTION("""COMPUTED_VALUE"""),45303.64583333333)</f>
        <v>45303.64583</v>
      </c>
      <c r="JB19" s="45">
        <f>IFERROR(__xludf.DUMMYFUNCTION("""COMPUTED_VALUE"""),34368.0)</f>
        <v>34368</v>
      </c>
      <c r="JC19" s="46">
        <f t="shared" si="66"/>
        <v>-0.02922521337</v>
      </c>
      <c r="JD19" s="37"/>
      <c r="JE19" s="37">
        <f>IFERROR(__xludf.DUMMYFUNCTION("""COMPUTED_VALUE"""),45303.64583333333)</f>
        <v>45303.64583</v>
      </c>
      <c r="JF19" s="45">
        <f>IFERROR(__xludf.DUMMYFUNCTION("""COMPUTED_VALUE"""),630.8)</f>
        <v>630.8</v>
      </c>
      <c r="JG19" s="46">
        <f t="shared" si="67"/>
        <v>-0.02201550388</v>
      </c>
      <c r="JH19" s="37"/>
      <c r="JI19" s="37">
        <f>IFERROR(__xludf.DUMMYFUNCTION("""COMPUTED_VALUE"""),45303.64583333333)</f>
        <v>45303.64583</v>
      </c>
      <c r="JJ19" s="45">
        <f>IFERROR(__xludf.DUMMYFUNCTION("""COMPUTED_VALUE"""),311.0)</f>
        <v>311</v>
      </c>
      <c r="JK19" s="46">
        <f t="shared" si="68"/>
        <v>-0.0687228627</v>
      </c>
      <c r="JL19" s="37"/>
      <c r="JM19" s="37">
        <f>IFERROR(__xludf.DUMMYFUNCTION("""COMPUTED_VALUE"""),45303.64583333333)</f>
        <v>45303.64583</v>
      </c>
      <c r="JN19" s="45">
        <f>IFERROR(__xludf.DUMMYFUNCTION("""COMPUTED_VALUE"""),16.7)</f>
        <v>16.7</v>
      </c>
      <c r="JO19" s="46">
        <f t="shared" si="69"/>
        <v>-0.9619373219</v>
      </c>
      <c r="JP19" s="37"/>
      <c r="JQ19" s="37">
        <f>IFERROR(__xludf.DUMMYFUNCTION("""COMPUTED_VALUE"""),45303.64583333333)</f>
        <v>45303.64583</v>
      </c>
      <c r="JR19" s="45">
        <f>IFERROR(__xludf.DUMMYFUNCTION("""COMPUTED_VALUE"""),97.6)</f>
        <v>97.6</v>
      </c>
      <c r="JS19" s="46">
        <f t="shared" si="70"/>
        <v>-0.2823529412</v>
      </c>
      <c r="JT19" s="37"/>
      <c r="JU19" s="37">
        <f>IFERROR(__xludf.DUMMYFUNCTION("""COMPUTED_VALUE"""),45303.64583333333)</f>
        <v>45303.64583</v>
      </c>
      <c r="JV19" s="45">
        <f>IFERROR(__xludf.DUMMYFUNCTION("""COMPUTED_VALUE"""),257.9)</f>
        <v>257.9</v>
      </c>
      <c r="JW19" s="46">
        <f t="shared" si="71"/>
        <v>-0.4121937322</v>
      </c>
      <c r="JX19" s="37"/>
      <c r="JY19" s="37">
        <f>IFERROR(__xludf.DUMMYFUNCTION("""COMPUTED_VALUE"""),45303.64583333333)</f>
        <v>45303.64583</v>
      </c>
      <c r="JZ19" s="45">
        <f>IFERROR(__xludf.DUMMYFUNCTION("""COMPUTED_VALUE"""),685.1)</f>
        <v>685.1</v>
      </c>
      <c r="KA19" s="46">
        <f t="shared" si="72"/>
        <v>0.2433756806</v>
      </c>
      <c r="KB19" s="37"/>
      <c r="KC19" s="37">
        <f>IFERROR(__xludf.DUMMYFUNCTION("""COMPUTED_VALUE"""),45303.64583333333)</f>
        <v>45303.64583</v>
      </c>
      <c r="KD19" s="45">
        <f>IFERROR(__xludf.DUMMYFUNCTION("""COMPUTED_VALUE"""),871.9)</f>
        <v>871.9</v>
      </c>
      <c r="KE19" s="46">
        <f t="shared" si="73"/>
        <v>-0.001888844371</v>
      </c>
      <c r="KF19" s="37"/>
      <c r="KG19" s="37">
        <f>IFERROR(__xludf.DUMMYFUNCTION("""COMPUTED_VALUE"""),45303.64583333333)</f>
        <v>45303.64583</v>
      </c>
      <c r="KH19" s="45">
        <f>IFERROR(__xludf.DUMMYFUNCTION("""COMPUTED_VALUE"""),459.95)</f>
        <v>459.95</v>
      </c>
      <c r="KI19" s="46">
        <f t="shared" si="74"/>
        <v>0.1793589744</v>
      </c>
      <c r="KJ19" s="37"/>
      <c r="KK19" s="37">
        <f>IFERROR(__xludf.DUMMYFUNCTION("""COMPUTED_VALUE"""),45303.64583333333)</f>
        <v>45303.64583</v>
      </c>
      <c r="KL19" s="45">
        <f>IFERROR(__xludf.DUMMYFUNCTION("""COMPUTED_VALUE"""),9.75)</f>
        <v>9.75</v>
      </c>
      <c r="KM19" s="46">
        <f t="shared" si="75"/>
        <v>0.04838709677</v>
      </c>
      <c r="KN19" s="37"/>
      <c r="KO19" s="37">
        <f>IFERROR(__xludf.DUMMYFUNCTION("""COMPUTED_VALUE"""),45303.64583333333)</f>
        <v>45303.64583</v>
      </c>
      <c r="KP19" s="45">
        <f>IFERROR(__xludf.DUMMYFUNCTION("""COMPUTED_VALUE"""),252.55)</f>
        <v>252.55</v>
      </c>
      <c r="KQ19" s="46">
        <f t="shared" si="76"/>
        <v>0.2422528283</v>
      </c>
      <c r="KR19" s="37"/>
      <c r="KS19" s="37">
        <f>IFERROR(__xludf.DUMMYFUNCTION("""COMPUTED_VALUE"""),45303.64583333333)</f>
        <v>45303.64583</v>
      </c>
      <c r="KT19" s="45">
        <f>IFERROR(__xludf.DUMMYFUNCTION("""COMPUTED_VALUE"""),12.2)</f>
        <v>12.2</v>
      </c>
      <c r="KU19" s="46">
        <f t="shared" si="77"/>
        <v>0.1040723982</v>
      </c>
      <c r="KV19" s="37"/>
      <c r="KW19" s="37">
        <f>IFERROR(__xludf.DUMMYFUNCTION("""COMPUTED_VALUE"""),45303.64583333333)</f>
        <v>45303.64583</v>
      </c>
      <c r="KX19" s="45">
        <f>IFERROR(__xludf.DUMMYFUNCTION("""COMPUTED_VALUE"""),2586.0)</f>
        <v>2586</v>
      </c>
      <c r="KY19" s="46">
        <f t="shared" si="78"/>
        <v>-0.03144253638</v>
      </c>
      <c r="KZ19" s="37"/>
      <c r="LA19" s="37">
        <f>IFERROR(__xludf.DUMMYFUNCTION("""COMPUTED_VALUE"""),45303.64583333333)</f>
        <v>45303.64583</v>
      </c>
      <c r="LB19" s="45">
        <f>IFERROR(__xludf.DUMMYFUNCTION("""COMPUTED_VALUE"""),23.6)</f>
        <v>23.6</v>
      </c>
      <c r="LC19" s="46">
        <f t="shared" si="79"/>
        <v>0.2519893899</v>
      </c>
      <c r="LD19" s="37"/>
      <c r="LE19" s="37">
        <f>IFERROR(__xludf.DUMMYFUNCTION("""COMPUTED_VALUE"""),45303.64583333333)</f>
        <v>45303.64583</v>
      </c>
      <c r="LF19" s="45">
        <f>IFERROR(__xludf.DUMMYFUNCTION("""COMPUTED_VALUE"""),133.65)</f>
        <v>133.65</v>
      </c>
      <c r="LG19" s="46">
        <f t="shared" si="80"/>
        <v>0.0692</v>
      </c>
      <c r="LH19" s="37"/>
      <c r="LI19" s="37">
        <f>IFERROR(__xludf.DUMMYFUNCTION("""COMPUTED_VALUE"""),45303.64583333333)</f>
        <v>45303.64583</v>
      </c>
      <c r="LJ19" s="45">
        <f>IFERROR(__xludf.DUMMYFUNCTION("""COMPUTED_VALUE"""),729.0)</f>
        <v>729</v>
      </c>
      <c r="LK19" s="46">
        <f t="shared" si="81"/>
        <v>0.001373626374</v>
      </c>
      <c r="LL19" s="37"/>
      <c r="LM19" s="37">
        <f>IFERROR(__xludf.DUMMYFUNCTION("""COMPUTED_VALUE"""),45303.64583333333)</f>
        <v>45303.64583</v>
      </c>
      <c r="LN19" s="45">
        <f>IFERROR(__xludf.DUMMYFUNCTION("""COMPUTED_VALUE"""),847.9)</f>
        <v>847.9</v>
      </c>
      <c r="LO19" s="46">
        <f t="shared" si="82"/>
        <v>-0.008304093567</v>
      </c>
      <c r="LP19" s="37"/>
      <c r="LQ19" s="37">
        <f>IFERROR(__xludf.DUMMYFUNCTION("""COMPUTED_VALUE"""),45303.64583333333)</f>
        <v>45303.64583</v>
      </c>
      <c r="LR19" s="45">
        <f>IFERROR(__xludf.DUMMYFUNCTION("""COMPUTED_VALUE"""),493.0)</f>
        <v>493</v>
      </c>
      <c r="LS19" s="46">
        <f t="shared" si="83"/>
        <v>0.3492063492</v>
      </c>
      <c r="LT19" s="37"/>
      <c r="LU19" s="37">
        <f>IFERROR(__xludf.DUMMYFUNCTION("""COMPUTED_VALUE"""),45303.64583333333)</f>
        <v>45303.64583</v>
      </c>
      <c r="LV19" s="45">
        <f>IFERROR(__xludf.DUMMYFUNCTION("""COMPUTED_VALUE"""),135.5)</f>
        <v>135.5</v>
      </c>
      <c r="LW19" s="46">
        <f t="shared" si="84"/>
        <v>-0.009502923977</v>
      </c>
      <c r="LX19" s="37"/>
      <c r="LY19" s="37">
        <f>IFERROR(__xludf.DUMMYFUNCTION("""COMPUTED_VALUE"""),45303.64583333333)</f>
        <v>45303.64583</v>
      </c>
      <c r="LZ19" s="45">
        <f>IFERROR(__xludf.DUMMYFUNCTION("""COMPUTED_VALUE"""),585.0)</f>
        <v>585</v>
      </c>
      <c r="MA19" s="46">
        <f t="shared" si="85"/>
        <v>-0.0564516129</v>
      </c>
      <c r="MB19" s="37"/>
      <c r="MC19" s="37"/>
      <c r="MD19" s="45"/>
      <c r="ME19" s="46" t="str">
        <f t="shared" si="86"/>
        <v>#DIV/0!</v>
      </c>
      <c r="MF19" s="37"/>
      <c r="MG19" s="37">
        <f>IFERROR(__xludf.DUMMYFUNCTION("""COMPUTED_VALUE"""),45303.64583333333)</f>
        <v>45303.64583</v>
      </c>
      <c r="MH19" s="45">
        <f>IFERROR(__xludf.DUMMYFUNCTION("""COMPUTED_VALUE"""),1977.8)</f>
        <v>1977.8</v>
      </c>
      <c r="MI19" s="46">
        <f t="shared" si="87"/>
        <v>0.008592773911</v>
      </c>
      <c r="MJ19" s="37"/>
      <c r="MK19" s="37">
        <f>IFERROR(__xludf.DUMMYFUNCTION("""COMPUTED_VALUE"""),45303.64583333333)</f>
        <v>45303.64583</v>
      </c>
      <c r="ML19" s="45">
        <f>IFERROR(__xludf.DUMMYFUNCTION("""COMPUTED_VALUE"""),380.9)</f>
        <v>380.9</v>
      </c>
      <c r="MM19" s="46">
        <f t="shared" si="88"/>
        <v>-0.04763095387</v>
      </c>
      <c r="MN19" s="37"/>
      <c r="MO19" s="37">
        <f>IFERROR(__xludf.DUMMYFUNCTION("""COMPUTED_VALUE"""),45303.64583333333)</f>
        <v>45303.64583</v>
      </c>
      <c r="MP19" s="45">
        <f>IFERROR(__xludf.DUMMYFUNCTION("""COMPUTED_VALUE"""),738.0)</f>
        <v>738</v>
      </c>
      <c r="MQ19" s="46">
        <f t="shared" si="89"/>
        <v>-0.002702702703</v>
      </c>
      <c r="MR19" s="37"/>
      <c r="MS19" s="37">
        <f>IFERROR(__xludf.DUMMYFUNCTION("""COMPUTED_VALUE"""),45303.64583333333)</f>
        <v>45303.64583</v>
      </c>
      <c r="MT19" s="45">
        <f>IFERROR(__xludf.DUMMYFUNCTION("""COMPUTED_VALUE"""),66.95)</f>
        <v>66.95</v>
      </c>
      <c r="MU19" s="46">
        <f t="shared" si="90"/>
        <v>0.01209372638</v>
      </c>
      <c r="MV19" s="37"/>
      <c r="MW19" s="37">
        <f>IFERROR(__xludf.DUMMYFUNCTION("""COMPUTED_VALUE"""),45303.64583333333)</f>
        <v>45303.64583</v>
      </c>
      <c r="MX19" s="45">
        <f>IFERROR(__xludf.DUMMYFUNCTION("""COMPUTED_VALUE"""),3325.3)</f>
        <v>3325.3</v>
      </c>
      <c r="MY19" s="46">
        <f t="shared" si="91"/>
        <v>0.05665713378</v>
      </c>
      <c r="MZ19" s="37"/>
      <c r="NA19" s="37">
        <f>IFERROR(__xludf.DUMMYFUNCTION("""COMPUTED_VALUE"""),45303.64583333333)</f>
        <v>45303.64583</v>
      </c>
      <c r="NB19" s="45">
        <f>IFERROR(__xludf.DUMMYFUNCTION("""COMPUTED_VALUE"""),13.7)</f>
        <v>13.7</v>
      </c>
      <c r="NC19" s="46">
        <f t="shared" si="92"/>
        <v>0.08300395257</v>
      </c>
      <c r="ND19" s="37"/>
      <c r="NE19" s="37">
        <f>IFERROR(__xludf.DUMMYFUNCTION("""COMPUTED_VALUE"""),45306.64583333333)</f>
        <v>45306.64583</v>
      </c>
      <c r="NF19" s="45">
        <f>IFERROR(__xludf.DUMMYFUNCTION("""COMPUTED_VALUE"""),386.2)</f>
        <v>386.2</v>
      </c>
      <c r="NG19" s="46">
        <f t="shared" si="93"/>
        <v>0.008486747617</v>
      </c>
      <c r="NH19" s="37"/>
      <c r="NI19" s="37">
        <f>IFERROR(__xludf.DUMMYFUNCTION("""COMPUTED_VALUE"""),45306.64583333333)</f>
        <v>45306.64583</v>
      </c>
      <c r="NJ19" s="45">
        <f>IFERROR(__xludf.DUMMYFUNCTION("""COMPUTED_VALUE"""),302.4)</f>
        <v>302.4</v>
      </c>
      <c r="NK19" s="46">
        <f t="shared" si="94"/>
        <v>0.1339858252</v>
      </c>
      <c r="NL19" s="37"/>
      <c r="NM19" s="37">
        <f>IFERROR(__xludf.DUMMYFUNCTION("""COMPUTED_VALUE"""),45306.64583333333)</f>
        <v>45306.64583</v>
      </c>
      <c r="NN19" s="45">
        <f>IFERROR(__xludf.DUMMYFUNCTION("""COMPUTED_VALUE"""),116.3)</f>
        <v>116.3</v>
      </c>
      <c r="NO19" s="46">
        <f t="shared" si="95"/>
        <v>-0.05677210057</v>
      </c>
      <c r="NP19" s="37"/>
      <c r="NQ19" s="37">
        <f>IFERROR(__xludf.DUMMYFUNCTION("""COMPUTED_VALUE"""),45306.64583333333)</f>
        <v>45306.64583</v>
      </c>
      <c r="NR19" s="45">
        <f>IFERROR(__xludf.DUMMYFUNCTION("""COMPUTED_VALUE"""),4413.55)</f>
        <v>4413.55</v>
      </c>
      <c r="NS19" s="46">
        <f t="shared" si="96"/>
        <v>0.05688457854</v>
      </c>
      <c r="NT19" s="37"/>
      <c r="NU19" s="37">
        <f>IFERROR(__xludf.DUMMYFUNCTION("""COMPUTED_VALUE"""),45306.64583333333)</f>
        <v>45306.64583</v>
      </c>
      <c r="NV19" s="45">
        <f>IFERROR(__xludf.DUMMYFUNCTION("""COMPUTED_VALUE"""),14.2)</f>
        <v>14.2</v>
      </c>
      <c r="NW19" s="46">
        <f t="shared" si="97"/>
        <v>0.1181102362</v>
      </c>
      <c r="NX19" s="37"/>
      <c r="NY19" s="37">
        <f>IFERROR(__xludf.DUMMYFUNCTION("""COMPUTED_VALUE"""),45306.64583333333)</f>
        <v>45306.64583</v>
      </c>
      <c r="NZ19" s="45">
        <f>IFERROR(__xludf.DUMMYFUNCTION("""COMPUTED_VALUE"""),289.7)</f>
        <v>289.7</v>
      </c>
      <c r="OA19" s="46">
        <f t="shared" si="98"/>
        <v>0.1738249595</v>
      </c>
      <c r="OB19" s="37"/>
      <c r="OC19" s="37">
        <f>IFERROR(__xludf.DUMMYFUNCTION("""COMPUTED_VALUE"""),45306.64583333333)</f>
        <v>45306.64583</v>
      </c>
      <c r="OD19" s="45">
        <f>IFERROR(__xludf.DUMMYFUNCTION("""COMPUTED_VALUE"""),1190.95)</f>
        <v>1190.95</v>
      </c>
      <c r="OE19" s="46">
        <f t="shared" si="99"/>
        <v>0.129987191</v>
      </c>
      <c r="OF19" s="37"/>
      <c r="OG19" s="37">
        <f>IFERROR(__xludf.DUMMYFUNCTION("""COMPUTED_VALUE"""),45306.64583333333)</f>
        <v>45306.64583</v>
      </c>
      <c r="OH19" s="45">
        <f>IFERROR(__xludf.DUMMYFUNCTION("""COMPUTED_VALUE"""),2387.5)</f>
        <v>2387.5</v>
      </c>
      <c r="OI19" s="46">
        <f t="shared" si="100"/>
        <v>-0.02143618329</v>
      </c>
      <c r="OJ19" s="37"/>
      <c r="OK19" s="37"/>
      <c r="OL19" s="45"/>
      <c r="OM19" s="46" t="str">
        <f t="shared" si="101"/>
        <v>#DIV/0!</v>
      </c>
      <c r="ON19" s="37"/>
    </row>
    <row r="20" ht="12.0" customHeight="1">
      <c r="A20" s="37">
        <f>IFERROR(__xludf.DUMMYFUNCTION("""COMPUTED_VALUE"""),45303.64583333333)</f>
        <v>45303.64583</v>
      </c>
      <c r="B20" s="45">
        <f>IFERROR(__xludf.DUMMYFUNCTION("""COMPUTED_VALUE"""),424.35)</f>
        <v>424.35</v>
      </c>
      <c r="C20" s="46">
        <f t="shared" si="1"/>
        <v>-0.03282051282</v>
      </c>
      <c r="D20" s="37"/>
      <c r="E20" s="37">
        <f>IFERROR(__xludf.DUMMYFUNCTION("""COMPUTED_VALUE"""),45303.64583333333)</f>
        <v>45303.64583</v>
      </c>
      <c r="F20" s="45">
        <f>IFERROR(__xludf.DUMMYFUNCTION("""COMPUTED_VALUE"""),696.8)</f>
        <v>696.8</v>
      </c>
      <c r="G20" s="46">
        <f t="shared" si="2"/>
        <v>0.06381679389</v>
      </c>
      <c r="H20" s="37"/>
      <c r="I20" s="37">
        <f>IFERROR(__xludf.DUMMYFUNCTION("""COMPUTED_VALUE"""),45303.64583333333)</f>
        <v>45303.64583</v>
      </c>
      <c r="J20" s="45">
        <f>IFERROR(__xludf.DUMMYFUNCTION("""COMPUTED_VALUE"""),185.5)</f>
        <v>185.5</v>
      </c>
      <c r="K20" s="46">
        <f t="shared" si="3"/>
        <v>0.008152173913</v>
      </c>
      <c r="L20" s="37"/>
      <c r="M20" s="37">
        <f>IFERROR(__xludf.DUMMYFUNCTION("""COMPUTED_VALUE"""),45303.64583333333)</f>
        <v>45303.64583</v>
      </c>
      <c r="N20" s="45">
        <f>IFERROR(__xludf.DUMMYFUNCTION("""COMPUTED_VALUE"""),90.65)</f>
        <v>90.65</v>
      </c>
      <c r="O20" s="46">
        <f t="shared" si="4"/>
        <v>0.04918981481</v>
      </c>
      <c r="P20" s="37"/>
      <c r="Q20" s="37">
        <f>IFERROR(__xludf.DUMMYFUNCTION("""COMPUTED_VALUE"""),45303.64583333333)</f>
        <v>45303.64583</v>
      </c>
      <c r="R20" s="45">
        <f>IFERROR(__xludf.DUMMYFUNCTION("""COMPUTED_VALUE"""),50.2)</f>
        <v>50.2</v>
      </c>
      <c r="S20" s="46">
        <f t="shared" si="5"/>
        <v>-0.04380952381</v>
      </c>
      <c r="T20" s="37"/>
      <c r="U20" s="37">
        <f>IFERROR(__xludf.DUMMYFUNCTION("""COMPUTED_VALUE"""),45303.64583333333)</f>
        <v>45303.64583</v>
      </c>
      <c r="V20" s="45">
        <f>IFERROR(__xludf.DUMMYFUNCTION("""COMPUTED_VALUE"""),826.45)</f>
        <v>826.45</v>
      </c>
      <c r="W20" s="46">
        <f t="shared" si="6"/>
        <v>0.2476600242</v>
      </c>
      <c r="X20" s="37"/>
      <c r="Y20" s="37">
        <f>IFERROR(__xludf.DUMMYFUNCTION("""COMPUTED_VALUE"""),45303.64583333333)</f>
        <v>45303.64583</v>
      </c>
      <c r="Z20" s="45">
        <f>IFERROR(__xludf.DUMMYFUNCTION("""COMPUTED_VALUE"""),180.95)</f>
        <v>180.95</v>
      </c>
      <c r="AA20" s="46">
        <f t="shared" si="7"/>
        <v>-0.02189189189</v>
      </c>
      <c r="AB20" s="37"/>
      <c r="AC20" s="37">
        <f>IFERROR(__xludf.DUMMYFUNCTION("""COMPUTED_VALUE"""),45303.64583333333)</f>
        <v>45303.64583</v>
      </c>
      <c r="AD20" s="45">
        <f>IFERROR(__xludf.DUMMYFUNCTION("""COMPUTED_VALUE"""),2709.98)</f>
        <v>2709.98</v>
      </c>
      <c r="AE20" s="46">
        <f t="shared" si="8"/>
        <v>0.1412844809</v>
      </c>
      <c r="AF20" s="37"/>
      <c r="AG20" s="37">
        <f>IFERROR(__xludf.DUMMYFUNCTION("""COMPUTED_VALUE"""),45303.64583333333)</f>
        <v>45303.64583</v>
      </c>
      <c r="AH20" s="45">
        <f>IFERROR(__xludf.DUMMYFUNCTION("""COMPUTED_VALUE"""),735.7)</f>
        <v>735.7</v>
      </c>
      <c r="AI20" s="46">
        <f t="shared" si="9"/>
        <v>-0.1241666667</v>
      </c>
      <c r="AJ20" s="37"/>
      <c r="AK20" s="37">
        <f>IFERROR(__xludf.DUMMYFUNCTION("""COMPUTED_VALUE"""),45303.64583333333)</f>
        <v>45303.64583</v>
      </c>
      <c r="AL20" s="45">
        <f>IFERROR(__xludf.DUMMYFUNCTION("""COMPUTED_VALUE"""),5460.0)</f>
        <v>5460</v>
      </c>
      <c r="AM20" s="46">
        <f t="shared" si="10"/>
        <v>0.05</v>
      </c>
      <c r="AN20" s="37"/>
      <c r="AO20" s="37">
        <f>IFERROR(__xludf.DUMMYFUNCTION("""COMPUTED_VALUE"""),45303.64583333333)</f>
        <v>45303.64583</v>
      </c>
      <c r="AP20" s="45">
        <f>IFERROR(__xludf.DUMMYFUNCTION("""COMPUTED_VALUE"""),893.95)</f>
        <v>893.95</v>
      </c>
      <c r="AQ20" s="46">
        <f t="shared" si="11"/>
        <v>-0.01763736264</v>
      </c>
      <c r="AR20" s="37"/>
      <c r="AS20" s="37">
        <f>IFERROR(__xludf.DUMMYFUNCTION("""COMPUTED_VALUE"""),45303.64583333333)</f>
        <v>45303.64583</v>
      </c>
      <c r="AT20" s="45">
        <f>IFERROR(__xludf.DUMMYFUNCTION("""COMPUTED_VALUE"""),2498.0)</f>
        <v>2498</v>
      </c>
      <c r="AU20" s="46">
        <f t="shared" si="12"/>
        <v>0.005676557027</v>
      </c>
      <c r="AV20" s="37"/>
      <c r="AW20" s="37">
        <f>IFERROR(__xludf.DUMMYFUNCTION("""COMPUTED_VALUE"""),45303.64583333333)</f>
        <v>45303.64583</v>
      </c>
      <c r="AX20" s="45">
        <f>IFERROR(__xludf.DUMMYFUNCTION("""COMPUTED_VALUE"""),6386.65)</f>
        <v>6386.65</v>
      </c>
      <c r="AY20" s="46">
        <f t="shared" si="13"/>
        <v>0.1314619282</v>
      </c>
      <c r="AZ20" s="37"/>
      <c r="BA20" s="37">
        <f>IFERROR(__xludf.DUMMYFUNCTION("""COMPUTED_VALUE"""),45303.64583333333)</f>
        <v>45303.64583</v>
      </c>
      <c r="BB20" s="45">
        <f>IFERROR(__xludf.DUMMYFUNCTION("""COMPUTED_VALUE"""),469.0)</f>
        <v>469</v>
      </c>
      <c r="BC20" s="46">
        <f t="shared" si="14"/>
        <v>0.001067235859</v>
      </c>
      <c r="BD20" s="37"/>
      <c r="BE20" s="37">
        <f>IFERROR(__xludf.DUMMYFUNCTION("""COMPUTED_VALUE"""),45303.64583333333)</f>
        <v>45303.64583</v>
      </c>
      <c r="BF20" s="45">
        <f>IFERROR(__xludf.DUMMYFUNCTION("""COMPUTED_VALUE"""),316.9)</f>
        <v>316.9</v>
      </c>
      <c r="BG20" s="46">
        <f t="shared" si="15"/>
        <v>-0.2213759214</v>
      </c>
      <c r="BH20" s="37"/>
      <c r="BI20" s="37">
        <f>IFERROR(__xludf.DUMMYFUNCTION("""COMPUTED_VALUE"""),45303.64583333333)</f>
        <v>45303.64583</v>
      </c>
      <c r="BJ20" s="45">
        <f>IFERROR(__xludf.DUMMYFUNCTION("""COMPUTED_VALUE"""),94.25)</f>
        <v>94.25</v>
      </c>
      <c r="BK20" s="46">
        <f t="shared" si="16"/>
        <v>0.3570914327</v>
      </c>
      <c r="BL20" s="37"/>
      <c r="BM20" s="37">
        <f>IFERROR(__xludf.DUMMYFUNCTION("""COMPUTED_VALUE"""),45303.64583333333)</f>
        <v>45303.64583</v>
      </c>
      <c r="BN20" s="45">
        <f>IFERROR(__xludf.DUMMYFUNCTION("""COMPUTED_VALUE"""),238.5)</f>
        <v>238.5</v>
      </c>
      <c r="BO20" s="46">
        <f t="shared" si="17"/>
        <v>-0.068359375</v>
      </c>
      <c r="BP20" s="37"/>
      <c r="BQ20" s="37">
        <f>IFERROR(__xludf.DUMMYFUNCTION("""COMPUTED_VALUE"""),45303.64583333333)</f>
        <v>45303.64583</v>
      </c>
      <c r="BR20" s="45">
        <f>IFERROR(__xludf.DUMMYFUNCTION("""COMPUTED_VALUE"""),77.5)</f>
        <v>77.5</v>
      </c>
      <c r="BS20" s="46">
        <f t="shared" si="18"/>
        <v>0.2725779967</v>
      </c>
      <c r="BT20" s="37"/>
      <c r="BU20" s="37">
        <f>IFERROR(__xludf.DUMMYFUNCTION("""COMPUTED_VALUE"""),45303.64583333333)</f>
        <v>45303.64583</v>
      </c>
      <c r="BV20" s="45">
        <f>IFERROR(__xludf.DUMMYFUNCTION("""COMPUTED_VALUE"""),311.15)</f>
        <v>311.15</v>
      </c>
      <c r="BW20" s="46">
        <f t="shared" si="19"/>
        <v>0.005656108597</v>
      </c>
      <c r="BX20" s="37"/>
      <c r="BY20" s="37">
        <f>IFERROR(__xludf.DUMMYFUNCTION("""COMPUTED_VALUE"""),45303.64583333333)</f>
        <v>45303.64583</v>
      </c>
      <c r="BZ20" s="45">
        <f>IFERROR(__xludf.DUMMYFUNCTION("""COMPUTED_VALUE"""),354.95)</f>
        <v>354.95</v>
      </c>
      <c r="CA20" s="46">
        <f t="shared" si="20"/>
        <v>-0.1332112332</v>
      </c>
      <c r="CB20" s="37"/>
      <c r="CC20" s="37">
        <f>IFERROR(__xludf.DUMMYFUNCTION("""COMPUTED_VALUE"""),45303.64583333333)</f>
        <v>45303.64583</v>
      </c>
      <c r="CD20" s="45">
        <f>IFERROR(__xludf.DUMMYFUNCTION("""COMPUTED_VALUE"""),258.0)</f>
        <v>258</v>
      </c>
      <c r="CE20" s="46">
        <f t="shared" si="21"/>
        <v>0.1135088476</v>
      </c>
      <c r="CF20" s="37"/>
      <c r="CG20" s="37">
        <f>IFERROR(__xludf.DUMMYFUNCTION("""COMPUTED_VALUE"""),45303.64583333333)</f>
        <v>45303.64583</v>
      </c>
      <c r="CH20" s="45">
        <f>IFERROR(__xludf.DUMMYFUNCTION("""COMPUTED_VALUE"""),630.8)</f>
        <v>630.8</v>
      </c>
      <c r="CI20" s="46">
        <f t="shared" si="22"/>
        <v>-0.008176100629</v>
      </c>
      <c r="CJ20" s="37"/>
      <c r="CK20" s="37">
        <f>IFERROR(__xludf.DUMMYFUNCTION("""COMPUTED_VALUE"""),45303.64583333333)</f>
        <v>45303.64583</v>
      </c>
      <c r="CL20" s="45">
        <f>IFERROR(__xludf.DUMMYFUNCTION("""COMPUTED_VALUE"""),311.0)</f>
        <v>311</v>
      </c>
      <c r="CM20" s="46">
        <f t="shared" si="23"/>
        <v>-0.07715133531</v>
      </c>
      <c r="CN20" s="37"/>
      <c r="CO20" s="37">
        <f>IFERROR(__xludf.DUMMYFUNCTION("""COMPUTED_VALUE"""),45303.64583333333)</f>
        <v>45303.64583</v>
      </c>
      <c r="CP20" s="45">
        <f>IFERROR(__xludf.DUMMYFUNCTION("""COMPUTED_VALUE"""),16.7)</f>
        <v>16.7</v>
      </c>
      <c r="CQ20" s="46">
        <f t="shared" si="24"/>
        <v>0.1283783784</v>
      </c>
      <c r="CR20" s="37"/>
      <c r="CS20" s="37">
        <f>IFERROR(__xludf.DUMMYFUNCTION("""COMPUTED_VALUE"""),45303.64583333333)</f>
        <v>45303.64583</v>
      </c>
      <c r="CT20" s="45">
        <f>IFERROR(__xludf.DUMMYFUNCTION("""COMPUTED_VALUE"""),199.0)</f>
        <v>199</v>
      </c>
      <c r="CU20" s="46">
        <f t="shared" si="25"/>
        <v>0.005050505051</v>
      </c>
      <c r="CV20" s="37"/>
      <c r="CW20" s="37">
        <f>IFERROR(__xludf.DUMMYFUNCTION("""COMPUTED_VALUE"""),45303.64583333333)</f>
        <v>45303.64583</v>
      </c>
      <c r="CX20" s="45">
        <f>IFERROR(__xludf.DUMMYFUNCTION("""COMPUTED_VALUE"""),782.8)</f>
        <v>782.8</v>
      </c>
      <c r="CY20" s="46">
        <f t="shared" si="26"/>
        <v>0.1315736217</v>
      </c>
      <c r="CZ20" s="37"/>
      <c r="DA20" s="37">
        <f>IFERROR(__xludf.DUMMYFUNCTION("""COMPUTED_VALUE"""),45303.64583333333)</f>
        <v>45303.64583</v>
      </c>
      <c r="DB20" s="45">
        <f>IFERROR(__xludf.DUMMYFUNCTION("""COMPUTED_VALUE"""),28.8)</f>
        <v>28.8</v>
      </c>
      <c r="DC20" s="46">
        <f t="shared" si="27"/>
        <v>0.03225806452</v>
      </c>
      <c r="DD20" s="37"/>
      <c r="DE20" s="37">
        <f>IFERROR(__xludf.DUMMYFUNCTION("""COMPUTED_VALUE"""),45303.64583333333)</f>
        <v>45303.64583</v>
      </c>
      <c r="DF20" s="45">
        <f>IFERROR(__xludf.DUMMYFUNCTION("""COMPUTED_VALUE"""),97.6)</f>
        <v>97.6</v>
      </c>
      <c r="DG20" s="46">
        <f t="shared" si="28"/>
        <v>-0.1385701677</v>
      </c>
      <c r="DH20" s="37"/>
      <c r="DI20" s="37">
        <f>IFERROR(__xludf.DUMMYFUNCTION("""COMPUTED_VALUE"""),45303.64583333333)</f>
        <v>45303.64583</v>
      </c>
      <c r="DJ20" s="45">
        <f>IFERROR(__xludf.DUMMYFUNCTION("""COMPUTED_VALUE"""),1512.2)</f>
        <v>1512.2</v>
      </c>
      <c r="DK20" s="46">
        <f t="shared" si="29"/>
        <v>-0.05770189432</v>
      </c>
      <c r="DL20" s="37"/>
      <c r="DM20" s="37">
        <f>IFERROR(__xludf.DUMMYFUNCTION("""COMPUTED_VALUE"""),45303.64583333333)</f>
        <v>45303.64583</v>
      </c>
      <c r="DN20" s="45">
        <f>IFERROR(__xludf.DUMMYFUNCTION("""COMPUTED_VALUE"""),573.65)</f>
        <v>573.65</v>
      </c>
      <c r="DO20" s="46">
        <f t="shared" si="30"/>
        <v>0.06994311293</v>
      </c>
      <c r="DP20" s="37"/>
      <c r="DQ20" s="37">
        <f>IFERROR(__xludf.DUMMYFUNCTION("""COMPUTED_VALUE"""),45303.64583333333)</f>
        <v>45303.64583</v>
      </c>
      <c r="DR20" s="45">
        <f>IFERROR(__xludf.DUMMYFUNCTION("""COMPUTED_VALUE"""),224.8)</f>
        <v>224.8</v>
      </c>
      <c r="DS20" s="46">
        <f t="shared" si="31"/>
        <v>0.03119266055</v>
      </c>
      <c r="DT20" s="37"/>
      <c r="DU20" s="37">
        <f>IFERROR(__xludf.DUMMYFUNCTION("""COMPUTED_VALUE"""),45303.64583333333)</f>
        <v>45303.64583</v>
      </c>
      <c r="DV20" s="45">
        <f>IFERROR(__xludf.DUMMYFUNCTION("""COMPUTED_VALUE"""),871.9)</f>
        <v>871.9</v>
      </c>
      <c r="DW20" s="46">
        <f t="shared" si="32"/>
        <v>0.02516166961</v>
      </c>
      <c r="DX20" s="37"/>
      <c r="DY20" s="37">
        <f>IFERROR(__xludf.DUMMYFUNCTION("""COMPUTED_VALUE"""),45303.64583333333)</f>
        <v>45303.64583</v>
      </c>
      <c r="DZ20" s="45">
        <f>IFERROR(__xludf.DUMMYFUNCTION("""COMPUTED_VALUE"""),12.2)</f>
        <v>12.2</v>
      </c>
      <c r="EA20" s="46">
        <f t="shared" si="33"/>
        <v>0.1244239631</v>
      </c>
      <c r="EB20" s="37"/>
      <c r="EC20" s="37">
        <f>IFERROR(__xludf.DUMMYFUNCTION("""COMPUTED_VALUE"""),45303.64583333333)</f>
        <v>45303.64583</v>
      </c>
      <c r="ED20" s="45">
        <f>IFERROR(__xludf.DUMMYFUNCTION("""COMPUTED_VALUE"""),2586.0)</f>
        <v>2586</v>
      </c>
      <c r="EE20" s="46">
        <f t="shared" si="34"/>
        <v>-0.02230623819</v>
      </c>
      <c r="EF20" s="37"/>
      <c r="EG20" s="37">
        <f>IFERROR(__xludf.DUMMYFUNCTION("""COMPUTED_VALUE"""),45303.64583333333)</f>
        <v>45303.64583</v>
      </c>
      <c r="EH20" s="45">
        <f>IFERROR(__xludf.DUMMYFUNCTION("""COMPUTED_VALUE"""),777.9)</f>
        <v>777.9</v>
      </c>
      <c r="EI20" s="46">
        <f t="shared" si="35"/>
        <v>0.1993524514</v>
      </c>
      <c r="EJ20" s="37"/>
      <c r="EK20" s="37">
        <f>IFERROR(__xludf.DUMMYFUNCTION("""COMPUTED_VALUE"""),45303.64583333333)</f>
        <v>45303.64583</v>
      </c>
      <c r="EL20" s="45">
        <f>IFERROR(__xludf.DUMMYFUNCTION("""COMPUTED_VALUE"""),208.05)</f>
        <v>208.05</v>
      </c>
      <c r="EM20" s="46">
        <f t="shared" si="36"/>
        <v>0.02995049505</v>
      </c>
      <c r="EN20" s="37"/>
      <c r="EO20" s="37">
        <f>IFERROR(__xludf.DUMMYFUNCTION("""COMPUTED_VALUE"""),45303.64583333333)</f>
        <v>45303.64583</v>
      </c>
      <c r="EP20" s="45">
        <f>IFERROR(__xludf.DUMMYFUNCTION("""COMPUTED_VALUE"""),164.85)</f>
        <v>164.85</v>
      </c>
      <c r="EQ20" s="46">
        <f t="shared" si="37"/>
        <v>0.06389157793</v>
      </c>
      <c r="ER20" s="37"/>
      <c r="ES20" s="37">
        <f>IFERROR(__xludf.DUMMYFUNCTION("""COMPUTED_VALUE"""),45303.64583333333)</f>
        <v>45303.64583</v>
      </c>
      <c r="ET20" s="45">
        <f>IFERROR(__xludf.DUMMYFUNCTION("""COMPUTED_VALUE"""),215.4)</f>
        <v>215.4</v>
      </c>
      <c r="EU20" s="46">
        <f t="shared" si="38"/>
        <v>0.1083097505</v>
      </c>
      <c r="EV20" s="37"/>
      <c r="EW20" s="37">
        <f>IFERROR(__xludf.DUMMYFUNCTION("""COMPUTED_VALUE"""),45303.64583333333)</f>
        <v>45303.64583</v>
      </c>
      <c r="EX20" s="45">
        <f>IFERROR(__xludf.DUMMYFUNCTION("""COMPUTED_VALUE"""),694.25)</f>
        <v>694.25</v>
      </c>
      <c r="EY20" s="46">
        <f t="shared" si="39"/>
        <v>0.07137345679</v>
      </c>
      <c r="EZ20" s="37"/>
      <c r="FA20" s="37">
        <f>IFERROR(__xludf.DUMMYFUNCTION("""COMPUTED_VALUE"""),45303.64583333333)</f>
        <v>45303.64583</v>
      </c>
      <c r="FB20" s="45">
        <f>IFERROR(__xludf.DUMMYFUNCTION("""COMPUTED_VALUE"""),191.6)</f>
        <v>191.6</v>
      </c>
      <c r="FC20" s="46">
        <f t="shared" si="40"/>
        <v>0.09862385321</v>
      </c>
      <c r="FD20" s="37"/>
      <c r="FE20" s="37">
        <f>IFERROR(__xludf.DUMMYFUNCTION("""COMPUTED_VALUE"""),45303.64583333333)</f>
        <v>45303.64583</v>
      </c>
      <c r="FF20" s="45">
        <f>IFERROR(__xludf.DUMMYFUNCTION("""COMPUTED_VALUE"""),347.95)</f>
        <v>347.95</v>
      </c>
      <c r="FG20" s="46">
        <f t="shared" si="41"/>
        <v>0.1415682415</v>
      </c>
      <c r="FH20" s="37"/>
      <c r="FI20" s="37">
        <f>IFERROR(__xludf.DUMMYFUNCTION("""COMPUTED_VALUE"""),45303.64583333333)</f>
        <v>45303.64583</v>
      </c>
      <c r="FJ20" s="45">
        <f>IFERROR(__xludf.DUMMYFUNCTION("""COMPUTED_VALUE"""),585.0)</f>
        <v>585</v>
      </c>
      <c r="FK20" s="46">
        <f t="shared" si="42"/>
        <v>-0.03473310783</v>
      </c>
      <c r="FL20" s="37"/>
      <c r="FM20" s="37">
        <f>IFERROR(__xludf.DUMMYFUNCTION("""COMPUTED_VALUE"""),45303.64583333333)</f>
        <v>45303.64583</v>
      </c>
      <c r="FN20" s="45">
        <f>IFERROR(__xludf.DUMMYFUNCTION("""COMPUTED_VALUE"""),108.0)</f>
        <v>108</v>
      </c>
      <c r="FO20" s="46">
        <f t="shared" si="43"/>
        <v>0.1368421053</v>
      </c>
      <c r="FP20" s="37"/>
      <c r="FQ20" s="37">
        <f>IFERROR(__xludf.DUMMYFUNCTION("""COMPUTED_VALUE"""),45303.64583333333)</f>
        <v>45303.64583</v>
      </c>
      <c r="FR20" s="45">
        <f>IFERROR(__xludf.DUMMYFUNCTION("""COMPUTED_VALUE"""),4.7)</f>
        <v>4.7</v>
      </c>
      <c r="FS20" s="46">
        <f t="shared" si="44"/>
        <v>-0.1454545455</v>
      </c>
      <c r="FT20" s="37"/>
      <c r="FU20" s="37">
        <f>IFERROR(__xludf.DUMMYFUNCTION("""COMPUTED_VALUE"""),45303.64583333333)</f>
        <v>45303.64583</v>
      </c>
      <c r="FV20" s="45">
        <f>IFERROR(__xludf.DUMMYFUNCTION("""COMPUTED_VALUE"""),714.0)</f>
        <v>714</v>
      </c>
      <c r="FW20" s="46">
        <f t="shared" si="45"/>
        <v>0.06958280279</v>
      </c>
      <c r="FX20" s="37"/>
      <c r="FY20" s="37">
        <f>IFERROR(__xludf.DUMMYFUNCTION("""COMPUTED_VALUE"""),45303.64583333333)</f>
        <v>45303.64583</v>
      </c>
      <c r="FZ20" s="45">
        <f>IFERROR(__xludf.DUMMYFUNCTION("""COMPUTED_VALUE"""),177.95)</f>
        <v>177.95</v>
      </c>
      <c r="GA20" s="46">
        <f t="shared" si="46"/>
        <v>0.04799764429</v>
      </c>
      <c r="GB20" s="37"/>
      <c r="GC20" s="37">
        <f>IFERROR(__xludf.DUMMYFUNCTION("""COMPUTED_VALUE"""),45303.64583333333)</f>
        <v>45303.64583</v>
      </c>
      <c r="GD20" s="45">
        <f>IFERROR(__xludf.DUMMYFUNCTION("""COMPUTED_VALUE"""),422.9)</f>
        <v>422.9</v>
      </c>
      <c r="GE20" s="46">
        <f t="shared" si="47"/>
        <v>-0.08443386014</v>
      </c>
      <c r="GF20" s="37"/>
      <c r="GG20" s="37">
        <f>IFERROR(__xludf.DUMMYFUNCTION("""COMPUTED_VALUE"""),45303.64583333333)</f>
        <v>45303.64583</v>
      </c>
      <c r="GH20" s="45">
        <f>IFERROR(__xludf.DUMMYFUNCTION("""COMPUTED_VALUE"""),5740.0)</f>
        <v>5740</v>
      </c>
      <c r="GI20" s="46">
        <f t="shared" si="48"/>
        <v>0.08322324967</v>
      </c>
      <c r="GJ20" s="37"/>
      <c r="GK20" s="37">
        <f>IFERROR(__xludf.DUMMYFUNCTION("""COMPUTED_VALUE"""),45303.64583333333)</f>
        <v>45303.64583</v>
      </c>
      <c r="GL20" s="45">
        <f>IFERROR(__xludf.DUMMYFUNCTION("""COMPUTED_VALUE"""),95.95)</f>
        <v>95.95</v>
      </c>
      <c r="GM20" s="46">
        <f t="shared" si="49"/>
        <v>-0.1538800705</v>
      </c>
      <c r="GN20" s="37"/>
      <c r="GO20" s="37">
        <f>IFERROR(__xludf.DUMMYFUNCTION("""COMPUTED_VALUE"""),45303.64583333333)</f>
        <v>45303.64583</v>
      </c>
      <c r="GP20" s="45">
        <f>IFERROR(__xludf.DUMMYFUNCTION("""COMPUTED_VALUE"""),1172.0)</f>
        <v>1172</v>
      </c>
      <c r="GQ20" s="46">
        <f t="shared" si="50"/>
        <v>0.06589059161</v>
      </c>
      <c r="GR20" s="37"/>
      <c r="GS20" s="37">
        <f>IFERROR(__xludf.DUMMYFUNCTION("""COMPUTED_VALUE"""),45303.64583333333)</f>
        <v>45303.64583</v>
      </c>
      <c r="GT20" s="45">
        <f>IFERROR(__xludf.DUMMYFUNCTION("""COMPUTED_VALUE"""),13.7)</f>
        <v>13.7</v>
      </c>
      <c r="GU20" s="46">
        <f t="shared" si="51"/>
        <v>0.05791505792</v>
      </c>
      <c r="GV20" s="37"/>
      <c r="GW20" s="37">
        <f>IFERROR(__xludf.DUMMYFUNCTION("""COMPUTED_VALUE"""),45306.64583333333)</f>
        <v>45306.64583</v>
      </c>
      <c r="GX20" s="45">
        <f>IFERROR(__xludf.DUMMYFUNCTION("""COMPUTED_VALUE"""),18.55)</f>
        <v>18.55</v>
      </c>
      <c r="GY20" s="46">
        <f t="shared" si="52"/>
        <v>0.1242424242</v>
      </c>
      <c r="GZ20" s="37"/>
      <c r="HA20" s="37">
        <f>IFERROR(__xludf.DUMMYFUNCTION("""COMPUTED_VALUE"""),45306.64583333333)</f>
        <v>45306.64583</v>
      </c>
      <c r="HB20" s="45">
        <f>IFERROR(__xludf.DUMMYFUNCTION("""COMPUTED_VALUE"""),586.0)</f>
        <v>586</v>
      </c>
      <c r="HC20" s="46">
        <f t="shared" si="53"/>
        <v>-0.03618421053</v>
      </c>
      <c r="HD20" s="37"/>
      <c r="HE20" s="43">
        <f>IFERROR(__xludf.DUMMYFUNCTION("""COMPUTED_VALUE"""),45306.64583333333)</f>
        <v>45306.64583</v>
      </c>
      <c r="HF20" s="45">
        <f>IFERROR(__xludf.DUMMYFUNCTION("""COMPUTED_VALUE"""),2387.5)</f>
        <v>2387.5</v>
      </c>
      <c r="HG20" s="46" t="str">
        <f t="shared" si="54"/>
        <v>#DIV/0!</v>
      </c>
      <c r="HH20" s="37"/>
      <c r="HI20" s="37">
        <f>IFERROR(__xludf.DUMMYFUNCTION("""COMPUTED_VALUE"""),45306.64583333333)</f>
        <v>45306.64583</v>
      </c>
      <c r="HJ20" s="45">
        <f>IFERROR(__xludf.DUMMYFUNCTION("""COMPUTED_VALUE"""),5459.85)</f>
        <v>5459.85</v>
      </c>
      <c r="HK20" s="46">
        <f t="shared" si="55"/>
        <v>0.06845334194</v>
      </c>
      <c r="HL20" s="37"/>
      <c r="HM20" s="37">
        <f>IFERROR(__xludf.DUMMYFUNCTION("""COMPUTED_VALUE"""),45306.64583333333)</f>
        <v>45306.64583</v>
      </c>
      <c r="HN20" s="45">
        <f>IFERROR(__xludf.DUMMYFUNCTION("""COMPUTED_VALUE"""),407.85)</f>
        <v>407.85</v>
      </c>
      <c r="HO20" s="46">
        <f t="shared" si="56"/>
        <v>0.003197638667</v>
      </c>
      <c r="HP20" s="37"/>
      <c r="HQ20" s="37">
        <f>IFERROR(__xludf.DUMMYFUNCTION("""COMPUTED_VALUE"""),45306.64583333333)</f>
        <v>45306.64583</v>
      </c>
      <c r="HR20" s="45">
        <f>IFERROR(__xludf.DUMMYFUNCTION("""COMPUTED_VALUE"""),235.0)</f>
        <v>235</v>
      </c>
      <c r="HS20" s="46">
        <f t="shared" si="57"/>
        <v>-0.07589461266</v>
      </c>
      <c r="HT20" s="37"/>
      <c r="HU20" s="37">
        <f>IFERROR(__xludf.DUMMYFUNCTION("""COMPUTED_VALUE"""),45306.64583333333)</f>
        <v>45306.64583</v>
      </c>
      <c r="HV20" s="45">
        <f>IFERROR(__xludf.DUMMYFUNCTION("""COMPUTED_VALUE"""),73.5)</f>
        <v>73.5</v>
      </c>
      <c r="HW20" s="46">
        <f t="shared" si="58"/>
        <v>0.1778846154</v>
      </c>
      <c r="HX20" s="37"/>
      <c r="HY20" s="37">
        <f>IFERROR(__xludf.DUMMYFUNCTION("""COMPUTED_VALUE"""),45306.64583333333)</f>
        <v>45306.64583</v>
      </c>
      <c r="HZ20" s="45">
        <f>IFERROR(__xludf.DUMMYFUNCTION("""COMPUTED_VALUE"""),355.95)</f>
        <v>355.95</v>
      </c>
      <c r="IA20" s="46">
        <f t="shared" si="59"/>
        <v>-0.234516129</v>
      </c>
      <c r="IB20" s="37"/>
      <c r="IC20" s="37">
        <f>IFERROR(__xludf.DUMMYFUNCTION("""COMPUTED_VALUE"""),45306.64583333333)</f>
        <v>45306.64583</v>
      </c>
      <c r="ID20" s="45">
        <f>IFERROR(__xludf.DUMMYFUNCTION("""COMPUTED_VALUE"""),80.35)</f>
        <v>80.35</v>
      </c>
      <c r="IE20" s="46">
        <f t="shared" si="60"/>
        <v>-0.8168660969</v>
      </c>
      <c r="IF20" s="37"/>
      <c r="IG20" s="37">
        <f>IFERROR(__xludf.DUMMYFUNCTION("""COMPUTED_VALUE"""),45306.64583333333)</f>
        <v>45306.64583</v>
      </c>
      <c r="IH20" s="45">
        <f>IFERROR(__xludf.DUMMYFUNCTION("""COMPUTED_VALUE"""),539.5)</f>
        <v>539.5</v>
      </c>
      <c r="II20" s="46">
        <f t="shared" si="61"/>
        <v>0.01219512195</v>
      </c>
      <c r="IJ20" s="37"/>
      <c r="IK20" s="37">
        <f>IFERROR(__xludf.DUMMYFUNCTION("""COMPUTED_VALUE"""),45306.64583333333)</f>
        <v>45306.64583</v>
      </c>
      <c r="IL20" s="45">
        <f>IFERROR(__xludf.DUMMYFUNCTION("""COMPUTED_VALUE"""),582.85)</f>
        <v>582.85</v>
      </c>
      <c r="IM20" s="46">
        <f t="shared" si="62"/>
        <v>-0.05680071203</v>
      </c>
      <c r="IN20" s="37"/>
      <c r="IO20" s="37">
        <f>IFERROR(__xludf.DUMMYFUNCTION("""COMPUTED_VALUE"""),45306.64583333333)</f>
        <v>45306.64583</v>
      </c>
      <c r="IP20" s="45">
        <f>IFERROR(__xludf.DUMMYFUNCTION("""COMPUTED_VALUE"""),159.38)</f>
        <v>159.38</v>
      </c>
      <c r="IQ20" s="46">
        <f t="shared" si="63"/>
        <v>0.2680404169</v>
      </c>
      <c r="IR20" s="37"/>
      <c r="IS20" s="37">
        <f>IFERROR(__xludf.DUMMYFUNCTION("""COMPUTED_VALUE"""),45306.64583333333)</f>
        <v>45306.64583</v>
      </c>
      <c r="IT20" s="45">
        <f>IFERROR(__xludf.DUMMYFUNCTION("""COMPUTED_VALUE"""),1038.0)</f>
        <v>1038</v>
      </c>
      <c r="IU20" s="46">
        <f t="shared" si="64"/>
        <v>0.03386454183</v>
      </c>
      <c r="IV20" s="37"/>
      <c r="IW20" s="37">
        <f>IFERROR(__xludf.DUMMYFUNCTION("""COMPUTED_VALUE"""),45306.64583333333)</f>
        <v>45306.64583</v>
      </c>
      <c r="IX20" s="45">
        <f>IFERROR(__xludf.DUMMYFUNCTION("""COMPUTED_VALUE"""),221.3)</f>
        <v>221.3</v>
      </c>
      <c r="IY20" s="46">
        <f t="shared" si="65"/>
        <v>0.07453265356</v>
      </c>
      <c r="IZ20" s="37"/>
      <c r="JA20" s="37">
        <f>IFERROR(__xludf.DUMMYFUNCTION("""COMPUTED_VALUE"""),45306.64583333333)</f>
        <v>45306.64583</v>
      </c>
      <c r="JB20" s="45">
        <f>IFERROR(__xludf.DUMMYFUNCTION("""COMPUTED_VALUE"""),34746.85)</f>
        <v>34746.85</v>
      </c>
      <c r="JC20" s="46">
        <f t="shared" si="66"/>
        <v>-0.01852403704</v>
      </c>
      <c r="JD20" s="37"/>
      <c r="JE20" s="37">
        <f>IFERROR(__xludf.DUMMYFUNCTION("""COMPUTED_VALUE"""),45306.64583333333)</f>
        <v>45306.64583</v>
      </c>
      <c r="JF20" s="45">
        <f>IFERROR(__xludf.DUMMYFUNCTION("""COMPUTED_VALUE"""),619.6)</f>
        <v>619.6</v>
      </c>
      <c r="JG20" s="46">
        <f t="shared" si="67"/>
        <v>-0.03937984496</v>
      </c>
      <c r="JH20" s="37"/>
      <c r="JI20" s="37">
        <f>IFERROR(__xludf.DUMMYFUNCTION("""COMPUTED_VALUE"""),45306.64583333333)</f>
        <v>45306.64583</v>
      </c>
      <c r="JJ20" s="45">
        <f>IFERROR(__xludf.DUMMYFUNCTION("""COMPUTED_VALUE"""),309.95)</f>
        <v>309.95</v>
      </c>
      <c r="JK20" s="46">
        <f t="shared" si="68"/>
        <v>-0.07186704596</v>
      </c>
      <c r="JL20" s="37"/>
      <c r="JM20" s="37">
        <f>IFERROR(__xludf.DUMMYFUNCTION("""COMPUTED_VALUE"""),45306.64583333333)</f>
        <v>45306.64583</v>
      </c>
      <c r="JN20" s="45">
        <f>IFERROR(__xludf.DUMMYFUNCTION("""COMPUTED_VALUE"""),16.75)</f>
        <v>16.75</v>
      </c>
      <c r="JO20" s="46">
        <f t="shared" si="69"/>
        <v>-0.9618233618</v>
      </c>
      <c r="JP20" s="37"/>
      <c r="JQ20" s="37">
        <f>IFERROR(__xludf.DUMMYFUNCTION("""COMPUTED_VALUE"""),45306.64583333333)</f>
        <v>45306.64583</v>
      </c>
      <c r="JR20" s="45">
        <f>IFERROR(__xludf.DUMMYFUNCTION("""COMPUTED_VALUE"""),94.2)</f>
        <v>94.2</v>
      </c>
      <c r="JS20" s="46">
        <f t="shared" si="70"/>
        <v>-0.3073529412</v>
      </c>
      <c r="JT20" s="37"/>
      <c r="JU20" s="37">
        <f>IFERROR(__xludf.DUMMYFUNCTION("""COMPUTED_VALUE"""),45306.64583333333)</f>
        <v>45306.64583</v>
      </c>
      <c r="JV20" s="45">
        <f>IFERROR(__xludf.DUMMYFUNCTION("""COMPUTED_VALUE"""),251.0)</f>
        <v>251</v>
      </c>
      <c r="JW20" s="46">
        <f t="shared" si="71"/>
        <v>-0.4279202279</v>
      </c>
      <c r="JX20" s="37"/>
      <c r="JY20" s="37">
        <f>IFERROR(__xludf.DUMMYFUNCTION("""COMPUTED_VALUE"""),45306.64583333333)</f>
        <v>45306.64583</v>
      </c>
      <c r="JZ20" s="45">
        <f>IFERROR(__xludf.DUMMYFUNCTION("""COMPUTED_VALUE"""),669.95)</f>
        <v>669.95</v>
      </c>
      <c r="KA20" s="46">
        <f t="shared" si="72"/>
        <v>0.2158802178</v>
      </c>
      <c r="KB20" s="37"/>
      <c r="KC20" s="37">
        <f>IFERROR(__xludf.DUMMYFUNCTION("""COMPUTED_VALUE"""),45306.64583333333)</f>
        <v>45306.64583</v>
      </c>
      <c r="KD20" s="45">
        <f>IFERROR(__xludf.DUMMYFUNCTION("""COMPUTED_VALUE"""),889.73)</f>
        <v>889.73</v>
      </c>
      <c r="KE20" s="46">
        <f t="shared" si="73"/>
        <v>0.01852212237</v>
      </c>
      <c r="KF20" s="37"/>
      <c r="KG20" s="37">
        <f>IFERROR(__xludf.DUMMYFUNCTION("""COMPUTED_VALUE"""),45306.64583333333)</f>
        <v>45306.64583</v>
      </c>
      <c r="KH20" s="45">
        <f>IFERROR(__xludf.DUMMYFUNCTION("""COMPUTED_VALUE"""),461.0)</f>
        <v>461</v>
      </c>
      <c r="KI20" s="46">
        <f t="shared" si="74"/>
        <v>0.1820512821</v>
      </c>
      <c r="KJ20" s="37"/>
      <c r="KK20" s="37">
        <f>IFERROR(__xludf.DUMMYFUNCTION("""COMPUTED_VALUE"""),45306.64583333333)</f>
        <v>45306.64583</v>
      </c>
      <c r="KL20" s="45">
        <f>IFERROR(__xludf.DUMMYFUNCTION("""COMPUTED_VALUE"""),9.85)</f>
        <v>9.85</v>
      </c>
      <c r="KM20" s="46">
        <f t="shared" si="75"/>
        <v>0.05913978495</v>
      </c>
      <c r="KN20" s="37"/>
      <c r="KO20" s="37">
        <f>IFERROR(__xludf.DUMMYFUNCTION("""COMPUTED_VALUE"""),45306.64583333333)</f>
        <v>45306.64583</v>
      </c>
      <c r="KP20" s="45">
        <f>IFERROR(__xludf.DUMMYFUNCTION("""COMPUTED_VALUE"""),245.8)</f>
        <v>245.8</v>
      </c>
      <c r="KQ20" s="46">
        <f t="shared" si="76"/>
        <v>0.209050664</v>
      </c>
      <c r="KR20" s="37"/>
      <c r="KS20" s="37">
        <f>IFERROR(__xludf.DUMMYFUNCTION("""COMPUTED_VALUE"""),45306.64583333333)</f>
        <v>45306.64583</v>
      </c>
      <c r="KT20" s="45">
        <f>IFERROR(__xludf.DUMMYFUNCTION("""COMPUTED_VALUE"""),11.95)</f>
        <v>11.95</v>
      </c>
      <c r="KU20" s="46">
        <f t="shared" si="77"/>
        <v>0.0814479638</v>
      </c>
      <c r="KV20" s="37"/>
      <c r="KW20" s="37">
        <f>IFERROR(__xludf.DUMMYFUNCTION("""COMPUTED_VALUE"""),45306.64583333333)</f>
        <v>45306.64583</v>
      </c>
      <c r="KX20" s="45">
        <f>IFERROR(__xludf.DUMMYFUNCTION("""COMPUTED_VALUE"""),2587.7)</f>
        <v>2587.7</v>
      </c>
      <c r="KY20" s="46">
        <f t="shared" si="78"/>
        <v>-0.03080582033</v>
      </c>
      <c r="KZ20" s="37"/>
      <c r="LA20" s="37">
        <f>IFERROR(__xludf.DUMMYFUNCTION("""COMPUTED_VALUE"""),45306.64583333333)</f>
        <v>45306.64583</v>
      </c>
      <c r="LB20" s="45">
        <f>IFERROR(__xludf.DUMMYFUNCTION("""COMPUTED_VALUE"""),23.15)</f>
        <v>23.15</v>
      </c>
      <c r="LC20" s="46">
        <f t="shared" si="79"/>
        <v>0.2281167109</v>
      </c>
      <c r="LD20" s="37"/>
      <c r="LE20" s="37">
        <f>IFERROR(__xludf.DUMMYFUNCTION("""COMPUTED_VALUE"""),45306.64583333333)</f>
        <v>45306.64583</v>
      </c>
      <c r="LF20" s="45">
        <f>IFERROR(__xludf.DUMMYFUNCTION("""COMPUTED_VALUE"""),146.0)</f>
        <v>146</v>
      </c>
      <c r="LG20" s="46">
        <f t="shared" si="80"/>
        <v>0.168</v>
      </c>
      <c r="LH20" s="37"/>
      <c r="LI20" s="37">
        <f>IFERROR(__xludf.DUMMYFUNCTION("""COMPUTED_VALUE"""),45306.64583333333)</f>
        <v>45306.64583</v>
      </c>
      <c r="LJ20" s="45">
        <f>IFERROR(__xludf.DUMMYFUNCTION("""COMPUTED_VALUE"""),733.95)</f>
        <v>733.95</v>
      </c>
      <c r="LK20" s="46">
        <f t="shared" si="81"/>
        <v>0.008173076923</v>
      </c>
      <c r="LL20" s="37"/>
      <c r="LM20" s="37">
        <f>IFERROR(__xludf.DUMMYFUNCTION("""COMPUTED_VALUE"""),45306.64583333333)</f>
        <v>45306.64583</v>
      </c>
      <c r="LN20" s="45">
        <f>IFERROR(__xludf.DUMMYFUNCTION("""COMPUTED_VALUE"""),864.85)</f>
        <v>864.85</v>
      </c>
      <c r="LO20" s="46">
        <f t="shared" si="82"/>
        <v>0.01152046784</v>
      </c>
      <c r="LP20" s="37"/>
      <c r="LQ20" s="37">
        <f>IFERROR(__xludf.DUMMYFUNCTION("""COMPUTED_VALUE"""),45306.64583333333)</f>
        <v>45306.64583</v>
      </c>
      <c r="LR20" s="45">
        <f>IFERROR(__xludf.DUMMYFUNCTION("""COMPUTED_VALUE"""),491.0)</f>
        <v>491</v>
      </c>
      <c r="LS20" s="46">
        <f t="shared" si="83"/>
        <v>0.3437328955</v>
      </c>
      <c r="LT20" s="37"/>
      <c r="LU20" s="37">
        <f>IFERROR(__xludf.DUMMYFUNCTION("""COMPUTED_VALUE"""),45306.64583333333)</f>
        <v>45306.64583</v>
      </c>
      <c r="LV20" s="45">
        <f>IFERROR(__xludf.DUMMYFUNCTION("""COMPUTED_VALUE"""),134.95)</f>
        <v>134.95</v>
      </c>
      <c r="LW20" s="46">
        <f t="shared" si="84"/>
        <v>-0.01352339181</v>
      </c>
      <c r="LX20" s="37"/>
      <c r="LY20" s="37">
        <f>IFERROR(__xludf.DUMMYFUNCTION("""COMPUTED_VALUE"""),45306.64583333333)</f>
        <v>45306.64583</v>
      </c>
      <c r="LZ20" s="45">
        <f>IFERROR(__xludf.DUMMYFUNCTION("""COMPUTED_VALUE"""),606.8)</f>
        <v>606.8</v>
      </c>
      <c r="MA20" s="46">
        <f t="shared" si="85"/>
        <v>-0.02129032258</v>
      </c>
      <c r="MB20" s="37"/>
      <c r="MC20" s="37"/>
      <c r="MD20" s="45"/>
      <c r="ME20" s="46" t="str">
        <f t="shared" si="86"/>
        <v>#DIV/0!</v>
      </c>
      <c r="MF20" s="37"/>
      <c r="MG20" s="37">
        <f>IFERROR(__xludf.DUMMYFUNCTION("""COMPUTED_VALUE"""),45306.64583333333)</f>
        <v>45306.64583</v>
      </c>
      <c r="MH20" s="45">
        <f>IFERROR(__xludf.DUMMYFUNCTION("""COMPUTED_VALUE"""),1976.7)</f>
        <v>1976.7</v>
      </c>
      <c r="MI20" s="46">
        <f t="shared" si="87"/>
        <v>0.008031821311</v>
      </c>
      <c r="MJ20" s="37"/>
      <c r="MK20" s="37">
        <f>IFERROR(__xludf.DUMMYFUNCTION("""COMPUTED_VALUE"""),45306.64583333333)</f>
        <v>45306.64583</v>
      </c>
      <c r="ML20" s="45">
        <f>IFERROR(__xludf.DUMMYFUNCTION("""COMPUTED_VALUE"""),373.6)</f>
        <v>373.6</v>
      </c>
      <c r="MM20" s="46">
        <f t="shared" si="88"/>
        <v>-0.0658832354</v>
      </c>
      <c r="MN20" s="37"/>
      <c r="MO20" s="37">
        <f>IFERROR(__xludf.DUMMYFUNCTION("""COMPUTED_VALUE"""),45306.64583333333)</f>
        <v>45306.64583</v>
      </c>
      <c r="MP20" s="45">
        <f>IFERROR(__xludf.DUMMYFUNCTION("""COMPUTED_VALUE"""),748.8)</f>
        <v>748.8</v>
      </c>
      <c r="MQ20" s="46">
        <f t="shared" si="89"/>
        <v>0.01189189189</v>
      </c>
      <c r="MR20" s="37"/>
      <c r="MS20" s="37">
        <f>IFERROR(__xludf.DUMMYFUNCTION("""COMPUTED_VALUE"""),45306.64583333333)</f>
        <v>45306.64583</v>
      </c>
      <c r="MT20" s="45">
        <f>IFERROR(__xludf.DUMMYFUNCTION("""COMPUTED_VALUE"""),68.65)</f>
        <v>68.65</v>
      </c>
      <c r="MU20" s="46">
        <f t="shared" si="90"/>
        <v>0.03779289494</v>
      </c>
      <c r="MV20" s="37"/>
      <c r="MW20" s="37">
        <f>IFERROR(__xludf.DUMMYFUNCTION("""COMPUTED_VALUE"""),45306.64583333333)</f>
        <v>45306.64583</v>
      </c>
      <c r="MX20" s="45">
        <f>IFERROR(__xludf.DUMMYFUNCTION("""COMPUTED_VALUE"""),3247.9)</f>
        <v>3247.9</v>
      </c>
      <c r="MY20" s="46">
        <f t="shared" si="91"/>
        <v>0.03206228154</v>
      </c>
      <c r="MZ20" s="37"/>
      <c r="NA20" s="37">
        <f>IFERROR(__xludf.DUMMYFUNCTION("""COMPUTED_VALUE"""),45306.64583333333)</f>
        <v>45306.64583</v>
      </c>
      <c r="NB20" s="45">
        <f>IFERROR(__xludf.DUMMYFUNCTION("""COMPUTED_VALUE"""),13.6)</f>
        <v>13.6</v>
      </c>
      <c r="NC20" s="46">
        <f t="shared" si="92"/>
        <v>0.07509881423</v>
      </c>
      <c r="ND20" s="37"/>
      <c r="NE20" s="37">
        <f>IFERROR(__xludf.DUMMYFUNCTION("""COMPUTED_VALUE"""),45307.64583333333)</f>
        <v>45307.64583</v>
      </c>
      <c r="NF20" s="45">
        <f>IFERROR(__xludf.DUMMYFUNCTION("""COMPUTED_VALUE"""),388.0)</f>
        <v>388</v>
      </c>
      <c r="NG20" s="46">
        <f t="shared" si="93"/>
        <v>0.01318710014</v>
      </c>
      <c r="NH20" s="37"/>
      <c r="NI20" s="37">
        <f>IFERROR(__xludf.DUMMYFUNCTION("""COMPUTED_VALUE"""),45307.64583333333)</f>
        <v>45307.64583</v>
      </c>
      <c r="NJ20" s="45">
        <f>IFERROR(__xludf.DUMMYFUNCTION("""COMPUTED_VALUE"""),306.27)</f>
        <v>306.27</v>
      </c>
      <c r="NK20" s="46">
        <f t="shared" si="94"/>
        <v>0.1484981438</v>
      </c>
      <c r="NL20" s="37"/>
      <c r="NM20" s="37">
        <f>IFERROR(__xludf.DUMMYFUNCTION("""COMPUTED_VALUE"""),45307.64583333333)</f>
        <v>45307.64583</v>
      </c>
      <c r="NN20" s="45">
        <f>IFERROR(__xludf.DUMMYFUNCTION("""COMPUTED_VALUE"""),119.95)</f>
        <v>119.95</v>
      </c>
      <c r="NO20" s="46">
        <f t="shared" si="95"/>
        <v>-0.02716950527</v>
      </c>
      <c r="NP20" s="37"/>
      <c r="NQ20" s="37">
        <f>IFERROR(__xludf.DUMMYFUNCTION("""COMPUTED_VALUE"""),45307.64583333333)</f>
        <v>45307.64583</v>
      </c>
      <c r="NR20" s="45">
        <f>IFERROR(__xludf.DUMMYFUNCTION("""COMPUTED_VALUE"""),4450.0)</f>
        <v>4450</v>
      </c>
      <c r="NS20" s="46">
        <f t="shared" si="96"/>
        <v>0.06561302682</v>
      </c>
      <c r="NT20" s="37"/>
      <c r="NU20" s="37">
        <f>IFERROR(__xludf.DUMMYFUNCTION("""COMPUTED_VALUE"""),45307.64583333333)</f>
        <v>45307.64583</v>
      </c>
      <c r="NV20" s="45">
        <f>IFERROR(__xludf.DUMMYFUNCTION("""COMPUTED_VALUE"""),13.85)</f>
        <v>13.85</v>
      </c>
      <c r="NW20" s="46">
        <f t="shared" si="97"/>
        <v>0.0905511811</v>
      </c>
      <c r="NX20" s="37"/>
      <c r="NY20" s="37">
        <f>IFERROR(__xludf.DUMMYFUNCTION("""COMPUTED_VALUE"""),45307.64583333333)</f>
        <v>45307.64583</v>
      </c>
      <c r="NZ20" s="45">
        <f>IFERROR(__xludf.DUMMYFUNCTION("""COMPUTED_VALUE"""),293.5)</f>
        <v>293.5</v>
      </c>
      <c r="OA20" s="46">
        <f t="shared" si="98"/>
        <v>0.1892220421</v>
      </c>
      <c r="OB20" s="37"/>
      <c r="OC20" s="37">
        <f>IFERROR(__xludf.DUMMYFUNCTION("""COMPUTED_VALUE"""),45307.64583333333)</f>
        <v>45307.64583</v>
      </c>
      <c r="OD20" s="45">
        <f>IFERROR(__xludf.DUMMYFUNCTION("""COMPUTED_VALUE"""),1162.55)</f>
        <v>1162.55</v>
      </c>
      <c r="OE20" s="46">
        <f t="shared" si="99"/>
        <v>0.1030409412</v>
      </c>
      <c r="OF20" s="37"/>
      <c r="OG20" s="37">
        <f>IFERROR(__xludf.DUMMYFUNCTION("""COMPUTED_VALUE"""),45307.64583333333)</f>
        <v>45307.64583</v>
      </c>
      <c r="OH20" s="45">
        <f>IFERROR(__xludf.DUMMYFUNCTION("""COMPUTED_VALUE"""),2285.1)</f>
        <v>2285.1</v>
      </c>
      <c r="OI20" s="46">
        <f t="shared" si="100"/>
        <v>-0.06340683663</v>
      </c>
      <c r="OJ20" s="37"/>
      <c r="OK20" s="37"/>
      <c r="OL20" s="45"/>
      <c r="OM20" s="46" t="str">
        <f t="shared" si="101"/>
        <v>#DIV/0!</v>
      </c>
      <c r="ON20" s="37"/>
    </row>
    <row r="21" ht="12.0" customHeight="1">
      <c r="A21" s="37">
        <f>IFERROR(__xludf.DUMMYFUNCTION("""COMPUTED_VALUE"""),45306.64583333333)</f>
        <v>45306.64583</v>
      </c>
      <c r="B21" s="45">
        <f>IFERROR(__xludf.DUMMYFUNCTION("""COMPUTED_VALUE"""),428.0)</f>
        <v>428</v>
      </c>
      <c r="C21" s="46">
        <f t="shared" si="1"/>
        <v>-0.0245014245</v>
      </c>
      <c r="D21" s="37"/>
      <c r="E21" s="37">
        <f>IFERROR(__xludf.DUMMYFUNCTION("""COMPUTED_VALUE"""),45306.64583333333)</f>
        <v>45306.64583</v>
      </c>
      <c r="F21" s="45">
        <f>IFERROR(__xludf.DUMMYFUNCTION("""COMPUTED_VALUE"""),693.4)</f>
        <v>693.4</v>
      </c>
      <c r="G21" s="46">
        <f t="shared" si="2"/>
        <v>0.0586259542</v>
      </c>
      <c r="H21" s="37"/>
      <c r="I21" s="37">
        <f>IFERROR(__xludf.DUMMYFUNCTION("""COMPUTED_VALUE"""),45306.64583333333)</f>
        <v>45306.64583</v>
      </c>
      <c r="J21" s="45">
        <f>IFERROR(__xludf.DUMMYFUNCTION("""COMPUTED_VALUE"""),189.9)</f>
        <v>189.9</v>
      </c>
      <c r="K21" s="46">
        <f t="shared" si="3"/>
        <v>0.03206521739</v>
      </c>
      <c r="L21" s="37"/>
      <c r="M21" s="37">
        <f>IFERROR(__xludf.DUMMYFUNCTION("""COMPUTED_VALUE"""),45306.64583333333)</f>
        <v>45306.64583</v>
      </c>
      <c r="N21" s="45">
        <f>IFERROR(__xludf.DUMMYFUNCTION("""COMPUTED_VALUE"""),89.55)</f>
        <v>89.55</v>
      </c>
      <c r="O21" s="46">
        <f t="shared" si="4"/>
        <v>0.03645833333</v>
      </c>
      <c r="P21" s="37"/>
      <c r="Q21" s="37">
        <f>IFERROR(__xludf.DUMMYFUNCTION("""COMPUTED_VALUE"""),45306.64583333333)</f>
        <v>45306.64583</v>
      </c>
      <c r="R21" s="45">
        <f>IFERROR(__xludf.DUMMYFUNCTION("""COMPUTED_VALUE"""),49.75)</f>
        <v>49.75</v>
      </c>
      <c r="S21" s="46">
        <f t="shared" si="5"/>
        <v>-0.05238095238</v>
      </c>
      <c r="T21" s="37"/>
      <c r="U21" s="37">
        <f>IFERROR(__xludf.DUMMYFUNCTION("""COMPUTED_VALUE"""),45306.64583333333)</f>
        <v>45306.64583</v>
      </c>
      <c r="V21" s="45">
        <f>IFERROR(__xludf.DUMMYFUNCTION("""COMPUTED_VALUE"""),830.25)</f>
        <v>830.25</v>
      </c>
      <c r="W21" s="46">
        <f t="shared" si="6"/>
        <v>0.2533967391</v>
      </c>
      <c r="X21" s="37"/>
      <c r="Y21" s="37">
        <f>IFERROR(__xludf.DUMMYFUNCTION("""COMPUTED_VALUE"""),45306.64583333333)</f>
        <v>45306.64583</v>
      </c>
      <c r="Z21" s="45">
        <f>IFERROR(__xludf.DUMMYFUNCTION("""COMPUTED_VALUE"""),180.0)</f>
        <v>180</v>
      </c>
      <c r="AA21" s="46">
        <f t="shared" si="7"/>
        <v>-0.02702702703</v>
      </c>
      <c r="AB21" s="37"/>
      <c r="AC21" s="37">
        <f>IFERROR(__xludf.DUMMYFUNCTION("""COMPUTED_VALUE"""),45306.64583333333)</f>
        <v>45306.64583</v>
      </c>
      <c r="AD21" s="45">
        <f>IFERROR(__xludf.DUMMYFUNCTION("""COMPUTED_VALUE"""),2387.5)</f>
        <v>2387.5</v>
      </c>
      <c r="AE21" s="46">
        <f t="shared" si="8"/>
        <v>0.005474836808</v>
      </c>
      <c r="AF21" s="37"/>
      <c r="AG21" s="37">
        <f>IFERROR(__xludf.DUMMYFUNCTION("""COMPUTED_VALUE"""),45306.64583333333)</f>
        <v>45306.64583</v>
      </c>
      <c r="AH21" s="45">
        <f>IFERROR(__xludf.DUMMYFUNCTION("""COMPUTED_VALUE"""),749.3)</f>
        <v>749.3</v>
      </c>
      <c r="AI21" s="46">
        <f t="shared" si="9"/>
        <v>-0.1079761905</v>
      </c>
      <c r="AJ21" s="37"/>
      <c r="AK21" s="37">
        <f>IFERROR(__xludf.DUMMYFUNCTION("""COMPUTED_VALUE"""),45306.64583333333)</f>
        <v>45306.64583</v>
      </c>
      <c r="AL21" s="45">
        <f>IFERROR(__xludf.DUMMYFUNCTION("""COMPUTED_VALUE"""),5459.85)</f>
        <v>5459.85</v>
      </c>
      <c r="AM21" s="46">
        <f t="shared" si="10"/>
        <v>0.04997115385</v>
      </c>
      <c r="AN21" s="37"/>
      <c r="AO21" s="37">
        <f>IFERROR(__xludf.DUMMYFUNCTION("""COMPUTED_VALUE"""),45306.64583333333)</f>
        <v>45306.64583</v>
      </c>
      <c r="AP21" s="45">
        <f>IFERROR(__xludf.DUMMYFUNCTION("""COMPUTED_VALUE"""),891.0)</f>
        <v>891</v>
      </c>
      <c r="AQ21" s="46">
        <f t="shared" si="11"/>
        <v>-0.02087912088</v>
      </c>
      <c r="AR21" s="37"/>
      <c r="AS21" s="37">
        <f>IFERROR(__xludf.DUMMYFUNCTION("""COMPUTED_VALUE"""),45306.64583333333)</f>
        <v>45306.64583</v>
      </c>
      <c r="AT21" s="45">
        <f>IFERROR(__xludf.DUMMYFUNCTION("""COMPUTED_VALUE"""),2452.4)</f>
        <v>2452.4</v>
      </c>
      <c r="AU21" s="46">
        <f t="shared" si="12"/>
        <v>-0.01268166995</v>
      </c>
      <c r="AV21" s="37"/>
      <c r="AW21" s="37">
        <f>IFERROR(__xludf.DUMMYFUNCTION("""COMPUTED_VALUE"""),45306.64583333333)</f>
        <v>45306.64583</v>
      </c>
      <c r="AX21" s="45">
        <f>IFERROR(__xludf.DUMMYFUNCTION("""COMPUTED_VALUE"""),6341.45)</f>
        <v>6341.45</v>
      </c>
      <c r="AY21" s="46">
        <f t="shared" si="13"/>
        <v>0.1234542749</v>
      </c>
      <c r="AZ21" s="37"/>
      <c r="BA21" s="37">
        <f>IFERROR(__xludf.DUMMYFUNCTION("""COMPUTED_VALUE"""),45306.64583333333)</f>
        <v>45306.64583</v>
      </c>
      <c r="BB21" s="45">
        <f>IFERROR(__xludf.DUMMYFUNCTION("""COMPUTED_VALUE"""),529.0)</f>
        <v>529</v>
      </c>
      <c r="BC21" s="46">
        <f t="shared" si="14"/>
        <v>0.129135539</v>
      </c>
      <c r="BD21" s="37"/>
      <c r="BE21" s="37">
        <f>IFERROR(__xludf.DUMMYFUNCTION("""COMPUTED_VALUE"""),45306.64583333333)</f>
        <v>45306.64583</v>
      </c>
      <c r="BF21" s="45">
        <f>IFERROR(__xludf.DUMMYFUNCTION("""COMPUTED_VALUE"""),325.7)</f>
        <v>325.7</v>
      </c>
      <c r="BG21" s="46">
        <f t="shared" si="15"/>
        <v>-0.1997542998</v>
      </c>
      <c r="BH21" s="37"/>
      <c r="BI21" s="37">
        <f>IFERROR(__xludf.DUMMYFUNCTION("""COMPUTED_VALUE"""),45306.64583333333)</f>
        <v>45306.64583</v>
      </c>
      <c r="BJ21" s="45">
        <f>IFERROR(__xludf.DUMMYFUNCTION("""COMPUTED_VALUE"""),90.0)</f>
        <v>90</v>
      </c>
      <c r="BK21" s="46">
        <f t="shared" si="16"/>
        <v>0.2958963283</v>
      </c>
      <c r="BL21" s="37"/>
      <c r="BM21" s="37">
        <f>IFERROR(__xludf.DUMMYFUNCTION("""COMPUTED_VALUE"""),45306.64583333333)</f>
        <v>45306.64583</v>
      </c>
      <c r="BN21" s="45">
        <f>IFERROR(__xludf.DUMMYFUNCTION("""COMPUTED_VALUE"""),235.0)</f>
        <v>235</v>
      </c>
      <c r="BO21" s="46">
        <f t="shared" si="17"/>
        <v>-0.08203125</v>
      </c>
      <c r="BP21" s="37"/>
      <c r="BQ21" s="37">
        <f>IFERROR(__xludf.DUMMYFUNCTION("""COMPUTED_VALUE"""),45306.64583333333)</f>
        <v>45306.64583</v>
      </c>
      <c r="BR21" s="45">
        <f>IFERROR(__xludf.DUMMYFUNCTION("""COMPUTED_VALUE"""),73.5)</f>
        <v>73.5</v>
      </c>
      <c r="BS21" s="46">
        <f t="shared" si="18"/>
        <v>0.2068965517</v>
      </c>
      <c r="BT21" s="37"/>
      <c r="BU21" s="37">
        <f>IFERROR(__xludf.DUMMYFUNCTION("""COMPUTED_VALUE"""),45306.64583333333)</f>
        <v>45306.64583</v>
      </c>
      <c r="BV21" s="45">
        <f>IFERROR(__xludf.DUMMYFUNCTION("""COMPUTED_VALUE"""),312.05)</f>
        <v>312.05</v>
      </c>
      <c r="BW21" s="46">
        <f t="shared" si="19"/>
        <v>0.008564964447</v>
      </c>
      <c r="BX21" s="37"/>
      <c r="BY21" s="37">
        <f>IFERROR(__xludf.DUMMYFUNCTION("""COMPUTED_VALUE"""),45306.64583333333)</f>
        <v>45306.64583</v>
      </c>
      <c r="BZ21" s="45">
        <f>IFERROR(__xludf.DUMMYFUNCTION("""COMPUTED_VALUE"""),355.95)</f>
        <v>355.95</v>
      </c>
      <c r="CA21" s="46">
        <f t="shared" si="20"/>
        <v>-0.1307692308</v>
      </c>
      <c r="CB21" s="37"/>
      <c r="CC21" s="37">
        <f>IFERROR(__xludf.DUMMYFUNCTION("""COMPUTED_VALUE"""),45306.64583333333)</f>
        <v>45306.64583</v>
      </c>
      <c r="CD21" s="45">
        <f>IFERROR(__xludf.DUMMYFUNCTION("""COMPUTED_VALUE"""),265.6)</f>
        <v>265.6</v>
      </c>
      <c r="CE21" s="46">
        <f t="shared" si="21"/>
        <v>0.1463098835</v>
      </c>
      <c r="CF21" s="37"/>
      <c r="CG21" s="37">
        <f>IFERROR(__xludf.DUMMYFUNCTION("""COMPUTED_VALUE"""),45306.64583333333)</f>
        <v>45306.64583</v>
      </c>
      <c r="CH21" s="45">
        <f>IFERROR(__xludf.DUMMYFUNCTION("""COMPUTED_VALUE"""),619.6)</f>
        <v>619.6</v>
      </c>
      <c r="CI21" s="46">
        <f t="shared" si="22"/>
        <v>-0.02578616352</v>
      </c>
      <c r="CJ21" s="37"/>
      <c r="CK21" s="37">
        <f>IFERROR(__xludf.DUMMYFUNCTION("""COMPUTED_VALUE"""),45306.64583333333)</f>
        <v>45306.64583</v>
      </c>
      <c r="CL21" s="45">
        <f>IFERROR(__xludf.DUMMYFUNCTION("""COMPUTED_VALUE"""),309.95)</f>
        <v>309.95</v>
      </c>
      <c r="CM21" s="46">
        <f t="shared" si="23"/>
        <v>-0.08026706231</v>
      </c>
      <c r="CN21" s="37"/>
      <c r="CO21" s="37">
        <f>IFERROR(__xludf.DUMMYFUNCTION("""COMPUTED_VALUE"""),45306.64583333333)</f>
        <v>45306.64583</v>
      </c>
      <c r="CP21" s="45">
        <f>IFERROR(__xludf.DUMMYFUNCTION("""COMPUTED_VALUE"""),16.75)</f>
        <v>16.75</v>
      </c>
      <c r="CQ21" s="46">
        <f t="shared" si="24"/>
        <v>0.1317567568</v>
      </c>
      <c r="CR21" s="37"/>
      <c r="CS21" s="37">
        <f>IFERROR(__xludf.DUMMYFUNCTION("""COMPUTED_VALUE"""),45306.64583333333)</f>
        <v>45306.64583</v>
      </c>
      <c r="CT21" s="45">
        <f>IFERROR(__xludf.DUMMYFUNCTION("""COMPUTED_VALUE"""),198.85)</f>
        <v>198.85</v>
      </c>
      <c r="CU21" s="46">
        <f t="shared" si="25"/>
        <v>0.004292929293</v>
      </c>
      <c r="CV21" s="37"/>
      <c r="CW21" s="37">
        <f>IFERROR(__xludf.DUMMYFUNCTION("""COMPUTED_VALUE"""),45306.64583333333)</f>
        <v>45306.64583</v>
      </c>
      <c r="CX21" s="45">
        <f>IFERROR(__xludf.DUMMYFUNCTION("""COMPUTED_VALUE"""),791.0)</f>
        <v>791</v>
      </c>
      <c r="CY21" s="46">
        <f t="shared" si="26"/>
        <v>0.1434271011</v>
      </c>
      <c r="CZ21" s="37"/>
      <c r="DA21" s="37">
        <f>IFERROR(__xludf.DUMMYFUNCTION("""COMPUTED_VALUE"""),45306.64583333333)</f>
        <v>45306.64583</v>
      </c>
      <c r="DB21" s="45">
        <f>IFERROR(__xludf.DUMMYFUNCTION("""COMPUTED_VALUE"""),32.4)</f>
        <v>32.4</v>
      </c>
      <c r="DC21" s="46">
        <f t="shared" si="27"/>
        <v>0.1612903226</v>
      </c>
      <c r="DD21" s="37"/>
      <c r="DE21" s="37">
        <f>IFERROR(__xludf.DUMMYFUNCTION("""COMPUTED_VALUE"""),45306.64583333333)</f>
        <v>45306.64583</v>
      </c>
      <c r="DF21" s="45">
        <f>IFERROR(__xludf.DUMMYFUNCTION("""COMPUTED_VALUE"""),94.2)</f>
        <v>94.2</v>
      </c>
      <c r="DG21" s="46">
        <f t="shared" si="28"/>
        <v>-0.1685789938</v>
      </c>
      <c r="DH21" s="37"/>
      <c r="DI21" s="37">
        <f>IFERROR(__xludf.DUMMYFUNCTION("""COMPUTED_VALUE"""),45306.64583333333)</f>
        <v>45306.64583</v>
      </c>
      <c r="DJ21" s="45">
        <f>IFERROR(__xludf.DUMMYFUNCTION("""COMPUTED_VALUE"""),1549.0)</f>
        <v>1549</v>
      </c>
      <c r="DK21" s="46">
        <f t="shared" si="29"/>
        <v>-0.03477068794</v>
      </c>
      <c r="DL21" s="37"/>
      <c r="DM21" s="37">
        <f>IFERROR(__xludf.DUMMYFUNCTION("""COMPUTED_VALUE"""),45306.64583333333)</f>
        <v>45306.64583</v>
      </c>
      <c r="DN21" s="45">
        <f>IFERROR(__xludf.DUMMYFUNCTION("""COMPUTED_VALUE"""),569.4)</f>
        <v>569.4</v>
      </c>
      <c r="DO21" s="46">
        <f t="shared" si="30"/>
        <v>0.0620162268</v>
      </c>
      <c r="DP21" s="37"/>
      <c r="DQ21" s="37">
        <f>IFERROR(__xludf.DUMMYFUNCTION("""COMPUTED_VALUE"""),45306.64583333333)</f>
        <v>45306.64583</v>
      </c>
      <c r="DR21" s="45">
        <f>IFERROR(__xludf.DUMMYFUNCTION("""COMPUTED_VALUE"""),219.4)</f>
        <v>219.4</v>
      </c>
      <c r="DS21" s="46">
        <f t="shared" si="31"/>
        <v>0.006422018349</v>
      </c>
      <c r="DT21" s="37"/>
      <c r="DU21" s="37">
        <f>IFERROR(__xludf.DUMMYFUNCTION("""COMPUTED_VALUE"""),45306.64583333333)</f>
        <v>45306.64583</v>
      </c>
      <c r="DV21" s="45">
        <f>IFERROR(__xludf.DUMMYFUNCTION("""COMPUTED_VALUE"""),889.73)</f>
        <v>889.73</v>
      </c>
      <c r="DW21" s="46">
        <f t="shared" si="32"/>
        <v>0.04612580835</v>
      </c>
      <c r="DX21" s="37"/>
      <c r="DY21" s="37">
        <f>IFERROR(__xludf.DUMMYFUNCTION("""COMPUTED_VALUE"""),45306.64583333333)</f>
        <v>45306.64583</v>
      </c>
      <c r="DZ21" s="45">
        <f>IFERROR(__xludf.DUMMYFUNCTION("""COMPUTED_VALUE"""),11.95)</f>
        <v>11.95</v>
      </c>
      <c r="EA21" s="46">
        <f t="shared" si="33"/>
        <v>0.1013824885</v>
      </c>
      <c r="EB21" s="37"/>
      <c r="EC21" s="37">
        <f>IFERROR(__xludf.DUMMYFUNCTION("""COMPUTED_VALUE"""),45306.64583333333)</f>
        <v>45306.64583</v>
      </c>
      <c r="ED21" s="45">
        <f>IFERROR(__xludf.DUMMYFUNCTION("""COMPUTED_VALUE"""),2587.7)</f>
        <v>2587.7</v>
      </c>
      <c r="EE21" s="46">
        <f t="shared" si="34"/>
        <v>-0.02166351607</v>
      </c>
      <c r="EF21" s="37"/>
      <c r="EG21" s="37">
        <f>IFERROR(__xludf.DUMMYFUNCTION("""COMPUTED_VALUE"""),45306.64583333333)</f>
        <v>45306.64583</v>
      </c>
      <c r="EH21" s="45">
        <f>IFERROR(__xludf.DUMMYFUNCTION("""COMPUTED_VALUE"""),869.0)</f>
        <v>869</v>
      </c>
      <c r="EI21" s="46">
        <f t="shared" si="35"/>
        <v>0.339808819</v>
      </c>
      <c r="EJ21" s="37"/>
      <c r="EK21" s="37">
        <f>IFERROR(__xludf.DUMMYFUNCTION("""COMPUTED_VALUE"""),45306.64583333333)</f>
        <v>45306.64583</v>
      </c>
      <c r="EL21" s="45">
        <f>IFERROR(__xludf.DUMMYFUNCTION("""COMPUTED_VALUE"""),207.9)</f>
        <v>207.9</v>
      </c>
      <c r="EM21" s="46">
        <f t="shared" si="36"/>
        <v>0.02920792079</v>
      </c>
      <c r="EN21" s="37"/>
      <c r="EO21" s="37">
        <f>IFERROR(__xludf.DUMMYFUNCTION("""COMPUTED_VALUE"""),45306.64583333333)</f>
        <v>45306.64583</v>
      </c>
      <c r="EP21" s="45">
        <f>IFERROR(__xludf.DUMMYFUNCTION("""COMPUTED_VALUE"""),166.8)</f>
        <v>166.8</v>
      </c>
      <c r="EQ21" s="46">
        <f t="shared" si="37"/>
        <v>0.07647628267</v>
      </c>
      <c r="ER21" s="37"/>
      <c r="ES21" s="37">
        <f>IFERROR(__xludf.DUMMYFUNCTION("""COMPUTED_VALUE"""),45306.64583333333)</f>
        <v>45306.64583</v>
      </c>
      <c r="ET21" s="45">
        <f>IFERROR(__xludf.DUMMYFUNCTION("""COMPUTED_VALUE"""),213.75)</f>
        <v>213.75</v>
      </c>
      <c r="EU21" s="46">
        <f t="shared" si="38"/>
        <v>0.09981991253</v>
      </c>
      <c r="EV21" s="37"/>
      <c r="EW21" s="37">
        <f>IFERROR(__xludf.DUMMYFUNCTION("""COMPUTED_VALUE"""),45306.64583333333)</f>
        <v>45306.64583</v>
      </c>
      <c r="EX21" s="45">
        <f>IFERROR(__xludf.DUMMYFUNCTION("""COMPUTED_VALUE"""),688.05)</f>
        <v>688.05</v>
      </c>
      <c r="EY21" s="46">
        <f t="shared" si="39"/>
        <v>0.06180555556</v>
      </c>
      <c r="EZ21" s="37"/>
      <c r="FA21" s="37">
        <f>IFERROR(__xludf.DUMMYFUNCTION("""COMPUTED_VALUE"""),45306.64583333333)</f>
        <v>45306.64583</v>
      </c>
      <c r="FB21" s="45">
        <f>IFERROR(__xludf.DUMMYFUNCTION("""COMPUTED_VALUE"""),184.7)</f>
        <v>184.7</v>
      </c>
      <c r="FC21" s="46">
        <f t="shared" si="40"/>
        <v>0.05905963303</v>
      </c>
      <c r="FD21" s="37"/>
      <c r="FE21" s="37">
        <f>IFERROR(__xludf.DUMMYFUNCTION("""COMPUTED_VALUE"""),45306.64583333333)</f>
        <v>45306.64583</v>
      </c>
      <c r="FF21" s="45">
        <f>IFERROR(__xludf.DUMMYFUNCTION("""COMPUTED_VALUE"""),344.85)</f>
        <v>344.85</v>
      </c>
      <c r="FG21" s="46">
        <f t="shared" si="41"/>
        <v>0.1313976378</v>
      </c>
      <c r="FH21" s="37"/>
      <c r="FI21" s="37">
        <f>IFERROR(__xludf.DUMMYFUNCTION("""COMPUTED_VALUE"""),45306.64583333333)</f>
        <v>45306.64583</v>
      </c>
      <c r="FJ21" s="45">
        <f>IFERROR(__xludf.DUMMYFUNCTION("""COMPUTED_VALUE"""),606.8)</f>
        <v>606.8</v>
      </c>
      <c r="FK21" s="46">
        <f t="shared" si="42"/>
        <v>0.001237521657</v>
      </c>
      <c r="FL21" s="37"/>
      <c r="FM21" s="37">
        <f>IFERROR(__xludf.DUMMYFUNCTION("""COMPUTED_VALUE"""),45306.64583333333)</f>
        <v>45306.64583</v>
      </c>
      <c r="FN21" s="45">
        <f>IFERROR(__xludf.DUMMYFUNCTION("""COMPUTED_VALUE"""),106.9)</f>
        <v>106.9</v>
      </c>
      <c r="FO21" s="46">
        <f t="shared" si="43"/>
        <v>0.1252631579</v>
      </c>
      <c r="FP21" s="37"/>
      <c r="FQ21" s="37">
        <f>IFERROR(__xludf.DUMMYFUNCTION("""COMPUTED_VALUE"""),45306.64583333333)</f>
        <v>45306.64583</v>
      </c>
      <c r="FR21" s="45">
        <f>IFERROR(__xludf.DUMMYFUNCTION("""COMPUTED_VALUE"""),4.6)</f>
        <v>4.6</v>
      </c>
      <c r="FS21" s="46">
        <f t="shared" si="44"/>
        <v>-0.1636363636</v>
      </c>
      <c r="FT21" s="37"/>
      <c r="FU21" s="37">
        <f>IFERROR(__xludf.DUMMYFUNCTION("""COMPUTED_VALUE"""),45306.64583333333)</f>
        <v>45306.64583</v>
      </c>
      <c r="FV21" s="45">
        <f>IFERROR(__xludf.DUMMYFUNCTION("""COMPUTED_VALUE"""),709.9)</f>
        <v>709.9</v>
      </c>
      <c r="FW21" s="46">
        <f t="shared" si="45"/>
        <v>0.06344094075</v>
      </c>
      <c r="FX21" s="37"/>
      <c r="FY21" s="37">
        <f>IFERROR(__xludf.DUMMYFUNCTION("""COMPUTED_VALUE"""),45306.64583333333)</f>
        <v>45306.64583</v>
      </c>
      <c r="FZ21" s="45">
        <f>IFERROR(__xludf.DUMMYFUNCTION("""COMPUTED_VALUE"""),174.95)</f>
        <v>174.95</v>
      </c>
      <c r="GA21" s="46">
        <f t="shared" si="46"/>
        <v>0.03032979976</v>
      </c>
      <c r="GB21" s="37"/>
      <c r="GC21" s="37">
        <f>IFERROR(__xludf.DUMMYFUNCTION("""COMPUTED_VALUE"""),45306.64583333333)</f>
        <v>45306.64583</v>
      </c>
      <c r="GD21" s="45">
        <f>IFERROR(__xludf.DUMMYFUNCTION("""COMPUTED_VALUE"""),422.5)</f>
        <v>422.5</v>
      </c>
      <c r="GE21" s="46">
        <f t="shared" si="47"/>
        <v>-0.08529984845</v>
      </c>
      <c r="GF21" s="37"/>
      <c r="GG21" s="37">
        <f>IFERROR(__xludf.DUMMYFUNCTION("""COMPUTED_VALUE"""),45306.64583333333)</f>
        <v>45306.64583</v>
      </c>
      <c r="GH21" s="45">
        <f>IFERROR(__xludf.DUMMYFUNCTION("""COMPUTED_VALUE"""),5597.5)</f>
        <v>5597.5</v>
      </c>
      <c r="GI21" s="46">
        <f t="shared" si="48"/>
        <v>0.05633138328</v>
      </c>
      <c r="GJ21" s="37"/>
      <c r="GK21" s="37">
        <f>IFERROR(__xludf.DUMMYFUNCTION("""COMPUTED_VALUE"""),45306.64583333333)</f>
        <v>45306.64583</v>
      </c>
      <c r="GL21" s="45">
        <f>IFERROR(__xludf.DUMMYFUNCTION("""COMPUTED_VALUE"""),96.0)</f>
        <v>96</v>
      </c>
      <c r="GM21" s="46">
        <f t="shared" si="49"/>
        <v>-0.1534391534</v>
      </c>
      <c r="GN21" s="37"/>
      <c r="GO21" s="37">
        <f>IFERROR(__xludf.DUMMYFUNCTION("""COMPUTED_VALUE"""),45306.64583333333)</f>
        <v>45306.64583</v>
      </c>
      <c r="GP21" s="45">
        <f>IFERROR(__xludf.DUMMYFUNCTION("""COMPUTED_VALUE"""),1172.0)</f>
        <v>1172</v>
      </c>
      <c r="GQ21" s="46">
        <f t="shared" si="50"/>
        <v>0.06589059161</v>
      </c>
      <c r="GR21" s="37"/>
      <c r="GS21" s="37">
        <f>IFERROR(__xludf.DUMMYFUNCTION("""COMPUTED_VALUE"""),45306.64583333333)</f>
        <v>45306.64583</v>
      </c>
      <c r="GT21" s="45">
        <f>IFERROR(__xludf.DUMMYFUNCTION("""COMPUTED_VALUE"""),13.6)</f>
        <v>13.6</v>
      </c>
      <c r="GU21" s="46">
        <f t="shared" si="51"/>
        <v>0.05019305019</v>
      </c>
      <c r="GV21" s="37"/>
      <c r="GW21" s="37">
        <f>IFERROR(__xludf.DUMMYFUNCTION("""COMPUTED_VALUE"""),45307.64583333333)</f>
        <v>45307.64583</v>
      </c>
      <c r="GX21" s="45">
        <f>IFERROR(__xludf.DUMMYFUNCTION("""COMPUTED_VALUE"""),17.95)</f>
        <v>17.95</v>
      </c>
      <c r="GY21" s="46">
        <f t="shared" si="52"/>
        <v>0.08787878788</v>
      </c>
      <c r="GZ21" s="37"/>
      <c r="HA21" s="37">
        <f>IFERROR(__xludf.DUMMYFUNCTION("""COMPUTED_VALUE"""),45307.64583333333)</f>
        <v>45307.64583</v>
      </c>
      <c r="HB21" s="45">
        <f>IFERROR(__xludf.DUMMYFUNCTION("""COMPUTED_VALUE"""),584.85)</f>
        <v>584.85</v>
      </c>
      <c r="HC21" s="46">
        <f t="shared" si="53"/>
        <v>-0.03807565789</v>
      </c>
      <c r="HD21" s="37"/>
      <c r="HE21" s="43">
        <f>IFERROR(__xludf.DUMMYFUNCTION("""COMPUTED_VALUE"""),45307.64583333333)</f>
        <v>45307.64583</v>
      </c>
      <c r="HF21" s="45">
        <f>IFERROR(__xludf.DUMMYFUNCTION("""COMPUTED_VALUE"""),2285.1)</f>
        <v>2285.1</v>
      </c>
      <c r="HG21" s="46" t="str">
        <f t="shared" si="54"/>
        <v>#DIV/0!</v>
      </c>
      <c r="HH21" s="37"/>
      <c r="HI21" s="37">
        <f>IFERROR(__xludf.DUMMYFUNCTION("""COMPUTED_VALUE"""),45307.64583333333)</f>
        <v>45307.64583</v>
      </c>
      <c r="HJ21" s="45">
        <f>IFERROR(__xludf.DUMMYFUNCTION("""COMPUTED_VALUE"""),5480.0)</f>
        <v>5480</v>
      </c>
      <c r="HK21" s="46">
        <f t="shared" si="55"/>
        <v>0.07239655189</v>
      </c>
      <c r="HL21" s="37"/>
      <c r="HM21" s="37">
        <f>IFERROR(__xludf.DUMMYFUNCTION("""COMPUTED_VALUE"""),45307.64583333333)</f>
        <v>45307.64583</v>
      </c>
      <c r="HN21" s="45">
        <f>IFERROR(__xludf.DUMMYFUNCTION("""COMPUTED_VALUE"""),399.95)</f>
        <v>399.95</v>
      </c>
      <c r="HO21" s="46">
        <f t="shared" si="56"/>
        <v>-0.01623416554</v>
      </c>
      <c r="HP21" s="37"/>
      <c r="HQ21" s="37">
        <f>IFERROR(__xludf.DUMMYFUNCTION("""COMPUTED_VALUE"""),45307.64583333333)</f>
        <v>45307.64583</v>
      </c>
      <c r="HR21" s="45">
        <f>IFERROR(__xludf.DUMMYFUNCTION("""COMPUTED_VALUE"""),233.0)</f>
        <v>233</v>
      </c>
      <c r="HS21" s="46">
        <f t="shared" si="57"/>
        <v>-0.08375933936</v>
      </c>
      <c r="HT21" s="37"/>
      <c r="HU21" s="37">
        <f>IFERROR(__xludf.DUMMYFUNCTION("""COMPUTED_VALUE"""),45307.64583333333)</f>
        <v>45307.64583</v>
      </c>
      <c r="HV21" s="45">
        <f>IFERROR(__xludf.DUMMYFUNCTION("""COMPUTED_VALUE"""),74.85)</f>
        <v>74.85</v>
      </c>
      <c r="HW21" s="46">
        <f t="shared" si="58"/>
        <v>0.1995192308</v>
      </c>
      <c r="HX21" s="37"/>
      <c r="HY21" s="37">
        <f>IFERROR(__xludf.DUMMYFUNCTION("""COMPUTED_VALUE"""),45307.64583333333)</f>
        <v>45307.64583</v>
      </c>
      <c r="HZ21" s="45">
        <f>IFERROR(__xludf.DUMMYFUNCTION("""COMPUTED_VALUE"""),359.5)</f>
        <v>359.5</v>
      </c>
      <c r="IA21" s="46">
        <f t="shared" si="59"/>
        <v>-0.2268817204</v>
      </c>
      <c r="IB21" s="37"/>
      <c r="IC21" s="37">
        <f>IFERROR(__xludf.DUMMYFUNCTION("""COMPUTED_VALUE"""),45307.64583333333)</f>
        <v>45307.64583</v>
      </c>
      <c r="ID21" s="45">
        <f>IFERROR(__xludf.DUMMYFUNCTION("""COMPUTED_VALUE"""),80.25)</f>
        <v>80.25</v>
      </c>
      <c r="IE21" s="46">
        <f t="shared" si="60"/>
        <v>-0.8170940171</v>
      </c>
      <c r="IF21" s="37"/>
      <c r="IG21" s="37">
        <f>IFERROR(__xludf.DUMMYFUNCTION("""COMPUTED_VALUE"""),45307.64583333333)</f>
        <v>45307.64583</v>
      </c>
      <c r="IH21" s="45">
        <f>IFERROR(__xludf.DUMMYFUNCTION("""COMPUTED_VALUE"""),534.0)</f>
        <v>534</v>
      </c>
      <c r="II21" s="46">
        <f t="shared" si="61"/>
        <v>0.001876172608</v>
      </c>
      <c r="IJ21" s="37"/>
      <c r="IK21" s="37">
        <f>IFERROR(__xludf.DUMMYFUNCTION("""COMPUTED_VALUE"""),45307.64583333333)</f>
        <v>45307.64583</v>
      </c>
      <c r="IL21" s="45">
        <f>IFERROR(__xludf.DUMMYFUNCTION("""COMPUTED_VALUE"""),577.35)</f>
        <v>577.35</v>
      </c>
      <c r="IM21" s="46">
        <f t="shared" si="62"/>
        <v>-0.0657011085</v>
      </c>
      <c r="IN21" s="37"/>
      <c r="IO21" s="37">
        <f>IFERROR(__xludf.DUMMYFUNCTION("""COMPUTED_VALUE"""),45307.64583333333)</f>
        <v>45307.64583</v>
      </c>
      <c r="IP21" s="45">
        <f>IFERROR(__xludf.DUMMYFUNCTION("""COMPUTED_VALUE"""),162.57)</f>
        <v>162.57</v>
      </c>
      <c r="IQ21" s="46">
        <f t="shared" si="63"/>
        <v>0.2934203198</v>
      </c>
      <c r="IR21" s="37"/>
      <c r="IS21" s="37">
        <f>IFERROR(__xludf.DUMMYFUNCTION("""COMPUTED_VALUE"""),45307.64583333333)</f>
        <v>45307.64583</v>
      </c>
      <c r="IT21" s="45">
        <f>IFERROR(__xludf.DUMMYFUNCTION("""COMPUTED_VALUE"""),1028.0)</f>
        <v>1028</v>
      </c>
      <c r="IU21" s="46">
        <f t="shared" si="64"/>
        <v>0.02390438247</v>
      </c>
      <c r="IV21" s="37"/>
      <c r="IW21" s="37">
        <f>IFERROR(__xludf.DUMMYFUNCTION("""COMPUTED_VALUE"""),45307.64583333333)</f>
        <v>45307.64583</v>
      </c>
      <c r="IX21" s="45">
        <f>IFERROR(__xludf.DUMMYFUNCTION("""COMPUTED_VALUE"""),217.55)</f>
        <v>217.55</v>
      </c>
      <c r="IY21" s="46">
        <f t="shared" si="65"/>
        <v>0.05632435057</v>
      </c>
      <c r="IZ21" s="37"/>
      <c r="JA21" s="37">
        <f>IFERROR(__xludf.DUMMYFUNCTION("""COMPUTED_VALUE"""),45307.64583333333)</f>
        <v>45307.64583</v>
      </c>
      <c r="JB21" s="45">
        <f>IFERROR(__xludf.DUMMYFUNCTION("""COMPUTED_VALUE"""),34699.75)</f>
        <v>34699.75</v>
      </c>
      <c r="JC21" s="46">
        <f t="shared" si="66"/>
        <v>-0.01985444592</v>
      </c>
      <c r="JD21" s="37"/>
      <c r="JE21" s="37">
        <f>IFERROR(__xludf.DUMMYFUNCTION("""COMPUTED_VALUE"""),45307.64583333333)</f>
        <v>45307.64583</v>
      </c>
      <c r="JF21" s="45">
        <f>IFERROR(__xludf.DUMMYFUNCTION("""COMPUTED_VALUE"""),617.8)</f>
        <v>617.8</v>
      </c>
      <c r="JG21" s="46">
        <f t="shared" si="67"/>
        <v>-0.04217054264</v>
      </c>
      <c r="JH21" s="37"/>
      <c r="JI21" s="37">
        <f>IFERROR(__xludf.DUMMYFUNCTION("""COMPUTED_VALUE"""),45307.64583333333)</f>
        <v>45307.64583</v>
      </c>
      <c r="JJ21" s="45">
        <f>IFERROR(__xludf.DUMMYFUNCTION("""COMPUTED_VALUE"""),308.0)</f>
        <v>308</v>
      </c>
      <c r="JK21" s="46">
        <f t="shared" si="68"/>
        <v>-0.07770624345</v>
      </c>
      <c r="JL21" s="37"/>
      <c r="JM21" s="37">
        <f>IFERROR(__xludf.DUMMYFUNCTION("""COMPUTED_VALUE"""),45307.64583333333)</f>
        <v>45307.64583</v>
      </c>
      <c r="JN21" s="45">
        <f>IFERROR(__xludf.DUMMYFUNCTION("""COMPUTED_VALUE"""),16.25)</f>
        <v>16.25</v>
      </c>
      <c r="JO21" s="46">
        <f t="shared" si="69"/>
        <v>-0.962962963</v>
      </c>
      <c r="JP21" s="37"/>
      <c r="JQ21" s="37">
        <f>IFERROR(__xludf.DUMMYFUNCTION("""COMPUTED_VALUE"""),45307.64583333333)</f>
        <v>45307.64583</v>
      </c>
      <c r="JR21" s="45">
        <f>IFERROR(__xludf.DUMMYFUNCTION("""COMPUTED_VALUE"""),93.95)</f>
        <v>93.95</v>
      </c>
      <c r="JS21" s="46">
        <f t="shared" si="70"/>
        <v>-0.3091911765</v>
      </c>
      <c r="JT21" s="37"/>
      <c r="JU21" s="37">
        <f>IFERROR(__xludf.DUMMYFUNCTION("""COMPUTED_VALUE"""),45307.64583333333)</f>
        <v>45307.64583</v>
      </c>
      <c r="JV21" s="45">
        <f>IFERROR(__xludf.DUMMYFUNCTION("""COMPUTED_VALUE"""),249.9)</f>
        <v>249.9</v>
      </c>
      <c r="JW21" s="46">
        <f t="shared" si="71"/>
        <v>-0.4304273504</v>
      </c>
      <c r="JX21" s="37"/>
      <c r="JY21" s="37">
        <f>IFERROR(__xludf.DUMMYFUNCTION("""COMPUTED_VALUE"""),45307.64583333333)</f>
        <v>45307.64583</v>
      </c>
      <c r="JZ21" s="45">
        <f>IFERROR(__xludf.DUMMYFUNCTION("""COMPUTED_VALUE"""),643.45)</f>
        <v>643.45</v>
      </c>
      <c r="KA21" s="46">
        <f t="shared" si="72"/>
        <v>0.1677858439</v>
      </c>
      <c r="KB21" s="37"/>
      <c r="KC21" s="37">
        <f>IFERROR(__xludf.DUMMYFUNCTION("""COMPUTED_VALUE"""),45307.64583333333)</f>
        <v>45307.64583</v>
      </c>
      <c r="KD21" s="45">
        <f>IFERROR(__xludf.DUMMYFUNCTION("""COMPUTED_VALUE"""),919.4)</f>
        <v>919.4</v>
      </c>
      <c r="KE21" s="46">
        <f t="shared" si="73"/>
        <v>0.05248697842</v>
      </c>
      <c r="KF21" s="37"/>
      <c r="KG21" s="37">
        <f>IFERROR(__xludf.DUMMYFUNCTION("""COMPUTED_VALUE"""),45307.64583333333)</f>
        <v>45307.64583</v>
      </c>
      <c r="KH21" s="45">
        <f>IFERROR(__xludf.DUMMYFUNCTION("""COMPUTED_VALUE"""),454.8)</f>
        <v>454.8</v>
      </c>
      <c r="KI21" s="46">
        <f t="shared" si="74"/>
        <v>0.1661538462</v>
      </c>
      <c r="KJ21" s="37"/>
      <c r="KK21" s="37">
        <f>IFERROR(__xludf.DUMMYFUNCTION("""COMPUTED_VALUE"""),45307.64583333333)</f>
        <v>45307.64583</v>
      </c>
      <c r="KL21" s="45">
        <f>IFERROR(__xludf.DUMMYFUNCTION("""COMPUTED_VALUE"""),10.3)</f>
        <v>10.3</v>
      </c>
      <c r="KM21" s="46">
        <f t="shared" si="75"/>
        <v>0.1075268817</v>
      </c>
      <c r="KN21" s="37"/>
      <c r="KO21" s="37">
        <f>IFERROR(__xludf.DUMMYFUNCTION("""COMPUTED_VALUE"""),45307.64583333333)</f>
        <v>45307.64583</v>
      </c>
      <c r="KP21" s="45">
        <f>IFERROR(__xludf.DUMMYFUNCTION("""COMPUTED_VALUE"""),235.8)</f>
        <v>235.8</v>
      </c>
      <c r="KQ21" s="46">
        <f t="shared" si="76"/>
        <v>0.1598622725</v>
      </c>
      <c r="KR21" s="37"/>
      <c r="KS21" s="37">
        <f>IFERROR(__xludf.DUMMYFUNCTION("""COMPUTED_VALUE"""),45307.64583333333)</f>
        <v>45307.64583</v>
      </c>
      <c r="KT21" s="45">
        <f>IFERROR(__xludf.DUMMYFUNCTION("""COMPUTED_VALUE"""),11.75)</f>
        <v>11.75</v>
      </c>
      <c r="KU21" s="46">
        <f t="shared" si="77"/>
        <v>0.06334841629</v>
      </c>
      <c r="KV21" s="37"/>
      <c r="KW21" s="37">
        <f>IFERROR(__xludf.DUMMYFUNCTION("""COMPUTED_VALUE"""),45307.64583333333)</f>
        <v>45307.64583</v>
      </c>
      <c r="KX21" s="45">
        <f>IFERROR(__xludf.DUMMYFUNCTION("""COMPUTED_VALUE"""),2528.6)</f>
        <v>2528.6</v>
      </c>
      <c r="KY21" s="46">
        <f t="shared" si="78"/>
        <v>-0.05294106631</v>
      </c>
      <c r="KZ21" s="37"/>
      <c r="LA21" s="37">
        <f>IFERROR(__xludf.DUMMYFUNCTION("""COMPUTED_VALUE"""),45307.64583333333)</f>
        <v>45307.64583</v>
      </c>
      <c r="LB21" s="45">
        <f>IFERROR(__xludf.DUMMYFUNCTION("""COMPUTED_VALUE"""),22.7)</f>
        <v>22.7</v>
      </c>
      <c r="LC21" s="46">
        <f t="shared" si="79"/>
        <v>0.2042440318</v>
      </c>
      <c r="LD21" s="37"/>
      <c r="LE21" s="37">
        <f>IFERROR(__xludf.DUMMYFUNCTION("""COMPUTED_VALUE"""),45307.64583333333)</f>
        <v>45307.64583</v>
      </c>
      <c r="LF21" s="45">
        <f>IFERROR(__xludf.DUMMYFUNCTION("""COMPUTED_VALUE"""),141.2)</f>
        <v>141.2</v>
      </c>
      <c r="LG21" s="46">
        <f t="shared" si="80"/>
        <v>0.1296</v>
      </c>
      <c r="LH21" s="37"/>
      <c r="LI21" s="37">
        <f>IFERROR(__xludf.DUMMYFUNCTION("""COMPUTED_VALUE"""),45307.64583333333)</f>
        <v>45307.64583</v>
      </c>
      <c r="LJ21" s="45">
        <f>IFERROR(__xludf.DUMMYFUNCTION("""COMPUTED_VALUE"""),727.9)</f>
        <v>727.9</v>
      </c>
      <c r="LK21" s="46">
        <f t="shared" si="81"/>
        <v>-0.0001373626374</v>
      </c>
      <c r="LL21" s="37"/>
      <c r="LM21" s="37">
        <f>IFERROR(__xludf.DUMMYFUNCTION("""COMPUTED_VALUE"""),45307.64583333333)</f>
        <v>45307.64583</v>
      </c>
      <c r="LN21" s="45">
        <f>IFERROR(__xludf.DUMMYFUNCTION("""COMPUTED_VALUE"""),864.85)</f>
        <v>864.85</v>
      </c>
      <c r="LO21" s="46">
        <f t="shared" si="82"/>
        <v>0.01152046784</v>
      </c>
      <c r="LP21" s="37"/>
      <c r="LQ21" s="37">
        <f>IFERROR(__xludf.DUMMYFUNCTION("""COMPUTED_VALUE"""),45307.64583333333)</f>
        <v>45307.64583</v>
      </c>
      <c r="LR21" s="45">
        <f>IFERROR(__xludf.DUMMYFUNCTION("""COMPUTED_VALUE"""),473.55)</f>
        <v>473.55</v>
      </c>
      <c r="LS21" s="46">
        <f t="shared" si="83"/>
        <v>0.2959770115</v>
      </c>
      <c r="LT21" s="37"/>
      <c r="LU21" s="37">
        <f>IFERROR(__xludf.DUMMYFUNCTION("""COMPUTED_VALUE"""),45307.64583333333)</f>
        <v>45307.64583</v>
      </c>
      <c r="LV21" s="45">
        <f>IFERROR(__xludf.DUMMYFUNCTION("""COMPUTED_VALUE"""),130.5)</f>
        <v>130.5</v>
      </c>
      <c r="LW21" s="46">
        <f t="shared" si="84"/>
        <v>-0.04605263158</v>
      </c>
      <c r="LX21" s="37"/>
      <c r="LY21" s="37">
        <f>IFERROR(__xludf.DUMMYFUNCTION("""COMPUTED_VALUE"""),45307.64583333333)</f>
        <v>45307.64583</v>
      </c>
      <c r="LZ21" s="45">
        <f>IFERROR(__xludf.DUMMYFUNCTION("""COMPUTED_VALUE"""),602.0)</f>
        <v>602</v>
      </c>
      <c r="MA21" s="46">
        <f t="shared" si="85"/>
        <v>-0.02903225806</v>
      </c>
      <c r="MB21" s="37"/>
      <c r="MC21" s="37"/>
      <c r="MD21" s="45"/>
      <c r="ME21" s="46" t="str">
        <f t="shared" si="86"/>
        <v>#DIV/0!</v>
      </c>
      <c r="MF21" s="37"/>
      <c r="MG21" s="37">
        <f>IFERROR(__xludf.DUMMYFUNCTION("""COMPUTED_VALUE"""),45307.64583333333)</f>
        <v>45307.64583</v>
      </c>
      <c r="MH21" s="45">
        <f>IFERROR(__xludf.DUMMYFUNCTION("""COMPUTED_VALUE"""),1972.0)</f>
        <v>1972</v>
      </c>
      <c r="MI21" s="46">
        <f t="shared" si="87"/>
        <v>0.00563502384</v>
      </c>
      <c r="MJ21" s="37"/>
      <c r="MK21" s="37">
        <f>IFERROR(__xludf.DUMMYFUNCTION("""COMPUTED_VALUE"""),45307.64583333333)</f>
        <v>45307.64583</v>
      </c>
      <c r="ML21" s="45">
        <f>IFERROR(__xludf.DUMMYFUNCTION("""COMPUTED_VALUE"""),365.9)</f>
        <v>365.9</v>
      </c>
      <c r="MM21" s="46">
        <f t="shared" si="88"/>
        <v>-0.08513564196</v>
      </c>
      <c r="MN21" s="37"/>
      <c r="MO21" s="37">
        <f>IFERROR(__xludf.DUMMYFUNCTION("""COMPUTED_VALUE"""),45307.64583333333)</f>
        <v>45307.64583</v>
      </c>
      <c r="MP21" s="45">
        <f>IFERROR(__xludf.DUMMYFUNCTION("""COMPUTED_VALUE"""),745.85)</f>
        <v>745.85</v>
      </c>
      <c r="MQ21" s="46">
        <f t="shared" si="89"/>
        <v>0.007905405405</v>
      </c>
      <c r="MR21" s="37"/>
      <c r="MS21" s="37">
        <f>IFERROR(__xludf.DUMMYFUNCTION("""COMPUTED_VALUE"""),45307.64583333333)</f>
        <v>45307.64583</v>
      </c>
      <c r="MT21" s="45">
        <f>IFERROR(__xludf.DUMMYFUNCTION("""COMPUTED_VALUE"""),66.2)</f>
        <v>66.2</v>
      </c>
      <c r="MU21" s="46">
        <f t="shared" si="90"/>
        <v>0.0007558578987</v>
      </c>
      <c r="MV21" s="37"/>
      <c r="MW21" s="37">
        <f>IFERROR(__xludf.DUMMYFUNCTION("""COMPUTED_VALUE"""),45307.64583333333)</f>
        <v>45307.64583</v>
      </c>
      <c r="MX21" s="45">
        <f>IFERROR(__xludf.DUMMYFUNCTION("""COMPUTED_VALUE"""),3284.9)</f>
        <v>3284.9</v>
      </c>
      <c r="MY21" s="46">
        <f t="shared" si="91"/>
        <v>0.04381951065</v>
      </c>
      <c r="MZ21" s="37"/>
      <c r="NA21" s="37">
        <f>IFERROR(__xludf.DUMMYFUNCTION("""COMPUTED_VALUE"""),45307.64583333333)</f>
        <v>45307.64583</v>
      </c>
      <c r="NB21" s="45">
        <f>IFERROR(__xludf.DUMMYFUNCTION("""COMPUTED_VALUE"""),13.5)</f>
        <v>13.5</v>
      </c>
      <c r="NC21" s="46">
        <f t="shared" si="92"/>
        <v>0.06719367589</v>
      </c>
      <c r="ND21" s="37"/>
      <c r="NE21" s="37">
        <f>IFERROR(__xludf.DUMMYFUNCTION("""COMPUTED_VALUE"""),45308.64583333333)</f>
        <v>45308.64583</v>
      </c>
      <c r="NF21" s="45">
        <f>IFERROR(__xludf.DUMMYFUNCTION("""COMPUTED_VALUE"""),387.0)</f>
        <v>387</v>
      </c>
      <c r="NG21" s="46">
        <f t="shared" si="93"/>
        <v>0.01057579318</v>
      </c>
      <c r="NH21" s="37"/>
      <c r="NI21" s="37">
        <f>IFERROR(__xludf.DUMMYFUNCTION("""COMPUTED_VALUE"""),45308.64583333333)</f>
        <v>45308.64583</v>
      </c>
      <c r="NJ21" s="45">
        <f>IFERROR(__xludf.DUMMYFUNCTION("""COMPUTED_VALUE"""),305.83)</f>
        <v>305.83</v>
      </c>
      <c r="NK21" s="46">
        <f t="shared" si="94"/>
        <v>0.1468481644</v>
      </c>
      <c r="NL21" s="37"/>
      <c r="NM21" s="37">
        <f>IFERROR(__xludf.DUMMYFUNCTION("""COMPUTED_VALUE"""),45308.64583333333)</f>
        <v>45308.64583</v>
      </c>
      <c r="NN21" s="45">
        <f>IFERROR(__xludf.DUMMYFUNCTION("""COMPUTED_VALUE"""),117.85)</f>
        <v>117.85</v>
      </c>
      <c r="NO21" s="46">
        <f t="shared" si="95"/>
        <v>-0.04420113544</v>
      </c>
      <c r="NP21" s="37"/>
      <c r="NQ21" s="37">
        <f>IFERROR(__xludf.DUMMYFUNCTION("""COMPUTED_VALUE"""),45308.64583333333)</f>
        <v>45308.64583</v>
      </c>
      <c r="NR21" s="45">
        <f>IFERROR(__xludf.DUMMYFUNCTION("""COMPUTED_VALUE"""),4430.0)</f>
        <v>4430</v>
      </c>
      <c r="NS21" s="46">
        <f t="shared" si="96"/>
        <v>0.06082375479</v>
      </c>
      <c r="NT21" s="37"/>
      <c r="NU21" s="37">
        <f>IFERROR(__xludf.DUMMYFUNCTION("""COMPUTED_VALUE"""),45308.64583333333)</f>
        <v>45308.64583</v>
      </c>
      <c r="NV21" s="45">
        <f>IFERROR(__xludf.DUMMYFUNCTION("""COMPUTED_VALUE"""),13.45)</f>
        <v>13.45</v>
      </c>
      <c r="NW21" s="46">
        <f t="shared" si="97"/>
        <v>0.05905511811</v>
      </c>
      <c r="NX21" s="37"/>
      <c r="NY21" s="37">
        <f>IFERROR(__xludf.DUMMYFUNCTION("""COMPUTED_VALUE"""),45308.64583333333)</f>
        <v>45308.64583</v>
      </c>
      <c r="NZ21" s="45">
        <f>IFERROR(__xludf.DUMMYFUNCTION("""COMPUTED_VALUE"""),289.1)</f>
        <v>289.1</v>
      </c>
      <c r="OA21" s="46">
        <f t="shared" si="98"/>
        <v>0.1713938412</v>
      </c>
      <c r="OB21" s="37"/>
      <c r="OC21" s="37">
        <f>IFERROR(__xludf.DUMMYFUNCTION("""COMPUTED_VALUE"""),45308.64583333333)</f>
        <v>45308.64583</v>
      </c>
      <c r="OD21" s="45">
        <f>IFERROR(__xludf.DUMMYFUNCTION("""COMPUTED_VALUE"""),1152.95)</f>
        <v>1152.95</v>
      </c>
      <c r="OE21" s="46">
        <f t="shared" si="99"/>
        <v>0.09393234973</v>
      </c>
      <c r="OF21" s="37"/>
      <c r="OG21" s="37">
        <f>IFERROR(__xludf.DUMMYFUNCTION("""COMPUTED_VALUE"""),45308.64583333333)</f>
        <v>45308.64583</v>
      </c>
      <c r="OH21" s="45">
        <f>IFERROR(__xludf.DUMMYFUNCTION("""COMPUTED_VALUE"""),2262.5)</f>
        <v>2262.5</v>
      </c>
      <c r="OI21" s="46">
        <f t="shared" si="100"/>
        <v>-0.07266989097</v>
      </c>
      <c r="OJ21" s="37"/>
      <c r="OK21" s="37"/>
      <c r="OL21" s="45"/>
      <c r="OM21" s="46" t="str">
        <f t="shared" si="101"/>
        <v>#DIV/0!</v>
      </c>
      <c r="ON21" s="37"/>
    </row>
    <row r="22" ht="12.0" customHeight="1">
      <c r="A22" s="37">
        <f>IFERROR(__xludf.DUMMYFUNCTION("""COMPUTED_VALUE"""),45307.64583333333)</f>
        <v>45307.64583</v>
      </c>
      <c r="B22" s="45">
        <f>IFERROR(__xludf.DUMMYFUNCTION("""COMPUTED_VALUE"""),422.95)</f>
        <v>422.95</v>
      </c>
      <c r="C22" s="46">
        <f t="shared" si="1"/>
        <v>-0.03601139601</v>
      </c>
      <c r="D22" s="37"/>
      <c r="E22" s="37">
        <f>IFERROR(__xludf.DUMMYFUNCTION("""COMPUTED_VALUE"""),45307.64583333333)</f>
        <v>45307.64583</v>
      </c>
      <c r="F22" s="45">
        <f>IFERROR(__xludf.DUMMYFUNCTION("""COMPUTED_VALUE"""),720.0)</f>
        <v>720</v>
      </c>
      <c r="G22" s="46">
        <f t="shared" si="2"/>
        <v>0.09923664122</v>
      </c>
      <c r="H22" s="37"/>
      <c r="I22" s="37">
        <f>IFERROR(__xludf.DUMMYFUNCTION("""COMPUTED_VALUE"""),45307.64583333333)</f>
        <v>45307.64583</v>
      </c>
      <c r="J22" s="45">
        <f>IFERROR(__xludf.DUMMYFUNCTION("""COMPUTED_VALUE"""),190.25)</f>
        <v>190.25</v>
      </c>
      <c r="K22" s="46">
        <f t="shared" si="3"/>
        <v>0.0339673913</v>
      </c>
      <c r="L22" s="37"/>
      <c r="M22" s="37">
        <f>IFERROR(__xludf.DUMMYFUNCTION("""COMPUTED_VALUE"""),45307.64583333333)</f>
        <v>45307.64583</v>
      </c>
      <c r="N22" s="45">
        <f>IFERROR(__xludf.DUMMYFUNCTION("""COMPUTED_VALUE"""),89.9)</f>
        <v>89.9</v>
      </c>
      <c r="O22" s="46">
        <f t="shared" si="4"/>
        <v>0.04050925926</v>
      </c>
      <c r="P22" s="37"/>
      <c r="Q22" s="37">
        <f>IFERROR(__xludf.DUMMYFUNCTION("""COMPUTED_VALUE"""),45307.64583333333)</f>
        <v>45307.64583</v>
      </c>
      <c r="R22" s="45">
        <f>IFERROR(__xludf.DUMMYFUNCTION("""COMPUTED_VALUE"""),49.35)</f>
        <v>49.35</v>
      </c>
      <c r="S22" s="46">
        <f t="shared" si="5"/>
        <v>-0.06</v>
      </c>
      <c r="T22" s="37"/>
      <c r="U22" s="37">
        <f>IFERROR(__xludf.DUMMYFUNCTION("""COMPUTED_VALUE"""),45307.64583333333)</f>
        <v>45307.64583</v>
      </c>
      <c r="V22" s="45">
        <f>IFERROR(__xludf.DUMMYFUNCTION("""COMPUTED_VALUE"""),826.0)</f>
        <v>826</v>
      </c>
      <c r="W22" s="46">
        <f t="shared" si="6"/>
        <v>0.2469806763</v>
      </c>
      <c r="X22" s="37"/>
      <c r="Y22" s="37">
        <f>IFERROR(__xludf.DUMMYFUNCTION("""COMPUTED_VALUE"""),45307.64583333333)</f>
        <v>45307.64583</v>
      </c>
      <c r="Z22" s="45">
        <f>IFERROR(__xludf.DUMMYFUNCTION("""COMPUTED_VALUE"""),178.4)</f>
        <v>178.4</v>
      </c>
      <c r="AA22" s="46">
        <f t="shared" si="7"/>
        <v>-0.03567567568</v>
      </c>
      <c r="AB22" s="37"/>
      <c r="AC22" s="37">
        <f>IFERROR(__xludf.DUMMYFUNCTION("""COMPUTED_VALUE"""),45307.64583333333)</f>
        <v>45307.64583</v>
      </c>
      <c r="AD22" s="45">
        <f>IFERROR(__xludf.DUMMYFUNCTION("""COMPUTED_VALUE"""),2285.1)</f>
        <v>2285.1</v>
      </c>
      <c r="AE22" s="46">
        <f t="shared" si="8"/>
        <v>-0.03765003159</v>
      </c>
      <c r="AF22" s="37"/>
      <c r="AG22" s="37">
        <f>IFERROR(__xludf.DUMMYFUNCTION("""COMPUTED_VALUE"""),45307.64583333333)</f>
        <v>45307.64583</v>
      </c>
      <c r="AH22" s="45">
        <f>IFERROR(__xludf.DUMMYFUNCTION("""COMPUTED_VALUE"""),724.85)</f>
        <v>724.85</v>
      </c>
      <c r="AI22" s="46">
        <f t="shared" si="9"/>
        <v>-0.1370833333</v>
      </c>
      <c r="AJ22" s="37"/>
      <c r="AK22" s="37">
        <f>IFERROR(__xludf.DUMMYFUNCTION("""COMPUTED_VALUE"""),45307.64583333333)</f>
        <v>45307.64583</v>
      </c>
      <c r="AL22" s="45">
        <f>IFERROR(__xludf.DUMMYFUNCTION("""COMPUTED_VALUE"""),5480.0)</f>
        <v>5480</v>
      </c>
      <c r="AM22" s="46">
        <f t="shared" si="10"/>
        <v>0.05384615385</v>
      </c>
      <c r="AN22" s="37"/>
      <c r="AO22" s="37">
        <f>IFERROR(__xludf.DUMMYFUNCTION("""COMPUTED_VALUE"""),45307.64583333333)</f>
        <v>45307.64583</v>
      </c>
      <c r="AP22" s="45">
        <f>IFERROR(__xludf.DUMMYFUNCTION("""COMPUTED_VALUE"""),883.0)</f>
        <v>883</v>
      </c>
      <c r="AQ22" s="46">
        <f t="shared" si="11"/>
        <v>-0.02967032967</v>
      </c>
      <c r="AR22" s="37"/>
      <c r="AS22" s="37">
        <f>IFERROR(__xludf.DUMMYFUNCTION("""COMPUTED_VALUE"""),45307.64583333333)</f>
        <v>45307.64583</v>
      </c>
      <c r="AT22" s="45">
        <f>IFERROR(__xludf.DUMMYFUNCTION("""COMPUTED_VALUE"""),2456.2)</f>
        <v>2456.2</v>
      </c>
      <c r="AU22" s="46">
        <f t="shared" si="12"/>
        <v>-0.01115181771</v>
      </c>
      <c r="AV22" s="37"/>
      <c r="AW22" s="37">
        <f>IFERROR(__xludf.DUMMYFUNCTION("""COMPUTED_VALUE"""),45307.64583333333)</f>
        <v>45307.64583</v>
      </c>
      <c r="AX22" s="45">
        <f>IFERROR(__xludf.DUMMYFUNCTION("""COMPUTED_VALUE"""),6487.95)</f>
        <v>6487.95</v>
      </c>
      <c r="AY22" s="46">
        <f t="shared" si="13"/>
        <v>0.149408284</v>
      </c>
      <c r="AZ22" s="37"/>
      <c r="BA22" s="37">
        <f>IFERROR(__xludf.DUMMYFUNCTION("""COMPUTED_VALUE"""),45307.64583333333)</f>
        <v>45307.64583</v>
      </c>
      <c r="BB22" s="45">
        <f>IFERROR(__xludf.DUMMYFUNCTION("""COMPUTED_VALUE"""),495.0)</f>
        <v>495</v>
      </c>
      <c r="BC22" s="46">
        <f t="shared" si="14"/>
        <v>0.05656350053</v>
      </c>
      <c r="BD22" s="37"/>
      <c r="BE22" s="37">
        <f>IFERROR(__xludf.DUMMYFUNCTION("""COMPUTED_VALUE"""),45307.64583333333)</f>
        <v>45307.64583</v>
      </c>
      <c r="BF22" s="45">
        <f>IFERROR(__xludf.DUMMYFUNCTION("""COMPUTED_VALUE"""),335.5)</f>
        <v>335.5</v>
      </c>
      <c r="BG22" s="46">
        <f t="shared" si="15"/>
        <v>-0.1756756757</v>
      </c>
      <c r="BH22" s="37"/>
      <c r="BI22" s="37">
        <f>IFERROR(__xludf.DUMMYFUNCTION("""COMPUTED_VALUE"""),45307.64583333333)</f>
        <v>45307.64583</v>
      </c>
      <c r="BJ22" s="45">
        <f>IFERROR(__xludf.DUMMYFUNCTION("""COMPUTED_VALUE"""),89.0)</f>
        <v>89</v>
      </c>
      <c r="BK22" s="46">
        <f t="shared" si="16"/>
        <v>0.2814974802</v>
      </c>
      <c r="BL22" s="37"/>
      <c r="BM22" s="37">
        <f>IFERROR(__xludf.DUMMYFUNCTION("""COMPUTED_VALUE"""),45307.64583333333)</f>
        <v>45307.64583</v>
      </c>
      <c r="BN22" s="45">
        <f>IFERROR(__xludf.DUMMYFUNCTION("""COMPUTED_VALUE"""),233.0)</f>
        <v>233</v>
      </c>
      <c r="BO22" s="46">
        <f t="shared" si="17"/>
        <v>-0.08984375</v>
      </c>
      <c r="BP22" s="37"/>
      <c r="BQ22" s="37">
        <f>IFERROR(__xludf.DUMMYFUNCTION("""COMPUTED_VALUE"""),45307.64583333333)</f>
        <v>45307.64583</v>
      </c>
      <c r="BR22" s="45">
        <f>IFERROR(__xludf.DUMMYFUNCTION("""COMPUTED_VALUE"""),74.85)</f>
        <v>74.85</v>
      </c>
      <c r="BS22" s="46">
        <f t="shared" si="18"/>
        <v>0.2290640394</v>
      </c>
      <c r="BT22" s="37"/>
      <c r="BU22" s="37">
        <f>IFERROR(__xludf.DUMMYFUNCTION("""COMPUTED_VALUE"""),45307.64583333333)</f>
        <v>45307.64583</v>
      </c>
      <c r="BV22" s="45">
        <f>IFERROR(__xludf.DUMMYFUNCTION("""COMPUTED_VALUE"""),328.3)</f>
        <v>328.3</v>
      </c>
      <c r="BW22" s="46">
        <f t="shared" si="19"/>
        <v>0.06108597285</v>
      </c>
      <c r="BX22" s="37"/>
      <c r="BY22" s="37">
        <f>IFERROR(__xludf.DUMMYFUNCTION("""COMPUTED_VALUE"""),45307.64583333333)</f>
        <v>45307.64583</v>
      </c>
      <c r="BZ22" s="45">
        <f>IFERROR(__xludf.DUMMYFUNCTION("""COMPUTED_VALUE"""),359.5)</f>
        <v>359.5</v>
      </c>
      <c r="CA22" s="46">
        <f t="shared" si="20"/>
        <v>-0.1221001221</v>
      </c>
      <c r="CB22" s="37"/>
      <c r="CC22" s="37">
        <f>IFERROR(__xludf.DUMMYFUNCTION("""COMPUTED_VALUE"""),45307.64583333333)</f>
        <v>45307.64583</v>
      </c>
      <c r="CD22" s="45">
        <f>IFERROR(__xludf.DUMMYFUNCTION("""COMPUTED_VALUE"""),260.0)</f>
        <v>260</v>
      </c>
      <c r="CE22" s="46">
        <f t="shared" si="21"/>
        <v>0.1221406992</v>
      </c>
      <c r="CF22" s="37"/>
      <c r="CG22" s="37">
        <f>IFERROR(__xludf.DUMMYFUNCTION("""COMPUTED_VALUE"""),45307.64583333333)</f>
        <v>45307.64583</v>
      </c>
      <c r="CH22" s="45">
        <f>IFERROR(__xludf.DUMMYFUNCTION("""COMPUTED_VALUE"""),617.8)</f>
        <v>617.8</v>
      </c>
      <c r="CI22" s="46">
        <f t="shared" si="22"/>
        <v>-0.0286163522</v>
      </c>
      <c r="CJ22" s="37"/>
      <c r="CK22" s="37">
        <f>IFERROR(__xludf.DUMMYFUNCTION("""COMPUTED_VALUE"""),45307.64583333333)</f>
        <v>45307.64583</v>
      </c>
      <c r="CL22" s="45">
        <f>IFERROR(__xludf.DUMMYFUNCTION("""COMPUTED_VALUE"""),308.0)</f>
        <v>308</v>
      </c>
      <c r="CM22" s="46">
        <f t="shared" si="23"/>
        <v>-0.08605341246</v>
      </c>
      <c r="CN22" s="37"/>
      <c r="CO22" s="37">
        <f>IFERROR(__xludf.DUMMYFUNCTION("""COMPUTED_VALUE"""),45307.64583333333)</f>
        <v>45307.64583</v>
      </c>
      <c r="CP22" s="45">
        <f>IFERROR(__xludf.DUMMYFUNCTION("""COMPUTED_VALUE"""),16.25)</f>
        <v>16.25</v>
      </c>
      <c r="CQ22" s="46">
        <f t="shared" si="24"/>
        <v>0.09797297297</v>
      </c>
      <c r="CR22" s="37"/>
      <c r="CS22" s="37">
        <f>IFERROR(__xludf.DUMMYFUNCTION("""COMPUTED_VALUE"""),45307.64583333333)</f>
        <v>45307.64583</v>
      </c>
      <c r="CT22" s="45">
        <f>IFERROR(__xludf.DUMMYFUNCTION("""COMPUTED_VALUE"""),197.5)</f>
        <v>197.5</v>
      </c>
      <c r="CU22" s="46">
        <f t="shared" si="25"/>
        <v>-0.002525252525</v>
      </c>
      <c r="CV22" s="37"/>
      <c r="CW22" s="37">
        <f>IFERROR(__xludf.DUMMYFUNCTION("""COMPUTED_VALUE"""),45307.64583333333)</f>
        <v>45307.64583</v>
      </c>
      <c r="CX22" s="45">
        <f>IFERROR(__xludf.DUMMYFUNCTION("""COMPUTED_VALUE"""),808.4)</f>
        <v>808.4</v>
      </c>
      <c r="CY22" s="46">
        <f t="shared" si="26"/>
        <v>0.1685796062</v>
      </c>
      <c r="CZ22" s="37"/>
      <c r="DA22" s="37">
        <f>IFERROR(__xludf.DUMMYFUNCTION("""COMPUTED_VALUE"""),45307.64583333333)</f>
        <v>45307.64583</v>
      </c>
      <c r="DB22" s="45">
        <f>IFERROR(__xludf.DUMMYFUNCTION("""COMPUTED_VALUE"""),36.9)</f>
        <v>36.9</v>
      </c>
      <c r="DC22" s="46">
        <f t="shared" si="27"/>
        <v>0.3225806452</v>
      </c>
      <c r="DD22" s="37"/>
      <c r="DE22" s="37">
        <f>IFERROR(__xludf.DUMMYFUNCTION("""COMPUTED_VALUE"""),45307.64583333333)</f>
        <v>45307.64583</v>
      </c>
      <c r="DF22" s="45">
        <f>IFERROR(__xludf.DUMMYFUNCTION("""COMPUTED_VALUE"""),93.95)</f>
        <v>93.95</v>
      </c>
      <c r="DG22" s="46">
        <f t="shared" si="28"/>
        <v>-0.1707855252</v>
      </c>
      <c r="DH22" s="37"/>
      <c r="DI22" s="37">
        <f>IFERROR(__xludf.DUMMYFUNCTION("""COMPUTED_VALUE"""),45307.64583333333)</f>
        <v>45307.64583</v>
      </c>
      <c r="DJ22" s="45">
        <f>IFERROR(__xludf.DUMMYFUNCTION("""COMPUTED_VALUE"""),1770.0)</f>
        <v>1770</v>
      </c>
      <c r="DK22" s="46">
        <f t="shared" si="29"/>
        <v>0.1029411765</v>
      </c>
      <c r="DL22" s="37"/>
      <c r="DM22" s="37">
        <f>IFERROR(__xludf.DUMMYFUNCTION("""COMPUTED_VALUE"""),45307.64583333333)</f>
        <v>45307.64583</v>
      </c>
      <c r="DN22" s="45">
        <f>IFERROR(__xludf.DUMMYFUNCTION("""COMPUTED_VALUE"""),569.05)</f>
        <v>569.05</v>
      </c>
      <c r="DO22" s="46">
        <f t="shared" si="30"/>
        <v>0.06136342441</v>
      </c>
      <c r="DP22" s="37"/>
      <c r="DQ22" s="37">
        <f>IFERROR(__xludf.DUMMYFUNCTION("""COMPUTED_VALUE"""),45307.64583333333)</f>
        <v>45307.64583</v>
      </c>
      <c r="DR22" s="45">
        <f>IFERROR(__xludf.DUMMYFUNCTION("""COMPUTED_VALUE"""),221.35)</f>
        <v>221.35</v>
      </c>
      <c r="DS22" s="46">
        <f t="shared" si="31"/>
        <v>0.01536697248</v>
      </c>
      <c r="DT22" s="37"/>
      <c r="DU22" s="37">
        <f>IFERROR(__xludf.DUMMYFUNCTION("""COMPUTED_VALUE"""),45307.64583333333)</f>
        <v>45307.64583</v>
      </c>
      <c r="DV22" s="45">
        <f>IFERROR(__xludf.DUMMYFUNCTION("""COMPUTED_VALUE"""),919.4)</f>
        <v>919.4</v>
      </c>
      <c r="DW22" s="46">
        <f t="shared" si="32"/>
        <v>0.0810111699</v>
      </c>
      <c r="DX22" s="37"/>
      <c r="DY22" s="37">
        <f>IFERROR(__xludf.DUMMYFUNCTION("""COMPUTED_VALUE"""),45307.64583333333)</f>
        <v>45307.64583</v>
      </c>
      <c r="DZ22" s="45">
        <f>IFERROR(__xludf.DUMMYFUNCTION("""COMPUTED_VALUE"""),11.75)</f>
        <v>11.75</v>
      </c>
      <c r="EA22" s="46">
        <f t="shared" si="33"/>
        <v>0.08294930876</v>
      </c>
      <c r="EB22" s="37"/>
      <c r="EC22" s="37">
        <f>IFERROR(__xludf.DUMMYFUNCTION("""COMPUTED_VALUE"""),45307.64583333333)</f>
        <v>45307.64583</v>
      </c>
      <c r="ED22" s="45">
        <f>IFERROR(__xludf.DUMMYFUNCTION("""COMPUTED_VALUE"""),2528.6)</f>
        <v>2528.6</v>
      </c>
      <c r="EE22" s="46">
        <f t="shared" si="34"/>
        <v>-0.04400756144</v>
      </c>
      <c r="EF22" s="37"/>
      <c r="EG22" s="37">
        <f>IFERROR(__xludf.DUMMYFUNCTION("""COMPUTED_VALUE"""),45307.64583333333)</f>
        <v>45307.64583</v>
      </c>
      <c r="EH22" s="45">
        <f>IFERROR(__xludf.DUMMYFUNCTION("""COMPUTED_VALUE"""),926.0)</f>
        <v>926</v>
      </c>
      <c r="EI22" s="46">
        <f t="shared" si="35"/>
        <v>0.4276904101</v>
      </c>
      <c r="EJ22" s="37"/>
      <c r="EK22" s="37">
        <f>IFERROR(__xludf.DUMMYFUNCTION("""COMPUTED_VALUE"""),45307.64583333333)</f>
        <v>45307.64583</v>
      </c>
      <c r="EL22" s="45">
        <f>IFERROR(__xludf.DUMMYFUNCTION("""COMPUTED_VALUE"""),208.95)</f>
        <v>208.95</v>
      </c>
      <c r="EM22" s="46">
        <f t="shared" si="36"/>
        <v>0.03440594059</v>
      </c>
      <c r="EN22" s="37"/>
      <c r="EO22" s="37">
        <f>IFERROR(__xludf.DUMMYFUNCTION("""COMPUTED_VALUE"""),45307.64583333333)</f>
        <v>45307.64583</v>
      </c>
      <c r="EP22" s="45">
        <f>IFERROR(__xludf.DUMMYFUNCTION("""COMPUTED_VALUE"""),168.2)</f>
        <v>168.2</v>
      </c>
      <c r="EQ22" s="46">
        <f t="shared" si="37"/>
        <v>0.08551145531</v>
      </c>
      <c r="ER22" s="37"/>
      <c r="ES22" s="37">
        <f>IFERROR(__xludf.DUMMYFUNCTION("""COMPUTED_VALUE"""),45307.64583333333)</f>
        <v>45307.64583</v>
      </c>
      <c r="ET22" s="45">
        <f>IFERROR(__xludf.DUMMYFUNCTION("""COMPUTED_VALUE"""),209.65)</f>
        <v>209.65</v>
      </c>
      <c r="EU22" s="46">
        <f t="shared" si="38"/>
        <v>0.07872395163</v>
      </c>
      <c r="EV22" s="37"/>
      <c r="EW22" s="37">
        <f>IFERROR(__xludf.DUMMYFUNCTION("""COMPUTED_VALUE"""),45307.64583333333)</f>
        <v>45307.64583</v>
      </c>
      <c r="EX22" s="45">
        <f>IFERROR(__xludf.DUMMYFUNCTION("""COMPUTED_VALUE"""),697.5)</f>
        <v>697.5</v>
      </c>
      <c r="EY22" s="46">
        <f t="shared" si="39"/>
        <v>0.07638888889</v>
      </c>
      <c r="EZ22" s="37"/>
      <c r="FA22" s="37">
        <f>IFERROR(__xludf.DUMMYFUNCTION("""COMPUTED_VALUE"""),45307.64583333333)</f>
        <v>45307.64583</v>
      </c>
      <c r="FB22" s="45">
        <f>IFERROR(__xludf.DUMMYFUNCTION("""COMPUTED_VALUE"""),183.9)</f>
        <v>183.9</v>
      </c>
      <c r="FC22" s="46">
        <f t="shared" si="40"/>
        <v>0.05447247706</v>
      </c>
      <c r="FD22" s="37"/>
      <c r="FE22" s="37">
        <f>IFERROR(__xludf.DUMMYFUNCTION("""COMPUTED_VALUE"""),45307.64583333333)</f>
        <v>45307.64583</v>
      </c>
      <c r="FF22" s="45">
        <f>IFERROR(__xludf.DUMMYFUNCTION("""COMPUTED_VALUE"""),346.3)</f>
        <v>346.3</v>
      </c>
      <c r="FG22" s="46">
        <f t="shared" si="41"/>
        <v>0.1361548556</v>
      </c>
      <c r="FH22" s="37"/>
      <c r="FI22" s="37">
        <f>IFERROR(__xludf.DUMMYFUNCTION("""COMPUTED_VALUE"""),45307.64583333333)</f>
        <v>45307.64583</v>
      </c>
      <c r="FJ22" s="45">
        <f>IFERROR(__xludf.DUMMYFUNCTION("""COMPUTED_VALUE"""),602.0)</f>
        <v>602</v>
      </c>
      <c r="FK22" s="46">
        <f t="shared" si="42"/>
        <v>-0.006682616946</v>
      </c>
      <c r="FL22" s="37"/>
      <c r="FM22" s="37">
        <f>IFERROR(__xludf.DUMMYFUNCTION("""COMPUTED_VALUE"""),45307.64583333333)</f>
        <v>45307.64583</v>
      </c>
      <c r="FN22" s="45">
        <f>IFERROR(__xludf.DUMMYFUNCTION("""COMPUTED_VALUE"""),105.85)</f>
        <v>105.85</v>
      </c>
      <c r="FO22" s="46">
        <f t="shared" si="43"/>
        <v>0.1142105263</v>
      </c>
      <c r="FP22" s="37"/>
      <c r="FQ22" s="37">
        <f>IFERROR(__xludf.DUMMYFUNCTION("""COMPUTED_VALUE"""),45307.64583333333)</f>
        <v>45307.64583</v>
      </c>
      <c r="FR22" s="45">
        <f>IFERROR(__xludf.DUMMYFUNCTION("""COMPUTED_VALUE"""),4.5)</f>
        <v>4.5</v>
      </c>
      <c r="FS22" s="46">
        <f t="shared" si="44"/>
        <v>-0.1818181818</v>
      </c>
      <c r="FT22" s="37"/>
      <c r="FU22" s="37">
        <f>IFERROR(__xludf.DUMMYFUNCTION("""COMPUTED_VALUE"""),45307.64583333333)</f>
        <v>45307.64583</v>
      </c>
      <c r="FV22" s="45">
        <f>IFERROR(__xludf.DUMMYFUNCTION("""COMPUTED_VALUE"""),695.6)</f>
        <v>695.6</v>
      </c>
      <c r="FW22" s="46">
        <f t="shared" si="45"/>
        <v>0.0420193244</v>
      </c>
      <c r="FX22" s="37"/>
      <c r="FY22" s="37">
        <f>IFERROR(__xludf.DUMMYFUNCTION("""COMPUTED_VALUE"""),45307.64583333333)</f>
        <v>45307.64583</v>
      </c>
      <c r="FZ22" s="45">
        <f>IFERROR(__xludf.DUMMYFUNCTION("""COMPUTED_VALUE"""),173.9)</f>
        <v>173.9</v>
      </c>
      <c r="GA22" s="46">
        <f t="shared" si="46"/>
        <v>0.02414605418</v>
      </c>
      <c r="GB22" s="37"/>
      <c r="GC22" s="37">
        <f>IFERROR(__xludf.DUMMYFUNCTION("""COMPUTED_VALUE"""),45307.64583333333)</f>
        <v>45307.64583</v>
      </c>
      <c r="GD22" s="45">
        <f>IFERROR(__xludf.DUMMYFUNCTION("""COMPUTED_VALUE"""),418.9)</f>
        <v>418.9</v>
      </c>
      <c r="GE22" s="46">
        <f t="shared" si="47"/>
        <v>-0.09309374323</v>
      </c>
      <c r="GF22" s="37"/>
      <c r="GG22" s="37">
        <f>IFERROR(__xludf.DUMMYFUNCTION("""COMPUTED_VALUE"""),45307.64583333333)</f>
        <v>45307.64583</v>
      </c>
      <c r="GH22" s="45">
        <f>IFERROR(__xludf.DUMMYFUNCTION("""COMPUTED_VALUE"""),5610.0)</f>
        <v>5610</v>
      </c>
      <c r="GI22" s="46">
        <f t="shared" si="48"/>
        <v>0.05869031893</v>
      </c>
      <c r="GJ22" s="37"/>
      <c r="GK22" s="37">
        <f>IFERROR(__xludf.DUMMYFUNCTION("""COMPUTED_VALUE"""),45307.64583333333)</f>
        <v>45307.64583</v>
      </c>
      <c r="GL22" s="45">
        <f>IFERROR(__xludf.DUMMYFUNCTION("""COMPUTED_VALUE"""),95.85)</f>
        <v>95.85</v>
      </c>
      <c r="GM22" s="46">
        <f t="shared" si="49"/>
        <v>-0.1547619048</v>
      </c>
      <c r="GN22" s="37"/>
      <c r="GO22" s="37">
        <f>IFERROR(__xludf.DUMMYFUNCTION("""COMPUTED_VALUE"""),45307.64583333333)</f>
        <v>45307.64583</v>
      </c>
      <c r="GP22" s="45">
        <f>IFERROR(__xludf.DUMMYFUNCTION("""COMPUTED_VALUE"""),1143.35)</f>
        <v>1143.35</v>
      </c>
      <c r="GQ22" s="46">
        <f t="shared" si="50"/>
        <v>0.03983447774</v>
      </c>
      <c r="GR22" s="37"/>
      <c r="GS22" s="37">
        <f>IFERROR(__xludf.DUMMYFUNCTION("""COMPUTED_VALUE"""),45307.64583333333)</f>
        <v>45307.64583</v>
      </c>
      <c r="GT22" s="45">
        <f>IFERROR(__xludf.DUMMYFUNCTION("""COMPUTED_VALUE"""),13.5)</f>
        <v>13.5</v>
      </c>
      <c r="GU22" s="46">
        <f t="shared" si="51"/>
        <v>0.04247104247</v>
      </c>
      <c r="GV22" s="37"/>
      <c r="GW22" s="37">
        <f>IFERROR(__xludf.DUMMYFUNCTION("""COMPUTED_VALUE"""),45308.64583333333)</f>
        <v>45308.64583</v>
      </c>
      <c r="GX22" s="45">
        <f>IFERROR(__xludf.DUMMYFUNCTION("""COMPUTED_VALUE"""),17.4)</f>
        <v>17.4</v>
      </c>
      <c r="GY22" s="46">
        <f t="shared" si="52"/>
        <v>0.05454545455</v>
      </c>
      <c r="GZ22" s="37"/>
      <c r="HA22" s="37">
        <f>IFERROR(__xludf.DUMMYFUNCTION("""COMPUTED_VALUE"""),45308.64583333333)</f>
        <v>45308.64583</v>
      </c>
      <c r="HB22" s="45">
        <f>IFERROR(__xludf.DUMMYFUNCTION("""COMPUTED_VALUE"""),572.7)</f>
        <v>572.7</v>
      </c>
      <c r="HC22" s="46">
        <f t="shared" si="53"/>
        <v>-0.05805921053</v>
      </c>
      <c r="HD22" s="37"/>
      <c r="HE22" s="43">
        <f>IFERROR(__xludf.DUMMYFUNCTION("""COMPUTED_VALUE"""),45308.64583333333)</f>
        <v>45308.64583</v>
      </c>
      <c r="HF22" s="45">
        <f>IFERROR(__xludf.DUMMYFUNCTION("""COMPUTED_VALUE"""),2262.5)</f>
        <v>2262.5</v>
      </c>
      <c r="HG22" s="46" t="str">
        <f t="shared" si="54"/>
        <v>#DIV/0!</v>
      </c>
      <c r="HH22" s="37"/>
      <c r="HI22" s="37">
        <f>IFERROR(__xludf.DUMMYFUNCTION("""COMPUTED_VALUE"""),45308.64583333333)</f>
        <v>45308.64583</v>
      </c>
      <c r="HJ22" s="45">
        <f>IFERROR(__xludf.DUMMYFUNCTION("""COMPUTED_VALUE"""),5345.0)</f>
        <v>5345</v>
      </c>
      <c r="HK22" s="46">
        <f t="shared" si="55"/>
        <v>0.0459780237</v>
      </c>
      <c r="HL22" s="37"/>
      <c r="HM22" s="37">
        <f>IFERROR(__xludf.DUMMYFUNCTION("""COMPUTED_VALUE"""),45308.64583333333)</f>
        <v>45308.64583</v>
      </c>
      <c r="HN22" s="45">
        <f>IFERROR(__xludf.DUMMYFUNCTION("""COMPUTED_VALUE"""),389.0)</f>
        <v>389</v>
      </c>
      <c r="HO22" s="46">
        <f t="shared" si="56"/>
        <v>-0.043168122</v>
      </c>
      <c r="HP22" s="37"/>
      <c r="HQ22" s="37">
        <f>IFERROR(__xludf.DUMMYFUNCTION("""COMPUTED_VALUE"""),45308.64583333333)</f>
        <v>45308.64583</v>
      </c>
      <c r="HR22" s="45">
        <f>IFERROR(__xludf.DUMMYFUNCTION("""COMPUTED_VALUE"""),234.45)</f>
        <v>234.45</v>
      </c>
      <c r="HS22" s="46">
        <f t="shared" si="57"/>
        <v>-0.0780574125</v>
      </c>
      <c r="HT22" s="37"/>
      <c r="HU22" s="37">
        <f>IFERROR(__xludf.DUMMYFUNCTION("""COMPUTED_VALUE"""),45308.64583333333)</f>
        <v>45308.64583</v>
      </c>
      <c r="HV22" s="45">
        <f>IFERROR(__xludf.DUMMYFUNCTION("""COMPUTED_VALUE"""),68.0)</f>
        <v>68</v>
      </c>
      <c r="HW22" s="46">
        <f t="shared" si="58"/>
        <v>0.08974358974</v>
      </c>
      <c r="HX22" s="37"/>
      <c r="HY22" s="37">
        <f>IFERROR(__xludf.DUMMYFUNCTION("""COMPUTED_VALUE"""),45308.64583333333)</f>
        <v>45308.64583</v>
      </c>
      <c r="HZ22" s="45">
        <f>IFERROR(__xludf.DUMMYFUNCTION("""COMPUTED_VALUE"""),354.95)</f>
        <v>354.95</v>
      </c>
      <c r="IA22" s="46">
        <f t="shared" si="59"/>
        <v>-0.2366666667</v>
      </c>
      <c r="IB22" s="37"/>
      <c r="IC22" s="37">
        <f>IFERROR(__xludf.DUMMYFUNCTION("""COMPUTED_VALUE"""),45308.64583333333)</f>
        <v>45308.64583</v>
      </c>
      <c r="ID22" s="45">
        <f>IFERROR(__xludf.DUMMYFUNCTION("""COMPUTED_VALUE"""),79.8)</f>
        <v>79.8</v>
      </c>
      <c r="IE22" s="46">
        <f t="shared" si="60"/>
        <v>-0.8181196581</v>
      </c>
      <c r="IF22" s="37"/>
      <c r="IG22" s="37">
        <f>IFERROR(__xludf.DUMMYFUNCTION("""COMPUTED_VALUE"""),45308.64583333333)</f>
        <v>45308.64583</v>
      </c>
      <c r="IH22" s="45">
        <f>IFERROR(__xludf.DUMMYFUNCTION("""COMPUTED_VALUE"""),523.25)</f>
        <v>523.25</v>
      </c>
      <c r="II22" s="46">
        <f t="shared" si="61"/>
        <v>-0.01829268293</v>
      </c>
      <c r="IJ22" s="37"/>
      <c r="IK22" s="37">
        <f>IFERROR(__xludf.DUMMYFUNCTION("""COMPUTED_VALUE"""),45308.64583333333)</f>
        <v>45308.64583</v>
      </c>
      <c r="IL22" s="45">
        <f>IFERROR(__xludf.DUMMYFUNCTION("""COMPUTED_VALUE"""),570.8)</f>
        <v>570.8</v>
      </c>
      <c r="IM22" s="46">
        <f t="shared" si="62"/>
        <v>-0.07630067158</v>
      </c>
      <c r="IN22" s="37"/>
      <c r="IO22" s="37">
        <f>IFERROR(__xludf.DUMMYFUNCTION("""COMPUTED_VALUE"""),45308.64583333333)</f>
        <v>45308.64583</v>
      </c>
      <c r="IP22" s="45">
        <f>IFERROR(__xludf.DUMMYFUNCTION("""COMPUTED_VALUE"""),165.82)</f>
        <v>165.82</v>
      </c>
      <c r="IQ22" s="46">
        <f t="shared" si="63"/>
        <v>0.3192775877</v>
      </c>
      <c r="IR22" s="37"/>
      <c r="IS22" s="37">
        <f>IFERROR(__xludf.DUMMYFUNCTION("""COMPUTED_VALUE"""),45308.64583333333)</f>
        <v>45308.64583</v>
      </c>
      <c r="IT22" s="45">
        <f>IFERROR(__xludf.DUMMYFUNCTION("""COMPUTED_VALUE"""),1010.0)</f>
        <v>1010</v>
      </c>
      <c r="IU22" s="46">
        <f t="shared" si="64"/>
        <v>0.005976095618</v>
      </c>
      <c r="IV22" s="37"/>
      <c r="IW22" s="37">
        <f>IFERROR(__xludf.DUMMYFUNCTION("""COMPUTED_VALUE"""),45308.64583333333)</f>
        <v>45308.64583</v>
      </c>
      <c r="IX22" s="45">
        <f>IFERROR(__xludf.DUMMYFUNCTION("""COMPUTED_VALUE"""),212.4)</f>
        <v>212.4</v>
      </c>
      <c r="IY22" s="46">
        <f t="shared" si="65"/>
        <v>0.03131828114</v>
      </c>
      <c r="IZ22" s="37"/>
      <c r="JA22" s="37">
        <f>IFERROR(__xludf.DUMMYFUNCTION("""COMPUTED_VALUE"""),45308.64583333333)</f>
        <v>45308.64583</v>
      </c>
      <c r="JB22" s="45">
        <f>IFERROR(__xludf.DUMMYFUNCTION("""COMPUTED_VALUE"""),34669.4)</f>
        <v>34669.4</v>
      </c>
      <c r="JC22" s="46">
        <f t="shared" si="66"/>
        <v>-0.02071172638</v>
      </c>
      <c r="JD22" s="37"/>
      <c r="JE22" s="37">
        <f>IFERROR(__xludf.DUMMYFUNCTION("""COMPUTED_VALUE"""),45308.64583333333)</f>
        <v>45308.64583</v>
      </c>
      <c r="JF22" s="45">
        <f>IFERROR(__xludf.DUMMYFUNCTION("""COMPUTED_VALUE"""),600.75)</f>
        <v>600.75</v>
      </c>
      <c r="JG22" s="46">
        <f t="shared" si="67"/>
        <v>-0.06860465116</v>
      </c>
      <c r="JH22" s="37"/>
      <c r="JI22" s="37">
        <f>IFERROR(__xludf.DUMMYFUNCTION("""COMPUTED_VALUE"""),45308.64583333333)</f>
        <v>45308.64583</v>
      </c>
      <c r="JJ22" s="45">
        <f>IFERROR(__xludf.DUMMYFUNCTION("""COMPUTED_VALUE"""),307.85)</f>
        <v>307.85</v>
      </c>
      <c r="JK22" s="46">
        <f t="shared" si="68"/>
        <v>-0.07815541249</v>
      </c>
      <c r="JL22" s="37"/>
      <c r="JM22" s="37">
        <f>IFERROR(__xludf.DUMMYFUNCTION("""COMPUTED_VALUE"""),45308.64583333333)</f>
        <v>45308.64583</v>
      </c>
      <c r="JN22" s="45">
        <f>IFERROR(__xludf.DUMMYFUNCTION("""COMPUTED_VALUE"""),15.85)</f>
        <v>15.85</v>
      </c>
      <c r="JO22" s="46">
        <f t="shared" si="69"/>
        <v>-0.9638746439</v>
      </c>
      <c r="JP22" s="37"/>
      <c r="JQ22" s="37">
        <f>IFERROR(__xludf.DUMMYFUNCTION("""COMPUTED_VALUE"""),45308.64583333333)</f>
        <v>45308.64583</v>
      </c>
      <c r="JR22" s="45">
        <f>IFERROR(__xludf.DUMMYFUNCTION("""COMPUTED_VALUE"""),97.25)</f>
        <v>97.25</v>
      </c>
      <c r="JS22" s="46">
        <f t="shared" si="70"/>
        <v>-0.2849264706</v>
      </c>
      <c r="JT22" s="37"/>
      <c r="JU22" s="37">
        <f>IFERROR(__xludf.DUMMYFUNCTION("""COMPUTED_VALUE"""),45308.64583333333)</f>
        <v>45308.64583</v>
      </c>
      <c r="JV22" s="45">
        <f>IFERROR(__xludf.DUMMYFUNCTION("""COMPUTED_VALUE"""),245.9)</f>
        <v>245.9</v>
      </c>
      <c r="JW22" s="46">
        <f t="shared" si="71"/>
        <v>-0.4395441595</v>
      </c>
      <c r="JX22" s="37"/>
      <c r="JY22" s="37">
        <f>IFERROR(__xludf.DUMMYFUNCTION("""COMPUTED_VALUE"""),45308.64583333333)</f>
        <v>45308.64583</v>
      </c>
      <c r="JZ22" s="45">
        <f>IFERROR(__xludf.DUMMYFUNCTION("""COMPUTED_VALUE"""),653.0)</f>
        <v>653</v>
      </c>
      <c r="KA22" s="46">
        <f t="shared" si="72"/>
        <v>0.1851179673</v>
      </c>
      <c r="KB22" s="37"/>
      <c r="KC22" s="37">
        <f>IFERROR(__xludf.DUMMYFUNCTION("""COMPUTED_VALUE"""),45308.64583333333)</f>
        <v>45308.64583</v>
      </c>
      <c r="KD22" s="45">
        <f>IFERROR(__xludf.DUMMYFUNCTION("""COMPUTED_VALUE"""),893.2)</f>
        <v>893.2</v>
      </c>
      <c r="KE22" s="46">
        <f t="shared" si="73"/>
        <v>0.02249441932</v>
      </c>
      <c r="KF22" s="37"/>
      <c r="KG22" s="37">
        <f>IFERROR(__xludf.DUMMYFUNCTION("""COMPUTED_VALUE"""),45308.64583333333)</f>
        <v>45308.64583</v>
      </c>
      <c r="KH22" s="45">
        <f>IFERROR(__xludf.DUMMYFUNCTION("""COMPUTED_VALUE"""),455.0)</f>
        <v>455</v>
      </c>
      <c r="KI22" s="46">
        <f t="shared" si="74"/>
        <v>0.1666666667</v>
      </c>
      <c r="KJ22" s="37"/>
      <c r="KK22" s="37">
        <f>IFERROR(__xludf.DUMMYFUNCTION("""COMPUTED_VALUE"""),45308.64583333333)</f>
        <v>45308.64583</v>
      </c>
      <c r="KL22" s="45">
        <f>IFERROR(__xludf.DUMMYFUNCTION("""COMPUTED_VALUE"""),10.25)</f>
        <v>10.25</v>
      </c>
      <c r="KM22" s="46">
        <f t="shared" si="75"/>
        <v>0.1021505376</v>
      </c>
      <c r="KN22" s="37"/>
      <c r="KO22" s="37">
        <f>IFERROR(__xludf.DUMMYFUNCTION("""COMPUTED_VALUE"""),45308.64583333333)</f>
        <v>45308.64583</v>
      </c>
      <c r="KP22" s="45">
        <f>IFERROR(__xludf.DUMMYFUNCTION("""COMPUTED_VALUE"""),226.0)</f>
        <v>226</v>
      </c>
      <c r="KQ22" s="46">
        <f t="shared" si="76"/>
        <v>0.1116576488</v>
      </c>
      <c r="KR22" s="37"/>
      <c r="KS22" s="37">
        <f>IFERROR(__xludf.DUMMYFUNCTION("""COMPUTED_VALUE"""),45308.64583333333)</f>
        <v>45308.64583</v>
      </c>
      <c r="KT22" s="45">
        <f>IFERROR(__xludf.DUMMYFUNCTION("""COMPUTED_VALUE"""),11.55)</f>
        <v>11.55</v>
      </c>
      <c r="KU22" s="46">
        <f t="shared" si="77"/>
        <v>0.04524886878</v>
      </c>
      <c r="KV22" s="37"/>
      <c r="KW22" s="37">
        <f>IFERROR(__xludf.DUMMYFUNCTION("""COMPUTED_VALUE"""),45308.64583333333)</f>
        <v>45308.64583</v>
      </c>
      <c r="KX22" s="45">
        <f>IFERROR(__xludf.DUMMYFUNCTION("""COMPUTED_VALUE"""),2484.2)</f>
        <v>2484.2</v>
      </c>
      <c r="KY22" s="46">
        <f t="shared" si="78"/>
        <v>-0.06957059121</v>
      </c>
      <c r="KZ22" s="37"/>
      <c r="LA22" s="37">
        <f>IFERROR(__xludf.DUMMYFUNCTION("""COMPUTED_VALUE"""),45308.64583333333)</f>
        <v>45308.64583</v>
      </c>
      <c r="LB22" s="45">
        <f>IFERROR(__xludf.DUMMYFUNCTION("""COMPUTED_VALUE"""),22.25)</f>
        <v>22.25</v>
      </c>
      <c r="LC22" s="46">
        <f t="shared" si="79"/>
        <v>0.1803713528</v>
      </c>
      <c r="LD22" s="37"/>
      <c r="LE22" s="37">
        <f>IFERROR(__xludf.DUMMYFUNCTION("""COMPUTED_VALUE"""),45308.64583333333)</f>
        <v>45308.64583</v>
      </c>
      <c r="LF22" s="45">
        <f>IFERROR(__xludf.DUMMYFUNCTION("""COMPUTED_VALUE"""),140.95)</f>
        <v>140.95</v>
      </c>
      <c r="LG22" s="46">
        <f t="shared" si="80"/>
        <v>0.1276</v>
      </c>
      <c r="LH22" s="37"/>
      <c r="LI22" s="37">
        <f>IFERROR(__xludf.DUMMYFUNCTION("""COMPUTED_VALUE"""),45308.64583333333)</f>
        <v>45308.64583</v>
      </c>
      <c r="LJ22" s="45">
        <f>IFERROR(__xludf.DUMMYFUNCTION("""COMPUTED_VALUE"""),708.0)</f>
        <v>708</v>
      </c>
      <c r="LK22" s="46">
        <f t="shared" si="81"/>
        <v>-0.02747252747</v>
      </c>
      <c r="LL22" s="37"/>
      <c r="LM22" s="37">
        <f>IFERROR(__xludf.DUMMYFUNCTION("""COMPUTED_VALUE"""),45308.64583333333)</f>
        <v>45308.64583</v>
      </c>
      <c r="LN22" s="45">
        <f>IFERROR(__xludf.DUMMYFUNCTION("""COMPUTED_VALUE"""),830.6)</f>
        <v>830.6</v>
      </c>
      <c r="LO22" s="46">
        <f t="shared" si="82"/>
        <v>-0.0285380117</v>
      </c>
      <c r="LP22" s="37"/>
      <c r="LQ22" s="37">
        <f>IFERROR(__xludf.DUMMYFUNCTION("""COMPUTED_VALUE"""),45308.64583333333)</f>
        <v>45308.64583</v>
      </c>
      <c r="LR22" s="45">
        <f>IFERROR(__xludf.DUMMYFUNCTION("""COMPUTED_VALUE"""),473.0)</f>
        <v>473</v>
      </c>
      <c r="LS22" s="46">
        <f t="shared" si="83"/>
        <v>0.2944718117</v>
      </c>
      <c r="LT22" s="37"/>
      <c r="LU22" s="37">
        <f>IFERROR(__xludf.DUMMYFUNCTION("""COMPUTED_VALUE"""),45308.64583333333)</f>
        <v>45308.64583</v>
      </c>
      <c r="LV22" s="45">
        <f>IFERROR(__xludf.DUMMYFUNCTION("""COMPUTED_VALUE"""),128.65)</f>
        <v>128.65</v>
      </c>
      <c r="LW22" s="46">
        <f t="shared" si="84"/>
        <v>-0.05957602339</v>
      </c>
      <c r="LX22" s="37"/>
      <c r="LY22" s="37">
        <f>IFERROR(__xludf.DUMMYFUNCTION("""COMPUTED_VALUE"""),45308.64583333333)</f>
        <v>45308.64583</v>
      </c>
      <c r="LZ22" s="45">
        <f>IFERROR(__xludf.DUMMYFUNCTION("""COMPUTED_VALUE"""),596.55)</f>
        <v>596.55</v>
      </c>
      <c r="MA22" s="46">
        <f t="shared" si="85"/>
        <v>-0.03782258065</v>
      </c>
      <c r="MB22" s="37"/>
      <c r="MC22" s="37"/>
      <c r="MD22" s="45"/>
      <c r="ME22" s="46" t="str">
        <f t="shared" si="86"/>
        <v>#DIV/0!</v>
      </c>
      <c r="MF22" s="37"/>
      <c r="MG22" s="37">
        <f>IFERROR(__xludf.DUMMYFUNCTION("""COMPUTED_VALUE"""),45308.64583333333)</f>
        <v>45308.64583</v>
      </c>
      <c r="MH22" s="45">
        <f>IFERROR(__xludf.DUMMYFUNCTION("""COMPUTED_VALUE"""),1963.45)</f>
        <v>1963.45</v>
      </c>
      <c r="MI22" s="46">
        <f t="shared" si="87"/>
        <v>0.001274892272</v>
      </c>
      <c r="MJ22" s="37"/>
      <c r="MK22" s="37">
        <f>IFERROR(__xludf.DUMMYFUNCTION("""COMPUTED_VALUE"""),45308.64583333333)</f>
        <v>45308.64583</v>
      </c>
      <c r="ML22" s="45">
        <f>IFERROR(__xludf.DUMMYFUNCTION("""COMPUTED_VALUE"""),363.6)</f>
        <v>363.6</v>
      </c>
      <c r="MM22" s="46">
        <f t="shared" si="88"/>
        <v>-0.0908863608</v>
      </c>
      <c r="MN22" s="37"/>
      <c r="MO22" s="37">
        <f>IFERROR(__xludf.DUMMYFUNCTION("""COMPUTED_VALUE"""),45308.64583333333)</f>
        <v>45308.64583</v>
      </c>
      <c r="MP22" s="45">
        <f>IFERROR(__xludf.DUMMYFUNCTION("""COMPUTED_VALUE"""),759.0)</f>
        <v>759</v>
      </c>
      <c r="MQ22" s="46">
        <f t="shared" si="89"/>
        <v>0.02567567568</v>
      </c>
      <c r="MR22" s="37"/>
      <c r="MS22" s="37">
        <f>IFERROR(__xludf.DUMMYFUNCTION("""COMPUTED_VALUE"""),45308.64583333333)</f>
        <v>45308.64583</v>
      </c>
      <c r="MT22" s="45">
        <f>IFERROR(__xludf.DUMMYFUNCTION("""COMPUTED_VALUE"""),63.8)</f>
        <v>63.8</v>
      </c>
      <c r="MU22" s="46">
        <f t="shared" si="90"/>
        <v>-0.03552532124</v>
      </c>
      <c r="MV22" s="37"/>
      <c r="MW22" s="37">
        <f>IFERROR(__xludf.DUMMYFUNCTION("""COMPUTED_VALUE"""),45308.64583333333)</f>
        <v>45308.64583</v>
      </c>
      <c r="MX22" s="45">
        <f>IFERROR(__xludf.DUMMYFUNCTION("""COMPUTED_VALUE"""),3244.75)</f>
        <v>3244.75</v>
      </c>
      <c r="MY22" s="46">
        <f t="shared" si="91"/>
        <v>0.03106132825</v>
      </c>
      <c r="MZ22" s="37"/>
      <c r="NA22" s="37">
        <f>IFERROR(__xludf.DUMMYFUNCTION("""COMPUTED_VALUE"""),45308.64583333333)</f>
        <v>45308.64583</v>
      </c>
      <c r="NB22" s="45">
        <f>IFERROR(__xludf.DUMMYFUNCTION("""COMPUTED_VALUE"""),13.4)</f>
        <v>13.4</v>
      </c>
      <c r="NC22" s="46">
        <f t="shared" si="92"/>
        <v>0.05928853755</v>
      </c>
      <c r="ND22" s="37"/>
      <c r="NE22" s="37">
        <f>IFERROR(__xludf.DUMMYFUNCTION("""COMPUTED_VALUE"""),45309.64583333333)</f>
        <v>45309.64583</v>
      </c>
      <c r="NF22" s="45">
        <f>IFERROR(__xludf.DUMMYFUNCTION("""COMPUTED_VALUE"""),385.0)</f>
        <v>385</v>
      </c>
      <c r="NG22" s="46">
        <f t="shared" si="93"/>
        <v>0.005353179266</v>
      </c>
      <c r="NH22" s="37"/>
      <c r="NI22" s="37">
        <f>IFERROR(__xludf.DUMMYFUNCTION("""COMPUTED_VALUE"""),45309.64583333333)</f>
        <v>45309.64583</v>
      </c>
      <c r="NJ22" s="45">
        <f>IFERROR(__xludf.DUMMYFUNCTION("""COMPUTED_VALUE"""),308.0)</f>
        <v>308</v>
      </c>
      <c r="NK22" s="46">
        <f t="shared" si="94"/>
        <v>0.1549855627</v>
      </c>
      <c r="NL22" s="37"/>
      <c r="NM22" s="37">
        <f>IFERROR(__xludf.DUMMYFUNCTION("""COMPUTED_VALUE"""),45309.64583333333)</f>
        <v>45309.64583</v>
      </c>
      <c r="NN22" s="45">
        <f>IFERROR(__xludf.DUMMYFUNCTION("""COMPUTED_VALUE"""),114.05)</f>
        <v>114.05</v>
      </c>
      <c r="NO22" s="46">
        <f t="shared" si="95"/>
        <v>-0.07502027575</v>
      </c>
      <c r="NP22" s="37"/>
      <c r="NQ22" s="37">
        <f>IFERROR(__xludf.DUMMYFUNCTION("""COMPUTED_VALUE"""),45309.64583333333)</f>
        <v>45309.64583</v>
      </c>
      <c r="NR22" s="45">
        <f>IFERROR(__xludf.DUMMYFUNCTION("""COMPUTED_VALUE"""),4411.65)</f>
        <v>4411.65</v>
      </c>
      <c r="NS22" s="46">
        <f t="shared" si="96"/>
        <v>0.0564295977</v>
      </c>
      <c r="NT22" s="37"/>
      <c r="NU22" s="37">
        <f>IFERROR(__xludf.DUMMYFUNCTION("""COMPUTED_VALUE"""),45309.64583333333)</f>
        <v>45309.64583</v>
      </c>
      <c r="NV22" s="45">
        <f>IFERROR(__xludf.DUMMYFUNCTION("""COMPUTED_VALUE"""),13.25)</f>
        <v>13.25</v>
      </c>
      <c r="NW22" s="46">
        <f t="shared" si="97"/>
        <v>0.04330708661</v>
      </c>
      <c r="NX22" s="37"/>
      <c r="NY22" s="37">
        <f>IFERROR(__xludf.DUMMYFUNCTION("""COMPUTED_VALUE"""),45309.64583333333)</f>
        <v>45309.64583</v>
      </c>
      <c r="NZ22" s="45">
        <f>IFERROR(__xludf.DUMMYFUNCTION("""COMPUTED_VALUE"""),289.8)</f>
        <v>289.8</v>
      </c>
      <c r="OA22" s="46">
        <f t="shared" si="98"/>
        <v>0.1742301459</v>
      </c>
      <c r="OB22" s="37"/>
      <c r="OC22" s="37">
        <f>IFERROR(__xludf.DUMMYFUNCTION("""COMPUTED_VALUE"""),45309.64583333333)</f>
        <v>45309.64583</v>
      </c>
      <c r="OD22" s="45">
        <f>IFERROR(__xludf.DUMMYFUNCTION("""COMPUTED_VALUE"""),1150.0)</f>
        <v>1150</v>
      </c>
      <c r="OE22" s="46">
        <f t="shared" si="99"/>
        <v>0.09113335547</v>
      </c>
      <c r="OF22" s="37"/>
      <c r="OG22" s="37">
        <f>IFERROR(__xludf.DUMMYFUNCTION("""COMPUTED_VALUE"""),45309.64583333333)</f>
        <v>45309.64583</v>
      </c>
      <c r="OH22" s="45">
        <f>IFERROR(__xludf.DUMMYFUNCTION("""COMPUTED_VALUE"""),2398.45)</f>
        <v>2398.45</v>
      </c>
      <c r="OI22" s="46">
        <f t="shared" si="100"/>
        <v>-0.0169481105</v>
      </c>
      <c r="OJ22" s="37"/>
      <c r="OK22" s="37"/>
      <c r="OL22" s="45"/>
      <c r="OM22" s="46" t="str">
        <f t="shared" si="101"/>
        <v>#DIV/0!</v>
      </c>
      <c r="ON22" s="37"/>
    </row>
    <row r="23" ht="12.0" customHeight="1">
      <c r="A23" s="37">
        <f>IFERROR(__xludf.DUMMYFUNCTION("""COMPUTED_VALUE"""),45308.64583333333)</f>
        <v>45308.64583</v>
      </c>
      <c r="B23" s="45">
        <f>IFERROR(__xludf.DUMMYFUNCTION("""COMPUTED_VALUE"""),415.9)</f>
        <v>415.9</v>
      </c>
      <c r="C23" s="46">
        <f t="shared" si="1"/>
        <v>-0.05207977208</v>
      </c>
      <c r="D23" s="37"/>
      <c r="E23" s="37">
        <f>IFERROR(__xludf.DUMMYFUNCTION("""COMPUTED_VALUE"""),45308.64583333333)</f>
        <v>45308.64583</v>
      </c>
      <c r="F23" s="45">
        <f>IFERROR(__xludf.DUMMYFUNCTION("""COMPUTED_VALUE"""),699.95)</f>
        <v>699.95</v>
      </c>
      <c r="G23" s="46">
        <f t="shared" si="2"/>
        <v>0.0686259542</v>
      </c>
      <c r="H23" s="37"/>
      <c r="I23" s="37">
        <f>IFERROR(__xludf.DUMMYFUNCTION("""COMPUTED_VALUE"""),45308.64583333333)</f>
        <v>45308.64583</v>
      </c>
      <c r="J23" s="45">
        <f>IFERROR(__xludf.DUMMYFUNCTION("""COMPUTED_VALUE"""),188.5)</f>
        <v>188.5</v>
      </c>
      <c r="K23" s="46">
        <f t="shared" si="3"/>
        <v>0.02445652174</v>
      </c>
      <c r="L23" s="37"/>
      <c r="M23" s="37">
        <f>IFERROR(__xludf.DUMMYFUNCTION("""COMPUTED_VALUE"""),45308.64583333333)</f>
        <v>45308.64583</v>
      </c>
      <c r="N23" s="45">
        <f>IFERROR(__xludf.DUMMYFUNCTION("""COMPUTED_VALUE"""),86.65)</f>
        <v>86.65</v>
      </c>
      <c r="O23" s="46">
        <f t="shared" si="4"/>
        <v>0.002893518519</v>
      </c>
      <c r="P23" s="37"/>
      <c r="Q23" s="37">
        <f>IFERROR(__xludf.DUMMYFUNCTION("""COMPUTED_VALUE"""),45308.64583333333)</f>
        <v>45308.64583</v>
      </c>
      <c r="R23" s="45">
        <f>IFERROR(__xludf.DUMMYFUNCTION("""COMPUTED_VALUE"""),47.3)</f>
        <v>47.3</v>
      </c>
      <c r="S23" s="46">
        <f t="shared" si="5"/>
        <v>-0.09904761905</v>
      </c>
      <c r="T23" s="37"/>
      <c r="U23" s="37">
        <f>IFERROR(__xludf.DUMMYFUNCTION("""COMPUTED_VALUE"""),45308.64583333333)</f>
        <v>45308.64583</v>
      </c>
      <c r="V23" s="45">
        <f>IFERROR(__xludf.DUMMYFUNCTION("""COMPUTED_VALUE"""),822.7)</f>
        <v>822.7</v>
      </c>
      <c r="W23" s="46">
        <f t="shared" si="6"/>
        <v>0.2419987923</v>
      </c>
      <c r="X23" s="37"/>
      <c r="Y23" s="37">
        <f>IFERROR(__xludf.DUMMYFUNCTION("""COMPUTED_VALUE"""),45308.64583333333)</f>
        <v>45308.64583</v>
      </c>
      <c r="Z23" s="45">
        <f>IFERROR(__xludf.DUMMYFUNCTION("""COMPUTED_VALUE"""),172.45)</f>
        <v>172.45</v>
      </c>
      <c r="AA23" s="46">
        <f t="shared" si="7"/>
        <v>-0.06783783784</v>
      </c>
      <c r="AB23" s="37"/>
      <c r="AC23" s="37">
        <f>IFERROR(__xludf.DUMMYFUNCTION("""COMPUTED_VALUE"""),45308.64583333333)</f>
        <v>45308.64583</v>
      </c>
      <c r="AD23" s="45">
        <f>IFERROR(__xludf.DUMMYFUNCTION("""COMPUTED_VALUE"""),2262.5)</f>
        <v>2262.5</v>
      </c>
      <c r="AE23" s="46">
        <f t="shared" si="8"/>
        <v>-0.04716782481</v>
      </c>
      <c r="AF23" s="37"/>
      <c r="AG23" s="37">
        <f>IFERROR(__xludf.DUMMYFUNCTION("""COMPUTED_VALUE"""),45308.64583333333)</f>
        <v>45308.64583</v>
      </c>
      <c r="AH23" s="45">
        <f>IFERROR(__xludf.DUMMYFUNCTION("""COMPUTED_VALUE"""),726.9)</f>
        <v>726.9</v>
      </c>
      <c r="AI23" s="46">
        <f t="shared" si="9"/>
        <v>-0.1346428571</v>
      </c>
      <c r="AJ23" s="37"/>
      <c r="AK23" s="37">
        <f>IFERROR(__xludf.DUMMYFUNCTION("""COMPUTED_VALUE"""),45308.64583333333)</f>
        <v>45308.64583</v>
      </c>
      <c r="AL23" s="45">
        <f>IFERROR(__xludf.DUMMYFUNCTION("""COMPUTED_VALUE"""),5345.0)</f>
        <v>5345</v>
      </c>
      <c r="AM23" s="46">
        <f t="shared" si="10"/>
        <v>0.02788461538</v>
      </c>
      <c r="AN23" s="37"/>
      <c r="AO23" s="37">
        <f>IFERROR(__xludf.DUMMYFUNCTION("""COMPUTED_VALUE"""),45308.64583333333)</f>
        <v>45308.64583</v>
      </c>
      <c r="AP23" s="45">
        <f>IFERROR(__xludf.DUMMYFUNCTION("""COMPUTED_VALUE"""),879.3)</f>
        <v>879.3</v>
      </c>
      <c r="AQ23" s="46">
        <f t="shared" si="11"/>
        <v>-0.03373626374</v>
      </c>
      <c r="AR23" s="37"/>
      <c r="AS23" s="37">
        <f>IFERROR(__xludf.DUMMYFUNCTION("""COMPUTED_VALUE"""),45308.64583333333)</f>
        <v>45308.64583</v>
      </c>
      <c r="AT23" s="45">
        <f>IFERROR(__xludf.DUMMYFUNCTION("""COMPUTED_VALUE"""),2420.35)</f>
        <v>2420.35</v>
      </c>
      <c r="AU23" s="46">
        <f t="shared" si="12"/>
        <v>-0.02558476589</v>
      </c>
      <c r="AV23" s="37"/>
      <c r="AW23" s="37">
        <f>IFERROR(__xludf.DUMMYFUNCTION("""COMPUTED_VALUE"""),45308.64583333333)</f>
        <v>45308.64583</v>
      </c>
      <c r="AX23" s="45">
        <f>IFERROR(__xludf.DUMMYFUNCTION("""COMPUTED_VALUE"""),6384.45)</f>
        <v>6384.45</v>
      </c>
      <c r="AY23" s="46">
        <f t="shared" si="13"/>
        <v>0.1310721752</v>
      </c>
      <c r="AZ23" s="37"/>
      <c r="BA23" s="37">
        <f>IFERROR(__xludf.DUMMYFUNCTION("""COMPUTED_VALUE"""),45308.64583333333)</f>
        <v>45308.64583</v>
      </c>
      <c r="BB23" s="45">
        <f>IFERROR(__xludf.DUMMYFUNCTION("""COMPUTED_VALUE"""),491.5)</f>
        <v>491.5</v>
      </c>
      <c r="BC23" s="46">
        <f t="shared" si="14"/>
        <v>0.04909284952</v>
      </c>
      <c r="BD23" s="37"/>
      <c r="BE23" s="37">
        <f>IFERROR(__xludf.DUMMYFUNCTION("""COMPUTED_VALUE"""),45308.64583333333)</f>
        <v>45308.64583</v>
      </c>
      <c r="BF23" s="45">
        <f>IFERROR(__xludf.DUMMYFUNCTION("""COMPUTED_VALUE"""),348.4)</f>
        <v>348.4</v>
      </c>
      <c r="BG23" s="46">
        <f t="shared" si="15"/>
        <v>-0.143980344</v>
      </c>
      <c r="BH23" s="37"/>
      <c r="BI23" s="37">
        <f>IFERROR(__xludf.DUMMYFUNCTION("""COMPUTED_VALUE"""),45308.64583333333)</f>
        <v>45308.64583</v>
      </c>
      <c r="BJ23" s="45">
        <f>IFERROR(__xludf.DUMMYFUNCTION("""COMPUTED_VALUE"""),84.0)</f>
        <v>84</v>
      </c>
      <c r="BK23" s="46">
        <f t="shared" si="16"/>
        <v>0.2095032397</v>
      </c>
      <c r="BL23" s="37"/>
      <c r="BM23" s="37">
        <f>IFERROR(__xludf.DUMMYFUNCTION("""COMPUTED_VALUE"""),45308.64583333333)</f>
        <v>45308.64583</v>
      </c>
      <c r="BN23" s="45">
        <f>IFERROR(__xludf.DUMMYFUNCTION("""COMPUTED_VALUE"""),234.45)</f>
        <v>234.45</v>
      </c>
      <c r="BO23" s="46">
        <f t="shared" si="17"/>
        <v>-0.0841796875</v>
      </c>
      <c r="BP23" s="37"/>
      <c r="BQ23" s="37">
        <f>IFERROR(__xludf.DUMMYFUNCTION("""COMPUTED_VALUE"""),45308.64583333333)</f>
        <v>45308.64583</v>
      </c>
      <c r="BR23" s="45">
        <f>IFERROR(__xludf.DUMMYFUNCTION("""COMPUTED_VALUE"""),68.0)</f>
        <v>68</v>
      </c>
      <c r="BS23" s="46">
        <f t="shared" si="18"/>
        <v>0.1165845649</v>
      </c>
      <c r="BT23" s="37"/>
      <c r="BU23" s="37">
        <f>IFERROR(__xludf.DUMMYFUNCTION("""COMPUTED_VALUE"""),45308.64583333333)</f>
        <v>45308.64583</v>
      </c>
      <c r="BV23" s="45">
        <f>IFERROR(__xludf.DUMMYFUNCTION("""COMPUTED_VALUE"""),326.8)</f>
        <v>326.8</v>
      </c>
      <c r="BW23" s="46">
        <f t="shared" si="19"/>
        <v>0.05623787977</v>
      </c>
      <c r="BX23" s="37"/>
      <c r="BY23" s="37">
        <f>IFERROR(__xludf.DUMMYFUNCTION("""COMPUTED_VALUE"""),45308.64583333333)</f>
        <v>45308.64583</v>
      </c>
      <c r="BZ23" s="45">
        <f>IFERROR(__xludf.DUMMYFUNCTION("""COMPUTED_VALUE"""),354.95)</f>
        <v>354.95</v>
      </c>
      <c r="CA23" s="46">
        <f t="shared" si="20"/>
        <v>-0.1332112332</v>
      </c>
      <c r="CB23" s="37"/>
      <c r="CC23" s="37">
        <f>IFERROR(__xludf.DUMMYFUNCTION("""COMPUTED_VALUE"""),45308.64583333333)</f>
        <v>45308.64583</v>
      </c>
      <c r="CD23" s="45">
        <f>IFERROR(__xludf.DUMMYFUNCTION("""COMPUTED_VALUE"""),265.0)</f>
        <v>265</v>
      </c>
      <c r="CE23" s="46">
        <f t="shared" si="21"/>
        <v>0.143720328</v>
      </c>
      <c r="CF23" s="37"/>
      <c r="CG23" s="37">
        <f>IFERROR(__xludf.DUMMYFUNCTION("""COMPUTED_VALUE"""),45308.64583333333)</f>
        <v>45308.64583</v>
      </c>
      <c r="CH23" s="45">
        <f>IFERROR(__xludf.DUMMYFUNCTION("""COMPUTED_VALUE"""),600.75)</f>
        <v>600.75</v>
      </c>
      <c r="CI23" s="46">
        <f t="shared" si="22"/>
        <v>-0.0554245283</v>
      </c>
      <c r="CJ23" s="37"/>
      <c r="CK23" s="37">
        <f>IFERROR(__xludf.DUMMYFUNCTION("""COMPUTED_VALUE"""),45308.64583333333)</f>
        <v>45308.64583</v>
      </c>
      <c r="CL23" s="45">
        <f>IFERROR(__xludf.DUMMYFUNCTION("""COMPUTED_VALUE"""),307.85)</f>
        <v>307.85</v>
      </c>
      <c r="CM23" s="46">
        <f t="shared" si="23"/>
        <v>-0.08649851632</v>
      </c>
      <c r="CN23" s="37"/>
      <c r="CO23" s="37">
        <f>IFERROR(__xludf.DUMMYFUNCTION("""COMPUTED_VALUE"""),45308.64583333333)</f>
        <v>45308.64583</v>
      </c>
      <c r="CP23" s="45">
        <f>IFERROR(__xludf.DUMMYFUNCTION("""COMPUTED_VALUE"""),15.85)</f>
        <v>15.85</v>
      </c>
      <c r="CQ23" s="46">
        <f t="shared" si="24"/>
        <v>0.07094594595</v>
      </c>
      <c r="CR23" s="37"/>
      <c r="CS23" s="37">
        <f>IFERROR(__xludf.DUMMYFUNCTION("""COMPUTED_VALUE"""),45308.64583333333)</f>
        <v>45308.64583</v>
      </c>
      <c r="CT23" s="45">
        <f>IFERROR(__xludf.DUMMYFUNCTION("""COMPUTED_VALUE"""),200.0)</f>
        <v>200</v>
      </c>
      <c r="CU23" s="46">
        <f t="shared" si="25"/>
        <v>0.0101010101</v>
      </c>
      <c r="CV23" s="37"/>
      <c r="CW23" s="37">
        <f>IFERROR(__xludf.DUMMYFUNCTION("""COMPUTED_VALUE"""),45308.64583333333)</f>
        <v>45308.64583</v>
      </c>
      <c r="CX23" s="45">
        <f>IFERROR(__xludf.DUMMYFUNCTION("""COMPUTED_VALUE"""),888.0)</f>
        <v>888</v>
      </c>
      <c r="CY23" s="46">
        <f t="shared" si="26"/>
        <v>0.2836450895</v>
      </c>
      <c r="CZ23" s="37"/>
      <c r="DA23" s="37">
        <f>IFERROR(__xludf.DUMMYFUNCTION("""COMPUTED_VALUE"""),45308.64583333333)</f>
        <v>45308.64583</v>
      </c>
      <c r="DB23" s="45">
        <f>IFERROR(__xludf.DUMMYFUNCTION("""COMPUTED_VALUE"""),32.8)</f>
        <v>32.8</v>
      </c>
      <c r="DC23" s="46">
        <f t="shared" si="27"/>
        <v>0.1756272401</v>
      </c>
      <c r="DD23" s="37"/>
      <c r="DE23" s="37">
        <f>IFERROR(__xludf.DUMMYFUNCTION("""COMPUTED_VALUE"""),45308.64583333333)</f>
        <v>45308.64583</v>
      </c>
      <c r="DF23" s="45">
        <f>IFERROR(__xludf.DUMMYFUNCTION("""COMPUTED_VALUE"""),97.25)</f>
        <v>97.25</v>
      </c>
      <c r="DG23" s="46">
        <f t="shared" si="28"/>
        <v>-0.1416593116</v>
      </c>
      <c r="DH23" s="37"/>
      <c r="DI23" s="37">
        <f>IFERROR(__xludf.DUMMYFUNCTION("""COMPUTED_VALUE"""),45308.64583333333)</f>
        <v>45308.64583</v>
      </c>
      <c r="DJ23" s="45">
        <f>IFERROR(__xludf.DUMMYFUNCTION("""COMPUTED_VALUE"""),1780.0)</f>
        <v>1780</v>
      </c>
      <c r="DK23" s="46">
        <f t="shared" si="29"/>
        <v>0.1091724826</v>
      </c>
      <c r="DL23" s="37"/>
      <c r="DM23" s="37">
        <f>IFERROR(__xludf.DUMMYFUNCTION("""COMPUTED_VALUE"""),45308.64583333333)</f>
        <v>45308.64583</v>
      </c>
      <c r="DN23" s="45">
        <f>IFERROR(__xludf.DUMMYFUNCTION("""COMPUTED_VALUE"""),572.0)</f>
        <v>572</v>
      </c>
      <c r="DO23" s="46">
        <f t="shared" si="30"/>
        <v>0.06686561597</v>
      </c>
      <c r="DP23" s="37"/>
      <c r="DQ23" s="37">
        <f>IFERROR(__xludf.DUMMYFUNCTION("""COMPUTED_VALUE"""),45308.64583333333)</f>
        <v>45308.64583</v>
      </c>
      <c r="DR23" s="45">
        <f>IFERROR(__xludf.DUMMYFUNCTION("""COMPUTED_VALUE"""),220.45)</f>
        <v>220.45</v>
      </c>
      <c r="DS23" s="46">
        <f t="shared" si="31"/>
        <v>0.01123853211</v>
      </c>
      <c r="DT23" s="37"/>
      <c r="DU23" s="37">
        <f>IFERROR(__xludf.DUMMYFUNCTION("""COMPUTED_VALUE"""),45308.64583333333)</f>
        <v>45308.64583</v>
      </c>
      <c r="DV23" s="45">
        <f>IFERROR(__xludf.DUMMYFUNCTION("""COMPUTED_VALUE"""),893.2)</f>
        <v>893.2</v>
      </c>
      <c r="DW23" s="46">
        <f t="shared" si="32"/>
        <v>0.05020576132</v>
      </c>
      <c r="DX23" s="37"/>
      <c r="DY23" s="37">
        <f>IFERROR(__xludf.DUMMYFUNCTION("""COMPUTED_VALUE"""),45308.64583333333)</f>
        <v>45308.64583</v>
      </c>
      <c r="DZ23" s="45">
        <f>IFERROR(__xludf.DUMMYFUNCTION("""COMPUTED_VALUE"""),11.55)</f>
        <v>11.55</v>
      </c>
      <c r="EA23" s="46">
        <f t="shared" si="33"/>
        <v>0.06451612903</v>
      </c>
      <c r="EB23" s="37"/>
      <c r="EC23" s="37">
        <f>IFERROR(__xludf.DUMMYFUNCTION("""COMPUTED_VALUE"""),45308.64583333333)</f>
        <v>45308.64583</v>
      </c>
      <c r="ED23" s="45">
        <f>IFERROR(__xludf.DUMMYFUNCTION("""COMPUTED_VALUE"""),2484.2)</f>
        <v>2484.2</v>
      </c>
      <c r="EE23" s="46">
        <f t="shared" si="34"/>
        <v>-0.06079395085</v>
      </c>
      <c r="EF23" s="37"/>
      <c r="EG23" s="37">
        <f>IFERROR(__xludf.DUMMYFUNCTION("""COMPUTED_VALUE"""),45308.64583333333)</f>
        <v>45308.64583</v>
      </c>
      <c r="EH23" s="45">
        <f>IFERROR(__xludf.DUMMYFUNCTION("""COMPUTED_VALUE"""),996.0)</f>
        <v>996</v>
      </c>
      <c r="EI23" s="46">
        <f t="shared" si="35"/>
        <v>0.5356151711</v>
      </c>
      <c r="EJ23" s="37"/>
      <c r="EK23" s="37">
        <f>IFERROR(__xludf.DUMMYFUNCTION("""COMPUTED_VALUE"""),45308.64583333333)</f>
        <v>45308.64583</v>
      </c>
      <c r="EL23" s="45">
        <f>IFERROR(__xludf.DUMMYFUNCTION("""COMPUTED_VALUE"""),196.8)</f>
        <v>196.8</v>
      </c>
      <c r="EM23" s="46">
        <f t="shared" si="36"/>
        <v>-0.02574257426</v>
      </c>
      <c r="EN23" s="37"/>
      <c r="EO23" s="37">
        <f>IFERROR(__xludf.DUMMYFUNCTION("""COMPUTED_VALUE"""),45308.64583333333)</f>
        <v>45308.64583</v>
      </c>
      <c r="EP23" s="45">
        <f>IFERROR(__xludf.DUMMYFUNCTION("""COMPUTED_VALUE"""),169.0)</f>
        <v>169</v>
      </c>
      <c r="EQ23" s="46">
        <f t="shared" si="37"/>
        <v>0.0906744111</v>
      </c>
      <c r="ER23" s="37"/>
      <c r="ES23" s="37">
        <f>IFERROR(__xludf.DUMMYFUNCTION("""COMPUTED_VALUE"""),45308.64583333333)</f>
        <v>45308.64583</v>
      </c>
      <c r="ET23" s="45">
        <f>IFERROR(__xludf.DUMMYFUNCTION("""COMPUTED_VALUE"""),202.9)</f>
        <v>202.9</v>
      </c>
      <c r="EU23" s="46">
        <f t="shared" si="38"/>
        <v>0.0439927965</v>
      </c>
      <c r="EV23" s="37"/>
      <c r="EW23" s="37">
        <f>IFERROR(__xludf.DUMMYFUNCTION("""COMPUTED_VALUE"""),45308.64583333333)</f>
        <v>45308.64583</v>
      </c>
      <c r="EX23" s="45">
        <f>IFERROR(__xludf.DUMMYFUNCTION("""COMPUTED_VALUE"""),675.0)</f>
        <v>675</v>
      </c>
      <c r="EY23" s="46">
        <f t="shared" si="39"/>
        <v>0.04166666667</v>
      </c>
      <c r="EZ23" s="37"/>
      <c r="FA23" s="37">
        <f>IFERROR(__xludf.DUMMYFUNCTION("""COMPUTED_VALUE"""),45308.64583333333)</f>
        <v>45308.64583</v>
      </c>
      <c r="FB23" s="45">
        <f>IFERROR(__xludf.DUMMYFUNCTION("""COMPUTED_VALUE"""),185.7)</f>
        <v>185.7</v>
      </c>
      <c r="FC23" s="46">
        <f t="shared" si="40"/>
        <v>0.06479357798</v>
      </c>
      <c r="FD23" s="37"/>
      <c r="FE23" s="37">
        <f>IFERROR(__xludf.DUMMYFUNCTION("""COMPUTED_VALUE"""),45308.64583333333)</f>
        <v>45308.64583</v>
      </c>
      <c r="FF23" s="45">
        <f>IFERROR(__xludf.DUMMYFUNCTION("""COMPUTED_VALUE"""),345.85)</f>
        <v>345.85</v>
      </c>
      <c r="FG23" s="46">
        <f t="shared" si="41"/>
        <v>0.1346784777</v>
      </c>
      <c r="FH23" s="37"/>
      <c r="FI23" s="37">
        <f>IFERROR(__xludf.DUMMYFUNCTION("""COMPUTED_VALUE"""),45308.64583333333)</f>
        <v>45308.64583</v>
      </c>
      <c r="FJ23" s="45">
        <f>IFERROR(__xludf.DUMMYFUNCTION("""COMPUTED_VALUE"""),596.55)</f>
        <v>596.55</v>
      </c>
      <c r="FK23" s="46">
        <f t="shared" si="42"/>
        <v>-0.01567527432</v>
      </c>
      <c r="FL23" s="37"/>
      <c r="FM23" s="37">
        <f>IFERROR(__xludf.DUMMYFUNCTION("""COMPUTED_VALUE"""),45308.64583333333)</f>
        <v>45308.64583</v>
      </c>
      <c r="FN23" s="45">
        <f>IFERROR(__xludf.DUMMYFUNCTION("""COMPUTED_VALUE"""),103.45)</f>
        <v>103.45</v>
      </c>
      <c r="FO23" s="46">
        <f t="shared" si="43"/>
        <v>0.08894736842</v>
      </c>
      <c r="FP23" s="37"/>
      <c r="FQ23" s="37">
        <f>IFERROR(__xludf.DUMMYFUNCTION("""COMPUTED_VALUE"""),45308.64583333333)</f>
        <v>45308.64583</v>
      </c>
      <c r="FR23" s="45">
        <f>IFERROR(__xludf.DUMMYFUNCTION("""COMPUTED_VALUE"""),4.45)</f>
        <v>4.45</v>
      </c>
      <c r="FS23" s="46">
        <f t="shared" si="44"/>
        <v>-0.1909090909</v>
      </c>
      <c r="FT23" s="37"/>
      <c r="FU23" s="37">
        <f>IFERROR(__xludf.DUMMYFUNCTION("""COMPUTED_VALUE"""),45308.64583333333)</f>
        <v>45308.64583</v>
      </c>
      <c r="FV23" s="45">
        <f>IFERROR(__xludf.DUMMYFUNCTION("""COMPUTED_VALUE"""),690.2)</f>
        <v>690.2</v>
      </c>
      <c r="FW23" s="46">
        <f t="shared" si="45"/>
        <v>0.03393004269</v>
      </c>
      <c r="FX23" s="37"/>
      <c r="FY23" s="37">
        <f>IFERROR(__xludf.DUMMYFUNCTION("""COMPUTED_VALUE"""),45308.64583333333)</f>
        <v>45308.64583</v>
      </c>
      <c r="FZ23" s="45">
        <f>IFERROR(__xludf.DUMMYFUNCTION("""COMPUTED_VALUE"""),170.15)</f>
        <v>170.15</v>
      </c>
      <c r="GA23" s="46">
        <f t="shared" si="46"/>
        <v>0.002061248528</v>
      </c>
      <c r="GB23" s="37"/>
      <c r="GC23" s="37">
        <f>IFERROR(__xludf.DUMMYFUNCTION("""COMPUTED_VALUE"""),45308.64583333333)</f>
        <v>45308.64583</v>
      </c>
      <c r="GD23" s="45">
        <f>IFERROR(__xludf.DUMMYFUNCTION("""COMPUTED_VALUE"""),410.9)</f>
        <v>410.9</v>
      </c>
      <c r="GE23" s="46">
        <f t="shared" si="47"/>
        <v>-0.1104135094</v>
      </c>
      <c r="GF23" s="37"/>
      <c r="GG23" s="37">
        <f>IFERROR(__xludf.DUMMYFUNCTION("""COMPUTED_VALUE"""),45308.64583333333)</f>
        <v>45308.64583</v>
      </c>
      <c r="GH23" s="45">
        <f>IFERROR(__xludf.DUMMYFUNCTION("""COMPUTED_VALUE"""),5349.85)</f>
        <v>5349.85</v>
      </c>
      <c r="GI23" s="46">
        <f t="shared" si="48"/>
        <v>0.009596150217</v>
      </c>
      <c r="GJ23" s="37"/>
      <c r="GK23" s="37">
        <f>IFERROR(__xludf.DUMMYFUNCTION("""COMPUTED_VALUE"""),45308.64583333333)</f>
        <v>45308.64583</v>
      </c>
      <c r="GL23" s="45">
        <f>IFERROR(__xludf.DUMMYFUNCTION("""COMPUTED_VALUE"""),90.75)</f>
        <v>90.75</v>
      </c>
      <c r="GM23" s="46">
        <f t="shared" si="49"/>
        <v>-0.1997354497</v>
      </c>
      <c r="GN23" s="37"/>
      <c r="GO23" s="37">
        <f>IFERROR(__xludf.DUMMYFUNCTION("""COMPUTED_VALUE"""),45308.64583333333)</f>
        <v>45308.64583</v>
      </c>
      <c r="GP23" s="45">
        <f>IFERROR(__xludf.DUMMYFUNCTION("""COMPUTED_VALUE"""),1125.2)</f>
        <v>1125.2</v>
      </c>
      <c r="GQ23" s="46">
        <f t="shared" si="50"/>
        <v>0.02332772498</v>
      </c>
      <c r="GR23" s="37"/>
      <c r="GS23" s="37">
        <f>IFERROR(__xludf.DUMMYFUNCTION("""COMPUTED_VALUE"""),45308.64583333333)</f>
        <v>45308.64583</v>
      </c>
      <c r="GT23" s="45">
        <f>IFERROR(__xludf.DUMMYFUNCTION("""COMPUTED_VALUE"""),13.4)</f>
        <v>13.4</v>
      </c>
      <c r="GU23" s="46">
        <f t="shared" si="51"/>
        <v>0.03474903475</v>
      </c>
      <c r="GV23" s="37"/>
      <c r="GW23" s="37">
        <f>IFERROR(__xludf.DUMMYFUNCTION("""COMPUTED_VALUE"""),45309.64583333333)</f>
        <v>45309.64583</v>
      </c>
      <c r="GX23" s="45">
        <f>IFERROR(__xludf.DUMMYFUNCTION("""COMPUTED_VALUE"""),17.15)</f>
        <v>17.15</v>
      </c>
      <c r="GY23" s="46">
        <f t="shared" si="52"/>
        <v>0.03939393939</v>
      </c>
      <c r="GZ23" s="37"/>
      <c r="HA23" s="37">
        <f>IFERROR(__xludf.DUMMYFUNCTION("""COMPUTED_VALUE"""),45309.64583333333)</f>
        <v>45309.64583</v>
      </c>
      <c r="HB23" s="45">
        <f>IFERROR(__xludf.DUMMYFUNCTION("""COMPUTED_VALUE"""),561.35)</f>
        <v>561.35</v>
      </c>
      <c r="HC23" s="46">
        <f t="shared" si="53"/>
        <v>-0.07672697368</v>
      </c>
      <c r="HD23" s="37"/>
      <c r="HE23" s="43">
        <f>IFERROR(__xludf.DUMMYFUNCTION("""COMPUTED_VALUE"""),45309.64583333333)</f>
        <v>45309.64583</v>
      </c>
      <c r="HF23" s="45">
        <f>IFERROR(__xludf.DUMMYFUNCTION("""COMPUTED_VALUE"""),2398.45)</f>
        <v>2398.45</v>
      </c>
      <c r="HG23" s="46" t="str">
        <f t="shared" si="54"/>
        <v>#DIV/0!</v>
      </c>
      <c r="HH23" s="37"/>
      <c r="HI23" s="37">
        <f>IFERROR(__xludf.DUMMYFUNCTION("""COMPUTED_VALUE"""),45309.64583333333)</f>
        <v>45309.64583</v>
      </c>
      <c r="HJ23" s="45">
        <f>IFERROR(__xludf.DUMMYFUNCTION("""COMPUTED_VALUE"""),5950.0)</f>
        <v>5950</v>
      </c>
      <c r="HK23" s="46">
        <f t="shared" si="55"/>
        <v>0.1643721686</v>
      </c>
      <c r="HL23" s="37"/>
      <c r="HM23" s="37">
        <f>IFERROR(__xludf.DUMMYFUNCTION("""COMPUTED_VALUE"""),45309.64583333333)</f>
        <v>45309.64583</v>
      </c>
      <c r="HN23" s="45">
        <f>IFERROR(__xludf.DUMMYFUNCTION("""COMPUTED_VALUE"""),389.8)</f>
        <v>389.8</v>
      </c>
      <c r="HO23" s="46">
        <f t="shared" si="56"/>
        <v>-0.04120034436</v>
      </c>
      <c r="HP23" s="37"/>
      <c r="HQ23" s="37">
        <f>IFERROR(__xludf.DUMMYFUNCTION("""COMPUTED_VALUE"""),45309.64583333333)</f>
        <v>45309.64583</v>
      </c>
      <c r="HR23" s="45">
        <f>IFERROR(__xludf.DUMMYFUNCTION("""COMPUTED_VALUE"""),236.6)</f>
        <v>236.6</v>
      </c>
      <c r="HS23" s="46">
        <f t="shared" si="57"/>
        <v>-0.0696028313</v>
      </c>
      <c r="HT23" s="37"/>
      <c r="HU23" s="37">
        <f>IFERROR(__xludf.DUMMYFUNCTION("""COMPUTED_VALUE"""),45309.64583333333)</f>
        <v>45309.64583</v>
      </c>
      <c r="HV23" s="45">
        <f>IFERROR(__xludf.DUMMYFUNCTION("""COMPUTED_VALUE"""),68.4)</f>
        <v>68.4</v>
      </c>
      <c r="HW23" s="46">
        <f t="shared" si="58"/>
        <v>0.09615384615</v>
      </c>
      <c r="HX23" s="37"/>
      <c r="HY23" s="37">
        <f>IFERROR(__xludf.DUMMYFUNCTION("""COMPUTED_VALUE"""),45309.64583333333)</f>
        <v>45309.64583</v>
      </c>
      <c r="HZ23" s="45">
        <f>IFERROR(__xludf.DUMMYFUNCTION("""COMPUTED_VALUE"""),350.9)</f>
        <v>350.9</v>
      </c>
      <c r="IA23" s="46">
        <f t="shared" si="59"/>
        <v>-0.2453763441</v>
      </c>
      <c r="IB23" s="37"/>
      <c r="IC23" s="37">
        <f>IFERROR(__xludf.DUMMYFUNCTION("""COMPUTED_VALUE"""),45309.64583333333)</f>
        <v>45309.64583</v>
      </c>
      <c r="ID23" s="45">
        <f>IFERROR(__xludf.DUMMYFUNCTION("""COMPUTED_VALUE"""),76.5)</f>
        <v>76.5</v>
      </c>
      <c r="IE23" s="46">
        <f t="shared" si="60"/>
        <v>-0.8256410256</v>
      </c>
      <c r="IF23" s="37"/>
      <c r="IG23" s="37">
        <f>IFERROR(__xludf.DUMMYFUNCTION("""COMPUTED_VALUE"""),45309.64583333333)</f>
        <v>45309.64583</v>
      </c>
      <c r="IH23" s="45">
        <f>IFERROR(__xludf.DUMMYFUNCTION("""COMPUTED_VALUE"""),519.6)</f>
        <v>519.6</v>
      </c>
      <c r="II23" s="46">
        <f t="shared" si="61"/>
        <v>-0.02514071295</v>
      </c>
      <c r="IJ23" s="37"/>
      <c r="IK23" s="37">
        <f>IFERROR(__xludf.DUMMYFUNCTION("""COMPUTED_VALUE"""),45309.64583333333)</f>
        <v>45309.64583</v>
      </c>
      <c r="IL23" s="45">
        <f>IFERROR(__xludf.DUMMYFUNCTION("""COMPUTED_VALUE"""),563.5)</f>
        <v>563.5</v>
      </c>
      <c r="IM23" s="46">
        <f t="shared" si="62"/>
        <v>-0.08811392507</v>
      </c>
      <c r="IN23" s="37"/>
      <c r="IO23" s="37">
        <f>IFERROR(__xludf.DUMMYFUNCTION("""COMPUTED_VALUE"""),45309.64583333333)</f>
        <v>45309.64583</v>
      </c>
      <c r="IP23" s="45">
        <f>IFERROR(__xludf.DUMMYFUNCTION("""COMPUTED_VALUE"""),169.13)</f>
        <v>169.13</v>
      </c>
      <c r="IQ23" s="46">
        <f t="shared" si="63"/>
        <v>0.3456122205</v>
      </c>
      <c r="IR23" s="37"/>
      <c r="IS23" s="37">
        <f>IFERROR(__xludf.DUMMYFUNCTION("""COMPUTED_VALUE"""),45309.64583333333)</f>
        <v>45309.64583</v>
      </c>
      <c r="IT23" s="45">
        <f>IFERROR(__xludf.DUMMYFUNCTION("""COMPUTED_VALUE"""),1050.0)</f>
        <v>1050</v>
      </c>
      <c r="IU23" s="46">
        <f t="shared" si="64"/>
        <v>0.04581673307</v>
      </c>
      <c r="IV23" s="37"/>
      <c r="IW23" s="37">
        <f>IFERROR(__xludf.DUMMYFUNCTION("""COMPUTED_VALUE"""),45309.64583333333)</f>
        <v>45309.64583</v>
      </c>
      <c r="IX23" s="45">
        <f>IFERROR(__xludf.DUMMYFUNCTION("""COMPUTED_VALUE"""),209.2)</f>
        <v>209.2</v>
      </c>
      <c r="IY23" s="46">
        <f t="shared" si="65"/>
        <v>0.01578052925</v>
      </c>
      <c r="IZ23" s="37"/>
      <c r="JA23" s="37">
        <f>IFERROR(__xludf.DUMMYFUNCTION("""COMPUTED_VALUE"""),45309.64583333333)</f>
        <v>45309.64583</v>
      </c>
      <c r="JB23" s="45">
        <f>IFERROR(__xludf.DUMMYFUNCTION("""COMPUTED_VALUE"""),34418.5)</f>
        <v>34418.5</v>
      </c>
      <c r="JC23" s="46">
        <f t="shared" si="66"/>
        <v>-0.02779876648</v>
      </c>
      <c r="JD23" s="37"/>
      <c r="JE23" s="37">
        <f>IFERROR(__xludf.DUMMYFUNCTION("""COMPUTED_VALUE"""),45309.64583333333)</f>
        <v>45309.64583</v>
      </c>
      <c r="JF23" s="45">
        <f>IFERROR(__xludf.DUMMYFUNCTION("""COMPUTED_VALUE"""),633.5)</f>
        <v>633.5</v>
      </c>
      <c r="JG23" s="46">
        <f t="shared" si="67"/>
        <v>-0.01782945736</v>
      </c>
      <c r="JH23" s="37"/>
      <c r="JI23" s="37">
        <f>IFERROR(__xludf.DUMMYFUNCTION("""COMPUTED_VALUE"""),45309.64583333333)</f>
        <v>45309.64583</v>
      </c>
      <c r="JJ23" s="45">
        <f>IFERROR(__xludf.DUMMYFUNCTION("""COMPUTED_VALUE"""),299.85)</f>
        <v>299.85</v>
      </c>
      <c r="JK23" s="46">
        <f t="shared" si="68"/>
        <v>-0.1021110945</v>
      </c>
      <c r="JL23" s="37"/>
      <c r="JM23" s="37">
        <f>IFERROR(__xludf.DUMMYFUNCTION("""COMPUTED_VALUE"""),45309.64583333333)</f>
        <v>45309.64583</v>
      </c>
      <c r="JN23" s="45">
        <f>IFERROR(__xludf.DUMMYFUNCTION("""COMPUTED_VALUE"""),15.7)</f>
        <v>15.7</v>
      </c>
      <c r="JO23" s="46">
        <f t="shared" si="69"/>
        <v>-0.9642165242</v>
      </c>
      <c r="JP23" s="37"/>
      <c r="JQ23" s="37">
        <f>IFERROR(__xludf.DUMMYFUNCTION("""COMPUTED_VALUE"""),45309.64583333333)</f>
        <v>45309.64583</v>
      </c>
      <c r="JR23" s="45">
        <f>IFERROR(__xludf.DUMMYFUNCTION("""COMPUTED_VALUE"""),87.65)</f>
        <v>87.65</v>
      </c>
      <c r="JS23" s="46">
        <f t="shared" si="70"/>
        <v>-0.3555147059</v>
      </c>
      <c r="JT23" s="37"/>
      <c r="JU23" s="37">
        <f>IFERROR(__xludf.DUMMYFUNCTION("""COMPUTED_VALUE"""),45309.64583333333)</f>
        <v>45309.64583</v>
      </c>
      <c r="JV23" s="45">
        <f>IFERROR(__xludf.DUMMYFUNCTION("""COMPUTED_VALUE"""),242.95)</f>
        <v>242.95</v>
      </c>
      <c r="JW23" s="46">
        <f t="shared" si="71"/>
        <v>-0.4462678063</v>
      </c>
      <c r="JX23" s="37"/>
      <c r="JY23" s="37">
        <f>IFERROR(__xludf.DUMMYFUNCTION("""COMPUTED_VALUE"""),45309.64583333333)</f>
        <v>45309.64583</v>
      </c>
      <c r="JZ23" s="45">
        <f>IFERROR(__xludf.DUMMYFUNCTION("""COMPUTED_VALUE"""),614.9)</f>
        <v>614.9</v>
      </c>
      <c r="KA23" s="46">
        <f t="shared" si="72"/>
        <v>0.1159709619</v>
      </c>
      <c r="KB23" s="37"/>
      <c r="KC23" s="37">
        <f>IFERROR(__xludf.DUMMYFUNCTION("""COMPUTED_VALUE"""),45309.64583333333)</f>
        <v>45309.64583</v>
      </c>
      <c r="KD23" s="45">
        <f>IFERROR(__xludf.DUMMYFUNCTION("""COMPUTED_VALUE"""),885.0)</f>
        <v>885</v>
      </c>
      <c r="KE23" s="46">
        <f t="shared" si="73"/>
        <v>0.01310743518</v>
      </c>
      <c r="KF23" s="37"/>
      <c r="KG23" s="37">
        <f>IFERROR(__xludf.DUMMYFUNCTION("""COMPUTED_VALUE"""),45309.64583333333)</f>
        <v>45309.64583</v>
      </c>
      <c r="KH23" s="45">
        <f>IFERROR(__xludf.DUMMYFUNCTION("""COMPUTED_VALUE"""),449.2)</f>
        <v>449.2</v>
      </c>
      <c r="KI23" s="46">
        <f t="shared" si="74"/>
        <v>0.1517948718</v>
      </c>
      <c r="KJ23" s="37"/>
      <c r="KK23" s="37">
        <f>IFERROR(__xludf.DUMMYFUNCTION("""COMPUTED_VALUE"""),45309.64583333333)</f>
        <v>45309.64583</v>
      </c>
      <c r="KL23" s="45">
        <f>IFERROR(__xludf.DUMMYFUNCTION("""COMPUTED_VALUE"""),10.1)</f>
        <v>10.1</v>
      </c>
      <c r="KM23" s="46">
        <f t="shared" si="75"/>
        <v>0.08602150538</v>
      </c>
      <c r="KN23" s="37"/>
      <c r="KO23" s="37">
        <f>IFERROR(__xludf.DUMMYFUNCTION("""COMPUTED_VALUE"""),45309.64583333333)</f>
        <v>45309.64583</v>
      </c>
      <c r="KP23" s="45">
        <f>IFERROR(__xludf.DUMMYFUNCTION("""COMPUTED_VALUE"""),230.5)</f>
        <v>230.5</v>
      </c>
      <c r="KQ23" s="46">
        <f t="shared" si="76"/>
        <v>0.133792425</v>
      </c>
      <c r="KR23" s="37"/>
      <c r="KS23" s="37">
        <f>IFERROR(__xludf.DUMMYFUNCTION("""COMPUTED_VALUE"""),45309.64583333333)</f>
        <v>45309.64583</v>
      </c>
      <c r="KT23" s="45">
        <f>IFERROR(__xludf.DUMMYFUNCTION("""COMPUTED_VALUE"""),11.35)</f>
        <v>11.35</v>
      </c>
      <c r="KU23" s="46">
        <f t="shared" si="77"/>
        <v>0.02714932127</v>
      </c>
      <c r="KV23" s="37"/>
      <c r="KW23" s="37">
        <f>IFERROR(__xludf.DUMMYFUNCTION("""COMPUTED_VALUE"""),45309.64583333333)</f>
        <v>45309.64583</v>
      </c>
      <c r="KX23" s="45">
        <f>IFERROR(__xludf.DUMMYFUNCTION("""COMPUTED_VALUE"""),2482.9)</f>
        <v>2482.9</v>
      </c>
      <c r="KY23" s="46">
        <f t="shared" si="78"/>
        <v>-0.07005749171</v>
      </c>
      <c r="KZ23" s="37"/>
      <c r="LA23" s="37">
        <f>IFERROR(__xludf.DUMMYFUNCTION("""COMPUTED_VALUE"""),45309.64583333333)</f>
        <v>45309.64583</v>
      </c>
      <c r="LB23" s="45">
        <f>IFERROR(__xludf.DUMMYFUNCTION("""COMPUTED_VALUE"""),21.8)</f>
        <v>21.8</v>
      </c>
      <c r="LC23" s="46">
        <f t="shared" si="79"/>
        <v>0.1564986737</v>
      </c>
      <c r="LD23" s="37"/>
      <c r="LE23" s="37">
        <f>IFERROR(__xludf.DUMMYFUNCTION("""COMPUTED_VALUE"""),45309.64583333333)</f>
        <v>45309.64583</v>
      </c>
      <c r="LF23" s="45">
        <f>IFERROR(__xludf.DUMMYFUNCTION("""COMPUTED_VALUE"""),133.0)</f>
        <v>133</v>
      </c>
      <c r="LG23" s="46">
        <f t="shared" si="80"/>
        <v>0.064</v>
      </c>
      <c r="LH23" s="37"/>
      <c r="LI23" s="37">
        <f>IFERROR(__xludf.DUMMYFUNCTION("""COMPUTED_VALUE"""),45309.64583333333)</f>
        <v>45309.64583</v>
      </c>
      <c r="LJ23" s="45">
        <f>IFERROR(__xludf.DUMMYFUNCTION("""COMPUTED_VALUE"""),737.7)</f>
        <v>737.7</v>
      </c>
      <c r="LK23" s="46">
        <f t="shared" si="81"/>
        <v>0.01332417582</v>
      </c>
      <c r="LL23" s="37"/>
      <c r="LM23" s="37">
        <f>IFERROR(__xludf.DUMMYFUNCTION("""COMPUTED_VALUE"""),45309.64583333333)</f>
        <v>45309.64583</v>
      </c>
      <c r="LN23" s="45">
        <f>IFERROR(__xludf.DUMMYFUNCTION("""COMPUTED_VALUE"""),815.65)</f>
        <v>815.65</v>
      </c>
      <c r="LO23" s="46">
        <f t="shared" si="82"/>
        <v>-0.04602339181</v>
      </c>
      <c r="LP23" s="37"/>
      <c r="LQ23" s="37">
        <f>IFERROR(__xludf.DUMMYFUNCTION("""COMPUTED_VALUE"""),45309.64583333333)</f>
        <v>45309.64583</v>
      </c>
      <c r="LR23" s="45">
        <f>IFERROR(__xludf.DUMMYFUNCTION("""COMPUTED_VALUE"""),510.4)</f>
        <v>510.4</v>
      </c>
      <c r="LS23" s="46">
        <f t="shared" si="83"/>
        <v>0.3968253968</v>
      </c>
      <c r="LT23" s="37"/>
      <c r="LU23" s="37">
        <f>IFERROR(__xludf.DUMMYFUNCTION("""COMPUTED_VALUE"""),45309.64583333333)</f>
        <v>45309.64583</v>
      </c>
      <c r="LV23" s="45">
        <f>IFERROR(__xludf.DUMMYFUNCTION("""COMPUTED_VALUE"""),125.05)</f>
        <v>125.05</v>
      </c>
      <c r="LW23" s="46">
        <f t="shared" si="84"/>
        <v>-0.08589181287</v>
      </c>
      <c r="LX23" s="37"/>
      <c r="LY23" s="37">
        <f>IFERROR(__xludf.DUMMYFUNCTION("""COMPUTED_VALUE"""),45309.64583333333)</f>
        <v>45309.64583</v>
      </c>
      <c r="LZ23" s="45">
        <f>IFERROR(__xludf.DUMMYFUNCTION("""COMPUTED_VALUE"""),596.0)</f>
        <v>596</v>
      </c>
      <c r="MA23" s="46">
        <f t="shared" si="85"/>
        <v>-0.03870967742</v>
      </c>
      <c r="MB23" s="37"/>
      <c r="MC23" s="37"/>
      <c r="MD23" s="45"/>
      <c r="ME23" s="46" t="str">
        <f t="shared" si="86"/>
        <v>#DIV/0!</v>
      </c>
      <c r="MF23" s="37"/>
      <c r="MG23" s="37">
        <f>IFERROR(__xludf.DUMMYFUNCTION("""COMPUTED_VALUE"""),45309.64583333333)</f>
        <v>45309.64583</v>
      </c>
      <c r="MH23" s="45">
        <f>IFERROR(__xludf.DUMMYFUNCTION("""COMPUTED_VALUE"""),1954.85)</f>
        <v>1954.85</v>
      </c>
      <c r="MI23" s="46">
        <f t="shared" si="87"/>
        <v>-0.003110737143</v>
      </c>
      <c r="MJ23" s="37"/>
      <c r="MK23" s="37">
        <f>IFERROR(__xludf.DUMMYFUNCTION("""COMPUTED_VALUE"""),45309.64583333333)</f>
        <v>45309.64583</v>
      </c>
      <c r="ML23" s="45">
        <f>IFERROR(__xludf.DUMMYFUNCTION("""COMPUTED_VALUE"""),364.0)</f>
        <v>364</v>
      </c>
      <c r="MM23" s="46">
        <f t="shared" si="88"/>
        <v>-0.08988623578</v>
      </c>
      <c r="MN23" s="37"/>
      <c r="MO23" s="37">
        <f>IFERROR(__xludf.DUMMYFUNCTION("""COMPUTED_VALUE"""),45309.64583333333)</f>
        <v>45309.64583</v>
      </c>
      <c r="MP23" s="45">
        <f>IFERROR(__xludf.DUMMYFUNCTION("""COMPUTED_VALUE"""),763.0)</f>
        <v>763</v>
      </c>
      <c r="MQ23" s="46">
        <f t="shared" si="89"/>
        <v>0.03108108108</v>
      </c>
      <c r="MR23" s="37"/>
      <c r="MS23" s="37">
        <f>IFERROR(__xludf.DUMMYFUNCTION("""COMPUTED_VALUE"""),45309.64583333333)</f>
        <v>45309.64583</v>
      </c>
      <c r="MT23" s="45">
        <f>IFERROR(__xludf.DUMMYFUNCTION("""COMPUTED_VALUE"""),62.75)</f>
        <v>62.75</v>
      </c>
      <c r="MU23" s="46">
        <f t="shared" si="90"/>
        <v>-0.05139833711</v>
      </c>
      <c r="MV23" s="37"/>
      <c r="MW23" s="37">
        <f>IFERROR(__xludf.DUMMYFUNCTION("""COMPUTED_VALUE"""),45309.64583333333)</f>
        <v>45309.64583</v>
      </c>
      <c r="MX23" s="45">
        <f>IFERROR(__xludf.DUMMYFUNCTION("""COMPUTED_VALUE"""),3192.0)</f>
        <v>3192</v>
      </c>
      <c r="MY23" s="46">
        <f t="shared" si="91"/>
        <v>0.0142993327</v>
      </c>
      <c r="MZ23" s="37"/>
      <c r="NA23" s="37">
        <f>IFERROR(__xludf.DUMMYFUNCTION("""COMPUTED_VALUE"""),45309.64583333333)</f>
        <v>45309.64583</v>
      </c>
      <c r="NB23" s="45">
        <f>IFERROR(__xludf.DUMMYFUNCTION("""COMPUTED_VALUE"""),13.85)</f>
        <v>13.85</v>
      </c>
      <c r="NC23" s="46">
        <f t="shared" si="92"/>
        <v>0.09486166008</v>
      </c>
      <c r="ND23" s="37"/>
      <c r="NE23" s="37">
        <f>IFERROR(__xludf.DUMMYFUNCTION("""COMPUTED_VALUE"""),45310.64583333333)</f>
        <v>45310.64583</v>
      </c>
      <c r="NF23" s="45">
        <f>IFERROR(__xludf.DUMMYFUNCTION("""COMPUTED_VALUE"""),387.0)</f>
        <v>387</v>
      </c>
      <c r="NG23" s="46">
        <f t="shared" si="93"/>
        <v>0.01057579318</v>
      </c>
      <c r="NH23" s="37"/>
      <c r="NI23" s="37">
        <f>IFERROR(__xludf.DUMMYFUNCTION("""COMPUTED_VALUE"""),45310.64583333333)</f>
        <v>45310.64583</v>
      </c>
      <c r="NJ23" s="45">
        <f>IFERROR(__xludf.DUMMYFUNCTION("""COMPUTED_VALUE"""),312.37)</f>
        <v>312.37</v>
      </c>
      <c r="NK23" s="46">
        <f t="shared" si="94"/>
        <v>0.1713728578</v>
      </c>
      <c r="NL23" s="37"/>
      <c r="NM23" s="37">
        <f>IFERROR(__xludf.DUMMYFUNCTION("""COMPUTED_VALUE"""),45310.64583333333)</f>
        <v>45310.64583</v>
      </c>
      <c r="NN23" s="45">
        <f>IFERROR(__xludf.DUMMYFUNCTION("""COMPUTED_VALUE"""),114.85)</f>
        <v>114.85</v>
      </c>
      <c r="NO23" s="46">
        <f t="shared" si="95"/>
        <v>-0.06853203569</v>
      </c>
      <c r="NP23" s="37"/>
      <c r="NQ23" s="37">
        <f>IFERROR(__xludf.DUMMYFUNCTION("""COMPUTED_VALUE"""),45310.64583333333)</f>
        <v>45310.64583</v>
      </c>
      <c r="NR23" s="45">
        <f>IFERROR(__xludf.DUMMYFUNCTION("""COMPUTED_VALUE"""),4440.85)</f>
        <v>4440.85</v>
      </c>
      <c r="NS23" s="46">
        <f t="shared" si="96"/>
        <v>0.06342193487</v>
      </c>
      <c r="NT23" s="37"/>
      <c r="NU23" s="37">
        <f>IFERROR(__xludf.DUMMYFUNCTION("""COMPUTED_VALUE"""),45310.64583333333)</f>
        <v>45310.64583</v>
      </c>
      <c r="NV23" s="45">
        <f>IFERROR(__xludf.DUMMYFUNCTION("""COMPUTED_VALUE"""),13.6)</f>
        <v>13.6</v>
      </c>
      <c r="NW23" s="46">
        <f t="shared" si="97"/>
        <v>0.07086614173</v>
      </c>
      <c r="NX23" s="37"/>
      <c r="NY23" s="37">
        <f>IFERROR(__xludf.DUMMYFUNCTION("""COMPUTED_VALUE"""),45310.64583333333)</f>
        <v>45310.64583</v>
      </c>
      <c r="NZ23" s="45">
        <f>IFERROR(__xludf.DUMMYFUNCTION("""COMPUTED_VALUE"""),299.85)</f>
        <v>299.85</v>
      </c>
      <c r="OA23" s="46">
        <f t="shared" si="98"/>
        <v>0.2149513776</v>
      </c>
      <c r="OB23" s="37"/>
      <c r="OC23" s="37">
        <f>IFERROR(__xludf.DUMMYFUNCTION("""COMPUTED_VALUE"""),45310.64583333333)</f>
        <v>45310.64583</v>
      </c>
      <c r="OD23" s="45">
        <f>IFERROR(__xludf.DUMMYFUNCTION("""COMPUTED_VALUE"""),1165.6)</f>
        <v>1165.6</v>
      </c>
      <c r="OE23" s="46">
        <f t="shared" si="99"/>
        <v>0.1059348166</v>
      </c>
      <c r="OF23" s="37"/>
      <c r="OG23" s="37">
        <f>IFERROR(__xludf.DUMMYFUNCTION("""COMPUTED_VALUE"""),45310.64583333333)</f>
        <v>45310.64583</v>
      </c>
      <c r="OH23" s="45">
        <f>IFERROR(__xludf.DUMMYFUNCTION("""COMPUTED_VALUE"""),2385.05)</f>
        <v>2385.05</v>
      </c>
      <c r="OI23" s="46">
        <f t="shared" si="100"/>
        <v>-0.02244036396</v>
      </c>
      <c r="OJ23" s="37"/>
      <c r="OK23" s="37"/>
      <c r="OL23" s="45"/>
      <c r="OM23" s="46" t="str">
        <f t="shared" si="101"/>
        <v>#DIV/0!</v>
      </c>
      <c r="ON23" s="37"/>
    </row>
    <row r="24" ht="12.0" customHeight="1">
      <c r="A24" s="37">
        <f>IFERROR(__xludf.DUMMYFUNCTION("""COMPUTED_VALUE"""),45309.64583333333)</f>
        <v>45309.64583</v>
      </c>
      <c r="B24" s="45">
        <f>IFERROR(__xludf.DUMMYFUNCTION("""COMPUTED_VALUE"""),417.2)</f>
        <v>417.2</v>
      </c>
      <c r="C24" s="46">
        <f t="shared" si="1"/>
        <v>-0.04911680912</v>
      </c>
      <c r="D24" s="37"/>
      <c r="E24" s="37">
        <f>IFERROR(__xludf.DUMMYFUNCTION("""COMPUTED_VALUE"""),45309.64583333333)</f>
        <v>45309.64583</v>
      </c>
      <c r="F24" s="45">
        <f>IFERROR(__xludf.DUMMYFUNCTION("""COMPUTED_VALUE"""),688.2)</f>
        <v>688.2</v>
      </c>
      <c r="G24" s="46">
        <f t="shared" si="2"/>
        <v>0.0506870229</v>
      </c>
      <c r="H24" s="37"/>
      <c r="I24" s="37">
        <f>IFERROR(__xludf.DUMMYFUNCTION("""COMPUTED_VALUE"""),45309.64583333333)</f>
        <v>45309.64583</v>
      </c>
      <c r="J24" s="45">
        <f>IFERROR(__xludf.DUMMYFUNCTION("""COMPUTED_VALUE"""),189.0)</f>
        <v>189</v>
      </c>
      <c r="K24" s="46">
        <f t="shared" si="3"/>
        <v>0.02717391304</v>
      </c>
      <c r="L24" s="37"/>
      <c r="M24" s="37">
        <f>IFERROR(__xludf.DUMMYFUNCTION("""COMPUTED_VALUE"""),45309.64583333333)</f>
        <v>45309.64583</v>
      </c>
      <c r="N24" s="45">
        <f>IFERROR(__xludf.DUMMYFUNCTION("""COMPUTED_VALUE"""),85.05)</f>
        <v>85.05</v>
      </c>
      <c r="O24" s="46">
        <f t="shared" si="4"/>
        <v>-0.015625</v>
      </c>
      <c r="P24" s="37"/>
      <c r="Q24" s="37">
        <f>IFERROR(__xludf.DUMMYFUNCTION("""COMPUTED_VALUE"""),45309.64583333333)</f>
        <v>45309.64583</v>
      </c>
      <c r="R24" s="45">
        <f>IFERROR(__xludf.DUMMYFUNCTION("""COMPUTED_VALUE"""),47.35)</f>
        <v>47.35</v>
      </c>
      <c r="S24" s="46">
        <f t="shared" si="5"/>
        <v>-0.0980952381</v>
      </c>
      <c r="T24" s="37"/>
      <c r="U24" s="37">
        <f>IFERROR(__xludf.DUMMYFUNCTION("""COMPUTED_VALUE"""),45309.64583333333)</f>
        <v>45309.64583</v>
      </c>
      <c r="V24" s="45">
        <f>IFERROR(__xludf.DUMMYFUNCTION("""COMPUTED_VALUE"""),819.0)</f>
        <v>819</v>
      </c>
      <c r="W24" s="46">
        <f t="shared" si="6"/>
        <v>0.2364130435</v>
      </c>
      <c r="X24" s="37"/>
      <c r="Y24" s="37">
        <f>IFERROR(__xludf.DUMMYFUNCTION("""COMPUTED_VALUE"""),45309.64583333333)</f>
        <v>45309.64583</v>
      </c>
      <c r="Z24" s="45">
        <f>IFERROR(__xludf.DUMMYFUNCTION("""COMPUTED_VALUE"""),180.0)</f>
        <v>180</v>
      </c>
      <c r="AA24" s="46">
        <f t="shared" si="7"/>
        <v>-0.02702702703</v>
      </c>
      <c r="AB24" s="37"/>
      <c r="AC24" s="37">
        <f>IFERROR(__xludf.DUMMYFUNCTION("""COMPUTED_VALUE"""),45309.64583333333)</f>
        <v>45309.64583</v>
      </c>
      <c r="AD24" s="45">
        <f>IFERROR(__xludf.DUMMYFUNCTION("""COMPUTED_VALUE"""),2398.45)</f>
        <v>2398.45</v>
      </c>
      <c r="AE24" s="46">
        <f t="shared" si="8"/>
        <v>0.01008633397</v>
      </c>
      <c r="AF24" s="37"/>
      <c r="AG24" s="37">
        <f>IFERROR(__xludf.DUMMYFUNCTION("""COMPUTED_VALUE"""),45309.64583333333)</f>
        <v>45309.64583</v>
      </c>
      <c r="AH24" s="45">
        <f>IFERROR(__xludf.DUMMYFUNCTION("""COMPUTED_VALUE"""),713.8)</f>
        <v>713.8</v>
      </c>
      <c r="AI24" s="46">
        <f t="shared" si="9"/>
        <v>-0.1502380952</v>
      </c>
      <c r="AJ24" s="37"/>
      <c r="AK24" s="37">
        <f>IFERROR(__xludf.DUMMYFUNCTION("""COMPUTED_VALUE"""),45309.64583333333)</f>
        <v>45309.64583</v>
      </c>
      <c r="AL24" s="45">
        <f>IFERROR(__xludf.DUMMYFUNCTION("""COMPUTED_VALUE"""),5950.0)</f>
        <v>5950</v>
      </c>
      <c r="AM24" s="46">
        <f t="shared" si="10"/>
        <v>0.1442307692</v>
      </c>
      <c r="AN24" s="37"/>
      <c r="AO24" s="37">
        <f>IFERROR(__xludf.DUMMYFUNCTION("""COMPUTED_VALUE"""),45309.64583333333)</f>
        <v>45309.64583</v>
      </c>
      <c r="AP24" s="45">
        <f>IFERROR(__xludf.DUMMYFUNCTION("""COMPUTED_VALUE"""),866.05)</f>
        <v>866.05</v>
      </c>
      <c r="AQ24" s="46">
        <f t="shared" si="11"/>
        <v>-0.0482967033</v>
      </c>
      <c r="AR24" s="37"/>
      <c r="AS24" s="37">
        <f>IFERROR(__xludf.DUMMYFUNCTION("""COMPUTED_VALUE"""),45309.64583333333)</f>
        <v>45309.64583</v>
      </c>
      <c r="AT24" s="45">
        <f>IFERROR(__xludf.DUMMYFUNCTION("""COMPUTED_VALUE"""),2346.9)</f>
        <v>2346.9</v>
      </c>
      <c r="AU24" s="46">
        <f t="shared" si="12"/>
        <v>-0.05515519948</v>
      </c>
      <c r="AV24" s="37"/>
      <c r="AW24" s="37">
        <f>IFERROR(__xludf.DUMMYFUNCTION("""COMPUTED_VALUE"""),45309.64583333333)</f>
        <v>45309.64583</v>
      </c>
      <c r="AX24" s="45">
        <f>IFERROR(__xludf.DUMMYFUNCTION("""COMPUTED_VALUE"""),6365.3)</f>
        <v>6365.3</v>
      </c>
      <c r="AY24" s="46">
        <f t="shared" si="13"/>
        <v>0.1276795521</v>
      </c>
      <c r="AZ24" s="37"/>
      <c r="BA24" s="37">
        <f>IFERROR(__xludf.DUMMYFUNCTION("""COMPUTED_VALUE"""),45309.64583333333)</f>
        <v>45309.64583</v>
      </c>
      <c r="BB24" s="45">
        <f>IFERROR(__xludf.DUMMYFUNCTION("""COMPUTED_VALUE"""),489.0)</f>
        <v>489</v>
      </c>
      <c r="BC24" s="46">
        <f t="shared" si="14"/>
        <v>0.04375667022</v>
      </c>
      <c r="BD24" s="37"/>
      <c r="BE24" s="37">
        <f>IFERROR(__xludf.DUMMYFUNCTION("""COMPUTED_VALUE"""),45309.64583333333)</f>
        <v>45309.64583</v>
      </c>
      <c r="BF24" s="45">
        <f>IFERROR(__xludf.DUMMYFUNCTION("""COMPUTED_VALUE"""),354.0)</f>
        <v>354</v>
      </c>
      <c r="BG24" s="46">
        <f t="shared" si="15"/>
        <v>-0.1302211302</v>
      </c>
      <c r="BH24" s="37"/>
      <c r="BI24" s="37">
        <f>IFERROR(__xludf.DUMMYFUNCTION("""COMPUTED_VALUE"""),45309.64583333333)</f>
        <v>45309.64583</v>
      </c>
      <c r="BJ24" s="45">
        <f>IFERROR(__xludf.DUMMYFUNCTION("""COMPUTED_VALUE"""),85.1)</f>
        <v>85.1</v>
      </c>
      <c r="BK24" s="46">
        <f t="shared" si="16"/>
        <v>0.2253419726</v>
      </c>
      <c r="BL24" s="37"/>
      <c r="BM24" s="37">
        <f>IFERROR(__xludf.DUMMYFUNCTION("""COMPUTED_VALUE"""),45309.64583333333)</f>
        <v>45309.64583</v>
      </c>
      <c r="BN24" s="45">
        <f>IFERROR(__xludf.DUMMYFUNCTION("""COMPUTED_VALUE"""),236.6)</f>
        <v>236.6</v>
      </c>
      <c r="BO24" s="46">
        <f t="shared" si="17"/>
        <v>-0.07578125</v>
      </c>
      <c r="BP24" s="37"/>
      <c r="BQ24" s="37">
        <f>IFERROR(__xludf.DUMMYFUNCTION("""COMPUTED_VALUE"""),45309.64583333333)</f>
        <v>45309.64583</v>
      </c>
      <c r="BR24" s="45">
        <f>IFERROR(__xludf.DUMMYFUNCTION("""COMPUTED_VALUE"""),68.4)</f>
        <v>68.4</v>
      </c>
      <c r="BS24" s="46">
        <f t="shared" si="18"/>
        <v>0.1231527094</v>
      </c>
      <c r="BT24" s="37"/>
      <c r="BU24" s="37">
        <f>IFERROR(__xludf.DUMMYFUNCTION("""COMPUTED_VALUE"""),45309.64583333333)</f>
        <v>45309.64583</v>
      </c>
      <c r="BV24" s="45">
        <f>IFERROR(__xludf.DUMMYFUNCTION("""COMPUTED_VALUE"""),323.2)</f>
        <v>323.2</v>
      </c>
      <c r="BW24" s="46">
        <f t="shared" si="19"/>
        <v>0.04460245637</v>
      </c>
      <c r="BX24" s="37"/>
      <c r="BY24" s="37">
        <f>IFERROR(__xludf.DUMMYFUNCTION("""COMPUTED_VALUE"""),45309.64583333333)</f>
        <v>45309.64583</v>
      </c>
      <c r="BZ24" s="45">
        <f>IFERROR(__xludf.DUMMYFUNCTION("""COMPUTED_VALUE"""),350.9)</f>
        <v>350.9</v>
      </c>
      <c r="CA24" s="46">
        <f t="shared" si="20"/>
        <v>-0.1431013431</v>
      </c>
      <c r="CB24" s="37"/>
      <c r="CC24" s="37">
        <f>IFERROR(__xludf.DUMMYFUNCTION("""COMPUTED_VALUE"""),45309.64583333333)</f>
        <v>45309.64583</v>
      </c>
      <c r="CD24" s="45">
        <f>IFERROR(__xludf.DUMMYFUNCTION("""COMPUTED_VALUE"""),265.0)</f>
        <v>265</v>
      </c>
      <c r="CE24" s="46">
        <f t="shared" si="21"/>
        <v>0.143720328</v>
      </c>
      <c r="CF24" s="37"/>
      <c r="CG24" s="37">
        <f>IFERROR(__xludf.DUMMYFUNCTION("""COMPUTED_VALUE"""),45309.64583333333)</f>
        <v>45309.64583</v>
      </c>
      <c r="CH24" s="45">
        <f>IFERROR(__xludf.DUMMYFUNCTION("""COMPUTED_VALUE"""),633.5)</f>
        <v>633.5</v>
      </c>
      <c r="CI24" s="46">
        <f t="shared" si="22"/>
        <v>-0.00393081761</v>
      </c>
      <c r="CJ24" s="37"/>
      <c r="CK24" s="37">
        <f>IFERROR(__xludf.DUMMYFUNCTION("""COMPUTED_VALUE"""),45309.64583333333)</f>
        <v>45309.64583</v>
      </c>
      <c r="CL24" s="45">
        <f>IFERROR(__xludf.DUMMYFUNCTION("""COMPUTED_VALUE"""),299.85)</f>
        <v>299.85</v>
      </c>
      <c r="CM24" s="46">
        <f t="shared" si="23"/>
        <v>-0.1102373887</v>
      </c>
      <c r="CN24" s="37"/>
      <c r="CO24" s="37">
        <f>IFERROR(__xludf.DUMMYFUNCTION("""COMPUTED_VALUE"""),45309.64583333333)</f>
        <v>45309.64583</v>
      </c>
      <c r="CP24" s="45">
        <f>IFERROR(__xludf.DUMMYFUNCTION("""COMPUTED_VALUE"""),15.7)</f>
        <v>15.7</v>
      </c>
      <c r="CQ24" s="46">
        <f t="shared" si="24"/>
        <v>0.06081081081</v>
      </c>
      <c r="CR24" s="37"/>
      <c r="CS24" s="37">
        <f>IFERROR(__xludf.DUMMYFUNCTION("""COMPUTED_VALUE"""),45309.64583333333)</f>
        <v>45309.64583</v>
      </c>
      <c r="CT24" s="45">
        <f>IFERROR(__xludf.DUMMYFUNCTION("""COMPUTED_VALUE"""),196.8)</f>
        <v>196.8</v>
      </c>
      <c r="CU24" s="46">
        <f t="shared" si="25"/>
        <v>-0.006060606061</v>
      </c>
      <c r="CV24" s="37"/>
      <c r="CW24" s="37">
        <f>IFERROR(__xludf.DUMMYFUNCTION("""COMPUTED_VALUE"""),45309.64583333333)</f>
        <v>45309.64583</v>
      </c>
      <c r="CX24" s="45">
        <f>IFERROR(__xludf.DUMMYFUNCTION("""COMPUTED_VALUE"""),896.1)</f>
        <v>896.1</v>
      </c>
      <c r="CY24" s="46">
        <f t="shared" si="26"/>
        <v>0.2953540143</v>
      </c>
      <c r="CZ24" s="37"/>
      <c r="DA24" s="37">
        <f>IFERROR(__xludf.DUMMYFUNCTION("""COMPUTED_VALUE"""),45309.64583333333)</f>
        <v>45309.64583</v>
      </c>
      <c r="DB24" s="45">
        <f>IFERROR(__xludf.DUMMYFUNCTION("""COMPUTED_VALUE"""),32.5)</f>
        <v>32.5</v>
      </c>
      <c r="DC24" s="46">
        <f t="shared" si="27"/>
        <v>0.164874552</v>
      </c>
      <c r="DD24" s="37"/>
      <c r="DE24" s="37">
        <f>IFERROR(__xludf.DUMMYFUNCTION("""COMPUTED_VALUE"""),45309.64583333333)</f>
        <v>45309.64583</v>
      </c>
      <c r="DF24" s="45">
        <f>IFERROR(__xludf.DUMMYFUNCTION("""COMPUTED_VALUE"""),87.65)</f>
        <v>87.65</v>
      </c>
      <c r="DG24" s="46">
        <f t="shared" si="28"/>
        <v>-0.2263901147</v>
      </c>
      <c r="DH24" s="37"/>
      <c r="DI24" s="37">
        <f>IFERROR(__xludf.DUMMYFUNCTION("""COMPUTED_VALUE"""),45309.64583333333)</f>
        <v>45309.64583</v>
      </c>
      <c r="DJ24" s="45">
        <f>IFERROR(__xludf.DUMMYFUNCTION("""COMPUTED_VALUE"""),1707.15)</f>
        <v>1707.15</v>
      </c>
      <c r="DK24" s="46">
        <f t="shared" si="29"/>
        <v>0.06377741775</v>
      </c>
      <c r="DL24" s="37"/>
      <c r="DM24" s="37">
        <f>IFERROR(__xludf.DUMMYFUNCTION("""COMPUTED_VALUE"""),45309.64583333333)</f>
        <v>45309.64583</v>
      </c>
      <c r="DN24" s="45">
        <f>IFERROR(__xludf.DUMMYFUNCTION("""COMPUTED_VALUE"""),570.25)</f>
        <v>570.25</v>
      </c>
      <c r="DO24" s="46">
        <f t="shared" si="30"/>
        <v>0.06360160403</v>
      </c>
      <c r="DP24" s="37"/>
      <c r="DQ24" s="37">
        <f>IFERROR(__xludf.DUMMYFUNCTION("""COMPUTED_VALUE"""),45309.64583333333)</f>
        <v>45309.64583</v>
      </c>
      <c r="DR24" s="45">
        <f>IFERROR(__xludf.DUMMYFUNCTION("""COMPUTED_VALUE"""),217.4)</f>
        <v>217.4</v>
      </c>
      <c r="DS24" s="46">
        <f t="shared" si="31"/>
        <v>-0.002752293578</v>
      </c>
      <c r="DT24" s="37"/>
      <c r="DU24" s="37">
        <f>IFERROR(__xludf.DUMMYFUNCTION("""COMPUTED_VALUE"""),45309.64583333333)</f>
        <v>45309.64583</v>
      </c>
      <c r="DV24" s="45">
        <f>IFERROR(__xludf.DUMMYFUNCTION("""COMPUTED_VALUE"""),885.0)</f>
        <v>885</v>
      </c>
      <c r="DW24" s="46">
        <f t="shared" si="32"/>
        <v>0.0405643739</v>
      </c>
      <c r="DX24" s="37"/>
      <c r="DY24" s="37">
        <f>IFERROR(__xludf.DUMMYFUNCTION("""COMPUTED_VALUE"""),45309.64583333333)</f>
        <v>45309.64583</v>
      </c>
      <c r="DZ24" s="45">
        <f>IFERROR(__xludf.DUMMYFUNCTION("""COMPUTED_VALUE"""),11.35)</f>
        <v>11.35</v>
      </c>
      <c r="EA24" s="46">
        <f t="shared" si="33"/>
        <v>0.04608294931</v>
      </c>
      <c r="EB24" s="37"/>
      <c r="EC24" s="37">
        <f>IFERROR(__xludf.DUMMYFUNCTION("""COMPUTED_VALUE"""),45309.64583333333)</f>
        <v>45309.64583</v>
      </c>
      <c r="ED24" s="45">
        <f>IFERROR(__xludf.DUMMYFUNCTION("""COMPUTED_VALUE"""),2482.9)</f>
        <v>2482.9</v>
      </c>
      <c r="EE24" s="46">
        <f t="shared" si="34"/>
        <v>-0.06128544423</v>
      </c>
      <c r="EF24" s="37"/>
      <c r="EG24" s="37">
        <f>IFERROR(__xludf.DUMMYFUNCTION("""COMPUTED_VALUE"""),45309.64583333333)</f>
        <v>45309.64583</v>
      </c>
      <c r="EH24" s="45">
        <f>IFERROR(__xludf.DUMMYFUNCTION("""COMPUTED_VALUE"""),1008.0)</f>
        <v>1008</v>
      </c>
      <c r="EI24" s="46">
        <f t="shared" si="35"/>
        <v>0.5541165587</v>
      </c>
      <c r="EJ24" s="37"/>
      <c r="EK24" s="37">
        <f>IFERROR(__xludf.DUMMYFUNCTION("""COMPUTED_VALUE"""),45309.64583333333)</f>
        <v>45309.64583</v>
      </c>
      <c r="EL24" s="45">
        <f>IFERROR(__xludf.DUMMYFUNCTION("""COMPUTED_VALUE"""),197.45)</f>
        <v>197.45</v>
      </c>
      <c r="EM24" s="46">
        <f t="shared" si="36"/>
        <v>-0.02252475248</v>
      </c>
      <c r="EN24" s="37"/>
      <c r="EO24" s="37">
        <f>IFERROR(__xludf.DUMMYFUNCTION("""COMPUTED_VALUE"""),45309.64583333333)</f>
        <v>45309.64583</v>
      </c>
      <c r="EP24" s="45">
        <f>IFERROR(__xludf.DUMMYFUNCTION("""COMPUTED_VALUE"""),165.15)</f>
        <v>165.15</v>
      </c>
      <c r="EQ24" s="46">
        <f t="shared" si="37"/>
        <v>0.06582768635</v>
      </c>
      <c r="ER24" s="37"/>
      <c r="ES24" s="37">
        <f>IFERROR(__xludf.DUMMYFUNCTION("""COMPUTED_VALUE"""),45309.64583333333)</f>
        <v>45309.64583</v>
      </c>
      <c r="ET24" s="45">
        <f>IFERROR(__xludf.DUMMYFUNCTION("""COMPUTED_VALUE"""),202.2)</f>
        <v>202.2</v>
      </c>
      <c r="EU24" s="46">
        <f t="shared" si="38"/>
        <v>0.04039104708</v>
      </c>
      <c r="EV24" s="37"/>
      <c r="EW24" s="37">
        <f>IFERROR(__xludf.DUMMYFUNCTION("""COMPUTED_VALUE"""),45309.64583333333)</f>
        <v>45309.64583</v>
      </c>
      <c r="EX24" s="45">
        <f>IFERROR(__xludf.DUMMYFUNCTION("""COMPUTED_VALUE"""),681.15)</f>
        <v>681.15</v>
      </c>
      <c r="EY24" s="46">
        <f t="shared" si="39"/>
        <v>0.05115740741</v>
      </c>
      <c r="EZ24" s="37"/>
      <c r="FA24" s="37">
        <f>IFERROR(__xludf.DUMMYFUNCTION("""COMPUTED_VALUE"""),45309.64583333333)</f>
        <v>45309.64583</v>
      </c>
      <c r="FB24" s="45">
        <f>IFERROR(__xludf.DUMMYFUNCTION("""COMPUTED_VALUE"""),178.3)</f>
        <v>178.3</v>
      </c>
      <c r="FC24" s="46">
        <f t="shared" si="40"/>
        <v>0.02236238532</v>
      </c>
      <c r="FD24" s="37"/>
      <c r="FE24" s="37">
        <f>IFERROR(__xludf.DUMMYFUNCTION("""COMPUTED_VALUE"""),45309.64583333333)</f>
        <v>45309.64583</v>
      </c>
      <c r="FF24" s="45">
        <f>IFERROR(__xludf.DUMMYFUNCTION("""COMPUTED_VALUE"""),334.95)</f>
        <v>334.95</v>
      </c>
      <c r="FG24" s="46">
        <f t="shared" si="41"/>
        <v>0.09891732283</v>
      </c>
      <c r="FH24" s="37"/>
      <c r="FI24" s="37">
        <f>IFERROR(__xludf.DUMMYFUNCTION("""COMPUTED_VALUE"""),45309.64583333333)</f>
        <v>45309.64583</v>
      </c>
      <c r="FJ24" s="45">
        <f>IFERROR(__xludf.DUMMYFUNCTION("""COMPUTED_VALUE"""),596.0)</f>
        <v>596</v>
      </c>
      <c r="FK24" s="46">
        <f t="shared" si="42"/>
        <v>-0.0165827902</v>
      </c>
      <c r="FL24" s="37"/>
      <c r="FM24" s="37">
        <f>IFERROR(__xludf.DUMMYFUNCTION("""COMPUTED_VALUE"""),45309.64583333333)</f>
        <v>45309.64583</v>
      </c>
      <c r="FN24" s="45">
        <f>IFERROR(__xludf.DUMMYFUNCTION("""COMPUTED_VALUE"""),104.7)</f>
        <v>104.7</v>
      </c>
      <c r="FO24" s="46">
        <f t="shared" si="43"/>
        <v>0.1021052632</v>
      </c>
      <c r="FP24" s="37"/>
      <c r="FQ24" s="37">
        <f>IFERROR(__xludf.DUMMYFUNCTION("""COMPUTED_VALUE"""),45309.64583333333)</f>
        <v>45309.64583</v>
      </c>
      <c r="FR24" s="45">
        <f>IFERROR(__xludf.DUMMYFUNCTION("""COMPUTED_VALUE"""),4.4)</f>
        <v>4.4</v>
      </c>
      <c r="FS24" s="46">
        <f t="shared" si="44"/>
        <v>-0.2</v>
      </c>
      <c r="FT24" s="37"/>
      <c r="FU24" s="37">
        <f>IFERROR(__xludf.DUMMYFUNCTION("""COMPUTED_VALUE"""),45309.64583333333)</f>
        <v>45309.64583</v>
      </c>
      <c r="FV24" s="45">
        <f>IFERROR(__xludf.DUMMYFUNCTION("""COMPUTED_VALUE"""),708.0)</f>
        <v>708</v>
      </c>
      <c r="FW24" s="46">
        <f t="shared" si="45"/>
        <v>0.06059471201</v>
      </c>
      <c r="FX24" s="37"/>
      <c r="FY24" s="37">
        <f>IFERROR(__xludf.DUMMYFUNCTION("""COMPUTED_VALUE"""),45309.64583333333)</f>
        <v>45309.64583</v>
      </c>
      <c r="FZ24" s="45">
        <f>IFERROR(__xludf.DUMMYFUNCTION("""COMPUTED_VALUE"""),158.95)</f>
        <v>158.95</v>
      </c>
      <c r="GA24" s="46">
        <f t="shared" si="46"/>
        <v>-0.06389870436</v>
      </c>
      <c r="GB24" s="37"/>
      <c r="GC24" s="37">
        <f>IFERROR(__xludf.DUMMYFUNCTION("""COMPUTED_VALUE"""),45309.64583333333)</f>
        <v>45309.64583</v>
      </c>
      <c r="GD24" s="45">
        <f>IFERROR(__xludf.DUMMYFUNCTION("""COMPUTED_VALUE"""),408.7)</f>
        <v>408.7</v>
      </c>
      <c r="GE24" s="46">
        <f t="shared" si="47"/>
        <v>-0.1151764451</v>
      </c>
      <c r="GF24" s="37"/>
      <c r="GG24" s="37">
        <f>IFERROR(__xludf.DUMMYFUNCTION("""COMPUTED_VALUE"""),45309.64583333333)</f>
        <v>45309.64583</v>
      </c>
      <c r="GH24" s="45">
        <f>IFERROR(__xludf.DUMMYFUNCTION("""COMPUTED_VALUE"""),5360.0)</f>
        <v>5360</v>
      </c>
      <c r="GI24" s="46">
        <f t="shared" si="48"/>
        <v>0.01151160596</v>
      </c>
      <c r="GJ24" s="37"/>
      <c r="GK24" s="37">
        <f>IFERROR(__xludf.DUMMYFUNCTION("""COMPUTED_VALUE"""),45309.64583333333)</f>
        <v>45309.64583</v>
      </c>
      <c r="GL24" s="45">
        <f>IFERROR(__xludf.DUMMYFUNCTION("""COMPUTED_VALUE"""),90.0)</f>
        <v>90</v>
      </c>
      <c r="GM24" s="46">
        <f t="shared" si="49"/>
        <v>-0.2063492063</v>
      </c>
      <c r="GN24" s="37"/>
      <c r="GO24" s="37">
        <f>IFERROR(__xludf.DUMMYFUNCTION("""COMPUTED_VALUE"""),45309.64583333333)</f>
        <v>45309.64583</v>
      </c>
      <c r="GP24" s="45">
        <f>IFERROR(__xludf.DUMMYFUNCTION("""COMPUTED_VALUE"""),1113.7)</f>
        <v>1113.7</v>
      </c>
      <c r="GQ24" s="46">
        <f t="shared" si="50"/>
        <v>0.01286890091</v>
      </c>
      <c r="GR24" s="37"/>
      <c r="GS24" s="37">
        <f>IFERROR(__xludf.DUMMYFUNCTION("""COMPUTED_VALUE"""),45309.64583333333)</f>
        <v>45309.64583</v>
      </c>
      <c r="GT24" s="45">
        <f>IFERROR(__xludf.DUMMYFUNCTION("""COMPUTED_VALUE"""),13.85)</f>
        <v>13.85</v>
      </c>
      <c r="GU24" s="46">
        <f t="shared" si="51"/>
        <v>0.0694980695</v>
      </c>
      <c r="GV24" s="37"/>
      <c r="GW24" s="37">
        <f>IFERROR(__xludf.DUMMYFUNCTION("""COMPUTED_VALUE"""),45310.64583333333)</f>
        <v>45310.64583</v>
      </c>
      <c r="GX24" s="45">
        <f>IFERROR(__xludf.DUMMYFUNCTION("""COMPUTED_VALUE"""),17.15)</f>
        <v>17.15</v>
      </c>
      <c r="GY24" s="46">
        <f t="shared" si="52"/>
        <v>0.03939393939</v>
      </c>
      <c r="GZ24" s="37"/>
      <c r="HA24" s="37">
        <f>IFERROR(__xludf.DUMMYFUNCTION("""COMPUTED_VALUE"""),45310.64583333333)</f>
        <v>45310.64583</v>
      </c>
      <c r="HB24" s="45">
        <f>IFERROR(__xludf.DUMMYFUNCTION("""COMPUTED_VALUE"""),561.0)</f>
        <v>561</v>
      </c>
      <c r="HC24" s="46">
        <f t="shared" si="53"/>
        <v>-0.07730263158</v>
      </c>
      <c r="HD24" s="37"/>
      <c r="HE24" s="43">
        <f>IFERROR(__xludf.DUMMYFUNCTION("""COMPUTED_VALUE"""),45310.64583333333)</f>
        <v>45310.64583</v>
      </c>
      <c r="HF24" s="45">
        <f>IFERROR(__xludf.DUMMYFUNCTION("""COMPUTED_VALUE"""),2385.05)</f>
        <v>2385.05</v>
      </c>
      <c r="HG24" s="46" t="str">
        <f t="shared" si="54"/>
        <v>#DIV/0!</v>
      </c>
      <c r="HH24" s="37"/>
      <c r="HI24" s="37">
        <f>IFERROR(__xludf.DUMMYFUNCTION("""COMPUTED_VALUE"""),45310.64583333333)</f>
        <v>45310.64583</v>
      </c>
      <c r="HJ24" s="45">
        <f>IFERROR(__xludf.DUMMYFUNCTION("""COMPUTED_VALUE"""),6079.95)</f>
        <v>6079.95</v>
      </c>
      <c r="HK24" s="46">
        <f t="shared" si="55"/>
        <v>0.1898024481</v>
      </c>
      <c r="HL24" s="37"/>
      <c r="HM24" s="37">
        <f>IFERROR(__xludf.DUMMYFUNCTION("""COMPUTED_VALUE"""),45310.64583333333)</f>
        <v>45310.64583</v>
      </c>
      <c r="HN24" s="45">
        <f>IFERROR(__xludf.DUMMYFUNCTION("""COMPUTED_VALUE"""),395.0)</f>
        <v>395</v>
      </c>
      <c r="HO24" s="46">
        <f t="shared" si="56"/>
        <v>-0.02840978969</v>
      </c>
      <c r="HP24" s="37"/>
      <c r="HQ24" s="37">
        <f>IFERROR(__xludf.DUMMYFUNCTION("""COMPUTED_VALUE"""),45310.64583333333)</f>
        <v>45310.64583</v>
      </c>
      <c r="HR24" s="45">
        <f>IFERROR(__xludf.DUMMYFUNCTION("""COMPUTED_VALUE"""),234.35)</f>
        <v>234.35</v>
      </c>
      <c r="HS24" s="46">
        <f t="shared" si="57"/>
        <v>-0.07845064884</v>
      </c>
      <c r="HT24" s="37"/>
      <c r="HU24" s="37">
        <f>IFERROR(__xludf.DUMMYFUNCTION("""COMPUTED_VALUE"""),45310.64583333333)</f>
        <v>45310.64583</v>
      </c>
      <c r="HV24" s="45">
        <f>IFERROR(__xludf.DUMMYFUNCTION("""COMPUTED_VALUE"""),71.7)</f>
        <v>71.7</v>
      </c>
      <c r="HW24" s="46">
        <f t="shared" si="58"/>
        <v>0.1490384615</v>
      </c>
      <c r="HX24" s="37"/>
      <c r="HY24" s="37">
        <f>IFERROR(__xludf.DUMMYFUNCTION("""COMPUTED_VALUE"""),45310.64583333333)</f>
        <v>45310.64583</v>
      </c>
      <c r="HZ24" s="45">
        <f>IFERROR(__xludf.DUMMYFUNCTION("""COMPUTED_VALUE"""),355.0)</f>
        <v>355</v>
      </c>
      <c r="IA24" s="46">
        <f t="shared" si="59"/>
        <v>-0.2365591398</v>
      </c>
      <c r="IB24" s="37"/>
      <c r="IC24" s="37">
        <f>IFERROR(__xludf.DUMMYFUNCTION("""COMPUTED_VALUE"""),45310.64583333333)</f>
        <v>45310.64583</v>
      </c>
      <c r="ID24" s="45">
        <f>IFERROR(__xludf.DUMMYFUNCTION("""COMPUTED_VALUE"""),76.4)</f>
        <v>76.4</v>
      </c>
      <c r="IE24" s="46">
        <f t="shared" si="60"/>
        <v>-0.8258689459</v>
      </c>
      <c r="IF24" s="37"/>
      <c r="IG24" s="37">
        <f>IFERROR(__xludf.DUMMYFUNCTION("""COMPUTED_VALUE"""),45310.64583333333)</f>
        <v>45310.64583</v>
      </c>
      <c r="IH24" s="45">
        <f>IFERROR(__xludf.DUMMYFUNCTION("""COMPUTED_VALUE"""),532.55)</f>
        <v>532.55</v>
      </c>
      <c r="II24" s="46">
        <f t="shared" si="61"/>
        <v>-0.0008442776735</v>
      </c>
      <c r="IJ24" s="37"/>
      <c r="IK24" s="37">
        <f>IFERROR(__xludf.DUMMYFUNCTION("""COMPUTED_VALUE"""),45310.64583333333)</f>
        <v>45310.64583</v>
      </c>
      <c r="IL24" s="45">
        <f>IFERROR(__xludf.DUMMYFUNCTION("""COMPUTED_VALUE"""),568.2)</f>
        <v>568.2</v>
      </c>
      <c r="IM24" s="46">
        <f t="shared" si="62"/>
        <v>-0.08050813173</v>
      </c>
      <c r="IN24" s="37"/>
      <c r="IO24" s="37">
        <f>IFERROR(__xludf.DUMMYFUNCTION("""COMPUTED_VALUE"""),45310.64583333333)</f>
        <v>45310.64583</v>
      </c>
      <c r="IP24" s="45">
        <f>IFERROR(__xludf.DUMMYFUNCTION("""COMPUTED_VALUE"""),172.51)</f>
        <v>172.51</v>
      </c>
      <c r="IQ24" s="46">
        <f t="shared" si="63"/>
        <v>0.3725037791</v>
      </c>
      <c r="IR24" s="37"/>
      <c r="IS24" s="37">
        <f>IFERROR(__xludf.DUMMYFUNCTION("""COMPUTED_VALUE"""),45310.64583333333)</f>
        <v>45310.64583</v>
      </c>
      <c r="IT24" s="45">
        <f>IFERROR(__xludf.DUMMYFUNCTION("""COMPUTED_VALUE"""),1060.0)</f>
        <v>1060</v>
      </c>
      <c r="IU24" s="46">
        <f t="shared" si="64"/>
        <v>0.05577689243</v>
      </c>
      <c r="IV24" s="37"/>
      <c r="IW24" s="37">
        <f>IFERROR(__xludf.DUMMYFUNCTION("""COMPUTED_VALUE"""),45310.64583333333)</f>
        <v>45310.64583</v>
      </c>
      <c r="IX24" s="45">
        <f>IFERROR(__xludf.DUMMYFUNCTION("""COMPUTED_VALUE"""),207.9)</f>
        <v>207.9</v>
      </c>
      <c r="IY24" s="46">
        <f t="shared" si="65"/>
        <v>0.009468317553</v>
      </c>
      <c r="IZ24" s="37"/>
      <c r="JA24" s="37">
        <f>IFERROR(__xludf.DUMMYFUNCTION("""COMPUTED_VALUE"""),45310.64583333333)</f>
        <v>45310.64583</v>
      </c>
      <c r="JB24" s="45">
        <f>IFERROR(__xludf.DUMMYFUNCTION("""COMPUTED_VALUE"""),34484.85)</f>
        <v>34484.85</v>
      </c>
      <c r="JC24" s="46">
        <f t="shared" si="66"/>
        <v>-0.02592461299</v>
      </c>
      <c r="JD24" s="37"/>
      <c r="JE24" s="37">
        <f>IFERROR(__xludf.DUMMYFUNCTION("""COMPUTED_VALUE"""),45310.64583333333)</f>
        <v>45310.64583</v>
      </c>
      <c r="JF24" s="45">
        <f>IFERROR(__xludf.DUMMYFUNCTION("""COMPUTED_VALUE"""),691.75)</f>
        <v>691.75</v>
      </c>
      <c r="JG24" s="46">
        <f t="shared" si="67"/>
        <v>0.07248062016</v>
      </c>
      <c r="JH24" s="37"/>
      <c r="JI24" s="37">
        <f>IFERROR(__xludf.DUMMYFUNCTION("""COMPUTED_VALUE"""),45310.64583333333)</f>
        <v>45310.64583</v>
      </c>
      <c r="JJ24" s="45">
        <f>IFERROR(__xludf.DUMMYFUNCTION("""COMPUTED_VALUE"""),303.65)</f>
        <v>303.65</v>
      </c>
      <c r="JK24" s="46">
        <f t="shared" si="68"/>
        <v>-0.09073214553</v>
      </c>
      <c r="JL24" s="37"/>
      <c r="JM24" s="37">
        <f>IFERROR(__xludf.DUMMYFUNCTION("""COMPUTED_VALUE"""),45310.64583333333)</f>
        <v>45310.64583</v>
      </c>
      <c r="JN24" s="45">
        <f>IFERROR(__xludf.DUMMYFUNCTION("""COMPUTED_VALUE"""),16.05)</f>
        <v>16.05</v>
      </c>
      <c r="JO24" s="46">
        <f t="shared" si="69"/>
        <v>-0.9634188034</v>
      </c>
      <c r="JP24" s="37"/>
      <c r="JQ24" s="37">
        <f>IFERROR(__xludf.DUMMYFUNCTION("""COMPUTED_VALUE"""),45310.64583333333)</f>
        <v>45310.64583</v>
      </c>
      <c r="JR24" s="45">
        <f>IFERROR(__xludf.DUMMYFUNCTION("""COMPUTED_VALUE"""),92.0)</f>
        <v>92</v>
      </c>
      <c r="JS24" s="46">
        <f t="shared" si="70"/>
        <v>-0.3235294118</v>
      </c>
      <c r="JT24" s="37"/>
      <c r="JU24" s="37">
        <f>IFERROR(__xludf.DUMMYFUNCTION("""COMPUTED_VALUE"""),45310.64583333333)</f>
        <v>45310.64583</v>
      </c>
      <c r="JV24" s="45">
        <f>IFERROR(__xludf.DUMMYFUNCTION("""COMPUTED_VALUE"""),245.9)</f>
        <v>245.9</v>
      </c>
      <c r="JW24" s="46">
        <f t="shared" si="71"/>
        <v>-0.4395441595</v>
      </c>
      <c r="JX24" s="37"/>
      <c r="JY24" s="37">
        <f>IFERROR(__xludf.DUMMYFUNCTION("""COMPUTED_VALUE"""),45310.64583333333)</f>
        <v>45310.64583</v>
      </c>
      <c r="JZ24" s="45">
        <f>IFERROR(__xludf.DUMMYFUNCTION("""COMPUTED_VALUE"""),644.7)</f>
        <v>644.7</v>
      </c>
      <c r="KA24" s="46">
        <f t="shared" si="72"/>
        <v>0.1700544465</v>
      </c>
      <c r="KB24" s="37"/>
      <c r="KC24" s="37">
        <f>IFERROR(__xludf.DUMMYFUNCTION("""COMPUTED_VALUE"""),45310.64583333333)</f>
        <v>45310.64583</v>
      </c>
      <c r="KD24" s="45">
        <f>IFERROR(__xludf.DUMMYFUNCTION("""COMPUTED_VALUE"""),872.65)</f>
        <v>872.65</v>
      </c>
      <c r="KE24" s="46">
        <f t="shared" si="73"/>
        <v>-0.001030278748</v>
      </c>
      <c r="KF24" s="37"/>
      <c r="KG24" s="37">
        <f>IFERROR(__xludf.DUMMYFUNCTION("""COMPUTED_VALUE"""),45310.64583333333)</f>
        <v>45310.64583</v>
      </c>
      <c r="KH24" s="45">
        <f>IFERROR(__xludf.DUMMYFUNCTION("""COMPUTED_VALUE"""),454.0)</f>
        <v>454</v>
      </c>
      <c r="KI24" s="46">
        <f t="shared" si="74"/>
        <v>0.1641025641</v>
      </c>
      <c r="KJ24" s="37"/>
      <c r="KK24" s="37">
        <f>IFERROR(__xludf.DUMMYFUNCTION("""COMPUTED_VALUE"""),45310.64583333333)</f>
        <v>45310.64583</v>
      </c>
      <c r="KL24" s="45">
        <f>IFERROR(__xludf.DUMMYFUNCTION("""COMPUTED_VALUE"""),10.3)</f>
        <v>10.3</v>
      </c>
      <c r="KM24" s="46">
        <f t="shared" si="75"/>
        <v>0.1075268817</v>
      </c>
      <c r="KN24" s="37"/>
      <c r="KO24" s="37">
        <f>IFERROR(__xludf.DUMMYFUNCTION("""COMPUTED_VALUE"""),45310.64583333333)</f>
        <v>45310.64583</v>
      </c>
      <c r="KP24" s="45">
        <f>IFERROR(__xludf.DUMMYFUNCTION("""COMPUTED_VALUE"""),239.7)</f>
        <v>239.7</v>
      </c>
      <c r="KQ24" s="46">
        <f t="shared" si="76"/>
        <v>0.1790457452</v>
      </c>
      <c r="KR24" s="37"/>
      <c r="KS24" s="37">
        <f>IFERROR(__xludf.DUMMYFUNCTION("""COMPUTED_VALUE"""),45310.64583333333)</f>
        <v>45310.64583</v>
      </c>
      <c r="KT24" s="45">
        <f>IFERROR(__xludf.DUMMYFUNCTION("""COMPUTED_VALUE"""),11.15)</f>
        <v>11.15</v>
      </c>
      <c r="KU24" s="46">
        <f t="shared" si="77"/>
        <v>0.009049773756</v>
      </c>
      <c r="KV24" s="37"/>
      <c r="KW24" s="37">
        <f>IFERROR(__xludf.DUMMYFUNCTION("""COMPUTED_VALUE"""),45310.64583333333)</f>
        <v>45310.64583</v>
      </c>
      <c r="KX24" s="45">
        <f>IFERROR(__xludf.DUMMYFUNCTION("""COMPUTED_VALUE"""),2508.7)</f>
        <v>2508.7</v>
      </c>
      <c r="KY24" s="46">
        <f t="shared" si="78"/>
        <v>-0.06039438941</v>
      </c>
      <c r="KZ24" s="37"/>
      <c r="LA24" s="37">
        <f>IFERROR(__xludf.DUMMYFUNCTION("""COMPUTED_VALUE"""),45310.64583333333)</f>
        <v>45310.64583</v>
      </c>
      <c r="LB24" s="45">
        <f>IFERROR(__xludf.DUMMYFUNCTION("""COMPUTED_VALUE"""),21.4)</f>
        <v>21.4</v>
      </c>
      <c r="LC24" s="46">
        <f t="shared" si="79"/>
        <v>0.1352785146</v>
      </c>
      <c r="LD24" s="37"/>
      <c r="LE24" s="37">
        <f>IFERROR(__xludf.DUMMYFUNCTION("""COMPUTED_VALUE"""),45310.64583333333)</f>
        <v>45310.64583</v>
      </c>
      <c r="LF24" s="45">
        <f>IFERROR(__xludf.DUMMYFUNCTION("""COMPUTED_VALUE"""),135.9)</f>
        <v>135.9</v>
      </c>
      <c r="LG24" s="46">
        <f t="shared" si="80"/>
        <v>0.0872</v>
      </c>
      <c r="LH24" s="37"/>
      <c r="LI24" s="37">
        <f>IFERROR(__xludf.DUMMYFUNCTION("""COMPUTED_VALUE"""),45310.64583333333)</f>
        <v>45310.64583</v>
      </c>
      <c r="LJ24" s="45">
        <f>IFERROR(__xludf.DUMMYFUNCTION("""COMPUTED_VALUE"""),764.65)</f>
        <v>764.65</v>
      </c>
      <c r="LK24" s="46">
        <f t="shared" si="81"/>
        <v>0.05034340659</v>
      </c>
      <c r="LL24" s="37"/>
      <c r="LM24" s="37">
        <f>IFERROR(__xludf.DUMMYFUNCTION("""COMPUTED_VALUE"""),45310.64583333333)</f>
        <v>45310.64583</v>
      </c>
      <c r="LN24" s="45">
        <f>IFERROR(__xludf.DUMMYFUNCTION("""COMPUTED_VALUE"""),798.0)</f>
        <v>798</v>
      </c>
      <c r="LO24" s="46">
        <f t="shared" si="82"/>
        <v>-0.06666666667</v>
      </c>
      <c r="LP24" s="37"/>
      <c r="LQ24" s="37">
        <f>IFERROR(__xludf.DUMMYFUNCTION("""COMPUTED_VALUE"""),45310.64583333333)</f>
        <v>45310.64583</v>
      </c>
      <c r="LR24" s="45">
        <f>IFERROR(__xludf.DUMMYFUNCTION("""COMPUTED_VALUE"""),559.75)</f>
        <v>559.75</v>
      </c>
      <c r="LS24" s="46">
        <f t="shared" si="83"/>
        <v>0.5318828681</v>
      </c>
      <c r="LT24" s="37"/>
      <c r="LU24" s="37">
        <f>IFERROR(__xludf.DUMMYFUNCTION("""COMPUTED_VALUE"""),45310.64583333333)</f>
        <v>45310.64583</v>
      </c>
      <c r="LV24" s="45">
        <f>IFERROR(__xludf.DUMMYFUNCTION("""COMPUTED_VALUE"""),128.95)</f>
        <v>128.95</v>
      </c>
      <c r="LW24" s="46">
        <f t="shared" si="84"/>
        <v>-0.05738304094</v>
      </c>
      <c r="LX24" s="37"/>
      <c r="LY24" s="37">
        <f>IFERROR(__xludf.DUMMYFUNCTION("""COMPUTED_VALUE"""),45310.64583333333)</f>
        <v>45310.64583</v>
      </c>
      <c r="LZ24" s="45">
        <f>IFERROR(__xludf.DUMMYFUNCTION("""COMPUTED_VALUE"""),593.0)</f>
        <v>593</v>
      </c>
      <c r="MA24" s="46">
        <f t="shared" si="85"/>
        <v>-0.0435483871</v>
      </c>
      <c r="MB24" s="37"/>
      <c r="MC24" s="37"/>
      <c r="MD24" s="45"/>
      <c r="ME24" s="46" t="str">
        <f t="shared" si="86"/>
        <v>#DIV/0!</v>
      </c>
      <c r="MF24" s="37"/>
      <c r="MG24" s="37">
        <f>IFERROR(__xludf.DUMMYFUNCTION("""COMPUTED_VALUE"""),45310.64583333333)</f>
        <v>45310.64583</v>
      </c>
      <c r="MH24" s="45">
        <f>IFERROR(__xludf.DUMMYFUNCTION("""COMPUTED_VALUE"""),2020.95)</f>
        <v>2020.95</v>
      </c>
      <c r="MI24" s="46">
        <f t="shared" si="87"/>
        <v>0.03059741452</v>
      </c>
      <c r="MJ24" s="37"/>
      <c r="MK24" s="37">
        <f>IFERROR(__xludf.DUMMYFUNCTION("""COMPUTED_VALUE"""),45310.64583333333)</f>
        <v>45310.64583</v>
      </c>
      <c r="ML24" s="45">
        <f>IFERROR(__xludf.DUMMYFUNCTION("""COMPUTED_VALUE"""),379.7)</f>
        <v>379.7</v>
      </c>
      <c r="MM24" s="46">
        <f t="shared" si="88"/>
        <v>-0.05063132892</v>
      </c>
      <c r="MN24" s="37"/>
      <c r="MO24" s="37">
        <f>IFERROR(__xludf.DUMMYFUNCTION("""COMPUTED_VALUE"""),45310.64583333333)</f>
        <v>45310.64583</v>
      </c>
      <c r="MP24" s="45">
        <f>IFERROR(__xludf.DUMMYFUNCTION("""COMPUTED_VALUE"""),774.9)</f>
        <v>774.9</v>
      </c>
      <c r="MQ24" s="46">
        <f t="shared" si="89"/>
        <v>0.04716216216</v>
      </c>
      <c r="MR24" s="37"/>
      <c r="MS24" s="37">
        <f>IFERROR(__xludf.DUMMYFUNCTION("""COMPUTED_VALUE"""),45310.64583333333)</f>
        <v>45310.64583</v>
      </c>
      <c r="MT24" s="45">
        <f>IFERROR(__xludf.DUMMYFUNCTION("""COMPUTED_VALUE"""),63.65)</f>
        <v>63.65</v>
      </c>
      <c r="MU24" s="46">
        <f t="shared" si="90"/>
        <v>-0.03779289494</v>
      </c>
      <c r="MV24" s="37"/>
      <c r="MW24" s="37">
        <f>IFERROR(__xludf.DUMMYFUNCTION("""COMPUTED_VALUE"""),45310.64583333333)</f>
        <v>45310.64583</v>
      </c>
      <c r="MX24" s="45">
        <f>IFERROR(__xludf.DUMMYFUNCTION("""COMPUTED_VALUE"""),3178.95)</f>
        <v>3178.95</v>
      </c>
      <c r="MY24" s="46">
        <f t="shared" si="91"/>
        <v>0.01015252622</v>
      </c>
      <c r="MZ24" s="37"/>
      <c r="NA24" s="37">
        <f>IFERROR(__xludf.DUMMYFUNCTION("""COMPUTED_VALUE"""),45310.64583333333)</f>
        <v>45310.64583</v>
      </c>
      <c r="NB24" s="45">
        <f>IFERROR(__xludf.DUMMYFUNCTION("""COMPUTED_VALUE"""),14.3)</f>
        <v>14.3</v>
      </c>
      <c r="NC24" s="46">
        <f t="shared" si="92"/>
        <v>0.1304347826</v>
      </c>
      <c r="ND24" s="37"/>
      <c r="NE24" s="37">
        <f>IFERROR(__xludf.DUMMYFUNCTION("""COMPUTED_VALUE"""),45314.64583333333)</f>
        <v>45314.64583</v>
      </c>
      <c r="NF24" s="45">
        <f>IFERROR(__xludf.DUMMYFUNCTION("""COMPUTED_VALUE"""),375.7)</f>
        <v>375.7</v>
      </c>
      <c r="NG24" s="46">
        <f t="shared" si="93"/>
        <v>-0.01893197545</v>
      </c>
      <c r="NH24" s="37"/>
      <c r="NI24" s="37">
        <f>IFERROR(__xludf.DUMMYFUNCTION("""COMPUTED_VALUE"""),45314.64583333333)</f>
        <v>45314.64583</v>
      </c>
      <c r="NJ24" s="45">
        <f>IFERROR(__xludf.DUMMYFUNCTION("""COMPUTED_VALUE"""),318.0)</f>
        <v>318</v>
      </c>
      <c r="NK24" s="46">
        <f t="shared" si="94"/>
        <v>0.1924850939</v>
      </c>
      <c r="NL24" s="37"/>
      <c r="NM24" s="37">
        <f>IFERROR(__xludf.DUMMYFUNCTION("""COMPUTED_VALUE"""),45314.64583333333)</f>
        <v>45314.64583</v>
      </c>
      <c r="NN24" s="45">
        <f>IFERROR(__xludf.DUMMYFUNCTION("""COMPUTED_VALUE"""),114.9)</f>
        <v>114.9</v>
      </c>
      <c r="NO24" s="46">
        <f t="shared" si="95"/>
        <v>-0.06812652068</v>
      </c>
      <c r="NP24" s="37"/>
      <c r="NQ24" s="37">
        <f>IFERROR(__xludf.DUMMYFUNCTION("""COMPUTED_VALUE"""),45314.64583333333)</f>
        <v>45314.64583</v>
      </c>
      <c r="NR24" s="45">
        <f>IFERROR(__xludf.DUMMYFUNCTION("""COMPUTED_VALUE"""),4560.0)</f>
        <v>4560</v>
      </c>
      <c r="NS24" s="46">
        <f t="shared" si="96"/>
        <v>0.09195402299</v>
      </c>
      <c r="NT24" s="37"/>
      <c r="NU24" s="37">
        <f>IFERROR(__xludf.DUMMYFUNCTION("""COMPUTED_VALUE"""),45314.64583333333)</f>
        <v>45314.64583</v>
      </c>
      <c r="NV24" s="45">
        <f>IFERROR(__xludf.DUMMYFUNCTION("""COMPUTED_VALUE"""),14.8)</f>
        <v>14.8</v>
      </c>
      <c r="NW24" s="46">
        <f t="shared" si="97"/>
        <v>0.1653543307</v>
      </c>
      <c r="NX24" s="37"/>
      <c r="NY24" s="37">
        <f>IFERROR(__xludf.DUMMYFUNCTION("""COMPUTED_VALUE"""),45314.64583333333)</f>
        <v>45314.64583</v>
      </c>
      <c r="NZ24" s="45">
        <f>IFERROR(__xludf.DUMMYFUNCTION("""COMPUTED_VALUE"""),322.25)</f>
        <v>322.25</v>
      </c>
      <c r="OA24" s="46">
        <f t="shared" si="98"/>
        <v>0.305713128</v>
      </c>
      <c r="OB24" s="37"/>
      <c r="OC24" s="37">
        <f>IFERROR(__xludf.DUMMYFUNCTION("""COMPUTED_VALUE"""),45314.64583333333)</f>
        <v>45314.64583</v>
      </c>
      <c r="OD24" s="45">
        <f>IFERROR(__xludf.DUMMYFUNCTION("""COMPUTED_VALUE"""),1166.0)</f>
        <v>1166</v>
      </c>
      <c r="OE24" s="46">
        <f t="shared" si="99"/>
        <v>0.1063143413</v>
      </c>
      <c r="OF24" s="37"/>
      <c r="OG24" s="37">
        <f>IFERROR(__xludf.DUMMYFUNCTION("""COMPUTED_VALUE"""),45314.64583333333)</f>
        <v>45314.64583</v>
      </c>
      <c r="OH24" s="45">
        <f>IFERROR(__xludf.DUMMYFUNCTION("""COMPUTED_VALUE"""),2316.45)</f>
        <v>2316.45</v>
      </c>
      <c r="OI24" s="46">
        <f t="shared" si="100"/>
        <v>-0.05055742274</v>
      </c>
      <c r="OJ24" s="37"/>
      <c r="OK24" s="37"/>
      <c r="OL24" s="45"/>
      <c r="OM24" s="46" t="str">
        <f t="shared" si="101"/>
        <v>#DIV/0!</v>
      </c>
      <c r="ON24" s="37"/>
    </row>
    <row r="25" ht="12.0" customHeight="1">
      <c r="A25" s="37">
        <f>IFERROR(__xludf.DUMMYFUNCTION("""COMPUTED_VALUE"""),45310.64583333333)</f>
        <v>45310.64583</v>
      </c>
      <c r="B25" s="45">
        <f>IFERROR(__xludf.DUMMYFUNCTION("""COMPUTED_VALUE"""),419.75)</f>
        <v>419.75</v>
      </c>
      <c r="C25" s="46">
        <f t="shared" si="1"/>
        <v>-0.0433048433</v>
      </c>
      <c r="D25" s="37"/>
      <c r="E25" s="37">
        <f>IFERROR(__xludf.DUMMYFUNCTION("""COMPUTED_VALUE"""),45310.64583333333)</f>
        <v>45310.64583</v>
      </c>
      <c r="F25" s="45">
        <f>IFERROR(__xludf.DUMMYFUNCTION("""COMPUTED_VALUE"""),708.0)</f>
        <v>708</v>
      </c>
      <c r="G25" s="46">
        <f t="shared" si="2"/>
        <v>0.08091603053</v>
      </c>
      <c r="H25" s="37"/>
      <c r="I25" s="37">
        <f>IFERROR(__xludf.DUMMYFUNCTION("""COMPUTED_VALUE"""),45310.64583333333)</f>
        <v>45310.64583</v>
      </c>
      <c r="J25" s="45">
        <f>IFERROR(__xludf.DUMMYFUNCTION("""COMPUTED_VALUE"""),193.7)</f>
        <v>193.7</v>
      </c>
      <c r="K25" s="46">
        <f t="shared" si="3"/>
        <v>0.0527173913</v>
      </c>
      <c r="L25" s="37"/>
      <c r="M25" s="37">
        <f>IFERROR(__xludf.DUMMYFUNCTION("""COMPUTED_VALUE"""),45310.64583333333)</f>
        <v>45310.64583</v>
      </c>
      <c r="N25" s="45">
        <f>IFERROR(__xludf.DUMMYFUNCTION("""COMPUTED_VALUE"""),90.95)</f>
        <v>90.95</v>
      </c>
      <c r="O25" s="46">
        <f t="shared" si="4"/>
        <v>0.05266203704</v>
      </c>
      <c r="P25" s="37"/>
      <c r="Q25" s="37">
        <f>IFERROR(__xludf.DUMMYFUNCTION("""COMPUTED_VALUE"""),45310.64583333333)</f>
        <v>45310.64583</v>
      </c>
      <c r="R25" s="45">
        <f>IFERROR(__xludf.DUMMYFUNCTION("""COMPUTED_VALUE"""),47.65)</f>
        <v>47.65</v>
      </c>
      <c r="S25" s="46">
        <f t="shared" si="5"/>
        <v>-0.09238095238</v>
      </c>
      <c r="T25" s="37"/>
      <c r="U25" s="37">
        <f>IFERROR(__xludf.DUMMYFUNCTION("""COMPUTED_VALUE"""),45310.64583333333)</f>
        <v>45310.64583</v>
      </c>
      <c r="V25" s="45">
        <f>IFERROR(__xludf.DUMMYFUNCTION("""COMPUTED_VALUE"""),819.0)</f>
        <v>819</v>
      </c>
      <c r="W25" s="46">
        <f t="shared" si="6"/>
        <v>0.2364130435</v>
      </c>
      <c r="X25" s="37"/>
      <c r="Y25" s="37">
        <f>IFERROR(__xludf.DUMMYFUNCTION("""COMPUTED_VALUE"""),45310.64583333333)</f>
        <v>45310.64583</v>
      </c>
      <c r="Z25" s="45">
        <f>IFERROR(__xludf.DUMMYFUNCTION("""COMPUTED_VALUE"""),182.25)</f>
        <v>182.25</v>
      </c>
      <c r="AA25" s="46">
        <f t="shared" si="7"/>
        <v>-0.01486486486</v>
      </c>
      <c r="AB25" s="37"/>
      <c r="AC25" s="37">
        <f>IFERROR(__xludf.DUMMYFUNCTION("""COMPUTED_VALUE"""),45310.64583333333)</f>
        <v>45310.64583</v>
      </c>
      <c r="AD25" s="45">
        <f>IFERROR(__xludf.DUMMYFUNCTION("""COMPUTED_VALUE"""),2385.05)</f>
        <v>2385.05</v>
      </c>
      <c r="AE25" s="46">
        <f t="shared" si="8"/>
        <v>0.00444304064</v>
      </c>
      <c r="AF25" s="37"/>
      <c r="AG25" s="37">
        <f>IFERROR(__xludf.DUMMYFUNCTION("""COMPUTED_VALUE"""),45310.64583333333)</f>
        <v>45310.64583</v>
      </c>
      <c r="AH25" s="45">
        <f>IFERROR(__xludf.DUMMYFUNCTION("""COMPUTED_VALUE"""),711.85)</f>
        <v>711.85</v>
      </c>
      <c r="AI25" s="46">
        <f t="shared" si="9"/>
        <v>-0.1525595238</v>
      </c>
      <c r="AJ25" s="37"/>
      <c r="AK25" s="37">
        <f>IFERROR(__xludf.DUMMYFUNCTION("""COMPUTED_VALUE"""),45310.64583333333)</f>
        <v>45310.64583</v>
      </c>
      <c r="AL25" s="45">
        <f>IFERROR(__xludf.DUMMYFUNCTION("""COMPUTED_VALUE"""),6079.95)</f>
        <v>6079.95</v>
      </c>
      <c r="AM25" s="46">
        <f t="shared" si="10"/>
        <v>0.1692211538</v>
      </c>
      <c r="AN25" s="37"/>
      <c r="AO25" s="37">
        <f>IFERROR(__xludf.DUMMYFUNCTION("""COMPUTED_VALUE"""),45310.64583333333)</f>
        <v>45310.64583</v>
      </c>
      <c r="AP25" s="45">
        <f>IFERROR(__xludf.DUMMYFUNCTION("""COMPUTED_VALUE"""),873.8)</f>
        <v>873.8</v>
      </c>
      <c r="AQ25" s="46">
        <f t="shared" si="11"/>
        <v>-0.03978021978</v>
      </c>
      <c r="AR25" s="37"/>
      <c r="AS25" s="37">
        <f>IFERROR(__xludf.DUMMYFUNCTION("""COMPUTED_VALUE"""),45310.64583333333)</f>
        <v>45310.64583</v>
      </c>
      <c r="AT25" s="45">
        <f>IFERROR(__xludf.DUMMYFUNCTION("""COMPUTED_VALUE"""),2407.45)</f>
        <v>2407.45</v>
      </c>
      <c r="AU25" s="46">
        <f t="shared" si="12"/>
        <v>-0.03077821168</v>
      </c>
      <c r="AV25" s="37"/>
      <c r="AW25" s="37">
        <f>IFERROR(__xludf.DUMMYFUNCTION("""COMPUTED_VALUE"""),45310.64583333333)</f>
        <v>45310.64583</v>
      </c>
      <c r="AX25" s="45">
        <f>IFERROR(__xludf.DUMMYFUNCTION("""COMPUTED_VALUE"""),6366.0)</f>
        <v>6366</v>
      </c>
      <c r="AY25" s="46">
        <f t="shared" si="13"/>
        <v>0.1278035645</v>
      </c>
      <c r="AZ25" s="37"/>
      <c r="BA25" s="37">
        <f>IFERROR(__xludf.DUMMYFUNCTION("""COMPUTED_VALUE"""),45310.64583333333)</f>
        <v>45310.64583</v>
      </c>
      <c r="BB25" s="45">
        <f>IFERROR(__xludf.DUMMYFUNCTION("""COMPUTED_VALUE"""),493.35)</f>
        <v>493.35</v>
      </c>
      <c r="BC25" s="46">
        <f t="shared" si="14"/>
        <v>0.0530416222</v>
      </c>
      <c r="BD25" s="37"/>
      <c r="BE25" s="37">
        <f>IFERROR(__xludf.DUMMYFUNCTION("""COMPUTED_VALUE"""),45310.64583333333)</f>
        <v>45310.64583</v>
      </c>
      <c r="BF25" s="45">
        <f>IFERROR(__xludf.DUMMYFUNCTION("""COMPUTED_VALUE"""),344.4)</f>
        <v>344.4</v>
      </c>
      <c r="BG25" s="46">
        <f t="shared" si="15"/>
        <v>-0.1538083538</v>
      </c>
      <c r="BH25" s="37"/>
      <c r="BI25" s="37">
        <f>IFERROR(__xludf.DUMMYFUNCTION("""COMPUTED_VALUE"""),45310.64583333333)</f>
        <v>45310.64583</v>
      </c>
      <c r="BJ25" s="45">
        <f>IFERROR(__xludf.DUMMYFUNCTION("""COMPUTED_VALUE"""),89.35)</f>
        <v>89.35</v>
      </c>
      <c r="BK25" s="46">
        <f t="shared" si="16"/>
        <v>0.286537077</v>
      </c>
      <c r="BL25" s="37"/>
      <c r="BM25" s="37">
        <f>IFERROR(__xludf.DUMMYFUNCTION("""COMPUTED_VALUE"""),45310.64583333333)</f>
        <v>45310.64583</v>
      </c>
      <c r="BN25" s="45">
        <f>IFERROR(__xludf.DUMMYFUNCTION("""COMPUTED_VALUE"""),234.35)</f>
        <v>234.35</v>
      </c>
      <c r="BO25" s="46">
        <f t="shared" si="17"/>
        <v>-0.0845703125</v>
      </c>
      <c r="BP25" s="37"/>
      <c r="BQ25" s="37">
        <f>IFERROR(__xludf.DUMMYFUNCTION("""COMPUTED_VALUE"""),45310.64583333333)</f>
        <v>45310.64583</v>
      </c>
      <c r="BR25" s="45">
        <f>IFERROR(__xludf.DUMMYFUNCTION("""COMPUTED_VALUE"""),71.7)</f>
        <v>71.7</v>
      </c>
      <c r="BS25" s="46">
        <f t="shared" si="18"/>
        <v>0.1773399015</v>
      </c>
      <c r="BT25" s="37"/>
      <c r="BU25" s="37">
        <f>IFERROR(__xludf.DUMMYFUNCTION("""COMPUTED_VALUE"""),45310.64583333333)</f>
        <v>45310.64583</v>
      </c>
      <c r="BV25" s="45">
        <f>IFERROR(__xludf.DUMMYFUNCTION("""COMPUTED_VALUE"""),325.5)</f>
        <v>325.5</v>
      </c>
      <c r="BW25" s="46">
        <f t="shared" si="19"/>
        <v>0.0520361991</v>
      </c>
      <c r="BX25" s="37"/>
      <c r="BY25" s="37">
        <f>IFERROR(__xludf.DUMMYFUNCTION("""COMPUTED_VALUE"""),45310.64583333333)</f>
        <v>45310.64583</v>
      </c>
      <c r="BZ25" s="45">
        <f>IFERROR(__xludf.DUMMYFUNCTION("""COMPUTED_VALUE"""),355.0)</f>
        <v>355</v>
      </c>
      <c r="CA25" s="46">
        <f t="shared" si="20"/>
        <v>-0.1330891331</v>
      </c>
      <c r="CB25" s="37"/>
      <c r="CC25" s="37">
        <f>IFERROR(__xludf.DUMMYFUNCTION("""COMPUTED_VALUE"""),45310.64583333333)</f>
        <v>45310.64583</v>
      </c>
      <c r="CD25" s="45">
        <f>IFERROR(__xludf.DUMMYFUNCTION("""COMPUTED_VALUE"""),273.25)</f>
        <v>273.25</v>
      </c>
      <c r="CE25" s="46">
        <f t="shared" si="21"/>
        <v>0.1793267156</v>
      </c>
      <c r="CF25" s="37"/>
      <c r="CG25" s="37">
        <f>IFERROR(__xludf.DUMMYFUNCTION("""COMPUTED_VALUE"""),45310.64583333333)</f>
        <v>45310.64583</v>
      </c>
      <c r="CH25" s="45">
        <f>IFERROR(__xludf.DUMMYFUNCTION("""COMPUTED_VALUE"""),691.75)</f>
        <v>691.75</v>
      </c>
      <c r="CI25" s="46">
        <f t="shared" si="22"/>
        <v>0.0876572327</v>
      </c>
      <c r="CJ25" s="37"/>
      <c r="CK25" s="37">
        <f>IFERROR(__xludf.DUMMYFUNCTION("""COMPUTED_VALUE"""),45310.64583333333)</f>
        <v>45310.64583</v>
      </c>
      <c r="CL25" s="45">
        <f>IFERROR(__xludf.DUMMYFUNCTION("""COMPUTED_VALUE"""),303.65)</f>
        <v>303.65</v>
      </c>
      <c r="CM25" s="46">
        <f t="shared" si="23"/>
        <v>-0.09896142433</v>
      </c>
      <c r="CN25" s="37"/>
      <c r="CO25" s="37">
        <f>IFERROR(__xludf.DUMMYFUNCTION("""COMPUTED_VALUE"""),45310.64583333333)</f>
        <v>45310.64583</v>
      </c>
      <c r="CP25" s="45">
        <f>IFERROR(__xludf.DUMMYFUNCTION("""COMPUTED_VALUE"""),16.05)</f>
        <v>16.05</v>
      </c>
      <c r="CQ25" s="46">
        <f t="shared" si="24"/>
        <v>0.08445945946</v>
      </c>
      <c r="CR25" s="37"/>
      <c r="CS25" s="37">
        <f>IFERROR(__xludf.DUMMYFUNCTION("""COMPUTED_VALUE"""),45310.64583333333)</f>
        <v>45310.64583</v>
      </c>
      <c r="CT25" s="45">
        <f>IFERROR(__xludf.DUMMYFUNCTION("""COMPUTED_VALUE"""),198.7)</f>
        <v>198.7</v>
      </c>
      <c r="CU25" s="46">
        <f t="shared" si="25"/>
        <v>0.003535353535</v>
      </c>
      <c r="CV25" s="37"/>
      <c r="CW25" s="37">
        <f>IFERROR(__xludf.DUMMYFUNCTION("""COMPUTED_VALUE"""),45310.64583333333)</f>
        <v>45310.64583</v>
      </c>
      <c r="CX25" s="45">
        <f>IFERROR(__xludf.DUMMYFUNCTION("""COMPUTED_VALUE"""),887.45)</f>
        <v>887.45</v>
      </c>
      <c r="CY25" s="46">
        <f t="shared" si="26"/>
        <v>0.282850039</v>
      </c>
      <c r="CZ25" s="37"/>
      <c r="DA25" s="37">
        <f>IFERROR(__xludf.DUMMYFUNCTION("""COMPUTED_VALUE"""),45310.64583333333)</f>
        <v>45310.64583</v>
      </c>
      <c r="DB25" s="45">
        <f>IFERROR(__xludf.DUMMYFUNCTION("""COMPUTED_VALUE"""),32.6)</f>
        <v>32.6</v>
      </c>
      <c r="DC25" s="46">
        <f t="shared" si="27"/>
        <v>0.1684587814</v>
      </c>
      <c r="DD25" s="37"/>
      <c r="DE25" s="37">
        <f>IFERROR(__xludf.DUMMYFUNCTION("""COMPUTED_VALUE"""),45310.64583333333)</f>
        <v>45310.64583</v>
      </c>
      <c r="DF25" s="45">
        <f>IFERROR(__xludf.DUMMYFUNCTION("""COMPUTED_VALUE"""),92.0)</f>
        <v>92</v>
      </c>
      <c r="DG25" s="46">
        <f t="shared" si="28"/>
        <v>-0.1879964695</v>
      </c>
      <c r="DH25" s="37"/>
      <c r="DI25" s="37">
        <f>IFERROR(__xludf.DUMMYFUNCTION("""COMPUTED_VALUE"""),45310.64583333333)</f>
        <v>45310.64583</v>
      </c>
      <c r="DJ25" s="45">
        <f>IFERROR(__xludf.DUMMYFUNCTION("""COMPUTED_VALUE"""),1750.0)</f>
        <v>1750</v>
      </c>
      <c r="DK25" s="46">
        <f t="shared" si="29"/>
        <v>0.09047856431</v>
      </c>
      <c r="DL25" s="37"/>
      <c r="DM25" s="37">
        <f>IFERROR(__xludf.DUMMYFUNCTION("""COMPUTED_VALUE"""),45310.64583333333)</f>
        <v>45310.64583</v>
      </c>
      <c r="DN25" s="45">
        <f>IFERROR(__xludf.DUMMYFUNCTION("""COMPUTED_VALUE"""),579.5)</f>
        <v>579.5</v>
      </c>
      <c r="DO25" s="46">
        <f t="shared" si="30"/>
        <v>0.08085423855</v>
      </c>
      <c r="DP25" s="37"/>
      <c r="DQ25" s="37">
        <f>IFERROR(__xludf.DUMMYFUNCTION("""COMPUTED_VALUE"""),45310.64583333333)</f>
        <v>45310.64583</v>
      </c>
      <c r="DR25" s="45">
        <f>IFERROR(__xludf.DUMMYFUNCTION("""COMPUTED_VALUE"""),223.7)</f>
        <v>223.7</v>
      </c>
      <c r="DS25" s="46">
        <f t="shared" si="31"/>
        <v>0.02614678899</v>
      </c>
      <c r="DT25" s="37"/>
      <c r="DU25" s="37">
        <f>IFERROR(__xludf.DUMMYFUNCTION("""COMPUTED_VALUE"""),45310.64583333333)</f>
        <v>45310.64583</v>
      </c>
      <c r="DV25" s="45">
        <f>IFERROR(__xludf.DUMMYFUNCTION("""COMPUTED_VALUE"""),872.65)</f>
        <v>872.65</v>
      </c>
      <c r="DW25" s="46">
        <f t="shared" si="32"/>
        <v>0.02604350382</v>
      </c>
      <c r="DX25" s="37"/>
      <c r="DY25" s="37">
        <f>IFERROR(__xludf.DUMMYFUNCTION("""COMPUTED_VALUE"""),45310.64583333333)</f>
        <v>45310.64583</v>
      </c>
      <c r="DZ25" s="45">
        <f>IFERROR(__xludf.DUMMYFUNCTION("""COMPUTED_VALUE"""),11.15)</f>
        <v>11.15</v>
      </c>
      <c r="EA25" s="46">
        <f t="shared" si="33"/>
        <v>0.02764976959</v>
      </c>
      <c r="EB25" s="37"/>
      <c r="EC25" s="37">
        <f>IFERROR(__xludf.DUMMYFUNCTION("""COMPUTED_VALUE"""),45310.64583333333)</f>
        <v>45310.64583</v>
      </c>
      <c r="ED25" s="45">
        <f>IFERROR(__xludf.DUMMYFUNCTION("""COMPUTED_VALUE"""),2508.7)</f>
        <v>2508.7</v>
      </c>
      <c r="EE25" s="46">
        <f t="shared" si="34"/>
        <v>-0.05153119093</v>
      </c>
      <c r="EF25" s="37"/>
      <c r="EG25" s="37">
        <f>IFERROR(__xludf.DUMMYFUNCTION("""COMPUTED_VALUE"""),45310.64583333333)</f>
        <v>45310.64583</v>
      </c>
      <c r="EH25" s="45">
        <f>IFERROR(__xludf.DUMMYFUNCTION("""COMPUTED_VALUE"""),1012.4)</f>
        <v>1012.4</v>
      </c>
      <c r="EI25" s="46">
        <f t="shared" si="35"/>
        <v>0.5609004009</v>
      </c>
      <c r="EJ25" s="37"/>
      <c r="EK25" s="37">
        <f>IFERROR(__xludf.DUMMYFUNCTION("""COMPUTED_VALUE"""),45310.64583333333)</f>
        <v>45310.64583</v>
      </c>
      <c r="EL25" s="45">
        <f>IFERROR(__xludf.DUMMYFUNCTION("""COMPUTED_VALUE"""),195.8)</f>
        <v>195.8</v>
      </c>
      <c r="EM25" s="46">
        <f t="shared" si="36"/>
        <v>-0.03069306931</v>
      </c>
      <c r="EN25" s="37"/>
      <c r="EO25" s="37">
        <f>IFERROR(__xludf.DUMMYFUNCTION("""COMPUTED_VALUE"""),45310.64583333333)</f>
        <v>45310.64583</v>
      </c>
      <c r="EP25" s="45">
        <f>IFERROR(__xludf.DUMMYFUNCTION("""COMPUTED_VALUE"""),169.2)</f>
        <v>169.2</v>
      </c>
      <c r="EQ25" s="46">
        <f t="shared" si="37"/>
        <v>0.09196515005</v>
      </c>
      <c r="ER25" s="37"/>
      <c r="ES25" s="37">
        <f>IFERROR(__xludf.DUMMYFUNCTION("""COMPUTED_VALUE"""),45310.64583333333)</f>
        <v>45310.64583</v>
      </c>
      <c r="ET25" s="45">
        <f>IFERROR(__xludf.DUMMYFUNCTION("""COMPUTED_VALUE"""),206.1)</f>
        <v>206.1</v>
      </c>
      <c r="EU25" s="46">
        <f t="shared" si="38"/>
        <v>0.06045793671</v>
      </c>
      <c r="EV25" s="37"/>
      <c r="EW25" s="37">
        <f>IFERROR(__xludf.DUMMYFUNCTION("""COMPUTED_VALUE"""),45310.64583333333)</f>
        <v>45310.64583</v>
      </c>
      <c r="EX25" s="45">
        <f>IFERROR(__xludf.DUMMYFUNCTION("""COMPUTED_VALUE"""),697.35)</f>
        <v>697.35</v>
      </c>
      <c r="EY25" s="46">
        <f t="shared" si="39"/>
        <v>0.07615740741</v>
      </c>
      <c r="EZ25" s="37"/>
      <c r="FA25" s="37">
        <f>IFERROR(__xludf.DUMMYFUNCTION("""COMPUTED_VALUE"""),45310.64583333333)</f>
        <v>45310.64583</v>
      </c>
      <c r="FB25" s="45">
        <f>IFERROR(__xludf.DUMMYFUNCTION("""COMPUTED_VALUE"""),182.5)</f>
        <v>182.5</v>
      </c>
      <c r="FC25" s="46">
        <f t="shared" si="40"/>
        <v>0.04644495413</v>
      </c>
      <c r="FD25" s="37"/>
      <c r="FE25" s="37">
        <f>IFERROR(__xludf.DUMMYFUNCTION("""COMPUTED_VALUE"""),45310.64583333333)</f>
        <v>45310.64583</v>
      </c>
      <c r="FF25" s="45">
        <f>IFERROR(__xludf.DUMMYFUNCTION("""COMPUTED_VALUE"""),336.95)</f>
        <v>336.95</v>
      </c>
      <c r="FG25" s="46">
        <f t="shared" si="41"/>
        <v>0.1054790026</v>
      </c>
      <c r="FH25" s="37"/>
      <c r="FI25" s="37">
        <f>IFERROR(__xludf.DUMMYFUNCTION("""COMPUTED_VALUE"""),45310.64583333333)</f>
        <v>45310.64583</v>
      </c>
      <c r="FJ25" s="45">
        <f>IFERROR(__xludf.DUMMYFUNCTION("""COMPUTED_VALUE"""),593.0)</f>
        <v>593</v>
      </c>
      <c r="FK25" s="46">
        <f t="shared" si="42"/>
        <v>-0.02153287683</v>
      </c>
      <c r="FL25" s="37"/>
      <c r="FM25" s="37">
        <f>IFERROR(__xludf.DUMMYFUNCTION("""COMPUTED_VALUE"""),45310.64583333333)</f>
        <v>45310.64583</v>
      </c>
      <c r="FN25" s="45">
        <f>IFERROR(__xludf.DUMMYFUNCTION("""COMPUTED_VALUE"""),107.6)</f>
        <v>107.6</v>
      </c>
      <c r="FO25" s="46">
        <f t="shared" si="43"/>
        <v>0.1326315789</v>
      </c>
      <c r="FP25" s="37"/>
      <c r="FQ25" s="37">
        <f>IFERROR(__xludf.DUMMYFUNCTION("""COMPUTED_VALUE"""),45310.64583333333)</f>
        <v>45310.64583</v>
      </c>
      <c r="FR25" s="45">
        <f>IFERROR(__xludf.DUMMYFUNCTION("""COMPUTED_VALUE"""),4.45)</f>
        <v>4.45</v>
      </c>
      <c r="FS25" s="46">
        <f t="shared" si="44"/>
        <v>-0.1909090909</v>
      </c>
      <c r="FT25" s="37"/>
      <c r="FU25" s="37">
        <f>IFERROR(__xludf.DUMMYFUNCTION("""COMPUTED_VALUE"""),45310.64583333333)</f>
        <v>45310.64583</v>
      </c>
      <c r="FV25" s="45">
        <f>IFERROR(__xludf.DUMMYFUNCTION("""COMPUTED_VALUE"""),704.65)</f>
        <v>704.65</v>
      </c>
      <c r="FW25" s="46">
        <f t="shared" si="45"/>
        <v>0.05557636132</v>
      </c>
      <c r="FX25" s="37"/>
      <c r="FY25" s="37">
        <f>IFERROR(__xludf.DUMMYFUNCTION("""COMPUTED_VALUE"""),45310.64583333333)</f>
        <v>45310.64583</v>
      </c>
      <c r="FZ25" s="45">
        <f>IFERROR(__xludf.DUMMYFUNCTION("""COMPUTED_VALUE"""),158.75)</f>
        <v>158.75</v>
      </c>
      <c r="GA25" s="46">
        <f t="shared" si="46"/>
        <v>-0.06507656066</v>
      </c>
      <c r="GB25" s="37"/>
      <c r="GC25" s="37">
        <f>IFERROR(__xludf.DUMMYFUNCTION("""COMPUTED_VALUE"""),45310.64583333333)</f>
        <v>45310.64583</v>
      </c>
      <c r="GD25" s="45">
        <f>IFERROR(__xludf.DUMMYFUNCTION("""COMPUTED_VALUE"""),409.75)</f>
        <v>409.75</v>
      </c>
      <c r="GE25" s="46">
        <f t="shared" si="47"/>
        <v>-0.1129032258</v>
      </c>
      <c r="GF25" s="37"/>
      <c r="GG25" s="37">
        <f>IFERROR(__xludf.DUMMYFUNCTION("""COMPUTED_VALUE"""),45310.64583333333)</f>
        <v>45310.64583</v>
      </c>
      <c r="GH25" s="45">
        <f>IFERROR(__xludf.DUMMYFUNCTION("""COMPUTED_VALUE"""),5394.0)</f>
        <v>5394</v>
      </c>
      <c r="GI25" s="46">
        <f t="shared" si="48"/>
        <v>0.01792791093</v>
      </c>
      <c r="GJ25" s="37"/>
      <c r="GK25" s="37">
        <f>IFERROR(__xludf.DUMMYFUNCTION("""COMPUTED_VALUE"""),45310.64583333333)</f>
        <v>45310.64583</v>
      </c>
      <c r="GL25" s="45">
        <f>IFERROR(__xludf.DUMMYFUNCTION("""COMPUTED_VALUE"""),89.9)</f>
        <v>89.9</v>
      </c>
      <c r="GM25" s="46">
        <f t="shared" si="49"/>
        <v>-0.2072310406</v>
      </c>
      <c r="GN25" s="37"/>
      <c r="GO25" s="37">
        <f>IFERROR(__xludf.DUMMYFUNCTION("""COMPUTED_VALUE"""),45310.64583333333)</f>
        <v>45310.64583</v>
      </c>
      <c r="GP25" s="45">
        <f>IFERROR(__xludf.DUMMYFUNCTION("""COMPUTED_VALUE"""),1121.15)</f>
        <v>1121.15</v>
      </c>
      <c r="GQ25" s="46">
        <f t="shared" si="50"/>
        <v>0.01964439998</v>
      </c>
      <c r="GR25" s="37"/>
      <c r="GS25" s="37">
        <f>IFERROR(__xludf.DUMMYFUNCTION("""COMPUTED_VALUE"""),45310.64583333333)</f>
        <v>45310.64583</v>
      </c>
      <c r="GT25" s="45">
        <f>IFERROR(__xludf.DUMMYFUNCTION("""COMPUTED_VALUE"""),14.3)</f>
        <v>14.3</v>
      </c>
      <c r="GU25" s="46">
        <f t="shared" si="51"/>
        <v>0.1042471042</v>
      </c>
      <c r="GV25" s="37"/>
      <c r="GW25" s="37">
        <f>IFERROR(__xludf.DUMMYFUNCTION("""COMPUTED_VALUE"""),45314.64583333333)</f>
        <v>45314.64583</v>
      </c>
      <c r="GX25" s="45">
        <f>IFERROR(__xludf.DUMMYFUNCTION("""COMPUTED_VALUE"""),16.95)</f>
        <v>16.95</v>
      </c>
      <c r="GY25" s="46">
        <f t="shared" si="52"/>
        <v>0.02727272727</v>
      </c>
      <c r="GZ25" s="37"/>
      <c r="HA25" s="37">
        <f>IFERROR(__xludf.DUMMYFUNCTION("""COMPUTED_VALUE"""),45314.64583333333)</f>
        <v>45314.64583</v>
      </c>
      <c r="HB25" s="45">
        <f>IFERROR(__xludf.DUMMYFUNCTION("""COMPUTED_VALUE"""),561.8)</f>
        <v>561.8</v>
      </c>
      <c r="HC25" s="46">
        <f t="shared" si="53"/>
        <v>-0.07598684211</v>
      </c>
      <c r="HD25" s="37"/>
      <c r="HE25" s="43">
        <f>IFERROR(__xludf.DUMMYFUNCTION("""COMPUTED_VALUE"""),45314.64583333333)</f>
        <v>45314.64583</v>
      </c>
      <c r="HF25" s="45">
        <f>IFERROR(__xludf.DUMMYFUNCTION("""COMPUTED_VALUE"""),2316.45)</f>
        <v>2316.45</v>
      </c>
      <c r="HG25" s="46" t="str">
        <f t="shared" si="54"/>
        <v>#DIV/0!</v>
      </c>
      <c r="HH25" s="37"/>
      <c r="HI25" s="37">
        <f>IFERROR(__xludf.DUMMYFUNCTION("""COMPUTED_VALUE"""),45314.64583333333)</f>
        <v>45314.64583</v>
      </c>
      <c r="HJ25" s="45">
        <f>IFERROR(__xludf.DUMMYFUNCTION("""COMPUTED_VALUE"""),6781.9)</f>
        <v>6781.9</v>
      </c>
      <c r="HK25" s="46">
        <f t="shared" si="55"/>
        <v>0.3271690101</v>
      </c>
      <c r="HL25" s="37"/>
      <c r="HM25" s="37">
        <f>IFERROR(__xludf.DUMMYFUNCTION("""COMPUTED_VALUE"""),45314.64583333333)</f>
        <v>45314.64583</v>
      </c>
      <c r="HN25" s="45">
        <f>IFERROR(__xludf.DUMMYFUNCTION("""COMPUTED_VALUE"""),388.4)</f>
        <v>388.4</v>
      </c>
      <c r="HO25" s="46">
        <f t="shared" si="56"/>
        <v>-0.04464395523</v>
      </c>
      <c r="HP25" s="37"/>
      <c r="HQ25" s="37">
        <f>IFERROR(__xludf.DUMMYFUNCTION("""COMPUTED_VALUE"""),45314.64583333333)</f>
        <v>45314.64583</v>
      </c>
      <c r="HR25" s="45">
        <f>IFERROR(__xludf.DUMMYFUNCTION("""COMPUTED_VALUE"""),249.0)</f>
        <v>249</v>
      </c>
      <c r="HS25" s="46">
        <f t="shared" si="57"/>
        <v>-0.02084152576</v>
      </c>
      <c r="HT25" s="37"/>
      <c r="HU25" s="37">
        <f>IFERROR(__xludf.DUMMYFUNCTION("""COMPUTED_VALUE"""),45314.64583333333)</f>
        <v>45314.64583</v>
      </c>
      <c r="HV25" s="45">
        <f>IFERROR(__xludf.DUMMYFUNCTION("""COMPUTED_VALUE"""),68.75)</f>
        <v>68.75</v>
      </c>
      <c r="HW25" s="46">
        <f t="shared" si="58"/>
        <v>0.1017628205</v>
      </c>
      <c r="HX25" s="37"/>
      <c r="HY25" s="37">
        <f>IFERROR(__xludf.DUMMYFUNCTION("""COMPUTED_VALUE"""),45314.64583333333)</f>
        <v>45314.64583</v>
      </c>
      <c r="HZ25" s="45">
        <f>IFERROR(__xludf.DUMMYFUNCTION("""COMPUTED_VALUE"""),377.95)</f>
        <v>377.95</v>
      </c>
      <c r="IA25" s="46">
        <f t="shared" si="59"/>
        <v>-0.1872043011</v>
      </c>
      <c r="IB25" s="37"/>
      <c r="IC25" s="37">
        <f>IFERROR(__xludf.DUMMYFUNCTION("""COMPUTED_VALUE"""),45314.64583333333)</f>
        <v>45314.64583</v>
      </c>
      <c r="ID25" s="45">
        <f>IFERROR(__xludf.DUMMYFUNCTION("""COMPUTED_VALUE"""),78.0)</f>
        <v>78</v>
      </c>
      <c r="IE25" s="46">
        <f t="shared" si="60"/>
        <v>-0.8222222222</v>
      </c>
      <c r="IF25" s="37"/>
      <c r="IG25" s="37">
        <f>IFERROR(__xludf.DUMMYFUNCTION("""COMPUTED_VALUE"""),45314.64583333333)</f>
        <v>45314.64583</v>
      </c>
      <c r="IH25" s="45">
        <f>IFERROR(__xludf.DUMMYFUNCTION("""COMPUTED_VALUE"""),555.0)</f>
        <v>555</v>
      </c>
      <c r="II25" s="46">
        <f t="shared" si="61"/>
        <v>0.04127579737</v>
      </c>
      <c r="IJ25" s="37"/>
      <c r="IK25" s="37">
        <f>IFERROR(__xludf.DUMMYFUNCTION("""COMPUTED_VALUE"""),45314.64583333333)</f>
        <v>45314.64583</v>
      </c>
      <c r="IL25" s="45">
        <f>IFERROR(__xludf.DUMMYFUNCTION("""COMPUTED_VALUE"""),573.7)</f>
        <v>573.7</v>
      </c>
      <c r="IM25" s="46">
        <f t="shared" si="62"/>
        <v>-0.07160773525</v>
      </c>
      <c r="IN25" s="37"/>
      <c r="IO25" s="37">
        <f>IFERROR(__xludf.DUMMYFUNCTION("""COMPUTED_VALUE"""),45314.64583333333)</f>
        <v>45314.64583</v>
      </c>
      <c r="IP25" s="45">
        <f>IFERROR(__xludf.DUMMYFUNCTION("""COMPUTED_VALUE"""),179.48)</f>
        <v>179.48</v>
      </c>
      <c r="IQ25" s="46">
        <f t="shared" si="63"/>
        <v>0.4279576736</v>
      </c>
      <c r="IR25" s="37"/>
      <c r="IS25" s="37">
        <f>IFERROR(__xludf.DUMMYFUNCTION("""COMPUTED_VALUE"""),45314.64583333333)</f>
        <v>45314.64583</v>
      </c>
      <c r="IT25" s="45">
        <f>IFERROR(__xludf.DUMMYFUNCTION("""COMPUTED_VALUE"""),1020.0)</f>
        <v>1020</v>
      </c>
      <c r="IU25" s="46">
        <f t="shared" si="64"/>
        <v>0.01593625498</v>
      </c>
      <c r="IV25" s="37"/>
      <c r="IW25" s="37">
        <f>IFERROR(__xludf.DUMMYFUNCTION("""COMPUTED_VALUE"""),45314.64583333333)</f>
        <v>45314.64583</v>
      </c>
      <c r="IX25" s="45">
        <f>IFERROR(__xludf.DUMMYFUNCTION("""COMPUTED_VALUE"""),211.45)</f>
        <v>211.45</v>
      </c>
      <c r="IY25" s="46">
        <f t="shared" si="65"/>
        <v>0.02670551105</v>
      </c>
      <c r="IZ25" s="37"/>
      <c r="JA25" s="37">
        <f>IFERROR(__xludf.DUMMYFUNCTION("""COMPUTED_VALUE"""),45314.64583333333)</f>
        <v>45314.64583</v>
      </c>
      <c r="JB25" s="45">
        <f>IFERROR(__xludf.DUMMYFUNCTION("""COMPUTED_VALUE"""),34850.0)</f>
        <v>34850</v>
      </c>
      <c r="JC25" s="46">
        <f t="shared" si="66"/>
        <v>-0.01561041334</v>
      </c>
      <c r="JD25" s="37"/>
      <c r="JE25" s="37">
        <f>IFERROR(__xludf.DUMMYFUNCTION("""COMPUTED_VALUE"""),45314.64583333333)</f>
        <v>45314.64583</v>
      </c>
      <c r="JF25" s="45">
        <f>IFERROR(__xludf.DUMMYFUNCTION("""COMPUTED_VALUE"""),677.3)</f>
        <v>677.3</v>
      </c>
      <c r="JG25" s="46">
        <f t="shared" si="67"/>
        <v>0.05007751938</v>
      </c>
      <c r="JH25" s="37"/>
      <c r="JI25" s="37">
        <f>IFERROR(__xludf.DUMMYFUNCTION("""COMPUTED_VALUE"""),45314.64583333333)</f>
        <v>45314.64583</v>
      </c>
      <c r="JJ25" s="45">
        <f>IFERROR(__xludf.DUMMYFUNCTION("""COMPUTED_VALUE"""),306.85)</f>
        <v>306.85</v>
      </c>
      <c r="JK25" s="46">
        <f t="shared" si="68"/>
        <v>-0.08114987274</v>
      </c>
      <c r="JL25" s="37"/>
      <c r="JM25" s="37">
        <f>IFERROR(__xludf.DUMMYFUNCTION("""COMPUTED_VALUE"""),45314.64583333333)</f>
        <v>45314.64583</v>
      </c>
      <c r="JN25" s="45">
        <f>IFERROR(__xludf.DUMMYFUNCTION("""COMPUTED_VALUE"""),16.2)</f>
        <v>16.2</v>
      </c>
      <c r="JO25" s="46">
        <f t="shared" si="69"/>
        <v>-0.9630769231</v>
      </c>
      <c r="JP25" s="37"/>
      <c r="JQ25" s="37">
        <f>IFERROR(__xludf.DUMMYFUNCTION("""COMPUTED_VALUE"""),45314.64583333333)</f>
        <v>45314.64583</v>
      </c>
      <c r="JR25" s="45">
        <f>IFERROR(__xludf.DUMMYFUNCTION("""COMPUTED_VALUE"""),90.0)</f>
        <v>90</v>
      </c>
      <c r="JS25" s="46">
        <f t="shared" si="70"/>
        <v>-0.3382352941</v>
      </c>
      <c r="JT25" s="37"/>
      <c r="JU25" s="37">
        <f>IFERROR(__xludf.DUMMYFUNCTION("""COMPUTED_VALUE"""),45314.64583333333)</f>
        <v>45314.64583</v>
      </c>
      <c r="JV25" s="45">
        <f>IFERROR(__xludf.DUMMYFUNCTION("""COMPUTED_VALUE"""),244.2)</f>
        <v>244.2</v>
      </c>
      <c r="JW25" s="46">
        <f t="shared" si="71"/>
        <v>-0.4434188034</v>
      </c>
      <c r="JX25" s="37"/>
      <c r="JY25" s="37">
        <f>IFERROR(__xludf.DUMMYFUNCTION("""COMPUTED_VALUE"""),45314.64583333333)</f>
        <v>45314.64583</v>
      </c>
      <c r="JZ25" s="45">
        <f>IFERROR(__xludf.DUMMYFUNCTION("""COMPUTED_VALUE"""),638.45)</f>
        <v>638.45</v>
      </c>
      <c r="KA25" s="46">
        <f t="shared" si="72"/>
        <v>0.1587114338</v>
      </c>
      <c r="KB25" s="37"/>
      <c r="KC25" s="37">
        <f>IFERROR(__xludf.DUMMYFUNCTION("""COMPUTED_VALUE"""),45314.64583333333)</f>
        <v>45314.64583</v>
      </c>
      <c r="KD25" s="45">
        <f>IFERROR(__xludf.DUMMYFUNCTION("""COMPUTED_VALUE"""),870.5)</f>
        <v>870.5</v>
      </c>
      <c r="KE25" s="46">
        <f t="shared" si="73"/>
        <v>-0.0034915002</v>
      </c>
      <c r="KF25" s="37"/>
      <c r="KG25" s="37">
        <f>IFERROR(__xludf.DUMMYFUNCTION("""COMPUTED_VALUE"""),45314.64583333333)</f>
        <v>45314.64583</v>
      </c>
      <c r="KH25" s="45">
        <f>IFERROR(__xludf.DUMMYFUNCTION("""COMPUTED_VALUE"""),437.0)</f>
        <v>437</v>
      </c>
      <c r="KI25" s="46">
        <f t="shared" si="74"/>
        <v>0.1205128205</v>
      </c>
      <c r="KJ25" s="37"/>
      <c r="KK25" s="37">
        <f>IFERROR(__xludf.DUMMYFUNCTION("""COMPUTED_VALUE"""),45314.64583333333)</f>
        <v>45314.64583</v>
      </c>
      <c r="KL25" s="45">
        <f>IFERROR(__xludf.DUMMYFUNCTION("""COMPUTED_VALUE"""),11.25)</f>
        <v>11.25</v>
      </c>
      <c r="KM25" s="46">
        <f t="shared" si="75"/>
        <v>0.2096774194</v>
      </c>
      <c r="KN25" s="37"/>
      <c r="KO25" s="37">
        <f>IFERROR(__xludf.DUMMYFUNCTION("""COMPUTED_VALUE"""),45314.64583333333)</f>
        <v>45314.64583</v>
      </c>
      <c r="KP25" s="45">
        <f>IFERROR(__xludf.DUMMYFUNCTION("""COMPUTED_VALUE"""),253.2)</f>
        <v>253.2</v>
      </c>
      <c r="KQ25" s="46">
        <f t="shared" si="76"/>
        <v>0.2454500738</v>
      </c>
      <c r="KR25" s="37"/>
      <c r="KS25" s="37">
        <f>IFERROR(__xludf.DUMMYFUNCTION("""COMPUTED_VALUE"""),45314.64583333333)</f>
        <v>45314.64583</v>
      </c>
      <c r="KT25" s="45">
        <f>IFERROR(__xludf.DUMMYFUNCTION("""COMPUTED_VALUE"""),10.75)</f>
        <v>10.75</v>
      </c>
      <c r="KU25" s="46">
        <f t="shared" si="77"/>
        <v>-0.02714932127</v>
      </c>
      <c r="KV25" s="37"/>
      <c r="KW25" s="37">
        <f>IFERROR(__xludf.DUMMYFUNCTION("""COMPUTED_VALUE"""),45314.64583333333)</f>
        <v>45314.64583</v>
      </c>
      <c r="KX25" s="45">
        <f>IFERROR(__xludf.DUMMYFUNCTION("""COMPUTED_VALUE"""),2474.7)</f>
        <v>2474.7</v>
      </c>
      <c r="KY25" s="46">
        <f t="shared" si="78"/>
        <v>-0.07312871028</v>
      </c>
      <c r="KZ25" s="37"/>
      <c r="LA25" s="37">
        <f>IFERROR(__xludf.DUMMYFUNCTION("""COMPUTED_VALUE"""),45314.64583333333)</f>
        <v>45314.64583</v>
      </c>
      <c r="LB25" s="45">
        <f>IFERROR(__xludf.DUMMYFUNCTION("""COMPUTED_VALUE"""),20.6)</f>
        <v>20.6</v>
      </c>
      <c r="LC25" s="46">
        <f t="shared" si="79"/>
        <v>0.09283819629</v>
      </c>
      <c r="LD25" s="37"/>
      <c r="LE25" s="37">
        <f>IFERROR(__xludf.DUMMYFUNCTION("""COMPUTED_VALUE"""),45314.64583333333)</f>
        <v>45314.64583</v>
      </c>
      <c r="LF25" s="45">
        <f>IFERROR(__xludf.DUMMYFUNCTION("""COMPUTED_VALUE"""),134.0)</f>
        <v>134</v>
      </c>
      <c r="LG25" s="46">
        <f t="shared" si="80"/>
        <v>0.072</v>
      </c>
      <c r="LH25" s="37"/>
      <c r="LI25" s="37">
        <f>IFERROR(__xludf.DUMMYFUNCTION("""COMPUTED_VALUE"""),45314.64583333333)</f>
        <v>45314.64583</v>
      </c>
      <c r="LJ25" s="45">
        <f>IFERROR(__xludf.DUMMYFUNCTION("""COMPUTED_VALUE"""),781.0)</f>
        <v>781</v>
      </c>
      <c r="LK25" s="46">
        <f t="shared" si="81"/>
        <v>0.0728021978</v>
      </c>
      <c r="LL25" s="37"/>
      <c r="LM25" s="37">
        <f>IFERROR(__xludf.DUMMYFUNCTION("""COMPUTED_VALUE"""),45314.64583333333)</f>
        <v>45314.64583</v>
      </c>
      <c r="LN25" s="45">
        <f>IFERROR(__xludf.DUMMYFUNCTION("""COMPUTED_VALUE"""),766.2)</f>
        <v>766.2</v>
      </c>
      <c r="LO25" s="46">
        <f t="shared" si="82"/>
        <v>-0.1038596491</v>
      </c>
      <c r="LP25" s="37"/>
      <c r="LQ25" s="37">
        <f>IFERROR(__xludf.DUMMYFUNCTION("""COMPUTED_VALUE"""),45314.64583333333)</f>
        <v>45314.64583</v>
      </c>
      <c r="LR25" s="45">
        <f>IFERROR(__xludf.DUMMYFUNCTION("""COMPUTED_VALUE"""),620.05)</f>
        <v>620.05</v>
      </c>
      <c r="LS25" s="46">
        <f t="shared" si="83"/>
        <v>0.6969074986</v>
      </c>
      <c r="LT25" s="37"/>
      <c r="LU25" s="37">
        <f>IFERROR(__xludf.DUMMYFUNCTION("""COMPUTED_VALUE"""),45314.64583333333)</f>
        <v>45314.64583</v>
      </c>
      <c r="LV25" s="45">
        <f>IFERROR(__xludf.DUMMYFUNCTION("""COMPUTED_VALUE"""),133.0)</f>
        <v>133</v>
      </c>
      <c r="LW25" s="46">
        <f t="shared" si="84"/>
        <v>-0.02777777778</v>
      </c>
      <c r="LX25" s="37"/>
      <c r="LY25" s="37">
        <f>IFERROR(__xludf.DUMMYFUNCTION("""COMPUTED_VALUE"""),45314.64583333333)</f>
        <v>45314.64583</v>
      </c>
      <c r="LZ25" s="45">
        <f>IFERROR(__xludf.DUMMYFUNCTION("""COMPUTED_VALUE"""),591.0)</f>
        <v>591</v>
      </c>
      <c r="MA25" s="46">
        <f t="shared" si="85"/>
        <v>-0.04677419355</v>
      </c>
      <c r="MB25" s="37"/>
      <c r="MC25" s="37"/>
      <c r="MD25" s="45"/>
      <c r="ME25" s="46" t="str">
        <f t="shared" si="86"/>
        <v>#DIV/0!</v>
      </c>
      <c r="MF25" s="37"/>
      <c r="MG25" s="37">
        <f>IFERROR(__xludf.DUMMYFUNCTION("""COMPUTED_VALUE"""),45314.64583333333)</f>
        <v>45314.64583</v>
      </c>
      <c r="MH25" s="45">
        <f>IFERROR(__xludf.DUMMYFUNCTION("""COMPUTED_VALUE"""),1960.8)</f>
        <v>1960.8</v>
      </c>
      <c r="MI25" s="46">
        <f t="shared" si="87"/>
        <v>-0.0000764935363</v>
      </c>
      <c r="MJ25" s="37"/>
      <c r="MK25" s="37">
        <f>IFERROR(__xludf.DUMMYFUNCTION("""COMPUTED_VALUE"""),45314.64583333333)</f>
        <v>45314.64583</v>
      </c>
      <c r="ML25" s="45">
        <f>IFERROR(__xludf.DUMMYFUNCTION("""COMPUTED_VALUE"""),378.55)</f>
        <v>378.55</v>
      </c>
      <c r="MM25" s="46">
        <f t="shared" si="88"/>
        <v>-0.05350668834</v>
      </c>
      <c r="MN25" s="37"/>
      <c r="MO25" s="37">
        <f>IFERROR(__xludf.DUMMYFUNCTION("""COMPUTED_VALUE"""),45314.64583333333)</f>
        <v>45314.64583</v>
      </c>
      <c r="MP25" s="45">
        <f>IFERROR(__xludf.DUMMYFUNCTION("""COMPUTED_VALUE"""),760.9)</f>
        <v>760.9</v>
      </c>
      <c r="MQ25" s="46">
        <f t="shared" si="89"/>
        <v>0.02824324324</v>
      </c>
      <c r="MR25" s="37"/>
      <c r="MS25" s="37">
        <f>IFERROR(__xludf.DUMMYFUNCTION("""COMPUTED_VALUE"""),45314.64583333333)</f>
        <v>45314.64583</v>
      </c>
      <c r="MT25" s="45">
        <f>IFERROR(__xludf.DUMMYFUNCTION("""COMPUTED_VALUE"""),63.65)</f>
        <v>63.65</v>
      </c>
      <c r="MU25" s="46">
        <f t="shared" si="90"/>
        <v>-0.03779289494</v>
      </c>
      <c r="MV25" s="37"/>
      <c r="MW25" s="37">
        <f>IFERROR(__xludf.DUMMYFUNCTION("""COMPUTED_VALUE"""),45314.64583333333)</f>
        <v>45314.64583</v>
      </c>
      <c r="MX25" s="45">
        <f>IFERROR(__xludf.DUMMYFUNCTION("""COMPUTED_VALUE"""),3151.1)</f>
        <v>3151.1</v>
      </c>
      <c r="MY25" s="46">
        <f t="shared" si="91"/>
        <v>0.00130282809</v>
      </c>
      <c r="MZ25" s="37"/>
      <c r="NA25" s="37">
        <f>IFERROR(__xludf.DUMMYFUNCTION("""COMPUTED_VALUE"""),45314.64583333333)</f>
        <v>45314.64583</v>
      </c>
      <c r="NB25" s="45">
        <f>IFERROR(__xludf.DUMMYFUNCTION("""COMPUTED_VALUE"""),15.1)</f>
        <v>15.1</v>
      </c>
      <c r="NC25" s="46">
        <f t="shared" si="92"/>
        <v>0.1936758893</v>
      </c>
      <c r="ND25" s="37"/>
      <c r="NE25" s="37">
        <f>IFERROR(__xludf.DUMMYFUNCTION("""COMPUTED_VALUE"""),45315.64583333333)</f>
        <v>45315.64583</v>
      </c>
      <c r="NF25" s="45">
        <f>IFERROR(__xludf.DUMMYFUNCTION("""COMPUTED_VALUE"""),370.75)</f>
        <v>370.75</v>
      </c>
      <c r="NG25" s="46">
        <f t="shared" si="93"/>
        <v>-0.0318579449</v>
      </c>
      <c r="NH25" s="37"/>
      <c r="NI25" s="37">
        <f>IFERROR(__xludf.DUMMYFUNCTION("""COMPUTED_VALUE"""),45315.64583333333)</f>
        <v>45315.64583</v>
      </c>
      <c r="NJ25" s="45">
        <f>IFERROR(__xludf.DUMMYFUNCTION("""COMPUTED_VALUE"""),304.5)</f>
        <v>304.5</v>
      </c>
      <c r="NK25" s="46">
        <f t="shared" si="94"/>
        <v>0.1418607267</v>
      </c>
      <c r="NL25" s="37"/>
      <c r="NM25" s="37">
        <f>IFERROR(__xludf.DUMMYFUNCTION("""COMPUTED_VALUE"""),45315.64583333333)</f>
        <v>45315.64583</v>
      </c>
      <c r="NN25" s="45">
        <f>IFERROR(__xludf.DUMMYFUNCTION("""COMPUTED_VALUE"""),115.5)</f>
        <v>115.5</v>
      </c>
      <c r="NO25" s="46">
        <f t="shared" si="95"/>
        <v>-0.06326034063</v>
      </c>
      <c r="NP25" s="37"/>
      <c r="NQ25" s="37">
        <f>IFERROR(__xludf.DUMMYFUNCTION("""COMPUTED_VALUE"""),45315.64583333333)</f>
        <v>45315.64583</v>
      </c>
      <c r="NR25" s="45">
        <f>IFERROR(__xludf.DUMMYFUNCTION("""COMPUTED_VALUE"""),4453.6)</f>
        <v>4453.6</v>
      </c>
      <c r="NS25" s="46">
        <f t="shared" si="96"/>
        <v>0.06647509579</v>
      </c>
      <c r="NT25" s="37"/>
      <c r="NU25" s="37">
        <f>IFERROR(__xludf.DUMMYFUNCTION("""COMPUTED_VALUE"""),45315.64583333333)</f>
        <v>45315.64583</v>
      </c>
      <c r="NV25" s="45">
        <f>IFERROR(__xludf.DUMMYFUNCTION("""COMPUTED_VALUE"""),14.7)</f>
        <v>14.7</v>
      </c>
      <c r="NW25" s="46">
        <f t="shared" si="97"/>
        <v>0.157480315</v>
      </c>
      <c r="NX25" s="37"/>
      <c r="NY25" s="37">
        <f>IFERROR(__xludf.DUMMYFUNCTION("""COMPUTED_VALUE"""),45315.64583333333)</f>
        <v>45315.64583</v>
      </c>
      <c r="NZ25" s="45">
        <f>IFERROR(__xludf.DUMMYFUNCTION("""COMPUTED_VALUE"""),301.3)</f>
        <v>301.3</v>
      </c>
      <c r="OA25" s="46">
        <f t="shared" si="98"/>
        <v>0.2208265802</v>
      </c>
      <c r="OB25" s="37"/>
      <c r="OC25" s="37">
        <f>IFERROR(__xludf.DUMMYFUNCTION("""COMPUTED_VALUE"""),45315.64583333333)</f>
        <v>45315.64583</v>
      </c>
      <c r="OD25" s="45">
        <f>IFERROR(__xludf.DUMMYFUNCTION("""COMPUTED_VALUE"""),1161.0)</f>
        <v>1161</v>
      </c>
      <c r="OE25" s="46">
        <f t="shared" si="99"/>
        <v>0.1015702832</v>
      </c>
      <c r="OF25" s="37"/>
      <c r="OG25" s="37">
        <f>IFERROR(__xludf.DUMMYFUNCTION("""COMPUTED_VALUE"""),45315.64583333333)</f>
        <v>45315.64583</v>
      </c>
      <c r="OH25" s="45">
        <f>IFERROR(__xludf.DUMMYFUNCTION("""COMPUTED_VALUE"""),2262.55)</f>
        <v>2262.55</v>
      </c>
      <c r="OI25" s="46">
        <f t="shared" si="100"/>
        <v>-0.07264939749</v>
      </c>
      <c r="OJ25" s="37"/>
      <c r="OK25" s="37"/>
      <c r="OL25" s="45"/>
      <c r="OM25" s="46" t="str">
        <f t="shared" si="101"/>
        <v>#DIV/0!</v>
      </c>
      <c r="ON25" s="37"/>
    </row>
    <row r="26" ht="12.0" customHeight="1">
      <c r="A26" s="37">
        <f>IFERROR(__xludf.DUMMYFUNCTION("""COMPUTED_VALUE"""),45314.64583333333)</f>
        <v>45314.64583</v>
      </c>
      <c r="B26" s="45">
        <f>IFERROR(__xludf.DUMMYFUNCTION("""COMPUTED_VALUE"""),408.6)</f>
        <v>408.6</v>
      </c>
      <c r="C26" s="46">
        <f t="shared" si="1"/>
        <v>-0.06871794872</v>
      </c>
      <c r="D26" s="37"/>
      <c r="E26" s="37">
        <f>IFERROR(__xludf.DUMMYFUNCTION("""COMPUTED_VALUE"""),45314.64583333333)</f>
        <v>45314.64583</v>
      </c>
      <c r="F26" s="45">
        <f>IFERROR(__xludf.DUMMYFUNCTION("""COMPUTED_VALUE"""),709.9)</f>
        <v>709.9</v>
      </c>
      <c r="G26" s="46">
        <f t="shared" si="2"/>
        <v>0.08381679389</v>
      </c>
      <c r="H26" s="37"/>
      <c r="I26" s="37">
        <f>IFERROR(__xludf.DUMMYFUNCTION("""COMPUTED_VALUE"""),45314.64583333333)</f>
        <v>45314.64583</v>
      </c>
      <c r="J26" s="45">
        <f>IFERROR(__xludf.DUMMYFUNCTION("""COMPUTED_VALUE"""),195.5)</f>
        <v>195.5</v>
      </c>
      <c r="K26" s="46">
        <f t="shared" si="3"/>
        <v>0.0625</v>
      </c>
      <c r="L26" s="37"/>
      <c r="M26" s="37">
        <f>IFERROR(__xludf.DUMMYFUNCTION("""COMPUTED_VALUE"""),45314.64583333333)</f>
        <v>45314.64583</v>
      </c>
      <c r="N26" s="45">
        <f>IFERROR(__xludf.DUMMYFUNCTION("""COMPUTED_VALUE"""),103.8)</f>
        <v>103.8</v>
      </c>
      <c r="O26" s="46">
        <f t="shared" si="4"/>
        <v>0.2013888889</v>
      </c>
      <c r="P26" s="37"/>
      <c r="Q26" s="37">
        <f>IFERROR(__xludf.DUMMYFUNCTION("""COMPUTED_VALUE"""),45314.64583333333)</f>
        <v>45314.64583</v>
      </c>
      <c r="R26" s="45">
        <f>IFERROR(__xludf.DUMMYFUNCTION("""COMPUTED_VALUE"""),46.75)</f>
        <v>46.75</v>
      </c>
      <c r="S26" s="46">
        <f t="shared" si="5"/>
        <v>-0.1095238095</v>
      </c>
      <c r="T26" s="37"/>
      <c r="U26" s="37">
        <f>IFERROR(__xludf.DUMMYFUNCTION("""COMPUTED_VALUE"""),45314.64583333333)</f>
        <v>45314.64583</v>
      </c>
      <c r="V26" s="45">
        <f>IFERROR(__xludf.DUMMYFUNCTION("""COMPUTED_VALUE"""),802.95)</f>
        <v>802.95</v>
      </c>
      <c r="W26" s="46">
        <f t="shared" si="6"/>
        <v>0.212182971</v>
      </c>
      <c r="X26" s="37"/>
      <c r="Y26" s="37">
        <f>IFERROR(__xludf.DUMMYFUNCTION("""COMPUTED_VALUE"""),45314.64583333333)</f>
        <v>45314.64583</v>
      </c>
      <c r="Z26" s="45">
        <f>IFERROR(__xludf.DUMMYFUNCTION("""COMPUTED_VALUE"""),179.8)</f>
        <v>179.8</v>
      </c>
      <c r="AA26" s="46">
        <f t="shared" si="7"/>
        <v>-0.02810810811</v>
      </c>
      <c r="AB26" s="37"/>
      <c r="AC26" s="37">
        <f>IFERROR(__xludf.DUMMYFUNCTION("""COMPUTED_VALUE"""),45314.64583333333)</f>
        <v>45314.64583</v>
      </c>
      <c r="AD26" s="45">
        <f>IFERROR(__xludf.DUMMYFUNCTION("""COMPUTED_VALUE"""),2316.45)</f>
        <v>2316.45</v>
      </c>
      <c r="AE26" s="46">
        <f t="shared" si="8"/>
        <v>-0.02444725205</v>
      </c>
      <c r="AF26" s="37"/>
      <c r="AG26" s="37">
        <f>IFERROR(__xludf.DUMMYFUNCTION("""COMPUTED_VALUE"""),45314.64583333333)</f>
        <v>45314.64583</v>
      </c>
      <c r="AH26" s="45">
        <f>IFERROR(__xludf.DUMMYFUNCTION("""COMPUTED_VALUE"""),710.65)</f>
        <v>710.65</v>
      </c>
      <c r="AI26" s="46">
        <f t="shared" si="9"/>
        <v>-0.1539880952</v>
      </c>
      <c r="AJ26" s="37"/>
      <c r="AK26" s="37">
        <f>IFERROR(__xludf.DUMMYFUNCTION("""COMPUTED_VALUE"""),45314.64583333333)</f>
        <v>45314.64583</v>
      </c>
      <c r="AL26" s="45">
        <f>IFERROR(__xludf.DUMMYFUNCTION("""COMPUTED_VALUE"""),6781.9)</f>
        <v>6781.9</v>
      </c>
      <c r="AM26" s="46">
        <f t="shared" si="10"/>
        <v>0.3042115385</v>
      </c>
      <c r="AN26" s="37"/>
      <c r="AO26" s="37">
        <f>IFERROR(__xludf.DUMMYFUNCTION("""COMPUTED_VALUE"""),45314.64583333333)</f>
        <v>45314.64583</v>
      </c>
      <c r="AP26" s="45">
        <f>IFERROR(__xludf.DUMMYFUNCTION("""COMPUTED_VALUE"""),862.4)</f>
        <v>862.4</v>
      </c>
      <c r="AQ26" s="46">
        <f t="shared" si="11"/>
        <v>-0.05230769231</v>
      </c>
      <c r="AR26" s="37"/>
      <c r="AS26" s="37">
        <f>IFERROR(__xludf.DUMMYFUNCTION("""COMPUTED_VALUE"""),45314.64583333333)</f>
        <v>45314.64583</v>
      </c>
      <c r="AT26" s="45">
        <f>IFERROR(__xludf.DUMMYFUNCTION("""COMPUTED_VALUE"""),2340.15)</f>
        <v>2340.15</v>
      </c>
      <c r="AU26" s="46">
        <f t="shared" si="12"/>
        <v>-0.05787270019</v>
      </c>
      <c r="AV26" s="37"/>
      <c r="AW26" s="37">
        <f>IFERROR(__xludf.DUMMYFUNCTION("""COMPUTED_VALUE"""),45314.64583333333)</f>
        <v>45314.64583</v>
      </c>
      <c r="AX26" s="45">
        <f>IFERROR(__xludf.DUMMYFUNCTION("""COMPUTED_VALUE"""),6600.0)</f>
        <v>6600</v>
      </c>
      <c r="AY26" s="46">
        <f t="shared" si="13"/>
        <v>0.1692591149</v>
      </c>
      <c r="AZ26" s="37"/>
      <c r="BA26" s="37">
        <f>IFERROR(__xludf.DUMMYFUNCTION("""COMPUTED_VALUE"""),45314.64583333333)</f>
        <v>45314.64583</v>
      </c>
      <c r="BB26" s="45">
        <f>IFERROR(__xludf.DUMMYFUNCTION("""COMPUTED_VALUE"""),486.0)</f>
        <v>486</v>
      </c>
      <c r="BC26" s="46">
        <f t="shared" si="14"/>
        <v>0.03735325507</v>
      </c>
      <c r="BD26" s="37"/>
      <c r="BE26" s="37">
        <f>IFERROR(__xludf.DUMMYFUNCTION("""COMPUTED_VALUE"""),45314.64583333333)</f>
        <v>45314.64583</v>
      </c>
      <c r="BF26" s="45">
        <f>IFERROR(__xludf.DUMMYFUNCTION("""COMPUTED_VALUE"""),330.8)</f>
        <v>330.8</v>
      </c>
      <c r="BG26" s="46">
        <f t="shared" si="15"/>
        <v>-0.1872235872</v>
      </c>
      <c r="BH26" s="37"/>
      <c r="BI26" s="37">
        <f>IFERROR(__xludf.DUMMYFUNCTION("""COMPUTED_VALUE"""),45314.64583333333)</f>
        <v>45314.64583</v>
      </c>
      <c r="BJ26" s="45">
        <f>IFERROR(__xludf.DUMMYFUNCTION("""COMPUTED_VALUE"""),85.9)</f>
        <v>85.9</v>
      </c>
      <c r="BK26" s="46">
        <f t="shared" si="16"/>
        <v>0.2368610511</v>
      </c>
      <c r="BL26" s="37"/>
      <c r="BM26" s="37">
        <f>IFERROR(__xludf.DUMMYFUNCTION("""COMPUTED_VALUE"""),45314.64583333333)</f>
        <v>45314.64583</v>
      </c>
      <c r="BN26" s="45">
        <f>IFERROR(__xludf.DUMMYFUNCTION("""COMPUTED_VALUE"""),249.0)</f>
        <v>249</v>
      </c>
      <c r="BO26" s="46">
        <f t="shared" si="17"/>
        <v>-0.02734375</v>
      </c>
      <c r="BP26" s="37"/>
      <c r="BQ26" s="37">
        <f>IFERROR(__xludf.DUMMYFUNCTION("""COMPUTED_VALUE"""),45314.64583333333)</f>
        <v>45314.64583</v>
      </c>
      <c r="BR26" s="45">
        <f>IFERROR(__xludf.DUMMYFUNCTION("""COMPUTED_VALUE"""),68.75)</f>
        <v>68.75</v>
      </c>
      <c r="BS26" s="46">
        <f t="shared" si="18"/>
        <v>0.1288998358</v>
      </c>
      <c r="BT26" s="37"/>
      <c r="BU26" s="37">
        <f>IFERROR(__xludf.DUMMYFUNCTION("""COMPUTED_VALUE"""),45314.64583333333)</f>
        <v>45314.64583</v>
      </c>
      <c r="BV26" s="45">
        <f>IFERROR(__xludf.DUMMYFUNCTION("""COMPUTED_VALUE"""),327.45)</f>
        <v>327.45</v>
      </c>
      <c r="BW26" s="46">
        <f t="shared" si="19"/>
        <v>0.0583387201</v>
      </c>
      <c r="BX26" s="37"/>
      <c r="BY26" s="37">
        <f>IFERROR(__xludf.DUMMYFUNCTION("""COMPUTED_VALUE"""),45314.64583333333)</f>
        <v>45314.64583</v>
      </c>
      <c r="BZ26" s="45">
        <f>IFERROR(__xludf.DUMMYFUNCTION("""COMPUTED_VALUE"""),377.95)</f>
        <v>377.95</v>
      </c>
      <c r="CA26" s="46">
        <f t="shared" si="20"/>
        <v>-0.07704517705</v>
      </c>
      <c r="CB26" s="37"/>
      <c r="CC26" s="37">
        <f>IFERROR(__xludf.DUMMYFUNCTION("""COMPUTED_VALUE"""),45314.64583333333)</f>
        <v>45314.64583</v>
      </c>
      <c r="CD26" s="45">
        <f>IFERROR(__xludf.DUMMYFUNCTION("""COMPUTED_VALUE"""),279.45)</f>
        <v>279.45</v>
      </c>
      <c r="CE26" s="46">
        <f t="shared" si="21"/>
        <v>0.2060854553</v>
      </c>
      <c r="CF26" s="37"/>
      <c r="CG26" s="37">
        <f>IFERROR(__xludf.DUMMYFUNCTION("""COMPUTED_VALUE"""),45314.64583333333)</f>
        <v>45314.64583</v>
      </c>
      <c r="CH26" s="45">
        <f>IFERROR(__xludf.DUMMYFUNCTION("""COMPUTED_VALUE"""),677.3)</f>
        <v>677.3</v>
      </c>
      <c r="CI26" s="46">
        <f t="shared" si="22"/>
        <v>0.06493710692</v>
      </c>
      <c r="CJ26" s="37"/>
      <c r="CK26" s="37">
        <f>IFERROR(__xludf.DUMMYFUNCTION("""COMPUTED_VALUE"""),45314.64583333333)</f>
        <v>45314.64583</v>
      </c>
      <c r="CL26" s="45">
        <f>IFERROR(__xludf.DUMMYFUNCTION("""COMPUTED_VALUE"""),306.85)</f>
        <v>306.85</v>
      </c>
      <c r="CM26" s="46">
        <f t="shared" si="23"/>
        <v>-0.08946587537</v>
      </c>
      <c r="CN26" s="37"/>
      <c r="CO26" s="37">
        <f>IFERROR(__xludf.DUMMYFUNCTION("""COMPUTED_VALUE"""),45314.64583333333)</f>
        <v>45314.64583</v>
      </c>
      <c r="CP26" s="45">
        <f>IFERROR(__xludf.DUMMYFUNCTION("""COMPUTED_VALUE"""),16.2)</f>
        <v>16.2</v>
      </c>
      <c r="CQ26" s="46">
        <f t="shared" si="24"/>
        <v>0.09459459459</v>
      </c>
      <c r="CR26" s="37"/>
      <c r="CS26" s="37">
        <f>IFERROR(__xludf.DUMMYFUNCTION("""COMPUTED_VALUE"""),45314.64583333333)</f>
        <v>45314.64583</v>
      </c>
      <c r="CT26" s="45">
        <f>IFERROR(__xludf.DUMMYFUNCTION("""COMPUTED_VALUE"""),198.95)</f>
        <v>198.95</v>
      </c>
      <c r="CU26" s="46">
        <f t="shared" si="25"/>
        <v>0.004797979798</v>
      </c>
      <c r="CV26" s="37"/>
      <c r="CW26" s="37">
        <f>IFERROR(__xludf.DUMMYFUNCTION("""COMPUTED_VALUE"""),45314.64583333333)</f>
        <v>45314.64583</v>
      </c>
      <c r="CX26" s="45">
        <f>IFERROR(__xludf.DUMMYFUNCTION("""COMPUTED_VALUE"""),898.5)</f>
        <v>898.5</v>
      </c>
      <c r="CY26" s="46">
        <f t="shared" si="26"/>
        <v>0.2988233253</v>
      </c>
      <c r="CZ26" s="37"/>
      <c r="DA26" s="37">
        <f>IFERROR(__xludf.DUMMYFUNCTION("""COMPUTED_VALUE"""),45314.64583333333)</f>
        <v>45314.64583</v>
      </c>
      <c r="DB26" s="45">
        <f>IFERROR(__xludf.DUMMYFUNCTION("""COMPUTED_VALUE"""),34.4)</f>
        <v>34.4</v>
      </c>
      <c r="DC26" s="46">
        <f t="shared" si="27"/>
        <v>0.2329749104</v>
      </c>
      <c r="DD26" s="37"/>
      <c r="DE26" s="37">
        <f>IFERROR(__xludf.DUMMYFUNCTION("""COMPUTED_VALUE"""),45314.64583333333)</f>
        <v>45314.64583</v>
      </c>
      <c r="DF26" s="45">
        <f>IFERROR(__xludf.DUMMYFUNCTION("""COMPUTED_VALUE"""),90.0)</f>
        <v>90</v>
      </c>
      <c r="DG26" s="46">
        <f t="shared" si="28"/>
        <v>-0.2056487202</v>
      </c>
      <c r="DH26" s="37"/>
      <c r="DI26" s="37">
        <f>IFERROR(__xludf.DUMMYFUNCTION("""COMPUTED_VALUE"""),45314.64583333333)</f>
        <v>45314.64583</v>
      </c>
      <c r="DJ26" s="45">
        <f>IFERROR(__xludf.DUMMYFUNCTION("""COMPUTED_VALUE"""),1848.0)</f>
        <v>1848</v>
      </c>
      <c r="DK26" s="46">
        <f t="shared" si="29"/>
        <v>0.1515453639</v>
      </c>
      <c r="DL26" s="37"/>
      <c r="DM26" s="37">
        <f>IFERROR(__xludf.DUMMYFUNCTION("""COMPUTED_VALUE"""),45314.64583333333)</f>
        <v>45314.64583</v>
      </c>
      <c r="DN26" s="45">
        <f>IFERROR(__xludf.DUMMYFUNCTION("""COMPUTED_VALUE"""),579.65)</f>
        <v>579.65</v>
      </c>
      <c r="DO26" s="46">
        <f t="shared" si="30"/>
        <v>0.081134011</v>
      </c>
      <c r="DP26" s="37"/>
      <c r="DQ26" s="37">
        <f>IFERROR(__xludf.DUMMYFUNCTION("""COMPUTED_VALUE"""),45314.64583333333)</f>
        <v>45314.64583</v>
      </c>
      <c r="DR26" s="45">
        <f>IFERROR(__xludf.DUMMYFUNCTION("""COMPUTED_VALUE"""),222.45)</f>
        <v>222.45</v>
      </c>
      <c r="DS26" s="46">
        <f t="shared" si="31"/>
        <v>0.02041284404</v>
      </c>
      <c r="DT26" s="37"/>
      <c r="DU26" s="37">
        <f>IFERROR(__xludf.DUMMYFUNCTION("""COMPUTED_VALUE"""),45314.64583333333)</f>
        <v>45314.64583</v>
      </c>
      <c r="DV26" s="45">
        <f>IFERROR(__xludf.DUMMYFUNCTION("""COMPUTED_VALUE"""),870.5)</f>
        <v>870.5</v>
      </c>
      <c r="DW26" s="46">
        <f t="shared" si="32"/>
        <v>0.02351557907</v>
      </c>
      <c r="DX26" s="37"/>
      <c r="DY26" s="37">
        <f>IFERROR(__xludf.DUMMYFUNCTION("""COMPUTED_VALUE"""),45314.64583333333)</f>
        <v>45314.64583</v>
      </c>
      <c r="DZ26" s="45">
        <f>IFERROR(__xludf.DUMMYFUNCTION("""COMPUTED_VALUE"""),10.75)</f>
        <v>10.75</v>
      </c>
      <c r="EA26" s="46">
        <f t="shared" si="33"/>
        <v>-0.009216589862</v>
      </c>
      <c r="EB26" s="37"/>
      <c r="EC26" s="37">
        <f>IFERROR(__xludf.DUMMYFUNCTION("""COMPUTED_VALUE"""),45314.64583333333)</f>
        <v>45314.64583</v>
      </c>
      <c r="ED26" s="45">
        <f>IFERROR(__xludf.DUMMYFUNCTION("""COMPUTED_VALUE"""),2474.7)</f>
        <v>2474.7</v>
      </c>
      <c r="EE26" s="46">
        <f t="shared" si="34"/>
        <v>-0.06438563327</v>
      </c>
      <c r="EF26" s="37"/>
      <c r="EG26" s="37">
        <f>IFERROR(__xludf.DUMMYFUNCTION("""COMPUTED_VALUE"""),45314.64583333333)</f>
        <v>45314.64583</v>
      </c>
      <c r="EH26" s="45">
        <f>IFERROR(__xludf.DUMMYFUNCTION("""COMPUTED_VALUE"""),1045.0)</f>
        <v>1045</v>
      </c>
      <c r="EI26" s="46">
        <f t="shared" si="35"/>
        <v>0.6111625039</v>
      </c>
      <c r="EJ26" s="37"/>
      <c r="EK26" s="37">
        <f>IFERROR(__xludf.DUMMYFUNCTION("""COMPUTED_VALUE"""),45314.64583333333)</f>
        <v>45314.64583</v>
      </c>
      <c r="EL26" s="45">
        <f>IFERROR(__xludf.DUMMYFUNCTION("""COMPUTED_VALUE"""),202.0)</f>
        <v>202</v>
      </c>
      <c r="EM26" s="46">
        <f t="shared" si="36"/>
        <v>0</v>
      </c>
      <c r="EN26" s="37"/>
      <c r="EO26" s="37">
        <f>IFERROR(__xludf.DUMMYFUNCTION("""COMPUTED_VALUE"""),45314.64583333333)</f>
        <v>45314.64583</v>
      </c>
      <c r="EP26" s="45">
        <f>IFERROR(__xludf.DUMMYFUNCTION("""COMPUTED_VALUE"""),168.3)</f>
        <v>168.3</v>
      </c>
      <c r="EQ26" s="46">
        <f t="shared" si="37"/>
        <v>0.08615682478</v>
      </c>
      <c r="ER26" s="37"/>
      <c r="ES26" s="37">
        <f>IFERROR(__xludf.DUMMYFUNCTION("""COMPUTED_VALUE"""),45314.64583333333)</f>
        <v>45314.64583</v>
      </c>
      <c r="ET26" s="45">
        <f>IFERROR(__xludf.DUMMYFUNCTION("""COMPUTED_VALUE"""),203.85)</f>
        <v>203.85</v>
      </c>
      <c r="EU26" s="46">
        <f t="shared" si="38"/>
        <v>0.048880885</v>
      </c>
      <c r="EV26" s="37"/>
      <c r="EW26" s="37">
        <f>IFERROR(__xludf.DUMMYFUNCTION("""COMPUTED_VALUE"""),45314.64583333333)</f>
        <v>45314.64583</v>
      </c>
      <c r="EX26" s="45">
        <f>IFERROR(__xludf.DUMMYFUNCTION("""COMPUTED_VALUE"""),685.0)</f>
        <v>685</v>
      </c>
      <c r="EY26" s="46">
        <f t="shared" si="39"/>
        <v>0.05709876543</v>
      </c>
      <c r="EZ26" s="37"/>
      <c r="FA26" s="37">
        <f>IFERROR(__xludf.DUMMYFUNCTION("""COMPUTED_VALUE"""),45314.64583333333)</f>
        <v>45314.64583</v>
      </c>
      <c r="FB26" s="45">
        <f>IFERROR(__xludf.DUMMYFUNCTION("""COMPUTED_VALUE"""),190.0)</f>
        <v>190</v>
      </c>
      <c r="FC26" s="46">
        <f t="shared" si="40"/>
        <v>0.08944954128</v>
      </c>
      <c r="FD26" s="37"/>
      <c r="FE26" s="37">
        <f>IFERROR(__xludf.DUMMYFUNCTION("""COMPUTED_VALUE"""),45314.64583333333)</f>
        <v>45314.64583</v>
      </c>
      <c r="FF26" s="45">
        <f>IFERROR(__xludf.DUMMYFUNCTION("""COMPUTED_VALUE"""),337.0)</f>
        <v>337</v>
      </c>
      <c r="FG26" s="46">
        <f t="shared" si="41"/>
        <v>0.1056430446</v>
      </c>
      <c r="FH26" s="37"/>
      <c r="FI26" s="37">
        <f>IFERROR(__xludf.DUMMYFUNCTION("""COMPUTED_VALUE"""),45314.64583333333)</f>
        <v>45314.64583</v>
      </c>
      <c r="FJ26" s="45">
        <f>IFERROR(__xludf.DUMMYFUNCTION("""COMPUTED_VALUE"""),591.0)</f>
        <v>591</v>
      </c>
      <c r="FK26" s="46">
        <f t="shared" si="42"/>
        <v>-0.02483293458</v>
      </c>
      <c r="FL26" s="37"/>
      <c r="FM26" s="37">
        <f>IFERROR(__xludf.DUMMYFUNCTION("""COMPUTED_VALUE"""),45314.64583333333)</f>
        <v>45314.64583</v>
      </c>
      <c r="FN26" s="45">
        <f>IFERROR(__xludf.DUMMYFUNCTION("""COMPUTED_VALUE"""),102.7)</f>
        <v>102.7</v>
      </c>
      <c r="FO26" s="46">
        <f t="shared" si="43"/>
        <v>0.08105263158</v>
      </c>
      <c r="FP26" s="37"/>
      <c r="FQ26" s="37">
        <f>IFERROR(__xludf.DUMMYFUNCTION("""COMPUTED_VALUE"""),45314.64583333333)</f>
        <v>45314.64583</v>
      </c>
      <c r="FR26" s="45">
        <f>IFERROR(__xludf.DUMMYFUNCTION("""COMPUTED_VALUE"""),4.35)</f>
        <v>4.35</v>
      </c>
      <c r="FS26" s="46">
        <f t="shared" si="44"/>
        <v>-0.2090909091</v>
      </c>
      <c r="FT26" s="37"/>
      <c r="FU26" s="37">
        <f>IFERROR(__xludf.DUMMYFUNCTION("""COMPUTED_VALUE"""),45314.64583333333)</f>
        <v>45314.64583</v>
      </c>
      <c r="FV26" s="45">
        <f>IFERROR(__xludf.DUMMYFUNCTION("""COMPUTED_VALUE"""),696.6)</f>
        <v>696.6</v>
      </c>
      <c r="FW26" s="46">
        <f t="shared" si="45"/>
        <v>0.04351733953</v>
      </c>
      <c r="FX26" s="37"/>
      <c r="FY26" s="37">
        <f>IFERROR(__xludf.DUMMYFUNCTION("""COMPUTED_VALUE"""),45314.64583333333)</f>
        <v>45314.64583</v>
      </c>
      <c r="FZ26" s="45">
        <f>IFERROR(__xludf.DUMMYFUNCTION("""COMPUTED_VALUE"""),159.3)</f>
        <v>159.3</v>
      </c>
      <c r="GA26" s="46">
        <f t="shared" si="46"/>
        <v>-0.06183745583</v>
      </c>
      <c r="GB26" s="37"/>
      <c r="GC26" s="37">
        <f>IFERROR(__xludf.DUMMYFUNCTION("""COMPUTED_VALUE"""),45314.64583333333)</f>
        <v>45314.64583</v>
      </c>
      <c r="GD26" s="45">
        <f>IFERROR(__xludf.DUMMYFUNCTION("""COMPUTED_VALUE"""),395.5)</f>
        <v>395.5</v>
      </c>
      <c r="GE26" s="46">
        <f t="shared" si="47"/>
        <v>-0.1437540593</v>
      </c>
      <c r="GF26" s="37"/>
      <c r="GG26" s="37">
        <f>IFERROR(__xludf.DUMMYFUNCTION("""COMPUTED_VALUE"""),45314.64583333333)</f>
        <v>45314.64583</v>
      </c>
      <c r="GH26" s="45">
        <f>IFERROR(__xludf.DUMMYFUNCTION("""COMPUTED_VALUE"""),5298.85)</f>
        <v>5298.85</v>
      </c>
      <c r="GI26" s="46">
        <f t="shared" si="48"/>
        <v>-0.00002830722778</v>
      </c>
      <c r="GJ26" s="37"/>
      <c r="GK26" s="37">
        <f>IFERROR(__xludf.DUMMYFUNCTION("""COMPUTED_VALUE"""),45314.64583333333)</f>
        <v>45314.64583</v>
      </c>
      <c r="GL26" s="45">
        <f>IFERROR(__xludf.DUMMYFUNCTION("""COMPUTED_VALUE"""),91.8)</f>
        <v>91.8</v>
      </c>
      <c r="GM26" s="46">
        <f t="shared" si="49"/>
        <v>-0.1904761905</v>
      </c>
      <c r="GN26" s="37"/>
      <c r="GO26" s="37">
        <f>IFERROR(__xludf.DUMMYFUNCTION("""COMPUTED_VALUE"""),45314.64583333333)</f>
        <v>45314.64583</v>
      </c>
      <c r="GP26" s="45">
        <f>IFERROR(__xludf.DUMMYFUNCTION("""COMPUTED_VALUE"""),1155.95)</f>
        <v>1155.95</v>
      </c>
      <c r="GQ26" s="46">
        <f t="shared" si="50"/>
        <v>0.05129371106</v>
      </c>
      <c r="GR26" s="37"/>
      <c r="GS26" s="37">
        <f>IFERROR(__xludf.DUMMYFUNCTION("""COMPUTED_VALUE"""),45314.64583333333)</f>
        <v>45314.64583</v>
      </c>
      <c r="GT26" s="45">
        <f>IFERROR(__xludf.DUMMYFUNCTION("""COMPUTED_VALUE"""),15.1)</f>
        <v>15.1</v>
      </c>
      <c r="GU26" s="46">
        <f t="shared" si="51"/>
        <v>0.166023166</v>
      </c>
      <c r="GV26" s="37"/>
      <c r="GW26" s="37">
        <f>IFERROR(__xludf.DUMMYFUNCTION("""COMPUTED_VALUE"""),45315.64583333333)</f>
        <v>45315.64583</v>
      </c>
      <c r="GX26" s="45">
        <f>IFERROR(__xludf.DUMMYFUNCTION("""COMPUTED_VALUE"""),16.5)</f>
        <v>16.5</v>
      </c>
      <c r="GY26" s="46">
        <f t="shared" si="52"/>
        <v>0</v>
      </c>
      <c r="GZ26" s="37"/>
      <c r="HA26" s="37">
        <f>IFERROR(__xludf.DUMMYFUNCTION("""COMPUTED_VALUE"""),45315.64583333333)</f>
        <v>45315.64583</v>
      </c>
      <c r="HB26" s="45">
        <f>IFERROR(__xludf.DUMMYFUNCTION("""COMPUTED_VALUE"""),566.8)</f>
        <v>566.8</v>
      </c>
      <c r="HC26" s="46">
        <f t="shared" si="53"/>
        <v>-0.06776315789</v>
      </c>
      <c r="HD26" s="37"/>
      <c r="HE26" s="43">
        <f>IFERROR(__xludf.DUMMYFUNCTION("""COMPUTED_VALUE"""),45315.64583333333)</f>
        <v>45315.64583</v>
      </c>
      <c r="HF26" s="45">
        <f>IFERROR(__xludf.DUMMYFUNCTION("""COMPUTED_VALUE"""),2262.55)</f>
        <v>2262.55</v>
      </c>
      <c r="HG26" s="46" t="str">
        <f t="shared" si="54"/>
        <v>#DIV/0!</v>
      </c>
      <c r="HH26" s="37"/>
      <c r="HI26" s="37">
        <f>IFERROR(__xludf.DUMMYFUNCTION("""COMPUTED_VALUE"""),45315.64583333333)</f>
        <v>45315.64583</v>
      </c>
      <c r="HJ26" s="45">
        <f>IFERROR(__xludf.DUMMYFUNCTION("""COMPUTED_VALUE"""),6600.0)</f>
        <v>6600</v>
      </c>
      <c r="HK26" s="46">
        <f t="shared" si="55"/>
        <v>0.2915724895</v>
      </c>
      <c r="HL26" s="37"/>
      <c r="HM26" s="37">
        <f>IFERROR(__xludf.DUMMYFUNCTION("""COMPUTED_VALUE"""),45315.64583333333)</f>
        <v>45315.64583</v>
      </c>
      <c r="HN26" s="45">
        <f>IFERROR(__xludf.DUMMYFUNCTION("""COMPUTED_VALUE"""),373.9)</f>
        <v>373.9</v>
      </c>
      <c r="HO26" s="46">
        <f t="shared" si="56"/>
        <v>-0.08030992498</v>
      </c>
      <c r="HP26" s="37"/>
      <c r="HQ26" s="37">
        <f>IFERROR(__xludf.DUMMYFUNCTION("""COMPUTED_VALUE"""),45315.64583333333)</f>
        <v>45315.64583</v>
      </c>
      <c r="HR26" s="45">
        <f>IFERROR(__xludf.DUMMYFUNCTION("""COMPUTED_VALUE"""),235.2)</f>
        <v>235.2</v>
      </c>
      <c r="HS26" s="46">
        <f t="shared" si="57"/>
        <v>-0.07510813999</v>
      </c>
      <c r="HT26" s="37"/>
      <c r="HU26" s="37">
        <f>IFERROR(__xludf.DUMMYFUNCTION("""COMPUTED_VALUE"""),45315.64583333333)</f>
        <v>45315.64583</v>
      </c>
      <c r="HV26" s="45">
        <f>IFERROR(__xludf.DUMMYFUNCTION("""COMPUTED_VALUE"""),65.0)</f>
        <v>65</v>
      </c>
      <c r="HW26" s="46">
        <f t="shared" si="58"/>
        <v>0.04166666667</v>
      </c>
      <c r="HX26" s="37"/>
      <c r="HY26" s="37">
        <f>IFERROR(__xludf.DUMMYFUNCTION("""COMPUTED_VALUE"""),45315.64583333333)</f>
        <v>45315.64583</v>
      </c>
      <c r="HZ26" s="45">
        <f>IFERROR(__xludf.DUMMYFUNCTION("""COMPUTED_VALUE"""),361.0)</f>
        <v>361</v>
      </c>
      <c r="IA26" s="46">
        <f t="shared" si="59"/>
        <v>-0.223655914</v>
      </c>
      <c r="IB26" s="37"/>
      <c r="IC26" s="37">
        <f>IFERROR(__xludf.DUMMYFUNCTION("""COMPUTED_VALUE"""),45315.64583333333)</f>
        <v>45315.64583</v>
      </c>
      <c r="ID26" s="45">
        <f>IFERROR(__xludf.DUMMYFUNCTION("""COMPUTED_VALUE"""),76.05)</f>
        <v>76.05</v>
      </c>
      <c r="IE26" s="46">
        <f t="shared" si="60"/>
        <v>-0.8266666667</v>
      </c>
      <c r="IF26" s="37"/>
      <c r="IG26" s="37">
        <f>IFERROR(__xludf.DUMMYFUNCTION("""COMPUTED_VALUE"""),45315.64583333333)</f>
        <v>45315.64583</v>
      </c>
      <c r="IH26" s="45">
        <f>IFERROR(__xludf.DUMMYFUNCTION("""COMPUTED_VALUE"""),541.8)</f>
        <v>541.8</v>
      </c>
      <c r="II26" s="46">
        <f t="shared" si="61"/>
        <v>0.01651031895</v>
      </c>
      <c r="IJ26" s="37"/>
      <c r="IK26" s="37">
        <f>IFERROR(__xludf.DUMMYFUNCTION("""COMPUTED_VALUE"""),45315.64583333333)</f>
        <v>45315.64583</v>
      </c>
      <c r="IL26" s="45">
        <f>IFERROR(__xludf.DUMMYFUNCTION("""COMPUTED_VALUE"""),565.6)</f>
        <v>565.6</v>
      </c>
      <c r="IM26" s="46">
        <f t="shared" si="62"/>
        <v>-0.08471559188</v>
      </c>
      <c r="IN26" s="37"/>
      <c r="IO26" s="37">
        <f>IFERROR(__xludf.DUMMYFUNCTION("""COMPUTED_VALUE"""),45315.64583333333)</f>
        <v>45315.64583</v>
      </c>
      <c r="IP26" s="45">
        <f>IFERROR(__xludf.DUMMYFUNCTION("""COMPUTED_VALUE"""),183.06)</f>
        <v>183.06</v>
      </c>
      <c r="IQ26" s="46">
        <f t="shared" si="63"/>
        <v>0.4564404487</v>
      </c>
      <c r="IR26" s="37"/>
      <c r="IS26" s="37">
        <f>IFERROR(__xludf.DUMMYFUNCTION("""COMPUTED_VALUE"""),45315.64583333333)</f>
        <v>45315.64583</v>
      </c>
      <c r="IT26" s="45">
        <f>IFERROR(__xludf.DUMMYFUNCTION("""COMPUTED_VALUE"""),994.85)</f>
        <v>994.85</v>
      </c>
      <c r="IU26" s="46">
        <f t="shared" si="64"/>
        <v>-0.009113545817</v>
      </c>
      <c r="IV26" s="37"/>
      <c r="IW26" s="37">
        <f>IFERROR(__xludf.DUMMYFUNCTION("""COMPUTED_VALUE"""),45315.64583333333)</f>
        <v>45315.64583</v>
      </c>
      <c r="IX26" s="45">
        <f>IFERROR(__xludf.DUMMYFUNCTION("""COMPUTED_VALUE"""),205.6)</f>
        <v>205.6</v>
      </c>
      <c r="IY26" s="46">
        <f t="shared" si="65"/>
        <v>-0.001699441612</v>
      </c>
      <c r="IZ26" s="37"/>
      <c r="JA26" s="37">
        <f>IFERROR(__xludf.DUMMYFUNCTION("""COMPUTED_VALUE"""),45315.64583333333)</f>
        <v>45315.64583</v>
      </c>
      <c r="JB26" s="45">
        <f>IFERROR(__xludf.DUMMYFUNCTION("""COMPUTED_VALUE"""),34649.9)</f>
        <v>34649.9</v>
      </c>
      <c r="JC26" s="46">
        <f t="shared" si="66"/>
        <v>-0.02126253261</v>
      </c>
      <c r="JD26" s="37"/>
      <c r="JE26" s="37">
        <f>IFERROR(__xludf.DUMMYFUNCTION("""COMPUTED_VALUE"""),45315.64583333333)</f>
        <v>45315.64583</v>
      </c>
      <c r="JF26" s="45">
        <f>IFERROR(__xludf.DUMMYFUNCTION("""COMPUTED_VALUE"""),650.8)</f>
        <v>650.8</v>
      </c>
      <c r="JG26" s="46">
        <f t="shared" si="67"/>
        <v>0.008992248062</v>
      </c>
      <c r="JH26" s="37"/>
      <c r="JI26" s="37">
        <f>IFERROR(__xludf.DUMMYFUNCTION("""COMPUTED_VALUE"""),45315.64583333333)</f>
        <v>45315.64583</v>
      </c>
      <c r="JJ26" s="45">
        <f>IFERROR(__xludf.DUMMYFUNCTION("""COMPUTED_VALUE"""),299.0)</f>
        <v>299</v>
      </c>
      <c r="JK26" s="46">
        <f t="shared" si="68"/>
        <v>-0.1046563857</v>
      </c>
      <c r="JL26" s="37"/>
      <c r="JM26" s="37">
        <f>IFERROR(__xludf.DUMMYFUNCTION("""COMPUTED_VALUE"""),45315.64583333333)</f>
        <v>45315.64583</v>
      </c>
      <c r="JN26" s="45">
        <f>IFERROR(__xludf.DUMMYFUNCTION("""COMPUTED_VALUE"""),15.5)</f>
        <v>15.5</v>
      </c>
      <c r="JO26" s="46">
        <f t="shared" si="69"/>
        <v>-0.9646723647</v>
      </c>
      <c r="JP26" s="37"/>
      <c r="JQ26" s="37">
        <f>IFERROR(__xludf.DUMMYFUNCTION("""COMPUTED_VALUE"""),45315.64583333333)</f>
        <v>45315.64583</v>
      </c>
      <c r="JR26" s="45">
        <f>IFERROR(__xludf.DUMMYFUNCTION("""COMPUTED_VALUE"""),89.7)</f>
        <v>89.7</v>
      </c>
      <c r="JS26" s="46">
        <f t="shared" si="70"/>
        <v>-0.3404411765</v>
      </c>
      <c r="JT26" s="37"/>
      <c r="JU26" s="37">
        <f>IFERROR(__xludf.DUMMYFUNCTION("""COMPUTED_VALUE"""),45315.64583333333)</f>
        <v>45315.64583</v>
      </c>
      <c r="JV26" s="45">
        <f>IFERROR(__xludf.DUMMYFUNCTION("""COMPUTED_VALUE"""),236.0)</f>
        <v>236</v>
      </c>
      <c r="JW26" s="46">
        <f t="shared" si="71"/>
        <v>-0.4621082621</v>
      </c>
      <c r="JX26" s="37"/>
      <c r="JY26" s="37">
        <f>IFERROR(__xludf.DUMMYFUNCTION("""COMPUTED_VALUE"""),45315.64583333333)</f>
        <v>45315.64583</v>
      </c>
      <c r="JZ26" s="45">
        <f>IFERROR(__xludf.DUMMYFUNCTION("""COMPUTED_VALUE"""),618.0)</f>
        <v>618</v>
      </c>
      <c r="KA26" s="46">
        <f t="shared" si="72"/>
        <v>0.1215970962</v>
      </c>
      <c r="KB26" s="37"/>
      <c r="KC26" s="37">
        <f>IFERROR(__xludf.DUMMYFUNCTION("""COMPUTED_VALUE"""),45315.64583333333)</f>
        <v>45315.64583</v>
      </c>
      <c r="KD26" s="45">
        <f>IFERROR(__xludf.DUMMYFUNCTION("""COMPUTED_VALUE"""),877.45)</f>
        <v>877.45</v>
      </c>
      <c r="KE26" s="46">
        <f t="shared" si="73"/>
        <v>0.00446454124</v>
      </c>
      <c r="KF26" s="37"/>
      <c r="KG26" s="37">
        <f>IFERROR(__xludf.DUMMYFUNCTION("""COMPUTED_VALUE"""),45315.64583333333)</f>
        <v>45315.64583</v>
      </c>
      <c r="KH26" s="45">
        <f>IFERROR(__xludf.DUMMYFUNCTION("""COMPUTED_VALUE"""),438.95)</f>
        <v>438.95</v>
      </c>
      <c r="KI26" s="46">
        <f t="shared" si="74"/>
        <v>0.1255128205</v>
      </c>
      <c r="KJ26" s="37"/>
      <c r="KK26" s="37">
        <f>IFERROR(__xludf.DUMMYFUNCTION("""COMPUTED_VALUE"""),45315.64583333333)</f>
        <v>45315.64583</v>
      </c>
      <c r="KL26" s="45">
        <f>IFERROR(__xludf.DUMMYFUNCTION("""COMPUTED_VALUE"""),10.85)</f>
        <v>10.85</v>
      </c>
      <c r="KM26" s="46">
        <f t="shared" si="75"/>
        <v>0.1666666667</v>
      </c>
      <c r="KN26" s="37"/>
      <c r="KO26" s="37">
        <f>IFERROR(__xludf.DUMMYFUNCTION("""COMPUTED_VALUE"""),45315.64583333333)</f>
        <v>45315.64583</v>
      </c>
      <c r="KP26" s="45">
        <f>IFERROR(__xludf.DUMMYFUNCTION("""COMPUTED_VALUE"""),256.9)</f>
        <v>256.9</v>
      </c>
      <c r="KQ26" s="46">
        <f t="shared" si="76"/>
        <v>0.2636497787</v>
      </c>
      <c r="KR26" s="37"/>
      <c r="KS26" s="37">
        <f>IFERROR(__xludf.DUMMYFUNCTION("""COMPUTED_VALUE"""),45315.64583333333)</f>
        <v>45315.64583</v>
      </c>
      <c r="KT26" s="45">
        <f>IFERROR(__xludf.DUMMYFUNCTION("""COMPUTED_VALUE"""),10.55)</f>
        <v>10.55</v>
      </c>
      <c r="KU26" s="46">
        <f t="shared" si="77"/>
        <v>-0.04524886878</v>
      </c>
      <c r="KV26" s="37"/>
      <c r="KW26" s="37">
        <f>IFERROR(__xludf.DUMMYFUNCTION("""COMPUTED_VALUE"""),45315.64583333333)</f>
        <v>45315.64583</v>
      </c>
      <c r="KX26" s="45">
        <f>IFERROR(__xludf.DUMMYFUNCTION("""COMPUTED_VALUE"""),2412.3)</f>
        <v>2412.3</v>
      </c>
      <c r="KY26" s="46">
        <f t="shared" si="78"/>
        <v>-0.09649993446</v>
      </c>
      <c r="KZ26" s="37"/>
      <c r="LA26" s="37">
        <f>IFERROR(__xludf.DUMMYFUNCTION("""COMPUTED_VALUE"""),45315.64583333333)</f>
        <v>45315.64583</v>
      </c>
      <c r="LB26" s="45">
        <f>IFERROR(__xludf.DUMMYFUNCTION("""COMPUTED_VALUE"""),20.2)</f>
        <v>20.2</v>
      </c>
      <c r="LC26" s="46">
        <f t="shared" si="79"/>
        <v>0.07161803714</v>
      </c>
      <c r="LD26" s="37"/>
      <c r="LE26" s="37">
        <f>IFERROR(__xludf.DUMMYFUNCTION("""COMPUTED_VALUE"""),45315.64583333333)</f>
        <v>45315.64583</v>
      </c>
      <c r="LF26" s="45">
        <f>IFERROR(__xludf.DUMMYFUNCTION("""COMPUTED_VALUE"""),130.0)</f>
        <v>130</v>
      </c>
      <c r="LG26" s="46">
        <f t="shared" si="80"/>
        <v>0.04</v>
      </c>
      <c r="LH26" s="37"/>
      <c r="LI26" s="37">
        <f>IFERROR(__xludf.DUMMYFUNCTION("""COMPUTED_VALUE"""),45315.64583333333)</f>
        <v>45315.64583</v>
      </c>
      <c r="LJ26" s="45">
        <f>IFERROR(__xludf.DUMMYFUNCTION("""COMPUTED_VALUE"""),777.45)</f>
        <v>777.45</v>
      </c>
      <c r="LK26" s="46">
        <f t="shared" si="81"/>
        <v>0.06792582418</v>
      </c>
      <c r="LL26" s="37"/>
      <c r="LM26" s="37">
        <f>IFERROR(__xludf.DUMMYFUNCTION("""COMPUTED_VALUE"""),45315.64583333333)</f>
        <v>45315.64583</v>
      </c>
      <c r="LN26" s="45">
        <f>IFERROR(__xludf.DUMMYFUNCTION("""COMPUTED_VALUE"""),750.9)</f>
        <v>750.9</v>
      </c>
      <c r="LO26" s="46">
        <f t="shared" si="82"/>
        <v>-0.121754386</v>
      </c>
      <c r="LP26" s="37"/>
      <c r="LQ26" s="37">
        <f>IFERROR(__xludf.DUMMYFUNCTION("""COMPUTED_VALUE"""),45315.64583333333)</f>
        <v>45315.64583</v>
      </c>
      <c r="LR26" s="45">
        <f>IFERROR(__xludf.DUMMYFUNCTION("""COMPUTED_VALUE"""),591.6)</f>
        <v>591.6</v>
      </c>
      <c r="LS26" s="46">
        <f t="shared" si="83"/>
        <v>0.619047619</v>
      </c>
      <c r="LT26" s="37"/>
      <c r="LU26" s="37">
        <f>IFERROR(__xludf.DUMMYFUNCTION("""COMPUTED_VALUE"""),45315.64583333333)</f>
        <v>45315.64583</v>
      </c>
      <c r="LV26" s="45">
        <f>IFERROR(__xludf.DUMMYFUNCTION("""COMPUTED_VALUE"""),128.8)</f>
        <v>128.8</v>
      </c>
      <c r="LW26" s="46">
        <f t="shared" si="84"/>
        <v>-0.05847953216</v>
      </c>
      <c r="LX26" s="37"/>
      <c r="LY26" s="37">
        <f>IFERROR(__xludf.DUMMYFUNCTION("""COMPUTED_VALUE"""),45315.64583333333)</f>
        <v>45315.64583</v>
      </c>
      <c r="LZ26" s="45">
        <f>IFERROR(__xludf.DUMMYFUNCTION("""COMPUTED_VALUE"""),589.1)</f>
        <v>589.1</v>
      </c>
      <c r="MA26" s="46">
        <f t="shared" si="85"/>
        <v>-0.04983870968</v>
      </c>
      <c r="MB26" s="37"/>
      <c r="MC26" s="37"/>
      <c r="MD26" s="45"/>
      <c r="ME26" s="46" t="str">
        <f t="shared" si="86"/>
        <v>#DIV/0!</v>
      </c>
      <c r="MF26" s="37"/>
      <c r="MG26" s="37">
        <f>IFERROR(__xludf.DUMMYFUNCTION("""COMPUTED_VALUE"""),45315.64583333333)</f>
        <v>45315.64583</v>
      </c>
      <c r="MH26" s="45">
        <f>IFERROR(__xludf.DUMMYFUNCTION("""COMPUTED_VALUE"""),1974.35)</f>
        <v>1974.35</v>
      </c>
      <c r="MI26" s="46">
        <f t="shared" si="87"/>
        <v>0.006833422576</v>
      </c>
      <c r="MJ26" s="37"/>
      <c r="MK26" s="37">
        <f>IFERROR(__xludf.DUMMYFUNCTION("""COMPUTED_VALUE"""),45315.64583333333)</f>
        <v>45315.64583</v>
      </c>
      <c r="ML26" s="45">
        <f>IFERROR(__xludf.DUMMYFUNCTION("""COMPUTED_VALUE"""),368.95)</f>
        <v>368.95</v>
      </c>
      <c r="MM26" s="46">
        <f t="shared" si="88"/>
        <v>-0.07750968871</v>
      </c>
      <c r="MN26" s="37"/>
      <c r="MO26" s="37">
        <f>IFERROR(__xludf.DUMMYFUNCTION("""COMPUTED_VALUE"""),45315.64583333333)</f>
        <v>45315.64583</v>
      </c>
      <c r="MP26" s="45">
        <f>IFERROR(__xludf.DUMMYFUNCTION("""COMPUTED_VALUE"""),771.4)</f>
        <v>771.4</v>
      </c>
      <c r="MQ26" s="46">
        <f t="shared" si="89"/>
        <v>0.04243243243</v>
      </c>
      <c r="MR26" s="37"/>
      <c r="MS26" s="37">
        <f>IFERROR(__xludf.DUMMYFUNCTION("""COMPUTED_VALUE"""),45315.64583333333)</f>
        <v>45315.64583</v>
      </c>
      <c r="MT26" s="45">
        <f>IFERROR(__xludf.DUMMYFUNCTION("""COMPUTED_VALUE"""),61.5)</f>
        <v>61.5</v>
      </c>
      <c r="MU26" s="46">
        <f t="shared" si="90"/>
        <v>-0.07029478458</v>
      </c>
      <c r="MV26" s="37"/>
      <c r="MW26" s="37">
        <f>IFERROR(__xludf.DUMMYFUNCTION("""COMPUTED_VALUE"""),45315.64583333333)</f>
        <v>45315.64583</v>
      </c>
      <c r="MX26" s="45">
        <f>IFERROR(__xludf.DUMMYFUNCTION("""COMPUTED_VALUE"""),3081.6)</f>
        <v>3081.6</v>
      </c>
      <c r="MY26" s="46">
        <f t="shared" si="91"/>
        <v>-0.02078169685</v>
      </c>
      <c r="MZ26" s="37"/>
      <c r="NA26" s="37">
        <f>IFERROR(__xludf.DUMMYFUNCTION("""COMPUTED_VALUE"""),45315.64583333333)</f>
        <v>45315.64583</v>
      </c>
      <c r="NB26" s="45">
        <f>IFERROR(__xludf.DUMMYFUNCTION("""COMPUTED_VALUE"""),14.45)</f>
        <v>14.45</v>
      </c>
      <c r="NC26" s="46">
        <f t="shared" si="92"/>
        <v>0.1422924901</v>
      </c>
      <c r="ND26" s="37"/>
      <c r="NE26" s="37">
        <f>IFERROR(__xludf.DUMMYFUNCTION("""COMPUTED_VALUE"""),45316.64583333333)</f>
        <v>45316.64583</v>
      </c>
      <c r="NF26" s="45">
        <f>IFERROR(__xludf.DUMMYFUNCTION("""COMPUTED_VALUE"""),372.6)</f>
        <v>372.6</v>
      </c>
      <c r="NG26" s="46">
        <f t="shared" si="93"/>
        <v>-0.02702702703</v>
      </c>
      <c r="NH26" s="37"/>
      <c r="NI26" s="37">
        <f>IFERROR(__xludf.DUMMYFUNCTION("""COMPUTED_VALUE"""),45316.64583333333)</f>
        <v>45316.64583</v>
      </c>
      <c r="NJ26" s="45">
        <f>IFERROR(__xludf.DUMMYFUNCTION("""COMPUTED_VALUE"""),304.97)</f>
        <v>304.97</v>
      </c>
      <c r="NK26" s="46">
        <f t="shared" si="94"/>
        <v>0.1436232047</v>
      </c>
      <c r="NL26" s="37"/>
      <c r="NM26" s="37">
        <f>IFERROR(__xludf.DUMMYFUNCTION("""COMPUTED_VALUE"""),45316.64583333333)</f>
        <v>45316.64583</v>
      </c>
      <c r="NN26" s="45">
        <f>IFERROR(__xludf.DUMMYFUNCTION("""COMPUTED_VALUE"""),119.95)</f>
        <v>119.95</v>
      </c>
      <c r="NO26" s="46">
        <f t="shared" si="95"/>
        <v>-0.02716950527</v>
      </c>
      <c r="NP26" s="37"/>
      <c r="NQ26" s="37">
        <f>IFERROR(__xludf.DUMMYFUNCTION("""COMPUTED_VALUE"""),45316.64583333333)</f>
        <v>45316.64583</v>
      </c>
      <c r="NR26" s="45">
        <f>IFERROR(__xludf.DUMMYFUNCTION("""COMPUTED_VALUE"""),4480.05)</f>
        <v>4480.05</v>
      </c>
      <c r="NS26" s="46">
        <f t="shared" si="96"/>
        <v>0.07280890805</v>
      </c>
      <c r="NT26" s="37"/>
      <c r="NU26" s="37">
        <f>IFERROR(__xludf.DUMMYFUNCTION("""COMPUTED_VALUE"""),45316.64583333333)</f>
        <v>45316.64583</v>
      </c>
      <c r="NV26" s="45">
        <f>IFERROR(__xludf.DUMMYFUNCTION("""COMPUTED_VALUE"""),14.65)</f>
        <v>14.65</v>
      </c>
      <c r="NW26" s="46">
        <f t="shared" si="97"/>
        <v>0.1535433071</v>
      </c>
      <c r="NX26" s="37"/>
      <c r="NY26" s="37">
        <f>IFERROR(__xludf.DUMMYFUNCTION("""COMPUTED_VALUE"""),45316.64583333333)</f>
        <v>45316.64583</v>
      </c>
      <c r="NZ26" s="45">
        <f>IFERROR(__xludf.DUMMYFUNCTION("""COMPUTED_VALUE"""),309.7)</f>
        <v>309.7</v>
      </c>
      <c r="OA26" s="46">
        <f t="shared" si="98"/>
        <v>0.2548622366</v>
      </c>
      <c r="OB26" s="37"/>
      <c r="OC26" s="37">
        <f>IFERROR(__xludf.DUMMYFUNCTION("""COMPUTED_VALUE"""),45316.64583333333)</f>
        <v>45316.64583</v>
      </c>
      <c r="OD26" s="45">
        <f>IFERROR(__xludf.DUMMYFUNCTION("""COMPUTED_VALUE"""),1163.65)</f>
        <v>1163.65</v>
      </c>
      <c r="OE26" s="46">
        <f t="shared" si="99"/>
        <v>0.104084634</v>
      </c>
      <c r="OF26" s="37"/>
      <c r="OG26" s="37">
        <f>IFERROR(__xludf.DUMMYFUNCTION("""COMPUTED_VALUE"""),45316.64583333333)</f>
        <v>45316.64583</v>
      </c>
      <c r="OH26" s="45">
        <f>IFERROR(__xludf.DUMMYFUNCTION("""COMPUTED_VALUE"""),2373.85)</f>
        <v>2373.85</v>
      </c>
      <c r="OI26" s="46">
        <f t="shared" si="100"/>
        <v>-0.02703090417</v>
      </c>
      <c r="OJ26" s="37"/>
      <c r="OK26" s="37"/>
      <c r="OL26" s="45"/>
      <c r="OM26" s="46" t="str">
        <f t="shared" si="101"/>
        <v>#DIV/0!</v>
      </c>
      <c r="ON26" s="37"/>
    </row>
    <row r="27" ht="12.0" customHeight="1">
      <c r="A27" s="37">
        <f>IFERROR(__xludf.DUMMYFUNCTION("""COMPUTED_VALUE"""),45315.64583333333)</f>
        <v>45315.64583</v>
      </c>
      <c r="B27" s="45">
        <f>IFERROR(__xludf.DUMMYFUNCTION("""COMPUTED_VALUE"""),409.85)</f>
        <v>409.85</v>
      </c>
      <c r="C27" s="46">
        <f t="shared" si="1"/>
        <v>-0.06586894587</v>
      </c>
      <c r="D27" s="37"/>
      <c r="E27" s="37">
        <f>IFERROR(__xludf.DUMMYFUNCTION("""COMPUTED_VALUE"""),45315.64583333333)</f>
        <v>45315.64583</v>
      </c>
      <c r="F27" s="45">
        <f>IFERROR(__xludf.DUMMYFUNCTION("""COMPUTED_VALUE"""),697.9)</f>
        <v>697.9</v>
      </c>
      <c r="G27" s="46">
        <f t="shared" si="2"/>
        <v>0.06549618321</v>
      </c>
      <c r="H27" s="37"/>
      <c r="I27" s="37">
        <f>IFERROR(__xludf.DUMMYFUNCTION("""COMPUTED_VALUE"""),45315.64583333333)</f>
        <v>45315.64583</v>
      </c>
      <c r="J27" s="45">
        <f>IFERROR(__xludf.DUMMYFUNCTION("""COMPUTED_VALUE"""),190.2)</f>
        <v>190.2</v>
      </c>
      <c r="K27" s="46">
        <f t="shared" si="3"/>
        <v>0.03369565217</v>
      </c>
      <c r="L27" s="37"/>
      <c r="M27" s="37">
        <f>IFERROR(__xludf.DUMMYFUNCTION("""COMPUTED_VALUE"""),45315.64583333333)</f>
        <v>45315.64583</v>
      </c>
      <c r="N27" s="45">
        <f>IFERROR(__xludf.DUMMYFUNCTION("""COMPUTED_VALUE"""),107.2)</f>
        <v>107.2</v>
      </c>
      <c r="O27" s="46">
        <f t="shared" si="4"/>
        <v>0.2407407407</v>
      </c>
      <c r="P27" s="37"/>
      <c r="Q27" s="37">
        <f>IFERROR(__xludf.DUMMYFUNCTION("""COMPUTED_VALUE"""),45315.64583333333)</f>
        <v>45315.64583</v>
      </c>
      <c r="R27" s="45">
        <f>IFERROR(__xludf.DUMMYFUNCTION("""COMPUTED_VALUE"""),45.5)</f>
        <v>45.5</v>
      </c>
      <c r="S27" s="46">
        <f t="shared" si="5"/>
        <v>-0.1333333333</v>
      </c>
      <c r="T27" s="37"/>
      <c r="U27" s="37">
        <f>IFERROR(__xludf.DUMMYFUNCTION("""COMPUTED_VALUE"""),45315.64583333333)</f>
        <v>45315.64583</v>
      </c>
      <c r="V27" s="45">
        <f>IFERROR(__xludf.DUMMYFUNCTION("""COMPUTED_VALUE"""),784.45)</f>
        <v>784.45</v>
      </c>
      <c r="W27" s="46">
        <f t="shared" si="6"/>
        <v>0.1842542271</v>
      </c>
      <c r="X27" s="37"/>
      <c r="Y27" s="37">
        <f>IFERROR(__xludf.DUMMYFUNCTION("""COMPUTED_VALUE"""),45315.64583333333)</f>
        <v>45315.64583</v>
      </c>
      <c r="Z27" s="45">
        <f>IFERROR(__xludf.DUMMYFUNCTION("""COMPUTED_VALUE"""),177.0)</f>
        <v>177</v>
      </c>
      <c r="AA27" s="46">
        <f t="shared" si="7"/>
        <v>-0.04324324324</v>
      </c>
      <c r="AB27" s="37"/>
      <c r="AC27" s="37">
        <f>IFERROR(__xludf.DUMMYFUNCTION("""COMPUTED_VALUE"""),45315.64583333333)</f>
        <v>45315.64583</v>
      </c>
      <c r="AD27" s="45">
        <f>IFERROR(__xludf.DUMMYFUNCTION("""COMPUTED_VALUE"""),2262.55)</f>
        <v>2262.55</v>
      </c>
      <c r="AE27" s="46">
        <f t="shared" si="8"/>
        <v>-0.04714676774</v>
      </c>
      <c r="AF27" s="37"/>
      <c r="AG27" s="37">
        <f>IFERROR(__xludf.DUMMYFUNCTION("""COMPUTED_VALUE"""),45315.64583333333)</f>
        <v>45315.64583</v>
      </c>
      <c r="AH27" s="45">
        <f>IFERROR(__xludf.DUMMYFUNCTION("""COMPUTED_VALUE"""),694.9)</f>
        <v>694.9</v>
      </c>
      <c r="AI27" s="46">
        <f t="shared" si="9"/>
        <v>-0.1727380952</v>
      </c>
      <c r="AJ27" s="37"/>
      <c r="AK27" s="37">
        <f>IFERROR(__xludf.DUMMYFUNCTION("""COMPUTED_VALUE"""),45315.64583333333)</f>
        <v>45315.64583</v>
      </c>
      <c r="AL27" s="45">
        <f>IFERROR(__xludf.DUMMYFUNCTION("""COMPUTED_VALUE"""),6600.0)</f>
        <v>6600</v>
      </c>
      <c r="AM27" s="46">
        <f t="shared" si="10"/>
        <v>0.2692307692</v>
      </c>
      <c r="AN27" s="37"/>
      <c r="AO27" s="37">
        <f>IFERROR(__xludf.DUMMYFUNCTION("""COMPUTED_VALUE"""),45315.64583333333)</f>
        <v>45315.64583</v>
      </c>
      <c r="AP27" s="45">
        <f>IFERROR(__xludf.DUMMYFUNCTION("""COMPUTED_VALUE"""),834.6)</f>
        <v>834.6</v>
      </c>
      <c r="AQ27" s="46">
        <f t="shared" si="11"/>
        <v>-0.08285714286</v>
      </c>
      <c r="AR27" s="37"/>
      <c r="AS27" s="37">
        <f>IFERROR(__xludf.DUMMYFUNCTION("""COMPUTED_VALUE"""),45315.64583333333)</f>
        <v>45315.64583</v>
      </c>
      <c r="AT27" s="45">
        <f>IFERROR(__xludf.DUMMYFUNCTION("""COMPUTED_VALUE"""),2292.0)</f>
        <v>2292</v>
      </c>
      <c r="AU27" s="46">
        <f t="shared" si="12"/>
        <v>-0.07725753855</v>
      </c>
      <c r="AV27" s="37"/>
      <c r="AW27" s="37">
        <f>IFERROR(__xludf.DUMMYFUNCTION("""COMPUTED_VALUE"""),45315.64583333333)</f>
        <v>45315.64583</v>
      </c>
      <c r="AX27" s="45">
        <f>IFERROR(__xludf.DUMMYFUNCTION("""COMPUTED_VALUE"""),6488.95)</f>
        <v>6488.95</v>
      </c>
      <c r="AY27" s="46">
        <f t="shared" si="13"/>
        <v>0.1495854445</v>
      </c>
      <c r="AZ27" s="37"/>
      <c r="BA27" s="37">
        <f>IFERROR(__xludf.DUMMYFUNCTION("""COMPUTED_VALUE"""),45315.64583333333)</f>
        <v>45315.64583</v>
      </c>
      <c r="BB27" s="45">
        <f>IFERROR(__xludf.DUMMYFUNCTION("""COMPUTED_VALUE"""),479.0)</f>
        <v>479</v>
      </c>
      <c r="BC27" s="46">
        <f t="shared" si="14"/>
        <v>0.02241195304</v>
      </c>
      <c r="BD27" s="37"/>
      <c r="BE27" s="37">
        <f>IFERROR(__xludf.DUMMYFUNCTION("""COMPUTED_VALUE"""),45315.64583333333)</f>
        <v>45315.64583</v>
      </c>
      <c r="BF27" s="45">
        <f>IFERROR(__xludf.DUMMYFUNCTION("""COMPUTED_VALUE"""),342.9)</f>
        <v>342.9</v>
      </c>
      <c r="BG27" s="46">
        <f t="shared" si="15"/>
        <v>-0.1574938575</v>
      </c>
      <c r="BH27" s="37"/>
      <c r="BI27" s="37">
        <f>IFERROR(__xludf.DUMMYFUNCTION("""COMPUTED_VALUE"""),45315.64583333333)</f>
        <v>45315.64583</v>
      </c>
      <c r="BJ27" s="45">
        <f>IFERROR(__xludf.DUMMYFUNCTION("""COMPUTED_VALUE"""),78.7)</f>
        <v>78.7</v>
      </c>
      <c r="BK27" s="46">
        <f t="shared" si="16"/>
        <v>0.1331893449</v>
      </c>
      <c r="BL27" s="37"/>
      <c r="BM27" s="37">
        <f>IFERROR(__xludf.DUMMYFUNCTION("""COMPUTED_VALUE"""),45315.64583333333)</f>
        <v>45315.64583</v>
      </c>
      <c r="BN27" s="45">
        <f>IFERROR(__xludf.DUMMYFUNCTION("""COMPUTED_VALUE"""),235.2)</f>
        <v>235.2</v>
      </c>
      <c r="BO27" s="46">
        <f t="shared" si="17"/>
        <v>-0.08125</v>
      </c>
      <c r="BP27" s="37"/>
      <c r="BQ27" s="37">
        <f>IFERROR(__xludf.DUMMYFUNCTION("""COMPUTED_VALUE"""),45315.64583333333)</f>
        <v>45315.64583</v>
      </c>
      <c r="BR27" s="45">
        <f>IFERROR(__xludf.DUMMYFUNCTION("""COMPUTED_VALUE"""),65.0)</f>
        <v>65</v>
      </c>
      <c r="BS27" s="46">
        <f t="shared" si="18"/>
        <v>0.06732348112</v>
      </c>
      <c r="BT27" s="37"/>
      <c r="BU27" s="37">
        <f>IFERROR(__xludf.DUMMYFUNCTION("""COMPUTED_VALUE"""),45315.64583333333)</f>
        <v>45315.64583</v>
      </c>
      <c r="BV27" s="45">
        <f>IFERROR(__xludf.DUMMYFUNCTION("""COMPUTED_VALUE"""),328.8)</f>
        <v>328.8</v>
      </c>
      <c r="BW27" s="46">
        <f t="shared" si="19"/>
        <v>0.06270200388</v>
      </c>
      <c r="BX27" s="37"/>
      <c r="BY27" s="37">
        <f>IFERROR(__xludf.DUMMYFUNCTION("""COMPUTED_VALUE"""),45315.64583333333)</f>
        <v>45315.64583</v>
      </c>
      <c r="BZ27" s="45">
        <f>IFERROR(__xludf.DUMMYFUNCTION("""COMPUTED_VALUE"""),361.0)</f>
        <v>361</v>
      </c>
      <c r="CA27" s="46">
        <f t="shared" si="20"/>
        <v>-0.1184371184</v>
      </c>
      <c r="CB27" s="37"/>
      <c r="CC27" s="37">
        <f>IFERROR(__xludf.DUMMYFUNCTION("""COMPUTED_VALUE"""),45315.64583333333)</f>
        <v>45315.64583</v>
      </c>
      <c r="CD27" s="45">
        <f>IFERROR(__xludf.DUMMYFUNCTION("""COMPUTED_VALUE"""),263.7)</f>
        <v>263.7</v>
      </c>
      <c r="CE27" s="46">
        <f t="shared" si="21"/>
        <v>0.1381096245</v>
      </c>
      <c r="CF27" s="37"/>
      <c r="CG27" s="37">
        <f>IFERROR(__xludf.DUMMYFUNCTION("""COMPUTED_VALUE"""),45315.64583333333)</f>
        <v>45315.64583</v>
      </c>
      <c r="CH27" s="45">
        <f>IFERROR(__xludf.DUMMYFUNCTION("""COMPUTED_VALUE"""),650.8)</f>
        <v>650.8</v>
      </c>
      <c r="CI27" s="46">
        <f t="shared" si="22"/>
        <v>0.02327044025</v>
      </c>
      <c r="CJ27" s="37"/>
      <c r="CK27" s="37">
        <f>IFERROR(__xludf.DUMMYFUNCTION("""COMPUTED_VALUE"""),45315.64583333333)</f>
        <v>45315.64583</v>
      </c>
      <c r="CL27" s="45">
        <f>IFERROR(__xludf.DUMMYFUNCTION("""COMPUTED_VALUE"""),299.0)</f>
        <v>299</v>
      </c>
      <c r="CM27" s="46">
        <f t="shared" si="23"/>
        <v>-0.1127596439</v>
      </c>
      <c r="CN27" s="37"/>
      <c r="CO27" s="37">
        <f>IFERROR(__xludf.DUMMYFUNCTION("""COMPUTED_VALUE"""),45315.64583333333)</f>
        <v>45315.64583</v>
      </c>
      <c r="CP27" s="45">
        <f>IFERROR(__xludf.DUMMYFUNCTION("""COMPUTED_VALUE"""),15.5)</f>
        <v>15.5</v>
      </c>
      <c r="CQ27" s="46">
        <f t="shared" si="24"/>
        <v>0.0472972973</v>
      </c>
      <c r="CR27" s="37"/>
      <c r="CS27" s="37">
        <f>IFERROR(__xludf.DUMMYFUNCTION("""COMPUTED_VALUE"""),45315.64583333333)</f>
        <v>45315.64583</v>
      </c>
      <c r="CT27" s="45">
        <f>IFERROR(__xludf.DUMMYFUNCTION("""COMPUTED_VALUE"""),190.9)</f>
        <v>190.9</v>
      </c>
      <c r="CU27" s="46">
        <f t="shared" si="25"/>
        <v>-0.03585858586</v>
      </c>
      <c r="CV27" s="37"/>
      <c r="CW27" s="37">
        <f>IFERROR(__xludf.DUMMYFUNCTION("""COMPUTED_VALUE"""),45315.64583333333)</f>
        <v>45315.64583</v>
      </c>
      <c r="CX27" s="45">
        <f>IFERROR(__xludf.DUMMYFUNCTION("""COMPUTED_VALUE"""),854.5)</f>
        <v>854.5</v>
      </c>
      <c r="CY27" s="46">
        <f t="shared" si="26"/>
        <v>0.2352192894</v>
      </c>
      <c r="CZ27" s="37"/>
      <c r="DA27" s="37">
        <f>IFERROR(__xludf.DUMMYFUNCTION("""COMPUTED_VALUE"""),45315.64583333333)</f>
        <v>45315.64583</v>
      </c>
      <c r="DB27" s="45">
        <f>IFERROR(__xludf.DUMMYFUNCTION("""COMPUTED_VALUE"""),30.95)</f>
        <v>30.95</v>
      </c>
      <c r="DC27" s="46">
        <f t="shared" si="27"/>
        <v>0.1093189964</v>
      </c>
      <c r="DD27" s="37"/>
      <c r="DE27" s="37">
        <f>IFERROR(__xludf.DUMMYFUNCTION("""COMPUTED_VALUE"""),45315.64583333333)</f>
        <v>45315.64583</v>
      </c>
      <c r="DF27" s="45">
        <f>IFERROR(__xludf.DUMMYFUNCTION("""COMPUTED_VALUE"""),89.7)</f>
        <v>89.7</v>
      </c>
      <c r="DG27" s="46">
        <f t="shared" si="28"/>
        <v>-0.2082965578</v>
      </c>
      <c r="DH27" s="37"/>
      <c r="DI27" s="37">
        <f>IFERROR(__xludf.DUMMYFUNCTION("""COMPUTED_VALUE"""),45315.64583333333)</f>
        <v>45315.64583</v>
      </c>
      <c r="DJ27" s="45">
        <f>IFERROR(__xludf.DUMMYFUNCTION("""COMPUTED_VALUE"""),1758.0)</f>
        <v>1758</v>
      </c>
      <c r="DK27" s="46">
        <f t="shared" si="29"/>
        <v>0.09546360917</v>
      </c>
      <c r="DL27" s="37"/>
      <c r="DM27" s="37">
        <f>IFERROR(__xludf.DUMMYFUNCTION("""COMPUTED_VALUE"""),45315.64583333333)</f>
        <v>45315.64583</v>
      </c>
      <c r="DN27" s="45">
        <f>IFERROR(__xludf.DUMMYFUNCTION("""COMPUTED_VALUE"""),571.8)</f>
        <v>571.8</v>
      </c>
      <c r="DO27" s="46">
        <f t="shared" si="30"/>
        <v>0.06649258603</v>
      </c>
      <c r="DP27" s="37"/>
      <c r="DQ27" s="37">
        <f>IFERROR(__xludf.DUMMYFUNCTION("""COMPUTED_VALUE"""),45315.64583333333)</f>
        <v>45315.64583</v>
      </c>
      <c r="DR27" s="45">
        <f>IFERROR(__xludf.DUMMYFUNCTION("""COMPUTED_VALUE"""),221.2)</f>
        <v>221.2</v>
      </c>
      <c r="DS27" s="46">
        <f t="shared" si="31"/>
        <v>0.01467889908</v>
      </c>
      <c r="DT27" s="37"/>
      <c r="DU27" s="37">
        <f>IFERROR(__xludf.DUMMYFUNCTION("""COMPUTED_VALUE"""),45315.64583333333)</f>
        <v>45315.64583</v>
      </c>
      <c r="DV27" s="45">
        <f>IFERROR(__xludf.DUMMYFUNCTION("""COMPUTED_VALUE"""),877.45)</f>
        <v>877.45</v>
      </c>
      <c r="DW27" s="46">
        <f t="shared" si="32"/>
        <v>0.0316872428</v>
      </c>
      <c r="DX27" s="37"/>
      <c r="DY27" s="37">
        <f>IFERROR(__xludf.DUMMYFUNCTION("""COMPUTED_VALUE"""),45315.64583333333)</f>
        <v>45315.64583</v>
      </c>
      <c r="DZ27" s="45">
        <f>IFERROR(__xludf.DUMMYFUNCTION("""COMPUTED_VALUE"""),10.55)</f>
        <v>10.55</v>
      </c>
      <c r="EA27" s="46">
        <f t="shared" si="33"/>
        <v>-0.02764976959</v>
      </c>
      <c r="EB27" s="37"/>
      <c r="EC27" s="37">
        <f>IFERROR(__xludf.DUMMYFUNCTION("""COMPUTED_VALUE"""),45315.64583333333)</f>
        <v>45315.64583</v>
      </c>
      <c r="ED27" s="45">
        <f>IFERROR(__xludf.DUMMYFUNCTION("""COMPUTED_VALUE"""),2412.3)</f>
        <v>2412.3</v>
      </c>
      <c r="EE27" s="46">
        <f t="shared" si="34"/>
        <v>-0.08797731569</v>
      </c>
      <c r="EF27" s="37"/>
      <c r="EG27" s="37">
        <f>IFERROR(__xludf.DUMMYFUNCTION("""COMPUTED_VALUE"""),45315.64583333333)</f>
        <v>45315.64583</v>
      </c>
      <c r="EH27" s="45">
        <f>IFERROR(__xludf.DUMMYFUNCTION("""COMPUTED_VALUE"""),972.7)</f>
        <v>972.7</v>
      </c>
      <c r="EI27" s="46">
        <f t="shared" si="35"/>
        <v>0.4996916435</v>
      </c>
      <c r="EJ27" s="37"/>
      <c r="EK27" s="37">
        <f>IFERROR(__xludf.DUMMYFUNCTION("""COMPUTED_VALUE"""),45315.64583333333)</f>
        <v>45315.64583</v>
      </c>
      <c r="EL27" s="45">
        <f>IFERROR(__xludf.DUMMYFUNCTION("""COMPUTED_VALUE"""),195.95)</f>
        <v>195.95</v>
      </c>
      <c r="EM27" s="46">
        <f t="shared" si="36"/>
        <v>-0.02995049505</v>
      </c>
      <c r="EN27" s="37"/>
      <c r="EO27" s="37">
        <f>IFERROR(__xludf.DUMMYFUNCTION("""COMPUTED_VALUE"""),45315.64583333333)</f>
        <v>45315.64583</v>
      </c>
      <c r="EP27" s="45">
        <f>IFERROR(__xludf.DUMMYFUNCTION("""COMPUTED_VALUE"""),165.1)</f>
        <v>165.1</v>
      </c>
      <c r="EQ27" s="46">
        <f t="shared" si="37"/>
        <v>0.06550500161</v>
      </c>
      <c r="ER27" s="37"/>
      <c r="ES27" s="37">
        <f>IFERROR(__xludf.DUMMYFUNCTION("""COMPUTED_VALUE"""),45315.64583333333)</f>
        <v>45315.64583</v>
      </c>
      <c r="ET27" s="45">
        <f>IFERROR(__xludf.DUMMYFUNCTION("""COMPUTED_VALUE"""),203.5)</f>
        <v>203.5</v>
      </c>
      <c r="EU27" s="46">
        <f t="shared" si="38"/>
        <v>0.04708001029</v>
      </c>
      <c r="EV27" s="37"/>
      <c r="EW27" s="37">
        <f>IFERROR(__xludf.DUMMYFUNCTION("""COMPUTED_VALUE"""),45315.64583333333)</f>
        <v>45315.64583</v>
      </c>
      <c r="EX27" s="45">
        <f>IFERROR(__xludf.DUMMYFUNCTION("""COMPUTED_VALUE"""),681.75)</f>
        <v>681.75</v>
      </c>
      <c r="EY27" s="46">
        <f t="shared" si="39"/>
        <v>0.05208333333</v>
      </c>
      <c r="EZ27" s="37"/>
      <c r="FA27" s="37">
        <f>IFERROR(__xludf.DUMMYFUNCTION("""COMPUTED_VALUE"""),45315.64583333333)</f>
        <v>45315.64583</v>
      </c>
      <c r="FB27" s="45">
        <f>IFERROR(__xludf.DUMMYFUNCTION("""COMPUTED_VALUE"""),186.45)</f>
        <v>186.45</v>
      </c>
      <c r="FC27" s="46">
        <f t="shared" si="40"/>
        <v>0.0690940367</v>
      </c>
      <c r="FD27" s="37"/>
      <c r="FE27" s="37">
        <f>IFERROR(__xludf.DUMMYFUNCTION("""COMPUTED_VALUE"""),45315.64583333333)</f>
        <v>45315.64583</v>
      </c>
      <c r="FF27" s="45">
        <f>IFERROR(__xludf.DUMMYFUNCTION("""COMPUTED_VALUE"""),330.0)</f>
        <v>330</v>
      </c>
      <c r="FG27" s="46">
        <f t="shared" si="41"/>
        <v>0.08267716535</v>
      </c>
      <c r="FH27" s="37"/>
      <c r="FI27" s="37">
        <f>IFERROR(__xludf.DUMMYFUNCTION("""COMPUTED_VALUE"""),45315.64583333333)</f>
        <v>45315.64583</v>
      </c>
      <c r="FJ27" s="45">
        <f>IFERROR(__xludf.DUMMYFUNCTION("""COMPUTED_VALUE"""),589.1)</f>
        <v>589.1</v>
      </c>
      <c r="FK27" s="46">
        <f t="shared" si="42"/>
        <v>-0.02796798944</v>
      </c>
      <c r="FL27" s="37"/>
      <c r="FM27" s="37">
        <f>IFERROR(__xludf.DUMMYFUNCTION("""COMPUTED_VALUE"""),45315.64583333333)</f>
        <v>45315.64583</v>
      </c>
      <c r="FN27" s="45">
        <f>IFERROR(__xludf.DUMMYFUNCTION("""COMPUTED_VALUE"""),100.65)</f>
        <v>100.65</v>
      </c>
      <c r="FO27" s="46">
        <f t="shared" si="43"/>
        <v>0.05947368421</v>
      </c>
      <c r="FP27" s="37"/>
      <c r="FQ27" s="37">
        <f>IFERROR(__xludf.DUMMYFUNCTION("""COMPUTED_VALUE"""),45315.64583333333)</f>
        <v>45315.64583</v>
      </c>
      <c r="FR27" s="45">
        <f>IFERROR(__xludf.DUMMYFUNCTION("""COMPUTED_VALUE"""),4.3)</f>
        <v>4.3</v>
      </c>
      <c r="FS27" s="46">
        <f t="shared" si="44"/>
        <v>-0.2181818182</v>
      </c>
      <c r="FT27" s="37"/>
      <c r="FU27" s="37">
        <f>IFERROR(__xludf.DUMMYFUNCTION("""COMPUTED_VALUE"""),45315.64583333333)</f>
        <v>45315.64583</v>
      </c>
      <c r="FV27" s="45">
        <f>IFERROR(__xludf.DUMMYFUNCTION("""COMPUTED_VALUE"""),697.6)</f>
        <v>697.6</v>
      </c>
      <c r="FW27" s="46">
        <f t="shared" si="45"/>
        <v>0.04501535466</v>
      </c>
      <c r="FX27" s="37"/>
      <c r="FY27" s="37">
        <f>IFERROR(__xludf.DUMMYFUNCTION("""COMPUTED_VALUE"""),45315.64583333333)</f>
        <v>45315.64583</v>
      </c>
      <c r="FZ27" s="45">
        <f>IFERROR(__xludf.DUMMYFUNCTION("""COMPUTED_VALUE"""),151.0)</f>
        <v>151</v>
      </c>
      <c r="GA27" s="46">
        <f t="shared" si="46"/>
        <v>-0.1107184923</v>
      </c>
      <c r="GB27" s="37"/>
      <c r="GC27" s="37">
        <f>IFERROR(__xludf.DUMMYFUNCTION("""COMPUTED_VALUE"""),45315.64583333333)</f>
        <v>45315.64583</v>
      </c>
      <c r="GD27" s="45">
        <f>IFERROR(__xludf.DUMMYFUNCTION("""COMPUTED_VALUE"""),380.0)</f>
        <v>380</v>
      </c>
      <c r="GE27" s="46">
        <f t="shared" si="47"/>
        <v>-0.1773111063</v>
      </c>
      <c r="GF27" s="37"/>
      <c r="GG27" s="37">
        <f>IFERROR(__xludf.DUMMYFUNCTION("""COMPUTED_VALUE"""),45315.64583333333)</f>
        <v>45315.64583</v>
      </c>
      <c r="GH27" s="45">
        <f>IFERROR(__xludf.DUMMYFUNCTION("""COMPUTED_VALUE"""),5219.0)</f>
        <v>5219</v>
      </c>
      <c r="GI27" s="46">
        <f t="shared" si="48"/>
        <v>-0.01509718815</v>
      </c>
      <c r="GJ27" s="37"/>
      <c r="GK27" s="37">
        <f>IFERROR(__xludf.DUMMYFUNCTION("""COMPUTED_VALUE"""),45315.64583333333)</f>
        <v>45315.64583</v>
      </c>
      <c r="GL27" s="45">
        <f>IFERROR(__xludf.DUMMYFUNCTION("""COMPUTED_VALUE"""),84.95)</f>
        <v>84.95</v>
      </c>
      <c r="GM27" s="46">
        <f t="shared" si="49"/>
        <v>-0.2508818342</v>
      </c>
      <c r="GN27" s="37"/>
      <c r="GO27" s="37">
        <f>IFERROR(__xludf.DUMMYFUNCTION("""COMPUTED_VALUE"""),45315.64583333333)</f>
        <v>45315.64583</v>
      </c>
      <c r="GP27" s="45">
        <f>IFERROR(__xludf.DUMMYFUNCTION("""COMPUTED_VALUE"""),1149.95)</f>
        <v>1149.95</v>
      </c>
      <c r="GQ27" s="46">
        <f t="shared" si="50"/>
        <v>0.04583693329</v>
      </c>
      <c r="GR27" s="37"/>
      <c r="GS27" s="37">
        <f>IFERROR(__xludf.DUMMYFUNCTION("""COMPUTED_VALUE"""),45315.64583333333)</f>
        <v>45315.64583</v>
      </c>
      <c r="GT27" s="45">
        <f>IFERROR(__xludf.DUMMYFUNCTION("""COMPUTED_VALUE"""),14.45)</f>
        <v>14.45</v>
      </c>
      <c r="GU27" s="46">
        <f t="shared" si="51"/>
        <v>0.1158301158</v>
      </c>
      <c r="GV27" s="37"/>
      <c r="GW27" s="37">
        <f>IFERROR(__xludf.DUMMYFUNCTION("""COMPUTED_VALUE"""),45316.64583333333)</f>
        <v>45316.64583</v>
      </c>
      <c r="GX27" s="45">
        <f>IFERROR(__xludf.DUMMYFUNCTION("""COMPUTED_VALUE"""),16.3)</f>
        <v>16.3</v>
      </c>
      <c r="GY27" s="46">
        <f t="shared" si="52"/>
        <v>-0.01212121212</v>
      </c>
      <c r="GZ27" s="37"/>
      <c r="HA27" s="37">
        <f>IFERROR(__xludf.DUMMYFUNCTION("""COMPUTED_VALUE"""),45316.64583333333)</f>
        <v>45316.64583</v>
      </c>
      <c r="HB27" s="45">
        <f>IFERROR(__xludf.DUMMYFUNCTION("""COMPUTED_VALUE"""),570.0)</f>
        <v>570</v>
      </c>
      <c r="HC27" s="46">
        <f t="shared" si="53"/>
        <v>-0.0625</v>
      </c>
      <c r="HD27" s="37"/>
      <c r="HE27" s="43">
        <f>IFERROR(__xludf.DUMMYFUNCTION("""COMPUTED_VALUE"""),45316.64583333333)</f>
        <v>45316.64583</v>
      </c>
      <c r="HF27" s="45">
        <f>IFERROR(__xludf.DUMMYFUNCTION("""COMPUTED_VALUE"""),2373.85)</f>
        <v>2373.85</v>
      </c>
      <c r="HG27" s="46" t="str">
        <f t="shared" si="54"/>
        <v>#DIV/0!</v>
      </c>
      <c r="HH27" s="37"/>
      <c r="HI27" s="37">
        <f>IFERROR(__xludf.DUMMYFUNCTION("""COMPUTED_VALUE"""),45316.64583333333)</f>
        <v>45316.64583</v>
      </c>
      <c r="HJ27" s="45">
        <f>IFERROR(__xludf.DUMMYFUNCTION("""COMPUTED_VALUE"""),6690.0)</f>
        <v>6690</v>
      </c>
      <c r="HK27" s="46">
        <f t="shared" si="55"/>
        <v>0.3091848416</v>
      </c>
      <c r="HL27" s="37"/>
      <c r="HM27" s="37">
        <f>IFERROR(__xludf.DUMMYFUNCTION("""COMPUTED_VALUE"""),45316.64583333333)</f>
        <v>45316.64583</v>
      </c>
      <c r="HN27" s="45">
        <f>IFERROR(__xludf.DUMMYFUNCTION("""COMPUTED_VALUE"""),388.3)</f>
        <v>388.3</v>
      </c>
      <c r="HO27" s="46">
        <f t="shared" si="56"/>
        <v>-0.04488992744</v>
      </c>
      <c r="HP27" s="37"/>
      <c r="HQ27" s="37">
        <f>IFERROR(__xludf.DUMMYFUNCTION("""COMPUTED_VALUE"""),45316.64583333333)</f>
        <v>45316.64583</v>
      </c>
      <c r="HR27" s="45">
        <f>IFERROR(__xludf.DUMMYFUNCTION("""COMPUTED_VALUE"""),249.7)</f>
        <v>249.7</v>
      </c>
      <c r="HS27" s="46">
        <f t="shared" si="57"/>
        <v>-0.01808887141</v>
      </c>
      <c r="HT27" s="37"/>
      <c r="HU27" s="37">
        <f>IFERROR(__xludf.DUMMYFUNCTION("""COMPUTED_VALUE"""),45316.64583333333)</f>
        <v>45316.64583</v>
      </c>
      <c r="HV27" s="45">
        <f>IFERROR(__xludf.DUMMYFUNCTION("""COMPUTED_VALUE"""),66.4)</f>
        <v>66.4</v>
      </c>
      <c r="HW27" s="46">
        <f t="shared" si="58"/>
        <v>0.0641025641</v>
      </c>
      <c r="HX27" s="37"/>
      <c r="HY27" s="37">
        <f>IFERROR(__xludf.DUMMYFUNCTION("""COMPUTED_VALUE"""),45316.64583333333)</f>
        <v>45316.64583</v>
      </c>
      <c r="HZ27" s="45">
        <f>IFERROR(__xludf.DUMMYFUNCTION("""COMPUTED_VALUE"""),358.0)</f>
        <v>358</v>
      </c>
      <c r="IA27" s="46">
        <f t="shared" si="59"/>
        <v>-0.2301075269</v>
      </c>
      <c r="IB27" s="37"/>
      <c r="IC27" s="37">
        <f>IFERROR(__xludf.DUMMYFUNCTION("""COMPUTED_VALUE"""),45316.64583333333)</f>
        <v>45316.64583</v>
      </c>
      <c r="ID27" s="45">
        <f>IFERROR(__xludf.DUMMYFUNCTION("""COMPUTED_VALUE"""),76.35)</f>
        <v>76.35</v>
      </c>
      <c r="IE27" s="46">
        <f t="shared" si="60"/>
        <v>-0.825982906</v>
      </c>
      <c r="IF27" s="37"/>
      <c r="IG27" s="37">
        <f>IFERROR(__xludf.DUMMYFUNCTION("""COMPUTED_VALUE"""),45316.64583333333)</f>
        <v>45316.64583</v>
      </c>
      <c r="IH27" s="45">
        <f>IFERROR(__xludf.DUMMYFUNCTION("""COMPUTED_VALUE"""),539.9)</f>
        <v>539.9</v>
      </c>
      <c r="II27" s="46">
        <f t="shared" si="61"/>
        <v>0.01294559099</v>
      </c>
      <c r="IJ27" s="37"/>
      <c r="IK27" s="37">
        <f>IFERROR(__xludf.DUMMYFUNCTION("""COMPUTED_VALUE"""),45316.64583333333)</f>
        <v>45316.64583</v>
      </c>
      <c r="IL27" s="45">
        <f>IFERROR(__xludf.DUMMYFUNCTION("""COMPUTED_VALUE"""),559.0)</f>
        <v>559</v>
      </c>
      <c r="IM27" s="46">
        <f t="shared" si="62"/>
        <v>-0.09539606764</v>
      </c>
      <c r="IN27" s="37"/>
      <c r="IO27" s="37">
        <f>IFERROR(__xludf.DUMMYFUNCTION("""COMPUTED_VALUE"""),45320.64583333333)</f>
        <v>45320.64583</v>
      </c>
      <c r="IP27" s="45">
        <f>IFERROR(__xludf.DUMMYFUNCTION("""COMPUTED_VALUE"""),186.7)</f>
        <v>186.7</v>
      </c>
      <c r="IQ27" s="46">
        <f t="shared" si="63"/>
        <v>0.4854005888</v>
      </c>
      <c r="IR27" s="37"/>
      <c r="IS27" s="37">
        <f>IFERROR(__xludf.DUMMYFUNCTION("""COMPUTED_VALUE"""),45316.64583333333)</f>
        <v>45316.64583</v>
      </c>
      <c r="IT27" s="45">
        <f>IFERROR(__xludf.DUMMYFUNCTION("""COMPUTED_VALUE"""),1008.95)</f>
        <v>1008.95</v>
      </c>
      <c r="IU27" s="46">
        <f t="shared" si="64"/>
        <v>0.004930278884</v>
      </c>
      <c r="IV27" s="37"/>
      <c r="IW27" s="37">
        <f>IFERROR(__xludf.DUMMYFUNCTION("""COMPUTED_VALUE"""),45316.64583333333)</f>
        <v>45316.64583</v>
      </c>
      <c r="IX27" s="45">
        <f>IFERROR(__xludf.DUMMYFUNCTION("""COMPUTED_VALUE"""),210.9)</f>
        <v>210.9</v>
      </c>
      <c r="IY27" s="46">
        <f t="shared" si="65"/>
        <v>0.02403495994</v>
      </c>
      <c r="IZ27" s="37"/>
      <c r="JA27" s="37">
        <f>IFERROR(__xludf.DUMMYFUNCTION("""COMPUTED_VALUE"""),45316.64583333333)</f>
        <v>45316.64583</v>
      </c>
      <c r="JB27" s="45">
        <f>IFERROR(__xludf.DUMMYFUNCTION("""COMPUTED_VALUE"""),34756.1)</f>
        <v>34756.1</v>
      </c>
      <c r="JC27" s="46">
        <f t="shared" si="66"/>
        <v>-0.01826275717</v>
      </c>
      <c r="JD27" s="37"/>
      <c r="JE27" s="37">
        <f>IFERROR(__xludf.DUMMYFUNCTION("""COMPUTED_VALUE"""),45316.64583333333)</f>
        <v>45316.64583</v>
      </c>
      <c r="JF27" s="45">
        <f>IFERROR(__xludf.DUMMYFUNCTION("""COMPUTED_VALUE"""),647.45)</f>
        <v>647.45</v>
      </c>
      <c r="JG27" s="46">
        <f t="shared" si="67"/>
        <v>0.003798449612</v>
      </c>
      <c r="JH27" s="37"/>
      <c r="JI27" s="37">
        <f>IFERROR(__xludf.DUMMYFUNCTION("""COMPUTED_VALUE"""),45316.64583333333)</f>
        <v>45316.64583</v>
      </c>
      <c r="JJ27" s="45">
        <f>IFERROR(__xludf.DUMMYFUNCTION("""COMPUTED_VALUE"""),300.0)</f>
        <v>300</v>
      </c>
      <c r="JK27" s="46">
        <f t="shared" si="68"/>
        <v>-0.1016619254</v>
      </c>
      <c r="JL27" s="37"/>
      <c r="JM27" s="37">
        <f>IFERROR(__xludf.DUMMYFUNCTION("""COMPUTED_VALUE"""),45316.64583333333)</f>
        <v>45316.64583</v>
      </c>
      <c r="JN27" s="45">
        <f>IFERROR(__xludf.DUMMYFUNCTION("""COMPUTED_VALUE"""),15.5)</f>
        <v>15.5</v>
      </c>
      <c r="JO27" s="46">
        <f t="shared" si="69"/>
        <v>-0.9646723647</v>
      </c>
      <c r="JP27" s="37"/>
      <c r="JQ27" s="37">
        <f>IFERROR(__xludf.DUMMYFUNCTION("""COMPUTED_VALUE"""),45316.64583333333)</f>
        <v>45316.64583</v>
      </c>
      <c r="JR27" s="45">
        <f>IFERROR(__xludf.DUMMYFUNCTION("""COMPUTED_VALUE"""),80.0)</f>
        <v>80</v>
      </c>
      <c r="JS27" s="46">
        <f t="shared" si="70"/>
        <v>-0.4117647059</v>
      </c>
      <c r="JT27" s="37"/>
      <c r="JU27" s="37">
        <f>IFERROR(__xludf.DUMMYFUNCTION("""COMPUTED_VALUE"""),45316.64583333333)</f>
        <v>45316.64583</v>
      </c>
      <c r="JV27" s="45">
        <f>IFERROR(__xludf.DUMMYFUNCTION("""COMPUTED_VALUE"""),237.55)</f>
        <v>237.55</v>
      </c>
      <c r="JW27" s="46">
        <f t="shared" si="71"/>
        <v>-0.4585754986</v>
      </c>
      <c r="JX27" s="37"/>
      <c r="JY27" s="37">
        <f>IFERROR(__xludf.DUMMYFUNCTION("""COMPUTED_VALUE"""),45316.64583333333)</f>
        <v>45316.64583</v>
      </c>
      <c r="JZ27" s="45">
        <f>IFERROR(__xludf.DUMMYFUNCTION("""COMPUTED_VALUE"""),612.8)</f>
        <v>612.8</v>
      </c>
      <c r="KA27" s="46">
        <f t="shared" si="72"/>
        <v>0.1121597096</v>
      </c>
      <c r="KB27" s="37"/>
      <c r="KC27" s="37">
        <f>IFERROR(__xludf.DUMMYFUNCTION("""COMPUTED_VALUE"""),45316.64583333333)</f>
        <v>45316.64583</v>
      </c>
      <c r="KD27" s="45">
        <f>IFERROR(__xludf.DUMMYFUNCTION("""COMPUTED_VALUE"""),861.03)</f>
        <v>861.03</v>
      </c>
      <c r="KE27" s="46">
        <f t="shared" si="73"/>
        <v>-0.01433232213</v>
      </c>
      <c r="KF27" s="37"/>
      <c r="KG27" s="37">
        <f>IFERROR(__xludf.DUMMYFUNCTION("""COMPUTED_VALUE"""),45316.64583333333)</f>
        <v>45316.64583</v>
      </c>
      <c r="KH27" s="45">
        <f>IFERROR(__xludf.DUMMYFUNCTION("""COMPUTED_VALUE"""),425.45)</f>
        <v>425.45</v>
      </c>
      <c r="KI27" s="46">
        <f t="shared" si="74"/>
        <v>0.0908974359</v>
      </c>
      <c r="KJ27" s="37"/>
      <c r="KK27" s="37">
        <f>IFERROR(__xludf.DUMMYFUNCTION("""COMPUTED_VALUE"""),45316.64583333333)</f>
        <v>45316.64583</v>
      </c>
      <c r="KL27" s="45">
        <f>IFERROR(__xludf.DUMMYFUNCTION("""COMPUTED_VALUE"""),10.5)</f>
        <v>10.5</v>
      </c>
      <c r="KM27" s="46">
        <f t="shared" si="75"/>
        <v>0.1290322581</v>
      </c>
      <c r="KN27" s="37"/>
      <c r="KO27" s="37">
        <f>IFERROR(__xludf.DUMMYFUNCTION("""COMPUTED_VALUE"""),45316.64583333333)</f>
        <v>45316.64583</v>
      </c>
      <c r="KP27" s="45">
        <f>IFERROR(__xludf.DUMMYFUNCTION("""COMPUTED_VALUE"""),258.0)</f>
        <v>258</v>
      </c>
      <c r="KQ27" s="46">
        <f t="shared" si="76"/>
        <v>0.2690605017</v>
      </c>
      <c r="KR27" s="37"/>
      <c r="KS27" s="37">
        <f>IFERROR(__xludf.DUMMYFUNCTION("""COMPUTED_VALUE"""),45316.64583333333)</f>
        <v>45316.64583</v>
      </c>
      <c r="KT27" s="45">
        <f>IFERROR(__xludf.DUMMYFUNCTION("""COMPUTED_VALUE"""),10.35)</f>
        <v>10.35</v>
      </c>
      <c r="KU27" s="46">
        <f t="shared" si="77"/>
        <v>-0.06334841629</v>
      </c>
      <c r="KV27" s="37"/>
      <c r="KW27" s="37">
        <f>IFERROR(__xludf.DUMMYFUNCTION("""COMPUTED_VALUE"""),45316.64583333333)</f>
        <v>45316.64583</v>
      </c>
      <c r="KX27" s="45">
        <f>IFERROR(__xludf.DUMMYFUNCTION("""COMPUTED_VALUE"""),2405.0)</f>
        <v>2405</v>
      </c>
      <c r="KY27" s="46">
        <f t="shared" si="78"/>
        <v>-0.09923406805</v>
      </c>
      <c r="KZ27" s="37"/>
      <c r="LA27" s="37">
        <f>IFERROR(__xludf.DUMMYFUNCTION("""COMPUTED_VALUE"""),45316.64583333333)</f>
        <v>45316.64583</v>
      </c>
      <c r="LB27" s="45">
        <f>IFERROR(__xludf.DUMMYFUNCTION("""COMPUTED_VALUE"""),19.8)</f>
        <v>19.8</v>
      </c>
      <c r="LC27" s="46">
        <f t="shared" si="79"/>
        <v>0.05039787798</v>
      </c>
      <c r="LD27" s="37"/>
      <c r="LE27" s="37">
        <f>IFERROR(__xludf.DUMMYFUNCTION("""COMPUTED_VALUE"""),45316.64583333333)</f>
        <v>45316.64583</v>
      </c>
      <c r="LF27" s="45">
        <f>IFERROR(__xludf.DUMMYFUNCTION("""COMPUTED_VALUE"""),131.45)</f>
        <v>131.45</v>
      </c>
      <c r="LG27" s="46">
        <f t="shared" si="80"/>
        <v>0.0516</v>
      </c>
      <c r="LH27" s="37"/>
      <c r="LI27" s="37">
        <f>IFERROR(__xludf.DUMMYFUNCTION("""COMPUTED_VALUE"""),45316.64583333333)</f>
        <v>45316.64583</v>
      </c>
      <c r="LJ27" s="45">
        <f>IFERROR(__xludf.DUMMYFUNCTION("""COMPUTED_VALUE"""),772.0)</f>
        <v>772</v>
      </c>
      <c r="LK27" s="46">
        <f t="shared" si="81"/>
        <v>0.06043956044</v>
      </c>
      <c r="LL27" s="37"/>
      <c r="LM27" s="37">
        <f>IFERROR(__xludf.DUMMYFUNCTION("""COMPUTED_VALUE"""),45316.64583333333)</f>
        <v>45316.64583</v>
      </c>
      <c r="LN27" s="45">
        <f>IFERROR(__xludf.DUMMYFUNCTION("""COMPUTED_VALUE"""),735.9)</f>
        <v>735.9</v>
      </c>
      <c r="LO27" s="46">
        <f t="shared" si="82"/>
        <v>-0.1392982456</v>
      </c>
      <c r="LP27" s="37"/>
      <c r="LQ27" s="37">
        <f>IFERROR(__xludf.DUMMYFUNCTION("""COMPUTED_VALUE"""),45316.64583333333)</f>
        <v>45316.64583</v>
      </c>
      <c r="LR27" s="45">
        <f>IFERROR(__xludf.DUMMYFUNCTION("""COMPUTED_VALUE"""),602.0)</f>
        <v>602</v>
      </c>
      <c r="LS27" s="46">
        <f t="shared" si="83"/>
        <v>0.6475095785</v>
      </c>
      <c r="LT27" s="37"/>
      <c r="LU27" s="37">
        <f>IFERROR(__xludf.DUMMYFUNCTION("""COMPUTED_VALUE"""),45316.64583333333)</f>
        <v>45316.64583</v>
      </c>
      <c r="LV27" s="45">
        <f>IFERROR(__xludf.DUMMYFUNCTION("""COMPUTED_VALUE"""),128.9)</f>
        <v>128.9</v>
      </c>
      <c r="LW27" s="46">
        <f t="shared" si="84"/>
        <v>-0.05774853801</v>
      </c>
      <c r="LX27" s="37"/>
      <c r="LY27" s="37">
        <f>IFERROR(__xludf.DUMMYFUNCTION("""COMPUTED_VALUE"""),45316.64583333333)</f>
        <v>45316.64583</v>
      </c>
      <c r="LZ27" s="45">
        <f>IFERROR(__xludf.DUMMYFUNCTION("""COMPUTED_VALUE"""),611.8)</f>
        <v>611.8</v>
      </c>
      <c r="MA27" s="46">
        <f t="shared" si="85"/>
        <v>-0.01322580645</v>
      </c>
      <c r="MB27" s="37"/>
      <c r="MC27" s="37"/>
      <c r="MD27" s="45"/>
      <c r="ME27" s="46" t="str">
        <f t="shared" si="86"/>
        <v>#DIV/0!</v>
      </c>
      <c r="MF27" s="37"/>
      <c r="MG27" s="37">
        <f>IFERROR(__xludf.DUMMYFUNCTION("""COMPUTED_VALUE"""),45316.64583333333)</f>
        <v>45316.64583</v>
      </c>
      <c r="MH27" s="45">
        <f>IFERROR(__xludf.DUMMYFUNCTION("""COMPUTED_VALUE"""),1943.95)</f>
        <v>1943.95</v>
      </c>
      <c r="MI27" s="46">
        <f t="shared" si="87"/>
        <v>-0.008669267447</v>
      </c>
      <c r="MJ27" s="37"/>
      <c r="MK27" s="37">
        <f>IFERROR(__xludf.DUMMYFUNCTION("""COMPUTED_VALUE"""),45316.64583333333)</f>
        <v>45316.64583</v>
      </c>
      <c r="ML27" s="45">
        <f>IFERROR(__xludf.DUMMYFUNCTION("""COMPUTED_VALUE"""),369.0)</f>
        <v>369</v>
      </c>
      <c r="MM27" s="46">
        <f t="shared" si="88"/>
        <v>-0.07738467308</v>
      </c>
      <c r="MN27" s="37"/>
      <c r="MO27" s="37">
        <f>IFERROR(__xludf.DUMMYFUNCTION("""COMPUTED_VALUE"""),45316.64583333333)</f>
        <v>45316.64583</v>
      </c>
      <c r="MP27" s="45">
        <f>IFERROR(__xludf.DUMMYFUNCTION("""COMPUTED_VALUE"""),778.7)</f>
        <v>778.7</v>
      </c>
      <c r="MQ27" s="46">
        <f t="shared" si="89"/>
        <v>0.0522972973</v>
      </c>
      <c r="MR27" s="37"/>
      <c r="MS27" s="37">
        <f>IFERROR(__xludf.DUMMYFUNCTION("""COMPUTED_VALUE"""),45316.64583333333)</f>
        <v>45316.64583</v>
      </c>
      <c r="MT27" s="45">
        <f>IFERROR(__xludf.DUMMYFUNCTION("""COMPUTED_VALUE"""),62.85)</f>
        <v>62.85</v>
      </c>
      <c r="MU27" s="46">
        <f t="shared" si="90"/>
        <v>-0.04988662132</v>
      </c>
      <c r="MV27" s="37"/>
      <c r="MW27" s="37">
        <f>IFERROR(__xludf.DUMMYFUNCTION("""COMPUTED_VALUE"""),45316.64583333333)</f>
        <v>45316.64583</v>
      </c>
      <c r="MX27" s="45">
        <f>IFERROR(__xludf.DUMMYFUNCTION("""COMPUTED_VALUE"""),3073.95)</f>
        <v>3073.95</v>
      </c>
      <c r="MY27" s="46">
        <f t="shared" si="91"/>
        <v>-0.02321258341</v>
      </c>
      <c r="MZ27" s="37"/>
      <c r="NA27" s="37">
        <f>IFERROR(__xludf.DUMMYFUNCTION("""COMPUTED_VALUE"""),45316.64583333333)</f>
        <v>45316.64583</v>
      </c>
      <c r="NB27" s="45">
        <f>IFERROR(__xludf.DUMMYFUNCTION("""COMPUTED_VALUE"""),14.75)</f>
        <v>14.75</v>
      </c>
      <c r="NC27" s="46">
        <f t="shared" si="92"/>
        <v>0.1660079051</v>
      </c>
      <c r="ND27" s="37"/>
      <c r="NE27" s="37">
        <f>IFERROR(__xludf.DUMMYFUNCTION("""COMPUTED_VALUE"""),45320.64583333333)</f>
        <v>45320.64583</v>
      </c>
      <c r="NF27" s="45">
        <f>IFERROR(__xludf.DUMMYFUNCTION("""COMPUTED_VALUE"""),373.95)</f>
        <v>373.95</v>
      </c>
      <c r="NG27" s="46">
        <f t="shared" si="93"/>
        <v>-0.02350176263</v>
      </c>
      <c r="NH27" s="37"/>
      <c r="NI27" s="37">
        <f>IFERROR(__xludf.DUMMYFUNCTION("""COMPUTED_VALUE"""),45320.64583333333)</f>
        <v>45320.64583</v>
      </c>
      <c r="NJ27" s="45">
        <f>IFERROR(__xludf.DUMMYFUNCTION("""COMPUTED_VALUE"""),305.77)</f>
        <v>305.77</v>
      </c>
      <c r="NK27" s="46">
        <f t="shared" si="94"/>
        <v>0.1466231672</v>
      </c>
      <c r="NL27" s="37"/>
      <c r="NM27" s="37">
        <f>IFERROR(__xludf.DUMMYFUNCTION("""COMPUTED_VALUE"""),45320.64583333333)</f>
        <v>45320.64583</v>
      </c>
      <c r="NN27" s="45">
        <f>IFERROR(__xludf.DUMMYFUNCTION("""COMPUTED_VALUE"""),121.65)</f>
        <v>121.65</v>
      </c>
      <c r="NO27" s="46">
        <f t="shared" si="95"/>
        <v>-0.01338199513</v>
      </c>
      <c r="NP27" s="37"/>
      <c r="NQ27" s="37">
        <f>IFERROR(__xludf.DUMMYFUNCTION("""COMPUTED_VALUE"""),45320.64583333333)</f>
        <v>45320.64583</v>
      </c>
      <c r="NR27" s="45">
        <f>IFERROR(__xludf.DUMMYFUNCTION("""COMPUTED_VALUE"""),4625.0)</f>
        <v>4625</v>
      </c>
      <c r="NS27" s="46">
        <f t="shared" si="96"/>
        <v>0.1075191571</v>
      </c>
      <c r="NT27" s="37"/>
      <c r="NU27" s="37">
        <f>IFERROR(__xludf.DUMMYFUNCTION("""COMPUTED_VALUE"""),45320.64583333333)</f>
        <v>45320.64583</v>
      </c>
      <c r="NV27" s="45">
        <f>IFERROR(__xludf.DUMMYFUNCTION("""COMPUTED_VALUE"""),14.65)</f>
        <v>14.65</v>
      </c>
      <c r="NW27" s="46">
        <f t="shared" si="97"/>
        <v>0.1535433071</v>
      </c>
      <c r="NX27" s="37"/>
      <c r="NY27" s="37">
        <f>IFERROR(__xludf.DUMMYFUNCTION("""COMPUTED_VALUE"""),45320.64583333333)</f>
        <v>45320.64583</v>
      </c>
      <c r="NZ27" s="45">
        <f>IFERROR(__xludf.DUMMYFUNCTION("""COMPUTED_VALUE"""),317.7)</f>
        <v>317.7</v>
      </c>
      <c r="OA27" s="46">
        <f t="shared" si="98"/>
        <v>0.2872771475</v>
      </c>
      <c r="OB27" s="37"/>
      <c r="OC27" s="37">
        <f>IFERROR(__xludf.DUMMYFUNCTION("""COMPUTED_VALUE"""),45320.64583333333)</f>
        <v>45320.64583</v>
      </c>
      <c r="OD27" s="45">
        <f>IFERROR(__xludf.DUMMYFUNCTION("""COMPUTED_VALUE"""),1149.2)</f>
        <v>1149.2</v>
      </c>
      <c r="OE27" s="46">
        <f t="shared" si="99"/>
        <v>0.09037430618</v>
      </c>
      <c r="OF27" s="37"/>
      <c r="OG27" s="37">
        <f>IFERROR(__xludf.DUMMYFUNCTION("""COMPUTED_VALUE"""),45320.64583333333)</f>
        <v>45320.64583</v>
      </c>
      <c r="OH27" s="45">
        <f>IFERROR(__xludf.DUMMYFUNCTION("""COMPUTED_VALUE"""),2700.0)</f>
        <v>2700</v>
      </c>
      <c r="OI27" s="46">
        <f t="shared" si="100"/>
        <v>0.1066480859</v>
      </c>
      <c r="OJ27" s="37"/>
      <c r="OK27" s="37"/>
      <c r="OL27" s="45"/>
      <c r="OM27" s="46" t="str">
        <f t="shared" si="101"/>
        <v>#DIV/0!</v>
      </c>
      <c r="ON27" s="37"/>
    </row>
    <row r="28" ht="12.0" customHeight="1">
      <c r="A28" s="37">
        <f>IFERROR(__xludf.DUMMYFUNCTION("""COMPUTED_VALUE"""),45316.64583333333)</f>
        <v>45316.64583</v>
      </c>
      <c r="B28" s="45">
        <f>IFERROR(__xludf.DUMMYFUNCTION("""COMPUTED_VALUE"""),386.8)</f>
        <v>386.8</v>
      </c>
      <c r="C28" s="46">
        <f t="shared" si="1"/>
        <v>-0.1184045584</v>
      </c>
      <c r="D28" s="37"/>
      <c r="E28" s="37">
        <f>IFERROR(__xludf.DUMMYFUNCTION("""COMPUTED_VALUE"""),45316.64583333333)</f>
        <v>45316.64583</v>
      </c>
      <c r="F28" s="45">
        <f>IFERROR(__xludf.DUMMYFUNCTION("""COMPUTED_VALUE"""),699.9)</f>
        <v>699.9</v>
      </c>
      <c r="G28" s="46">
        <f t="shared" si="2"/>
        <v>0.06854961832</v>
      </c>
      <c r="H28" s="37"/>
      <c r="I28" s="37">
        <f>IFERROR(__xludf.DUMMYFUNCTION("""COMPUTED_VALUE"""),45316.64583333333)</f>
        <v>45316.64583</v>
      </c>
      <c r="J28" s="45">
        <f>IFERROR(__xludf.DUMMYFUNCTION("""COMPUTED_VALUE"""),192.0)</f>
        <v>192</v>
      </c>
      <c r="K28" s="46">
        <f t="shared" si="3"/>
        <v>0.04347826087</v>
      </c>
      <c r="L28" s="37"/>
      <c r="M28" s="37">
        <f>IFERROR(__xludf.DUMMYFUNCTION("""COMPUTED_VALUE"""),45316.64583333333)</f>
        <v>45316.64583</v>
      </c>
      <c r="N28" s="45">
        <f>IFERROR(__xludf.DUMMYFUNCTION("""COMPUTED_VALUE"""),108.8)</f>
        <v>108.8</v>
      </c>
      <c r="O28" s="46">
        <f t="shared" si="4"/>
        <v>0.2592592593</v>
      </c>
      <c r="P28" s="37"/>
      <c r="Q28" s="37">
        <f>IFERROR(__xludf.DUMMYFUNCTION("""COMPUTED_VALUE"""),45316.64583333333)</f>
        <v>45316.64583</v>
      </c>
      <c r="R28" s="45">
        <f>IFERROR(__xludf.DUMMYFUNCTION("""COMPUTED_VALUE"""),45.55)</f>
        <v>45.55</v>
      </c>
      <c r="S28" s="46">
        <f t="shared" si="5"/>
        <v>-0.1323809524</v>
      </c>
      <c r="T28" s="37"/>
      <c r="U28" s="37">
        <f>IFERROR(__xludf.DUMMYFUNCTION("""COMPUTED_VALUE"""),45316.64583333333)</f>
        <v>45316.64583</v>
      </c>
      <c r="V28" s="45">
        <f>IFERROR(__xludf.DUMMYFUNCTION("""COMPUTED_VALUE"""),815.0)</f>
        <v>815</v>
      </c>
      <c r="W28" s="46">
        <f t="shared" si="6"/>
        <v>0.2303743961</v>
      </c>
      <c r="X28" s="37"/>
      <c r="Y28" s="37">
        <f>IFERROR(__xludf.DUMMYFUNCTION("""COMPUTED_VALUE"""),45316.64583333333)</f>
        <v>45316.64583</v>
      </c>
      <c r="Z28" s="45">
        <f>IFERROR(__xludf.DUMMYFUNCTION("""COMPUTED_VALUE"""),178.45)</f>
        <v>178.45</v>
      </c>
      <c r="AA28" s="46">
        <f t="shared" si="7"/>
        <v>-0.03540540541</v>
      </c>
      <c r="AB28" s="37"/>
      <c r="AC28" s="37">
        <f>IFERROR(__xludf.DUMMYFUNCTION("""COMPUTED_VALUE"""),45316.64583333333)</f>
        <v>45316.64583</v>
      </c>
      <c r="AD28" s="45">
        <f>IFERROR(__xludf.DUMMYFUNCTION("""COMPUTED_VALUE"""),2373.85)</f>
        <v>2373.85</v>
      </c>
      <c r="AE28" s="46">
        <f t="shared" si="8"/>
        <v>-0.0002737418404</v>
      </c>
      <c r="AF28" s="37"/>
      <c r="AG28" s="37">
        <f>IFERROR(__xludf.DUMMYFUNCTION("""COMPUTED_VALUE"""),45316.64583333333)</f>
        <v>45316.64583</v>
      </c>
      <c r="AH28" s="45">
        <f>IFERROR(__xludf.DUMMYFUNCTION("""COMPUTED_VALUE"""),694.25)</f>
        <v>694.25</v>
      </c>
      <c r="AI28" s="46">
        <f t="shared" si="9"/>
        <v>-0.1735119048</v>
      </c>
      <c r="AJ28" s="37"/>
      <c r="AK28" s="37">
        <f>IFERROR(__xludf.DUMMYFUNCTION("""COMPUTED_VALUE"""),45316.64583333333)</f>
        <v>45316.64583</v>
      </c>
      <c r="AL28" s="45">
        <f>IFERROR(__xludf.DUMMYFUNCTION("""COMPUTED_VALUE"""),6690.0)</f>
        <v>6690</v>
      </c>
      <c r="AM28" s="46">
        <f t="shared" si="10"/>
        <v>0.2865384615</v>
      </c>
      <c r="AN28" s="37"/>
      <c r="AO28" s="37">
        <f>IFERROR(__xludf.DUMMYFUNCTION("""COMPUTED_VALUE"""),45316.64583333333)</f>
        <v>45316.64583</v>
      </c>
      <c r="AP28" s="45">
        <f>IFERROR(__xludf.DUMMYFUNCTION("""COMPUTED_VALUE"""),834.6)</f>
        <v>834.6</v>
      </c>
      <c r="AQ28" s="46">
        <f t="shared" si="11"/>
        <v>-0.08285714286</v>
      </c>
      <c r="AR28" s="37"/>
      <c r="AS28" s="37">
        <f>IFERROR(__xludf.DUMMYFUNCTION("""COMPUTED_VALUE"""),45316.64583333333)</f>
        <v>45316.64583</v>
      </c>
      <c r="AT28" s="45">
        <f>IFERROR(__xludf.DUMMYFUNCTION("""COMPUTED_VALUE"""),2294.95)</f>
        <v>2294.95</v>
      </c>
      <c r="AU28" s="46">
        <f t="shared" si="12"/>
        <v>-0.07606989009</v>
      </c>
      <c r="AV28" s="37"/>
      <c r="AW28" s="37">
        <f>IFERROR(__xludf.DUMMYFUNCTION("""COMPUTED_VALUE"""),45316.64583333333)</f>
        <v>45316.64583</v>
      </c>
      <c r="AX28" s="45">
        <f>IFERROR(__xludf.DUMMYFUNCTION("""COMPUTED_VALUE"""),6430.0)</f>
        <v>6430</v>
      </c>
      <c r="AY28" s="46">
        <f t="shared" si="13"/>
        <v>0.1391418347</v>
      </c>
      <c r="AZ28" s="37"/>
      <c r="BA28" s="37">
        <f>IFERROR(__xludf.DUMMYFUNCTION("""COMPUTED_VALUE"""),45316.64583333333)</f>
        <v>45316.64583</v>
      </c>
      <c r="BB28" s="45">
        <f>IFERROR(__xludf.DUMMYFUNCTION("""COMPUTED_VALUE"""),479.35)</f>
        <v>479.35</v>
      </c>
      <c r="BC28" s="46">
        <f t="shared" si="14"/>
        <v>0.02315901814</v>
      </c>
      <c r="BD28" s="37"/>
      <c r="BE28" s="37">
        <f>IFERROR(__xludf.DUMMYFUNCTION("""COMPUTED_VALUE"""),45316.64583333333)</f>
        <v>45316.64583</v>
      </c>
      <c r="BF28" s="45">
        <f>IFERROR(__xludf.DUMMYFUNCTION("""COMPUTED_VALUE"""),336.9)</f>
        <v>336.9</v>
      </c>
      <c r="BG28" s="46">
        <f t="shared" si="15"/>
        <v>-0.1722358722</v>
      </c>
      <c r="BH28" s="37"/>
      <c r="BI28" s="37">
        <f>IFERROR(__xludf.DUMMYFUNCTION("""COMPUTED_VALUE"""),45316.64583333333)</f>
        <v>45316.64583</v>
      </c>
      <c r="BJ28" s="45">
        <f>IFERROR(__xludf.DUMMYFUNCTION("""COMPUTED_VALUE"""),78.6)</f>
        <v>78.6</v>
      </c>
      <c r="BK28" s="46">
        <f t="shared" si="16"/>
        <v>0.13174946</v>
      </c>
      <c r="BL28" s="37"/>
      <c r="BM28" s="37">
        <f>IFERROR(__xludf.DUMMYFUNCTION("""COMPUTED_VALUE"""),45316.64583333333)</f>
        <v>45316.64583</v>
      </c>
      <c r="BN28" s="45">
        <f>IFERROR(__xludf.DUMMYFUNCTION("""COMPUTED_VALUE"""),249.7)</f>
        <v>249.7</v>
      </c>
      <c r="BO28" s="46">
        <f t="shared" si="17"/>
        <v>-0.024609375</v>
      </c>
      <c r="BP28" s="37"/>
      <c r="BQ28" s="37">
        <f>IFERROR(__xludf.DUMMYFUNCTION("""COMPUTED_VALUE"""),45316.64583333333)</f>
        <v>45316.64583</v>
      </c>
      <c r="BR28" s="45">
        <f>IFERROR(__xludf.DUMMYFUNCTION("""COMPUTED_VALUE"""),66.4)</f>
        <v>66.4</v>
      </c>
      <c r="BS28" s="46">
        <f t="shared" si="18"/>
        <v>0.09031198686</v>
      </c>
      <c r="BT28" s="37"/>
      <c r="BU28" s="37">
        <f>IFERROR(__xludf.DUMMYFUNCTION("""COMPUTED_VALUE"""),45316.64583333333)</f>
        <v>45316.64583</v>
      </c>
      <c r="BV28" s="45">
        <f>IFERROR(__xludf.DUMMYFUNCTION("""COMPUTED_VALUE"""),336.95)</f>
        <v>336.95</v>
      </c>
      <c r="BW28" s="46">
        <f t="shared" si="19"/>
        <v>0.08904330963</v>
      </c>
      <c r="BX28" s="37"/>
      <c r="BY28" s="37">
        <f>IFERROR(__xludf.DUMMYFUNCTION("""COMPUTED_VALUE"""),45316.64583333333)</f>
        <v>45316.64583</v>
      </c>
      <c r="BZ28" s="45">
        <f>IFERROR(__xludf.DUMMYFUNCTION("""COMPUTED_VALUE"""),358.0)</f>
        <v>358</v>
      </c>
      <c r="CA28" s="46">
        <f t="shared" si="20"/>
        <v>-0.1257631258</v>
      </c>
      <c r="CB28" s="37"/>
      <c r="CC28" s="37">
        <f>IFERROR(__xludf.DUMMYFUNCTION("""COMPUTED_VALUE"""),45316.64583333333)</f>
        <v>45316.64583</v>
      </c>
      <c r="CD28" s="45">
        <f>IFERROR(__xludf.DUMMYFUNCTION("""COMPUTED_VALUE"""),269.8)</f>
        <v>269.8</v>
      </c>
      <c r="CE28" s="46">
        <f t="shared" si="21"/>
        <v>0.1644367717</v>
      </c>
      <c r="CF28" s="37"/>
      <c r="CG28" s="37">
        <f>IFERROR(__xludf.DUMMYFUNCTION("""COMPUTED_VALUE"""),45316.64583333333)</f>
        <v>45316.64583</v>
      </c>
      <c r="CH28" s="45">
        <f>IFERROR(__xludf.DUMMYFUNCTION("""COMPUTED_VALUE"""),647.45)</f>
        <v>647.45</v>
      </c>
      <c r="CI28" s="46">
        <f t="shared" si="22"/>
        <v>0.01800314465</v>
      </c>
      <c r="CJ28" s="37"/>
      <c r="CK28" s="37">
        <f>IFERROR(__xludf.DUMMYFUNCTION("""COMPUTED_VALUE"""),45316.64583333333)</f>
        <v>45316.64583</v>
      </c>
      <c r="CL28" s="45">
        <f>IFERROR(__xludf.DUMMYFUNCTION("""COMPUTED_VALUE"""),300.0)</f>
        <v>300</v>
      </c>
      <c r="CM28" s="46">
        <f t="shared" si="23"/>
        <v>-0.1097922849</v>
      </c>
      <c r="CN28" s="37"/>
      <c r="CO28" s="37">
        <f>IFERROR(__xludf.DUMMYFUNCTION("""COMPUTED_VALUE"""),45316.64583333333)</f>
        <v>45316.64583</v>
      </c>
      <c r="CP28" s="45">
        <f>IFERROR(__xludf.DUMMYFUNCTION("""COMPUTED_VALUE"""),15.5)</f>
        <v>15.5</v>
      </c>
      <c r="CQ28" s="46">
        <f t="shared" si="24"/>
        <v>0.0472972973</v>
      </c>
      <c r="CR28" s="37"/>
      <c r="CS28" s="37">
        <f>IFERROR(__xludf.DUMMYFUNCTION("""COMPUTED_VALUE"""),45316.64583333333)</f>
        <v>45316.64583</v>
      </c>
      <c r="CT28" s="45">
        <f>IFERROR(__xludf.DUMMYFUNCTION("""COMPUTED_VALUE"""),209.9)</f>
        <v>209.9</v>
      </c>
      <c r="CU28" s="46">
        <f t="shared" si="25"/>
        <v>0.0601010101</v>
      </c>
      <c r="CV28" s="37"/>
      <c r="CW28" s="37">
        <f>IFERROR(__xludf.DUMMYFUNCTION("""COMPUTED_VALUE"""),45316.64583333333)</f>
        <v>45316.64583</v>
      </c>
      <c r="CX28" s="45">
        <f>IFERROR(__xludf.DUMMYFUNCTION("""COMPUTED_VALUE"""),885.0)</f>
        <v>885</v>
      </c>
      <c r="CY28" s="46">
        <f t="shared" si="26"/>
        <v>0.2793084507</v>
      </c>
      <c r="CZ28" s="37"/>
      <c r="DA28" s="37">
        <f>IFERROR(__xludf.DUMMYFUNCTION("""COMPUTED_VALUE"""),45316.64583333333)</f>
        <v>45316.64583</v>
      </c>
      <c r="DB28" s="45">
        <f>IFERROR(__xludf.DUMMYFUNCTION("""COMPUTED_VALUE"""),30.5)</f>
        <v>30.5</v>
      </c>
      <c r="DC28" s="46">
        <f t="shared" si="27"/>
        <v>0.09318996416</v>
      </c>
      <c r="DD28" s="37"/>
      <c r="DE28" s="37">
        <f>IFERROR(__xludf.DUMMYFUNCTION("""COMPUTED_VALUE"""),45316.64583333333)</f>
        <v>45316.64583</v>
      </c>
      <c r="DF28" s="45">
        <f>IFERROR(__xludf.DUMMYFUNCTION("""COMPUTED_VALUE"""),80.0)</f>
        <v>80</v>
      </c>
      <c r="DG28" s="46">
        <f t="shared" si="28"/>
        <v>-0.2939099735</v>
      </c>
      <c r="DH28" s="37"/>
      <c r="DI28" s="37">
        <f>IFERROR(__xludf.DUMMYFUNCTION("""COMPUTED_VALUE"""),45316.64583333333)</f>
        <v>45316.64583</v>
      </c>
      <c r="DJ28" s="45">
        <f>IFERROR(__xludf.DUMMYFUNCTION("""COMPUTED_VALUE"""),1780.0)</f>
        <v>1780</v>
      </c>
      <c r="DK28" s="46">
        <f t="shared" si="29"/>
        <v>0.1091724826</v>
      </c>
      <c r="DL28" s="37"/>
      <c r="DM28" s="37">
        <f>IFERROR(__xludf.DUMMYFUNCTION("""COMPUTED_VALUE"""),45316.64583333333)</f>
        <v>45316.64583</v>
      </c>
      <c r="DN28" s="45">
        <f>IFERROR(__xludf.DUMMYFUNCTION("""COMPUTED_VALUE"""),579.8)</f>
        <v>579.8</v>
      </c>
      <c r="DO28" s="46">
        <f t="shared" si="30"/>
        <v>0.08141378346</v>
      </c>
      <c r="DP28" s="37"/>
      <c r="DQ28" s="37">
        <f>IFERROR(__xludf.DUMMYFUNCTION("""COMPUTED_VALUE"""),45316.64583333333)</f>
        <v>45316.64583</v>
      </c>
      <c r="DR28" s="45">
        <f>IFERROR(__xludf.DUMMYFUNCTION("""COMPUTED_VALUE"""),227.7)</f>
        <v>227.7</v>
      </c>
      <c r="DS28" s="46">
        <f t="shared" si="31"/>
        <v>0.04449541284</v>
      </c>
      <c r="DT28" s="37"/>
      <c r="DU28" s="37">
        <f>IFERROR(__xludf.DUMMYFUNCTION("""COMPUTED_VALUE"""),45316.64583333333)</f>
        <v>45316.64583</v>
      </c>
      <c r="DV28" s="45">
        <f>IFERROR(__xludf.DUMMYFUNCTION("""COMPUTED_VALUE"""),861.03)</f>
        <v>861.03</v>
      </c>
      <c r="DW28" s="46">
        <f t="shared" si="32"/>
        <v>0.01238095238</v>
      </c>
      <c r="DX28" s="37"/>
      <c r="DY28" s="37">
        <f>IFERROR(__xludf.DUMMYFUNCTION("""COMPUTED_VALUE"""),45316.64583333333)</f>
        <v>45316.64583</v>
      </c>
      <c r="DZ28" s="45">
        <f>IFERROR(__xludf.DUMMYFUNCTION("""COMPUTED_VALUE"""),10.35)</f>
        <v>10.35</v>
      </c>
      <c r="EA28" s="46">
        <f t="shared" si="33"/>
        <v>-0.04608294931</v>
      </c>
      <c r="EB28" s="37"/>
      <c r="EC28" s="37">
        <f>IFERROR(__xludf.DUMMYFUNCTION("""COMPUTED_VALUE"""),45316.64583333333)</f>
        <v>45316.64583</v>
      </c>
      <c r="ED28" s="45">
        <f>IFERROR(__xludf.DUMMYFUNCTION("""COMPUTED_VALUE"""),2405.0)</f>
        <v>2405</v>
      </c>
      <c r="EE28" s="46">
        <f t="shared" si="34"/>
        <v>-0.09073724008</v>
      </c>
      <c r="EF28" s="37"/>
      <c r="EG28" s="37">
        <f>IFERROR(__xludf.DUMMYFUNCTION("""COMPUTED_VALUE"""),45316.64583333333)</f>
        <v>45316.64583</v>
      </c>
      <c r="EH28" s="45">
        <f>IFERROR(__xludf.DUMMYFUNCTION("""COMPUTED_VALUE"""),954.2)</f>
        <v>954.2</v>
      </c>
      <c r="EI28" s="46">
        <f t="shared" si="35"/>
        <v>0.471168671</v>
      </c>
      <c r="EJ28" s="37"/>
      <c r="EK28" s="37">
        <f>IFERROR(__xludf.DUMMYFUNCTION("""COMPUTED_VALUE"""),45316.64583333333)</f>
        <v>45316.64583</v>
      </c>
      <c r="EL28" s="45">
        <f>IFERROR(__xludf.DUMMYFUNCTION("""COMPUTED_VALUE"""),198.7)</f>
        <v>198.7</v>
      </c>
      <c r="EM28" s="46">
        <f t="shared" si="36"/>
        <v>-0.01633663366</v>
      </c>
      <c r="EN28" s="37"/>
      <c r="EO28" s="37">
        <f>IFERROR(__xludf.DUMMYFUNCTION("""COMPUTED_VALUE"""),45316.64583333333)</f>
        <v>45316.64583</v>
      </c>
      <c r="EP28" s="45">
        <f>IFERROR(__xludf.DUMMYFUNCTION("""COMPUTED_VALUE"""),167.15)</f>
        <v>167.15</v>
      </c>
      <c r="EQ28" s="46">
        <f t="shared" si="37"/>
        <v>0.07873507583</v>
      </c>
      <c r="ER28" s="37"/>
      <c r="ES28" s="37">
        <f>IFERROR(__xludf.DUMMYFUNCTION("""COMPUTED_VALUE"""),45316.64583333333)</f>
        <v>45316.64583</v>
      </c>
      <c r="ET28" s="45">
        <f>IFERROR(__xludf.DUMMYFUNCTION("""COMPUTED_VALUE"""),197.6)</f>
        <v>197.6</v>
      </c>
      <c r="EU28" s="46">
        <f t="shared" si="38"/>
        <v>0.01672240803</v>
      </c>
      <c r="EV28" s="37"/>
      <c r="EW28" s="37">
        <f>IFERROR(__xludf.DUMMYFUNCTION("""COMPUTED_VALUE"""),45316.64583333333)</f>
        <v>45316.64583</v>
      </c>
      <c r="EX28" s="45">
        <f>IFERROR(__xludf.DUMMYFUNCTION("""COMPUTED_VALUE"""),689.7)</f>
        <v>689.7</v>
      </c>
      <c r="EY28" s="46">
        <f t="shared" si="39"/>
        <v>0.06435185185</v>
      </c>
      <c r="EZ28" s="37"/>
      <c r="FA28" s="37">
        <f>IFERROR(__xludf.DUMMYFUNCTION("""COMPUTED_VALUE"""),45316.64583333333)</f>
        <v>45316.64583</v>
      </c>
      <c r="FB28" s="45">
        <f>IFERROR(__xludf.DUMMYFUNCTION("""COMPUTED_VALUE"""),187.8)</f>
        <v>187.8</v>
      </c>
      <c r="FC28" s="46">
        <f t="shared" si="40"/>
        <v>0.07683486239</v>
      </c>
      <c r="FD28" s="37"/>
      <c r="FE28" s="37">
        <f>IFERROR(__xludf.DUMMYFUNCTION("""COMPUTED_VALUE"""),45316.64583333333)</f>
        <v>45316.64583</v>
      </c>
      <c r="FF28" s="45">
        <f>IFERROR(__xludf.DUMMYFUNCTION("""COMPUTED_VALUE"""),340.7)</f>
        <v>340.7</v>
      </c>
      <c r="FG28" s="46">
        <f t="shared" si="41"/>
        <v>0.1177821522</v>
      </c>
      <c r="FH28" s="37"/>
      <c r="FI28" s="37">
        <f>IFERROR(__xludf.DUMMYFUNCTION("""COMPUTED_VALUE"""),45316.64583333333)</f>
        <v>45316.64583</v>
      </c>
      <c r="FJ28" s="45">
        <f>IFERROR(__xludf.DUMMYFUNCTION("""COMPUTED_VALUE"""),611.8)</f>
        <v>611.8</v>
      </c>
      <c r="FK28" s="46">
        <f t="shared" si="42"/>
        <v>0.009487666034</v>
      </c>
      <c r="FL28" s="37"/>
      <c r="FM28" s="37">
        <f>IFERROR(__xludf.DUMMYFUNCTION("""COMPUTED_VALUE"""),45316.64583333333)</f>
        <v>45316.64583</v>
      </c>
      <c r="FN28" s="45">
        <f>IFERROR(__xludf.DUMMYFUNCTION("""COMPUTED_VALUE"""),102.4)</f>
        <v>102.4</v>
      </c>
      <c r="FO28" s="46">
        <f t="shared" si="43"/>
        <v>0.07789473684</v>
      </c>
      <c r="FP28" s="37"/>
      <c r="FQ28" s="37">
        <f>IFERROR(__xludf.DUMMYFUNCTION("""COMPUTED_VALUE"""),45316.64583333333)</f>
        <v>45316.64583</v>
      </c>
      <c r="FR28" s="45">
        <f>IFERROR(__xludf.DUMMYFUNCTION("""COMPUTED_VALUE"""),4.25)</f>
        <v>4.25</v>
      </c>
      <c r="FS28" s="46">
        <f t="shared" si="44"/>
        <v>-0.2272727273</v>
      </c>
      <c r="FT28" s="37"/>
      <c r="FU28" s="37">
        <f>IFERROR(__xludf.DUMMYFUNCTION("""COMPUTED_VALUE"""),45316.64583333333)</f>
        <v>45316.64583</v>
      </c>
      <c r="FV28" s="45">
        <f>IFERROR(__xludf.DUMMYFUNCTION("""COMPUTED_VALUE"""),691.55)</f>
        <v>691.55</v>
      </c>
      <c r="FW28" s="46">
        <f t="shared" si="45"/>
        <v>0.03595236312</v>
      </c>
      <c r="FX28" s="37"/>
      <c r="FY28" s="37">
        <f>IFERROR(__xludf.DUMMYFUNCTION("""COMPUTED_VALUE"""),45316.64583333333)</f>
        <v>45316.64583</v>
      </c>
      <c r="FZ28" s="45">
        <f>IFERROR(__xludf.DUMMYFUNCTION("""COMPUTED_VALUE"""),154.4)</f>
        <v>154.4</v>
      </c>
      <c r="GA28" s="46">
        <f t="shared" si="46"/>
        <v>-0.09069493522</v>
      </c>
      <c r="GB28" s="37"/>
      <c r="GC28" s="37">
        <f>IFERROR(__xludf.DUMMYFUNCTION("""COMPUTED_VALUE"""),45316.64583333333)</f>
        <v>45316.64583</v>
      </c>
      <c r="GD28" s="45">
        <f>IFERROR(__xludf.DUMMYFUNCTION("""COMPUTED_VALUE"""),377.0)</f>
        <v>377</v>
      </c>
      <c r="GE28" s="46">
        <f t="shared" si="47"/>
        <v>-0.1838060186</v>
      </c>
      <c r="GF28" s="37"/>
      <c r="GG28" s="37">
        <f>IFERROR(__xludf.DUMMYFUNCTION("""COMPUTED_VALUE"""),45316.64583333333)</f>
        <v>45316.64583</v>
      </c>
      <c r="GH28" s="45">
        <f>IFERROR(__xludf.DUMMYFUNCTION("""COMPUTED_VALUE"""),5399.15)</f>
        <v>5399.15</v>
      </c>
      <c r="GI28" s="46">
        <f t="shared" si="48"/>
        <v>0.01889979241</v>
      </c>
      <c r="GJ28" s="37"/>
      <c r="GK28" s="37">
        <f>IFERROR(__xludf.DUMMYFUNCTION("""COMPUTED_VALUE"""),45316.64583333333)</f>
        <v>45316.64583</v>
      </c>
      <c r="GL28" s="45">
        <f>IFERROR(__xludf.DUMMYFUNCTION("""COMPUTED_VALUE"""),86.95)</f>
        <v>86.95</v>
      </c>
      <c r="GM28" s="46">
        <f t="shared" si="49"/>
        <v>-0.2332451499</v>
      </c>
      <c r="GN28" s="37"/>
      <c r="GO28" s="37">
        <f>IFERROR(__xludf.DUMMYFUNCTION("""COMPUTED_VALUE"""),45316.64583333333)</f>
        <v>45316.64583</v>
      </c>
      <c r="GP28" s="45">
        <f>IFERROR(__xludf.DUMMYFUNCTION("""COMPUTED_VALUE"""),1158.95)</f>
        <v>1158.95</v>
      </c>
      <c r="GQ28" s="46">
        <f t="shared" si="50"/>
        <v>0.05402209995</v>
      </c>
      <c r="GR28" s="37"/>
      <c r="GS28" s="37">
        <f>IFERROR(__xludf.DUMMYFUNCTION("""COMPUTED_VALUE"""),45316.64583333333)</f>
        <v>45316.64583</v>
      </c>
      <c r="GT28" s="45">
        <f>IFERROR(__xludf.DUMMYFUNCTION("""COMPUTED_VALUE"""),14.75)</f>
        <v>14.75</v>
      </c>
      <c r="GU28" s="46">
        <f t="shared" si="51"/>
        <v>0.138996139</v>
      </c>
      <c r="GV28" s="37"/>
      <c r="GW28" s="37">
        <f>IFERROR(__xludf.DUMMYFUNCTION("""COMPUTED_VALUE"""),45320.64583333333)</f>
        <v>45320.64583</v>
      </c>
      <c r="GX28" s="45">
        <f>IFERROR(__xludf.DUMMYFUNCTION("""COMPUTED_VALUE"""),19.05)</f>
        <v>19.05</v>
      </c>
      <c r="GY28" s="46">
        <f t="shared" si="52"/>
        <v>0.1545454545</v>
      </c>
      <c r="GZ28" s="37"/>
      <c r="HA28" s="37">
        <f>IFERROR(__xludf.DUMMYFUNCTION("""COMPUTED_VALUE"""),45320.64583333333)</f>
        <v>45320.64583</v>
      </c>
      <c r="HB28" s="45">
        <f>IFERROR(__xludf.DUMMYFUNCTION("""COMPUTED_VALUE"""),571.95)</f>
        <v>571.95</v>
      </c>
      <c r="HC28" s="46">
        <f t="shared" si="53"/>
        <v>-0.05929276316</v>
      </c>
      <c r="HD28" s="37"/>
      <c r="HE28" s="43">
        <f>IFERROR(__xludf.DUMMYFUNCTION("""COMPUTED_VALUE"""),45320.64583333333)</f>
        <v>45320.64583</v>
      </c>
      <c r="HF28" s="45">
        <f>IFERROR(__xludf.DUMMYFUNCTION("""COMPUTED_VALUE"""),2700.0)</f>
        <v>2700</v>
      </c>
      <c r="HG28" s="46" t="str">
        <f t="shared" si="54"/>
        <v>#DIV/0!</v>
      </c>
      <c r="HH28" s="37"/>
      <c r="HI28" s="37">
        <f>IFERROR(__xludf.DUMMYFUNCTION("""COMPUTED_VALUE"""),45320.64583333333)</f>
        <v>45320.64583</v>
      </c>
      <c r="HJ28" s="45">
        <f>IFERROR(__xludf.DUMMYFUNCTION("""COMPUTED_VALUE"""),6609.95)</f>
        <v>6609.95</v>
      </c>
      <c r="HK28" s="46">
        <f t="shared" si="55"/>
        <v>0.2935196329</v>
      </c>
      <c r="HL28" s="37"/>
      <c r="HM28" s="37">
        <f>IFERROR(__xludf.DUMMYFUNCTION("""COMPUTED_VALUE"""),45320.64583333333)</f>
        <v>45320.64583</v>
      </c>
      <c r="HN28" s="45">
        <f>IFERROR(__xludf.DUMMYFUNCTION("""COMPUTED_VALUE"""),387.35)</f>
        <v>387.35</v>
      </c>
      <c r="HO28" s="46">
        <f t="shared" si="56"/>
        <v>-0.04722666339</v>
      </c>
      <c r="HP28" s="37"/>
      <c r="HQ28" s="37">
        <f>IFERROR(__xludf.DUMMYFUNCTION("""COMPUTED_VALUE"""),45320.64583333333)</f>
        <v>45320.64583</v>
      </c>
      <c r="HR28" s="45">
        <f>IFERROR(__xludf.DUMMYFUNCTION("""COMPUTED_VALUE"""),255.0)</f>
        <v>255</v>
      </c>
      <c r="HS28" s="46">
        <f t="shared" si="57"/>
        <v>0.002752654345</v>
      </c>
      <c r="HT28" s="37"/>
      <c r="HU28" s="37">
        <f>IFERROR(__xludf.DUMMYFUNCTION("""COMPUTED_VALUE"""),45320.64583333333)</f>
        <v>45320.64583</v>
      </c>
      <c r="HV28" s="45">
        <f>IFERROR(__xludf.DUMMYFUNCTION("""COMPUTED_VALUE"""),67.95)</f>
        <v>67.95</v>
      </c>
      <c r="HW28" s="46">
        <f t="shared" si="58"/>
        <v>0.08894230769</v>
      </c>
      <c r="HX28" s="37"/>
      <c r="HY28" s="37">
        <f>IFERROR(__xludf.DUMMYFUNCTION("""COMPUTED_VALUE"""),45320.64583333333)</f>
        <v>45320.64583</v>
      </c>
      <c r="HZ28" s="45">
        <f>IFERROR(__xludf.DUMMYFUNCTION("""COMPUTED_VALUE"""),346.75)</f>
        <v>346.75</v>
      </c>
      <c r="IA28" s="46">
        <f t="shared" si="59"/>
        <v>-0.2543010753</v>
      </c>
      <c r="IB28" s="37"/>
      <c r="IC28" s="37">
        <f>IFERROR(__xludf.DUMMYFUNCTION("""COMPUTED_VALUE"""),45320.64583333333)</f>
        <v>45320.64583</v>
      </c>
      <c r="ID28" s="45">
        <f>IFERROR(__xludf.DUMMYFUNCTION("""COMPUTED_VALUE"""),78.2)</f>
        <v>78.2</v>
      </c>
      <c r="IE28" s="46">
        <f t="shared" si="60"/>
        <v>-0.8217663818</v>
      </c>
      <c r="IF28" s="37"/>
      <c r="IG28" s="37">
        <f>IFERROR(__xludf.DUMMYFUNCTION("""COMPUTED_VALUE"""),45320.64583333333)</f>
        <v>45320.64583</v>
      </c>
      <c r="IH28" s="45">
        <f>IFERROR(__xludf.DUMMYFUNCTION("""COMPUTED_VALUE"""),538.0)</f>
        <v>538</v>
      </c>
      <c r="II28" s="46">
        <f t="shared" si="61"/>
        <v>0.009380863039</v>
      </c>
      <c r="IJ28" s="37"/>
      <c r="IK28" s="37">
        <f>IFERROR(__xludf.DUMMYFUNCTION("""COMPUTED_VALUE"""),45320.64583333333)</f>
        <v>45320.64583</v>
      </c>
      <c r="IL28" s="45">
        <f>IFERROR(__xludf.DUMMYFUNCTION("""COMPUTED_VALUE"""),563.15)</f>
        <v>563.15</v>
      </c>
      <c r="IM28" s="46">
        <f t="shared" si="62"/>
        <v>-0.08868031394</v>
      </c>
      <c r="IN28" s="37"/>
      <c r="IO28" s="37">
        <f>IFERROR(__xludf.DUMMYFUNCTION("""COMPUTED_VALUE"""),45321.64583333333)</f>
        <v>45321.64583</v>
      </c>
      <c r="IP28" s="45">
        <f>IFERROR(__xludf.DUMMYFUNCTION("""COMPUTED_VALUE"""),190.4)</f>
        <v>190.4</v>
      </c>
      <c r="IQ28" s="46">
        <f t="shared" si="63"/>
        <v>0.5148380937</v>
      </c>
      <c r="IR28" s="37"/>
      <c r="IS28" s="37">
        <f>IFERROR(__xludf.DUMMYFUNCTION("""COMPUTED_VALUE"""),45320.64583333333)</f>
        <v>45320.64583</v>
      </c>
      <c r="IT28" s="45">
        <f>IFERROR(__xludf.DUMMYFUNCTION("""COMPUTED_VALUE"""),1020.0)</f>
        <v>1020</v>
      </c>
      <c r="IU28" s="46">
        <f t="shared" si="64"/>
        <v>0.01593625498</v>
      </c>
      <c r="IV28" s="37"/>
      <c r="IW28" s="37">
        <f>IFERROR(__xludf.DUMMYFUNCTION("""COMPUTED_VALUE"""),45320.64583333333)</f>
        <v>45320.64583</v>
      </c>
      <c r="IX28" s="45">
        <f>IFERROR(__xludf.DUMMYFUNCTION("""COMPUTED_VALUE"""),206.1)</f>
        <v>206.1</v>
      </c>
      <c r="IY28" s="46">
        <f t="shared" si="65"/>
        <v>0.0007283321194</v>
      </c>
      <c r="IZ28" s="37"/>
      <c r="JA28" s="37">
        <f>IFERROR(__xludf.DUMMYFUNCTION("""COMPUTED_VALUE"""),45320.64583333333)</f>
        <v>45320.64583</v>
      </c>
      <c r="JB28" s="45">
        <f>IFERROR(__xludf.DUMMYFUNCTION("""COMPUTED_VALUE"""),34259.95)</f>
        <v>34259.95</v>
      </c>
      <c r="JC28" s="46">
        <f t="shared" si="66"/>
        <v>-0.03227724478</v>
      </c>
      <c r="JD28" s="37"/>
      <c r="JE28" s="37">
        <f>IFERROR(__xludf.DUMMYFUNCTION("""COMPUTED_VALUE"""),45320.64583333333)</f>
        <v>45320.64583</v>
      </c>
      <c r="JF28" s="45">
        <f>IFERROR(__xludf.DUMMYFUNCTION("""COMPUTED_VALUE"""),646.0)</f>
        <v>646</v>
      </c>
      <c r="JG28" s="46">
        <f t="shared" si="67"/>
        <v>0.001550387597</v>
      </c>
      <c r="JH28" s="37"/>
      <c r="JI28" s="37">
        <f>IFERROR(__xludf.DUMMYFUNCTION("""COMPUTED_VALUE"""),45320.64583333333)</f>
        <v>45320.64583</v>
      </c>
      <c r="JJ28" s="45">
        <f>IFERROR(__xludf.DUMMYFUNCTION("""COMPUTED_VALUE"""),311.8)</f>
        <v>311.8</v>
      </c>
      <c r="JK28" s="46">
        <f t="shared" si="68"/>
        <v>-0.06632729451</v>
      </c>
      <c r="JL28" s="37"/>
      <c r="JM28" s="37">
        <f>IFERROR(__xludf.DUMMYFUNCTION("""COMPUTED_VALUE"""),45320.64583333333)</f>
        <v>45320.64583</v>
      </c>
      <c r="JN28" s="45">
        <f>IFERROR(__xludf.DUMMYFUNCTION("""COMPUTED_VALUE"""),15.75)</f>
        <v>15.75</v>
      </c>
      <c r="JO28" s="46">
        <f t="shared" si="69"/>
        <v>-0.9641025641</v>
      </c>
      <c r="JP28" s="37"/>
      <c r="JQ28" s="37">
        <f>IFERROR(__xludf.DUMMYFUNCTION("""COMPUTED_VALUE"""),45320.64583333333)</f>
        <v>45320.64583</v>
      </c>
      <c r="JR28" s="45">
        <f>IFERROR(__xludf.DUMMYFUNCTION("""COMPUTED_VALUE"""),78.4)</f>
        <v>78.4</v>
      </c>
      <c r="JS28" s="46">
        <f t="shared" si="70"/>
        <v>-0.4235294118</v>
      </c>
      <c r="JT28" s="37"/>
      <c r="JU28" s="37">
        <f>IFERROR(__xludf.DUMMYFUNCTION("""COMPUTED_VALUE"""),45320.64583333333)</f>
        <v>45320.64583</v>
      </c>
      <c r="JV28" s="45">
        <f>IFERROR(__xludf.DUMMYFUNCTION("""COMPUTED_VALUE"""),245.8)</f>
        <v>245.8</v>
      </c>
      <c r="JW28" s="46">
        <f t="shared" si="71"/>
        <v>-0.4397720798</v>
      </c>
      <c r="JX28" s="37"/>
      <c r="JY28" s="37">
        <f>IFERROR(__xludf.DUMMYFUNCTION("""COMPUTED_VALUE"""),45320.64583333333)</f>
        <v>45320.64583</v>
      </c>
      <c r="JZ28" s="45">
        <f>IFERROR(__xludf.DUMMYFUNCTION("""COMPUTED_VALUE"""),617.0)</f>
        <v>617</v>
      </c>
      <c r="KA28" s="46">
        <f t="shared" si="72"/>
        <v>0.1197822142</v>
      </c>
      <c r="KB28" s="37"/>
      <c r="KC28" s="37">
        <f>IFERROR(__xludf.DUMMYFUNCTION("""COMPUTED_VALUE"""),45320.64583333333)</f>
        <v>45320.64583</v>
      </c>
      <c r="KD28" s="45">
        <f>IFERROR(__xludf.DUMMYFUNCTION("""COMPUTED_VALUE"""),845.2)</f>
        <v>845.2</v>
      </c>
      <c r="KE28" s="46">
        <f t="shared" si="73"/>
        <v>-0.03245378055</v>
      </c>
      <c r="KF28" s="37"/>
      <c r="KG28" s="37">
        <f>IFERROR(__xludf.DUMMYFUNCTION("""COMPUTED_VALUE"""),45320.64583333333)</f>
        <v>45320.64583</v>
      </c>
      <c r="KH28" s="45">
        <f>IFERROR(__xludf.DUMMYFUNCTION("""COMPUTED_VALUE"""),424.7)</f>
        <v>424.7</v>
      </c>
      <c r="KI28" s="46">
        <f t="shared" si="74"/>
        <v>0.08897435897</v>
      </c>
      <c r="KJ28" s="37"/>
      <c r="KK28" s="37">
        <f>IFERROR(__xludf.DUMMYFUNCTION("""COMPUTED_VALUE"""),45320.64583333333)</f>
        <v>45320.64583</v>
      </c>
      <c r="KL28" s="45">
        <f>IFERROR(__xludf.DUMMYFUNCTION("""COMPUTED_VALUE"""),10.85)</f>
        <v>10.85</v>
      </c>
      <c r="KM28" s="46">
        <f t="shared" si="75"/>
        <v>0.1666666667</v>
      </c>
      <c r="KN28" s="37"/>
      <c r="KO28" s="37">
        <f>IFERROR(__xludf.DUMMYFUNCTION("""COMPUTED_VALUE"""),45320.64583333333)</f>
        <v>45320.64583</v>
      </c>
      <c r="KP28" s="45">
        <f>IFERROR(__xludf.DUMMYFUNCTION("""COMPUTED_VALUE"""),255.0)</f>
        <v>255</v>
      </c>
      <c r="KQ28" s="46">
        <f t="shared" si="76"/>
        <v>0.2543039843</v>
      </c>
      <c r="KR28" s="37"/>
      <c r="KS28" s="37">
        <f>IFERROR(__xludf.DUMMYFUNCTION("""COMPUTED_VALUE"""),45320.64583333333)</f>
        <v>45320.64583</v>
      </c>
      <c r="KT28" s="45">
        <f>IFERROR(__xludf.DUMMYFUNCTION("""COMPUTED_VALUE"""),10.85)</f>
        <v>10.85</v>
      </c>
      <c r="KU28" s="46">
        <f t="shared" si="77"/>
        <v>-0.01809954751</v>
      </c>
      <c r="KV28" s="37"/>
      <c r="KW28" s="37">
        <f>IFERROR(__xludf.DUMMYFUNCTION("""COMPUTED_VALUE"""),45320.64583333333)</f>
        <v>45320.64583</v>
      </c>
      <c r="KX28" s="45">
        <f>IFERROR(__xludf.DUMMYFUNCTION("""COMPUTED_VALUE"""),2380.0)</f>
        <v>2380</v>
      </c>
      <c r="KY28" s="46">
        <f t="shared" si="78"/>
        <v>-0.1085975393</v>
      </c>
      <c r="KZ28" s="37"/>
      <c r="LA28" s="37">
        <f>IFERROR(__xludf.DUMMYFUNCTION("""COMPUTED_VALUE"""),45320.64583333333)</f>
        <v>45320.64583</v>
      </c>
      <c r="LB28" s="45">
        <f>IFERROR(__xludf.DUMMYFUNCTION("""COMPUTED_VALUE"""),19.4)</f>
        <v>19.4</v>
      </c>
      <c r="LC28" s="46">
        <f t="shared" si="79"/>
        <v>0.02917771883</v>
      </c>
      <c r="LD28" s="37"/>
      <c r="LE28" s="37">
        <f>IFERROR(__xludf.DUMMYFUNCTION("""COMPUTED_VALUE"""),45320.64583333333)</f>
        <v>45320.64583</v>
      </c>
      <c r="LF28" s="45">
        <f>IFERROR(__xludf.DUMMYFUNCTION("""COMPUTED_VALUE"""),135.0)</f>
        <v>135</v>
      </c>
      <c r="LG28" s="46">
        <f t="shared" si="80"/>
        <v>0.08</v>
      </c>
      <c r="LH28" s="37"/>
      <c r="LI28" s="37">
        <f>IFERROR(__xludf.DUMMYFUNCTION("""COMPUTED_VALUE"""),45320.64583333333)</f>
        <v>45320.64583</v>
      </c>
      <c r="LJ28" s="45">
        <f>IFERROR(__xludf.DUMMYFUNCTION("""COMPUTED_VALUE"""),753.95)</f>
        <v>753.95</v>
      </c>
      <c r="LK28" s="46">
        <f t="shared" si="81"/>
        <v>0.0356456044</v>
      </c>
      <c r="LL28" s="37"/>
      <c r="LM28" s="37">
        <f>IFERROR(__xludf.DUMMYFUNCTION("""COMPUTED_VALUE"""),45320.64583333333)</f>
        <v>45320.64583</v>
      </c>
      <c r="LN28" s="45">
        <f>IFERROR(__xludf.DUMMYFUNCTION("""COMPUTED_VALUE"""),750.6)</f>
        <v>750.6</v>
      </c>
      <c r="LO28" s="46">
        <f t="shared" si="82"/>
        <v>-0.1221052632</v>
      </c>
      <c r="LP28" s="37"/>
      <c r="LQ28" s="37">
        <f>IFERROR(__xludf.DUMMYFUNCTION("""COMPUTED_VALUE"""),45320.64583333333)</f>
        <v>45320.64583</v>
      </c>
      <c r="LR28" s="45">
        <f>IFERROR(__xludf.DUMMYFUNCTION("""COMPUTED_VALUE"""),594.15)</f>
        <v>594.15</v>
      </c>
      <c r="LS28" s="46">
        <f t="shared" si="83"/>
        <v>0.6260262726</v>
      </c>
      <c r="LT28" s="37"/>
      <c r="LU28" s="37">
        <f>IFERROR(__xludf.DUMMYFUNCTION("""COMPUTED_VALUE"""),45320.64583333333)</f>
        <v>45320.64583</v>
      </c>
      <c r="LV28" s="45">
        <f>IFERROR(__xludf.DUMMYFUNCTION("""COMPUTED_VALUE"""),130.0)</f>
        <v>130</v>
      </c>
      <c r="LW28" s="46">
        <f t="shared" si="84"/>
        <v>-0.04970760234</v>
      </c>
      <c r="LX28" s="37"/>
      <c r="LY28" s="37">
        <f>IFERROR(__xludf.DUMMYFUNCTION("""COMPUTED_VALUE"""),45320.64583333333)</f>
        <v>45320.64583</v>
      </c>
      <c r="LZ28" s="45">
        <f>IFERROR(__xludf.DUMMYFUNCTION("""COMPUTED_VALUE"""),679.95)</f>
        <v>679.95</v>
      </c>
      <c r="MA28" s="46">
        <f t="shared" si="85"/>
        <v>0.09669354839</v>
      </c>
      <c r="MB28" s="37"/>
      <c r="MC28" s="37"/>
      <c r="MD28" s="45"/>
      <c r="ME28" s="46" t="str">
        <f t="shared" si="86"/>
        <v>#DIV/0!</v>
      </c>
      <c r="MF28" s="37"/>
      <c r="MG28" s="37">
        <f>IFERROR(__xludf.DUMMYFUNCTION("""COMPUTED_VALUE"""),45320.64583333333)</f>
        <v>45320.64583</v>
      </c>
      <c r="MH28" s="45">
        <f>IFERROR(__xludf.DUMMYFUNCTION("""COMPUTED_VALUE"""),1908.7)</f>
        <v>1908.7</v>
      </c>
      <c r="MI28" s="46">
        <f t="shared" si="87"/>
        <v>-0.02664524848</v>
      </c>
      <c r="MJ28" s="37"/>
      <c r="MK28" s="37">
        <f>IFERROR(__xludf.DUMMYFUNCTION("""COMPUTED_VALUE"""),45320.64583333333)</f>
        <v>45320.64583</v>
      </c>
      <c r="ML28" s="45">
        <f>IFERROR(__xludf.DUMMYFUNCTION("""COMPUTED_VALUE"""),375.0)</f>
        <v>375</v>
      </c>
      <c r="MM28" s="46">
        <f t="shared" si="88"/>
        <v>-0.06238279785</v>
      </c>
      <c r="MN28" s="37"/>
      <c r="MO28" s="37">
        <f>IFERROR(__xludf.DUMMYFUNCTION("""COMPUTED_VALUE"""),45320.64583333333)</f>
        <v>45320.64583</v>
      </c>
      <c r="MP28" s="45">
        <f>IFERROR(__xludf.DUMMYFUNCTION("""COMPUTED_VALUE"""),802.0)</f>
        <v>802</v>
      </c>
      <c r="MQ28" s="46">
        <f t="shared" si="89"/>
        <v>0.08378378378</v>
      </c>
      <c r="MR28" s="37"/>
      <c r="MS28" s="37">
        <f>IFERROR(__xludf.DUMMYFUNCTION("""COMPUTED_VALUE"""),45320.64583333333)</f>
        <v>45320.64583</v>
      </c>
      <c r="MT28" s="45">
        <f>IFERROR(__xludf.DUMMYFUNCTION("""COMPUTED_VALUE"""),64.3)</f>
        <v>64.3</v>
      </c>
      <c r="MU28" s="46">
        <f t="shared" si="90"/>
        <v>-0.02796674225</v>
      </c>
      <c r="MV28" s="37"/>
      <c r="MW28" s="37">
        <f>IFERROR(__xludf.DUMMYFUNCTION("""COMPUTED_VALUE"""),45320.64583333333)</f>
        <v>45320.64583</v>
      </c>
      <c r="MX28" s="45">
        <f>IFERROR(__xludf.DUMMYFUNCTION("""COMPUTED_VALUE"""),3061.1)</f>
        <v>3061.1</v>
      </c>
      <c r="MY28" s="46">
        <f t="shared" si="91"/>
        <v>-0.02729583731</v>
      </c>
      <c r="MZ28" s="37"/>
      <c r="NA28" s="37">
        <f>IFERROR(__xludf.DUMMYFUNCTION("""COMPUTED_VALUE"""),45320.64583333333)</f>
        <v>45320.64583</v>
      </c>
      <c r="NB28" s="45">
        <f>IFERROR(__xludf.DUMMYFUNCTION("""COMPUTED_VALUE"""),15.1)</f>
        <v>15.1</v>
      </c>
      <c r="NC28" s="46">
        <f t="shared" si="92"/>
        <v>0.1936758893</v>
      </c>
      <c r="ND28" s="37"/>
      <c r="NE28" s="37">
        <f>IFERROR(__xludf.DUMMYFUNCTION("""COMPUTED_VALUE"""),45321.64583333333)</f>
        <v>45321.64583</v>
      </c>
      <c r="NF28" s="45">
        <f>IFERROR(__xludf.DUMMYFUNCTION("""COMPUTED_VALUE"""),373.7)</f>
        <v>373.7</v>
      </c>
      <c r="NG28" s="46">
        <f t="shared" si="93"/>
        <v>-0.02415458937</v>
      </c>
      <c r="NH28" s="37"/>
      <c r="NI28" s="37">
        <f>IFERROR(__xludf.DUMMYFUNCTION("""COMPUTED_VALUE"""),45321.64583333333)</f>
        <v>45321.64583</v>
      </c>
      <c r="NJ28" s="45">
        <f>IFERROR(__xludf.DUMMYFUNCTION("""COMPUTED_VALUE"""),323.53)</f>
        <v>323.53</v>
      </c>
      <c r="NK28" s="46">
        <f t="shared" si="94"/>
        <v>0.2132223347</v>
      </c>
      <c r="NL28" s="37"/>
      <c r="NM28" s="37">
        <f>IFERROR(__xludf.DUMMYFUNCTION("""COMPUTED_VALUE"""),45321.64583333333)</f>
        <v>45321.64583</v>
      </c>
      <c r="NN28" s="45">
        <f>IFERROR(__xludf.DUMMYFUNCTION("""COMPUTED_VALUE"""),124.85)</f>
        <v>124.85</v>
      </c>
      <c r="NO28" s="46">
        <f t="shared" si="95"/>
        <v>0.01257096513</v>
      </c>
      <c r="NP28" s="37"/>
      <c r="NQ28" s="37">
        <f>IFERROR(__xludf.DUMMYFUNCTION("""COMPUTED_VALUE"""),45321.64583333333)</f>
        <v>45321.64583</v>
      </c>
      <c r="NR28" s="45">
        <f>IFERROR(__xludf.DUMMYFUNCTION("""COMPUTED_VALUE"""),4662.0)</f>
        <v>4662</v>
      </c>
      <c r="NS28" s="46">
        <f t="shared" si="96"/>
        <v>0.1163793103</v>
      </c>
      <c r="NT28" s="37"/>
      <c r="NU28" s="37">
        <f>IFERROR(__xludf.DUMMYFUNCTION("""COMPUTED_VALUE"""),45321.64583333333)</f>
        <v>45321.64583</v>
      </c>
      <c r="NV28" s="45">
        <f>IFERROR(__xludf.DUMMYFUNCTION("""COMPUTED_VALUE"""),14.95)</f>
        <v>14.95</v>
      </c>
      <c r="NW28" s="46">
        <f t="shared" si="97"/>
        <v>0.1771653543</v>
      </c>
      <c r="NX28" s="37"/>
      <c r="NY28" s="37">
        <f>IFERROR(__xludf.DUMMYFUNCTION("""COMPUTED_VALUE"""),45321.64583333333)</f>
        <v>45321.64583</v>
      </c>
      <c r="NZ28" s="45">
        <f>IFERROR(__xludf.DUMMYFUNCTION("""COMPUTED_VALUE"""),312.45)</f>
        <v>312.45</v>
      </c>
      <c r="OA28" s="46">
        <f t="shared" si="98"/>
        <v>0.2660048622</v>
      </c>
      <c r="OB28" s="37"/>
      <c r="OC28" s="37">
        <f>IFERROR(__xludf.DUMMYFUNCTION("""COMPUTED_VALUE"""),45321.64583333333)</f>
        <v>45321.64583</v>
      </c>
      <c r="OD28" s="45">
        <f>IFERROR(__xludf.DUMMYFUNCTION("""COMPUTED_VALUE"""),1147.2)</f>
        <v>1147.2</v>
      </c>
      <c r="OE28" s="46">
        <f t="shared" si="99"/>
        <v>0.08847668295</v>
      </c>
      <c r="OF28" s="37"/>
      <c r="OG28" s="37">
        <f>IFERROR(__xludf.DUMMYFUNCTION("""COMPUTED_VALUE"""),45321.64583333333)</f>
        <v>45321.64583</v>
      </c>
      <c r="OH28" s="45">
        <f>IFERROR(__xludf.DUMMYFUNCTION("""COMPUTED_VALUE"""),2714.2)</f>
        <v>2714.2</v>
      </c>
      <c r="OI28" s="46">
        <f t="shared" si="100"/>
        <v>0.1124682351</v>
      </c>
      <c r="OJ28" s="37"/>
      <c r="OK28" s="37"/>
      <c r="OL28" s="45"/>
      <c r="OM28" s="46" t="str">
        <f t="shared" si="101"/>
        <v>#DIV/0!</v>
      </c>
      <c r="ON28" s="37"/>
    </row>
    <row r="29" ht="12.0" customHeight="1">
      <c r="A29" s="37">
        <f>IFERROR(__xludf.DUMMYFUNCTION("""COMPUTED_VALUE"""),45320.64583333333)</f>
        <v>45320.64583</v>
      </c>
      <c r="B29" s="45">
        <f>IFERROR(__xludf.DUMMYFUNCTION("""COMPUTED_VALUE"""),383.0)</f>
        <v>383</v>
      </c>
      <c r="C29" s="46">
        <f t="shared" si="1"/>
        <v>-0.1270655271</v>
      </c>
      <c r="D29" s="37"/>
      <c r="E29" s="37">
        <f>IFERROR(__xludf.DUMMYFUNCTION("""COMPUTED_VALUE"""),45320.64583333333)</f>
        <v>45320.64583</v>
      </c>
      <c r="F29" s="45">
        <f>IFERROR(__xludf.DUMMYFUNCTION("""COMPUTED_VALUE"""),724.0)</f>
        <v>724</v>
      </c>
      <c r="G29" s="46">
        <f t="shared" si="2"/>
        <v>0.1053435115</v>
      </c>
      <c r="H29" s="37"/>
      <c r="I29" s="37">
        <f>IFERROR(__xludf.DUMMYFUNCTION("""COMPUTED_VALUE"""),45320.64583333333)</f>
        <v>45320.64583</v>
      </c>
      <c r="J29" s="45">
        <f>IFERROR(__xludf.DUMMYFUNCTION("""COMPUTED_VALUE"""),193.7)</f>
        <v>193.7</v>
      </c>
      <c r="K29" s="46">
        <f t="shared" si="3"/>
        <v>0.0527173913</v>
      </c>
      <c r="L29" s="37"/>
      <c r="M29" s="37">
        <f>IFERROR(__xludf.DUMMYFUNCTION("""COMPUTED_VALUE"""),45320.64583333333)</f>
        <v>45320.64583</v>
      </c>
      <c r="N29" s="45">
        <f>IFERROR(__xludf.DUMMYFUNCTION("""COMPUTED_VALUE"""),108.0)</f>
        <v>108</v>
      </c>
      <c r="O29" s="46">
        <f t="shared" si="4"/>
        <v>0.25</v>
      </c>
      <c r="P29" s="37"/>
      <c r="Q29" s="37">
        <f>IFERROR(__xludf.DUMMYFUNCTION("""COMPUTED_VALUE"""),45320.64583333333)</f>
        <v>45320.64583</v>
      </c>
      <c r="R29" s="45">
        <f>IFERROR(__xludf.DUMMYFUNCTION("""COMPUTED_VALUE"""),47.1)</f>
        <v>47.1</v>
      </c>
      <c r="S29" s="46">
        <f t="shared" si="5"/>
        <v>-0.1028571429</v>
      </c>
      <c r="T29" s="37"/>
      <c r="U29" s="37">
        <f>IFERROR(__xludf.DUMMYFUNCTION("""COMPUTED_VALUE"""),45320.64583333333)</f>
        <v>45320.64583</v>
      </c>
      <c r="V29" s="45">
        <f>IFERROR(__xludf.DUMMYFUNCTION("""COMPUTED_VALUE"""),821.0)</f>
        <v>821</v>
      </c>
      <c r="W29" s="46">
        <f t="shared" si="6"/>
        <v>0.2394323671</v>
      </c>
      <c r="X29" s="37"/>
      <c r="Y29" s="37">
        <f>IFERROR(__xludf.DUMMYFUNCTION("""COMPUTED_VALUE"""),45320.64583333333)</f>
        <v>45320.64583</v>
      </c>
      <c r="Z29" s="45">
        <f>IFERROR(__xludf.DUMMYFUNCTION("""COMPUTED_VALUE"""),191.0)</f>
        <v>191</v>
      </c>
      <c r="AA29" s="46">
        <f t="shared" si="7"/>
        <v>0.03243243243</v>
      </c>
      <c r="AB29" s="37"/>
      <c r="AC29" s="37">
        <f>IFERROR(__xludf.DUMMYFUNCTION("""COMPUTED_VALUE"""),45320.64583333333)</f>
        <v>45320.64583</v>
      </c>
      <c r="AD29" s="45">
        <f>IFERROR(__xludf.DUMMYFUNCTION("""COMPUTED_VALUE"""),2700.0)</f>
        <v>2700</v>
      </c>
      <c r="AE29" s="46">
        <f t="shared" si="8"/>
        <v>0.1370814908</v>
      </c>
      <c r="AF29" s="37"/>
      <c r="AG29" s="37">
        <f>IFERROR(__xludf.DUMMYFUNCTION("""COMPUTED_VALUE"""),45320.64583333333)</f>
        <v>45320.64583</v>
      </c>
      <c r="AH29" s="45">
        <f>IFERROR(__xludf.DUMMYFUNCTION("""COMPUTED_VALUE"""),692.95)</f>
        <v>692.95</v>
      </c>
      <c r="AI29" s="46">
        <f t="shared" si="9"/>
        <v>-0.1750595238</v>
      </c>
      <c r="AJ29" s="37"/>
      <c r="AK29" s="37">
        <f>IFERROR(__xludf.DUMMYFUNCTION("""COMPUTED_VALUE"""),45320.64583333333)</f>
        <v>45320.64583</v>
      </c>
      <c r="AL29" s="45">
        <f>IFERROR(__xludf.DUMMYFUNCTION("""COMPUTED_VALUE"""),6609.95)</f>
        <v>6609.95</v>
      </c>
      <c r="AM29" s="46">
        <f t="shared" si="10"/>
        <v>0.2711442308</v>
      </c>
      <c r="AN29" s="37"/>
      <c r="AO29" s="37">
        <f>IFERROR(__xludf.DUMMYFUNCTION("""COMPUTED_VALUE"""),45320.64583333333)</f>
        <v>45320.64583</v>
      </c>
      <c r="AP29" s="45">
        <f>IFERROR(__xludf.DUMMYFUNCTION("""COMPUTED_VALUE"""),835.0)</f>
        <v>835</v>
      </c>
      <c r="AQ29" s="46">
        <f t="shared" si="11"/>
        <v>-0.08241758242</v>
      </c>
      <c r="AR29" s="37"/>
      <c r="AS29" s="37">
        <f>IFERROR(__xludf.DUMMYFUNCTION("""COMPUTED_VALUE"""),45320.64583333333)</f>
        <v>45320.64583</v>
      </c>
      <c r="AT29" s="45">
        <f>IFERROR(__xludf.DUMMYFUNCTION("""COMPUTED_VALUE"""),2250.0)</f>
        <v>2250</v>
      </c>
      <c r="AU29" s="46">
        <f t="shared" si="12"/>
        <v>-0.09416643182</v>
      </c>
      <c r="AV29" s="37"/>
      <c r="AW29" s="37">
        <f>IFERROR(__xludf.DUMMYFUNCTION("""COMPUTED_VALUE"""),45320.64583333333)</f>
        <v>45320.64583</v>
      </c>
      <c r="AX29" s="45">
        <f>IFERROR(__xludf.DUMMYFUNCTION("""COMPUTED_VALUE"""),6394.95)</f>
        <v>6394.95</v>
      </c>
      <c r="AY29" s="46">
        <f t="shared" si="13"/>
        <v>0.1329323601</v>
      </c>
      <c r="AZ29" s="37"/>
      <c r="BA29" s="37">
        <f>IFERROR(__xludf.DUMMYFUNCTION("""COMPUTED_VALUE"""),45320.64583333333)</f>
        <v>45320.64583</v>
      </c>
      <c r="BB29" s="45">
        <f>IFERROR(__xludf.DUMMYFUNCTION("""COMPUTED_VALUE"""),477.0)</f>
        <v>477</v>
      </c>
      <c r="BC29" s="46">
        <f t="shared" si="14"/>
        <v>0.01814300961</v>
      </c>
      <c r="BD29" s="37"/>
      <c r="BE29" s="37">
        <f>IFERROR(__xludf.DUMMYFUNCTION("""COMPUTED_VALUE"""),45320.64583333333)</f>
        <v>45320.64583</v>
      </c>
      <c r="BF29" s="45">
        <f>IFERROR(__xludf.DUMMYFUNCTION("""COMPUTED_VALUE"""),333.75)</f>
        <v>333.75</v>
      </c>
      <c r="BG29" s="46">
        <f t="shared" si="15"/>
        <v>-0.17997543</v>
      </c>
      <c r="BH29" s="37"/>
      <c r="BI29" s="37">
        <f>IFERROR(__xludf.DUMMYFUNCTION("""COMPUTED_VALUE"""),45320.64583333333)</f>
        <v>45320.64583</v>
      </c>
      <c r="BJ29" s="45">
        <f>IFERROR(__xludf.DUMMYFUNCTION("""COMPUTED_VALUE"""),82.45)</f>
        <v>82.45</v>
      </c>
      <c r="BK29" s="46">
        <f t="shared" si="16"/>
        <v>0.1871850252</v>
      </c>
      <c r="BL29" s="37"/>
      <c r="BM29" s="37">
        <f>IFERROR(__xludf.DUMMYFUNCTION("""COMPUTED_VALUE"""),45320.64583333333)</f>
        <v>45320.64583</v>
      </c>
      <c r="BN29" s="45">
        <f>IFERROR(__xludf.DUMMYFUNCTION("""COMPUTED_VALUE"""),255.0)</f>
        <v>255</v>
      </c>
      <c r="BO29" s="46">
        <f t="shared" si="17"/>
        <v>-0.00390625</v>
      </c>
      <c r="BP29" s="37"/>
      <c r="BQ29" s="37">
        <f>IFERROR(__xludf.DUMMYFUNCTION("""COMPUTED_VALUE"""),45320.64583333333)</f>
        <v>45320.64583</v>
      </c>
      <c r="BR29" s="45">
        <f>IFERROR(__xludf.DUMMYFUNCTION("""COMPUTED_VALUE"""),67.95)</f>
        <v>67.95</v>
      </c>
      <c r="BS29" s="46">
        <f t="shared" si="18"/>
        <v>0.1157635468</v>
      </c>
      <c r="BT29" s="37"/>
      <c r="BU29" s="37">
        <f>IFERROR(__xludf.DUMMYFUNCTION("""COMPUTED_VALUE"""),45320.64583333333)</f>
        <v>45320.64583</v>
      </c>
      <c r="BV29" s="45">
        <f>IFERROR(__xludf.DUMMYFUNCTION("""COMPUTED_VALUE"""),342.7)</f>
        <v>342.7</v>
      </c>
      <c r="BW29" s="46">
        <f t="shared" si="19"/>
        <v>0.1076276665</v>
      </c>
      <c r="BX29" s="37"/>
      <c r="BY29" s="37">
        <f>IFERROR(__xludf.DUMMYFUNCTION("""COMPUTED_VALUE"""),45320.64583333333)</f>
        <v>45320.64583</v>
      </c>
      <c r="BZ29" s="45">
        <f>IFERROR(__xludf.DUMMYFUNCTION("""COMPUTED_VALUE"""),346.75)</f>
        <v>346.75</v>
      </c>
      <c r="CA29" s="46">
        <f t="shared" si="20"/>
        <v>-0.1532356532</v>
      </c>
      <c r="CB29" s="37"/>
      <c r="CC29" s="37">
        <f>IFERROR(__xludf.DUMMYFUNCTION("""COMPUTED_VALUE"""),45320.64583333333)</f>
        <v>45320.64583</v>
      </c>
      <c r="CD29" s="45">
        <f>IFERROR(__xludf.DUMMYFUNCTION("""COMPUTED_VALUE"""),275.0)</f>
        <v>275</v>
      </c>
      <c r="CE29" s="46">
        <f t="shared" si="21"/>
        <v>0.1868795857</v>
      </c>
      <c r="CF29" s="37"/>
      <c r="CG29" s="37">
        <f>IFERROR(__xludf.DUMMYFUNCTION("""COMPUTED_VALUE"""),45320.64583333333)</f>
        <v>45320.64583</v>
      </c>
      <c r="CH29" s="45">
        <f>IFERROR(__xludf.DUMMYFUNCTION("""COMPUTED_VALUE"""),646.0)</f>
        <v>646</v>
      </c>
      <c r="CI29" s="46">
        <f t="shared" si="22"/>
        <v>0.01572327044</v>
      </c>
      <c r="CJ29" s="37"/>
      <c r="CK29" s="37">
        <f>IFERROR(__xludf.DUMMYFUNCTION("""COMPUTED_VALUE"""),45320.64583333333)</f>
        <v>45320.64583</v>
      </c>
      <c r="CL29" s="45">
        <f>IFERROR(__xludf.DUMMYFUNCTION("""COMPUTED_VALUE"""),311.8)</f>
        <v>311.8</v>
      </c>
      <c r="CM29" s="46">
        <f t="shared" si="23"/>
        <v>-0.07477744807</v>
      </c>
      <c r="CN29" s="37"/>
      <c r="CO29" s="37">
        <f>IFERROR(__xludf.DUMMYFUNCTION("""COMPUTED_VALUE"""),45320.64583333333)</f>
        <v>45320.64583</v>
      </c>
      <c r="CP29" s="45">
        <f>IFERROR(__xludf.DUMMYFUNCTION("""COMPUTED_VALUE"""),15.75)</f>
        <v>15.75</v>
      </c>
      <c r="CQ29" s="46">
        <f t="shared" si="24"/>
        <v>0.06418918919</v>
      </c>
      <c r="CR29" s="37"/>
      <c r="CS29" s="37">
        <f>IFERROR(__xludf.DUMMYFUNCTION("""COMPUTED_VALUE"""),45320.64583333333)</f>
        <v>45320.64583</v>
      </c>
      <c r="CT29" s="45">
        <f>IFERROR(__xludf.DUMMYFUNCTION("""COMPUTED_VALUE"""),201.7)</f>
        <v>201.7</v>
      </c>
      <c r="CU29" s="46">
        <f t="shared" si="25"/>
        <v>0.01868686869</v>
      </c>
      <c r="CV29" s="37"/>
      <c r="CW29" s="37">
        <f>IFERROR(__xludf.DUMMYFUNCTION("""COMPUTED_VALUE"""),45320.64583333333)</f>
        <v>45320.64583</v>
      </c>
      <c r="CX29" s="45">
        <f>IFERROR(__xludf.DUMMYFUNCTION("""COMPUTED_VALUE"""),883.2)</f>
        <v>883.2</v>
      </c>
      <c r="CY29" s="46">
        <f t="shared" si="26"/>
        <v>0.2767064674</v>
      </c>
      <c r="CZ29" s="37"/>
      <c r="DA29" s="37">
        <f>IFERROR(__xludf.DUMMYFUNCTION("""COMPUTED_VALUE"""),45320.64583333333)</f>
        <v>45320.64583</v>
      </c>
      <c r="DB29" s="45">
        <f>IFERROR(__xludf.DUMMYFUNCTION("""COMPUTED_VALUE"""),31.1)</f>
        <v>31.1</v>
      </c>
      <c r="DC29" s="46">
        <f t="shared" si="27"/>
        <v>0.1146953405</v>
      </c>
      <c r="DD29" s="37"/>
      <c r="DE29" s="37">
        <f>IFERROR(__xludf.DUMMYFUNCTION("""COMPUTED_VALUE"""),45320.64583333333)</f>
        <v>45320.64583</v>
      </c>
      <c r="DF29" s="45">
        <f>IFERROR(__xludf.DUMMYFUNCTION("""COMPUTED_VALUE"""),78.4)</f>
        <v>78.4</v>
      </c>
      <c r="DG29" s="46">
        <f t="shared" si="28"/>
        <v>-0.3080317741</v>
      </c>
      <c r="DH29" s="37"/>
      <c r="DI29" s="37">
        <f>IFERROR(__xludf.DUMMYFUNCTION("""COMPUTED_VALUE"""),45320.64583333333)</f>
        <v>45320.64583</v>
      </c>
      <c r="DJ29" s="45">
        <f>IFERROR(__xludf.DUMMYFUNCTION("""COMPUTED_VALUE"""),1789.95)</f>
        <v>1789.95</v>
      </c>
      <c r="DK29" s="46">
        <f t="shared" si="29"/>
        <v>0.1153726321</v>
      </c>
      <c r="DL29" s="37"/>
      <c r="DM29" s="37">
        <f>IFERROR(__xludf.DUMMYFUNCTION("""COMPUTED_VALUE"""),45320.64583333333)</f>
        <v>45320.64583</v>
      </c>
      <c r="DN29" s="45">
        <f>IFERROR(__xludf.DUMMYFUNCTION("""COMPUTED_VALUE"""),591.95)</f>
        <v>591.95</v>
      </c>
      <c r="DO29" s="46">
        <f t="shared" si="30"/>
        <v>0.104075352</v>
      </c>
      <c r="DP29" s="37"/>
      <c r="DQ29" s="37">
        <f>IFERROR(__xludf.DUMMYFUNCTION("""COMPUTED_VALUE"""),45320.64583333333)</f>
        <v>45320.64583</v>
      </c>
      <c r="DR29" s="45">
        <f>IFERROR(__xludf.DUMMYFUNCTION("""COMPUTED_VALUE"""),231.75)</f>
        <v>231.75</v>
      </c>
      <c r="DS29" s="46">
        <f t="shared" si="31"/>
        <v>0.0630733945</v>
      </c>
      <c r="DT29" s="37"/>
      <c r="DU29" s="37">
        <f>IFERROR(__xludf.DUMMYFUNCTION("""COMPUTED_VALUE"""),45320.64583333333)</f>
        <v>45320.64583</v>
      </c>
      <c r="DV29" s="45">
        <f>IFERROR(__xludf.DUMMYFUNCTION("""COMPUTED_VALUE"""),845.2)</f>
        <v>845.2</v>
      </c>
      <c r="DW29" s="46">
        <f t="shared" si="32"/>
        <v>-0.006231628454</v>
      </c>
      <c r="DX29" s="37"/>
      <c r="DY29" s="37">
        <f>IFERROR(__xludf.DUMMYFUNCTION("""COMPUTED_VALUE"""),45320.64583333333)</f>
        <v>45320.64583</v>
      </c>
      <c r="DZ29" s="45">
        <f>IFERROR(__xludf.DUMMYFUNCTION("""COMPUTED_VALUE"""),10.85)</f>
        <v>10.85</v>
      </c>
      <c r="EA29" s="46">
        <f t="shared" si="33"/>
        <v>0</v>
      </c>
      <c r="EB29" s="37"/>
      <c r="EC29" s="37">
        <f>IFERROR(__xludf.DUMMYFUNCTION("""COMPUTED_VALUE"""),45320.64583333333)</f>
        <v>45320.64583</v>
      </c>
      <c r="ED29" s="45">
        <f>IFERROR(__xludf.DUMMYFUNCTION("""COMPUTED_VALUE"""),2380.0)</f>
        <v>2380</v>
      </c>
      <c r="EE29" s="46">
        <f t="shared" si="34"/>
        <v>-0.1001890359</v>
      </c>
      <c r="EF29" s="37"/>
      <c r="EG29" s="37">
        <f>IFERROR(__xludf.DUMMYFUNCTION("""COMPUTED_VALUE"""),45320.64583333333)</f>
        <v>45320.64583</v>
      </c>
      <c r="EH29" s="45">
        <f>IFERROR(__xludf.DUMMYFUNCTION("""COMPUTED_VALUE"""),1010.75)</f>
        <v>1010.75</v>
      </c>
      <c r="EI29" s="46">
        <f t="shared" si="35"/>
        <v>0.5583564601</v>
      </c>
      <c r="EJ29" s="37"/>
      <c r="EK29" s="37">
        <f>IFERROR(__xludf.DUMMYFUNCTION("""COMPUTED_VALUE"""),45320.64583333333)</f>
        <v>45320.64583</v>
      </c>
      <c r="EL29" s="45">
        <f>IFERROR(__xludf.DUMMYFUNCTION("""COMPUTED_VALUE"""),199.9)</f>
        <v>199.9</v>
      </c>
      <c r="EM29" s="46">
        <f t="shared" si="36"/>
        <v>-0.0103960396</v>
      </c>
      <c r="EN29" s="37"/>
      <c r="EO29" s="37">
        <f>IFERROR(__xludf.DUMMYFUNCTION("""COMPUTED_VALUE"""),45320.64583333333)</f>
        <v>45320.64583</v>
      </c>
      <c r="EP29" s="45">
        <f>IFERROR(__xludf.DUMMYFUNCTION("""COMPUTED_VALUE"""),174.7)</f>
        <v>174.7</v>
      </c>
      <c r="EQ29" s="46">
        <f t="shared" si="37"/>
        <v>0.1274604711</v>
      </c>
      <c r="ER29" s="37"/>
      <c r="ES29" s="37">
        <f>IFERROR(__xludf.DUMMYFUNCTION("""COMPUTED_VALUE"""),45320.64583333333)</f>
        <v>45320.64583</v>
      </c>
      <c r="ET29" s="45">
        <f>IFERROR(__xludf.DUMMYFUNCTION("""COMPUTED_VALUE"""),187.4)</f>
        <v>187.4</v>
      </c>
      <c r="EU29" s="46">
        <f t="shared" si="38"/>
        <v>-0.0357602264</v>
      </c>
      <c r="EV29" s="37"/>
      <c r="EW29" s="37">
        <f>IFERROR(__xludf.DUMMYFUNCTION("""COMPUTED_VALUE"""),45320.64583333333)</f>
        <v>45320.64583</v>
      </c>
      <c r="EX29" s="45">
        <f>IFERROR(__xludf.DUMMYFUNCTION("""COMPUTED_VALUE"""),695.0)</f>
        <v>695</v>
      </c>
      <c r="EY29" s="46">
        <f t="shared" si="39"/>
        <v>0.0725308642</v>
      </c>
      <c r="EZ29" s="37"/>
      <c r="FA29" s="37">
        <f>IFERROR(__xludf.DUMMYFUNCTION("""COMPUTED_VALUE"""),45320.64583333333)</f>
        <v>45320.64583</v>
      </c>
      <c r="FB29" s="45">
        <f>IFERROR(__xludf.DUMMYFUNCTION("""COMPUTED_VALUE"""),197.0)</f>
        <v>197</v>
      </c>
      <c r="FC29" s="46">
        <f t="shared" si="40"/>
        <v>0.129587156</v>
      </c>
      <c r="FD29" s="37"/>
      <c r="FE29" s="37">
        <f>IFERROR(__xludf.DUMMYFUNCTION("""COMPUTED_VALUE"""),45320.64583333333)</f>
        <v>45320.64583</v>
      </c>
      <c r="FF29" s="45">
        <f>IFERROR(__xludf.DUMMYFUNCTION("""COMPUTED_VALUE"""),357.7)</f>
        <v>357.7</v>
      </c>
      <c r="FG29" s="46">
        <f t="shared" si="41"/>
        <v>0.1735564304</v>
      </c>
      <c r="FH29" s="37"/>
      <c r="FI29" s="37">
        <f>IFERROR(__xludf.DUMMYFUNCTION("""COMPUTED_VALUE"""),45320.64583333333)</f>
        <v>45320.64583</v>
      </c>
      <c r="FJ29" s="45">
        <f>IFERROR(__xludf.DUMMYFUNCTION("""COMPUTED_VALUE"""),679.95)</f>
        <v>679.95</v>
      </c>
      <c r="FK29" s="46">
        <f t="shared" si="42"/>
        <v>0.1219371339</v>
      </c>
      <c r="FL29" s="37"/>
      <c r="FM29" s="37">
        <f>IFERROR(__xludf.DUMMYFUNCTION("""COMPUTED_VALUE"""),45320.64583333333)</f>
        <v>45320.64583</v>
      </c>
      <c r="FN29" s="45">
        <f>IFERROR(__xludf.DUMMYFUNCTION("""COMPUTED_VALUE"""),103.75)</f>
        <v>103.75</v>
      </c>
      <c r="FO29" s="46">
        <f t="shared" si="43"/>
        <v>0.09210526316</v>
      </c>
      <c r="FP29" s="37"/>
      <c r="FQ29" s="37">
        <f>IFERROR(__xludf.DUMMYFUNCTION("""COMPUTED_VALUE"""),45320.64583333333)</f>
        <v>45320.64583</v>
      </c>
      <c r="FR29" s="45">
        <f>IFERROR(__xludf.DUMMYFUNCTION("""COMPUTED_VALUE"""),4.2)</f>
        <v>4.2</v>
      </c>
      <c r="FS29" s="46">
        <f t="shared" si="44"/>
        <v>-0.2363636364</v>
      </c>
      <c r="FT29" s="37"/>
      <c r="FU29" s="37">
        <f>IFERROR(__xludf.DUMMYFUNCTION("""COMPUTED_VALUE"""),45320.64583333333)</f>
        <v>45320.64583</v>
      </c>
      <c r="FV29" s="45">
        <f>IFERROR(__xludf.DUMMYFUNCTION("""COMPUTED_VALUE"""),695.15)</f>
        <v>695.15</v>
      </c>
      <c r="FW29" s="46">
        <f t="shared" si="45"/>
        <v>0.04134521759</v>
      </c>
      <c r="FX29" s="37"/>
      <c r="FY29" s="37">
        <f>IFERROR(__xludf.DUMMYFUNCTION("""COMPUTED_VALUE"""),45320.64583333333)</f>
        <v>45320.64583</v>
      </c>
      <c r="FZ29" s="45">
        <f>IFERROR(__xludf.DUMMYFUNCTION("""COMPUTED_VALUE"""),155.8)</f>
        <v>155.8</v>
      </c>
      <c r="GA29" s="46">
        <f t="shared" si="46"/>
        <v>-0.08244994111</v>
      </c>
      <c r="GB29" s="37"/>
      <c r="GC29" s="37">
        <f>IFERROR(__xludf.DUMMYFUNCTION("""COMPUTED_VALUE"""),45320.64583333333)</f>
        <v>45320.64583</v>
      </c>
      <c r="GD29" s="45">
        <f>IFERROR(__xludf.DUMMYFUNCTION("""COMPUTED_VALUE"""),377.0)</f>
        <v>377</v>
      </c>
      <c r="GE29" s="46">
        <f t="shared" si="47"/>
        <v>-0.1838060186</v>
      </c>
      <c r="GF29" s="37"/>
      <c r="GG29" s="37">
        <f>IFERROR(__xludf.DUMMYFUNCTION("""COMPUTED_VALUE"""),45320.64583333333)</f>
        <v>45320.64583</v>
      </c>
      <c r="GH29" s="45">
        <f>IFERROR(__xludf.DUMMYFUNCTION("""COMPUTED_VALUE"""),5600.0)</f>
        <v>5600</v>
      </c>
      <c r="GI29" s="46">
        <f t="shared" si="48"/>
        <v>0.05680317041</v>
      </c>
      <c r="GJ29" s="37"/>
      <c r="GK29" s="37">
        <f>IFERROR(__xludf.DUMMYFUNCTION("""COMPUTED_VALUE"""),45320.64583333333)</f>
        <v>45320.64583</v>
      </c>
      <c r="GL29" s="45">
        <f>IFERROR(__xludf.DUMMYFUNCTION("""COMPUTED_VALUE"""),86.15)</f>
        <v>86.15</v>
      </c>
      <c r="GM29" s="46">
        <f t="shared" si="49"/>
        <v>-0.2402998236</v>
      </c>
      <c r="GN29" s="37"/>
      <c r="GO29" s="37">
        <f>IFERROR(__xludf.DUMMYFUNCTION("""COMPUTED_VALUE"""),45320.64583333333)</f>
        <v>45320.64583</v>
      </c>
      <c r="GP29" s="45">
        <f>IFERROR(__xludf.DUMMYFUNCTION("""COMPUTED_VALUE"""),1158.0)</f>
        <v>1158</v>
      </c>
      <c r="GQ29" s="46">
        <f t="shared" si="50"/>
        <v>0.05315811014</v>
      </c>
      <c r="GR29" s="37"/>
      <c r="GS29" s="37">
        <f>IFERROR(__xludf.DUMMYFUNCTION("""COMPUTED_VALUE"""),45320.64583333333)</f>
        <v>45320.64583</v>
      </c>
      <c r="GT29" s="45">
        <f>IFERROR(__xludf.DUMMYFUNCTION("""COMPUTED_VALUE"""),15.1)</f>
        <v>15.1</v>
      </c>
      <c r="GU29" s="46">
        <f t="shared" si="51"/>
        <v>0.166023166</v>
      </c>
      <c r="GV29" s="37"/>
      <c r="GW29" s="37">
        <f>IFERROR(__xludf.DUMMYFUNCTION("""COMPUTED_VALUE"""),45321.64583333333)</f>
        <v>45321.64583</v>
      </c>
      <c r="GX29" s="45">
        <f>IFERROR(__xludf.DUMMYFUNCTION("""COMPUTED_VALUE"""),22.5)</f>
        <v>22.5</v>
      </c>
      <c r="GY29" s="46">
        <f t="shared" si="52"/>
        <v>0.3636363636</v>
      </c>
      <c r="GZ29" s="37"/>
      <c r="HA29" s="37">
        <f>IFERROR(__xludf.DUMMYFUNCTION("""COMPUTED_VALUE"""),45321.64583333333)</f>
        <v>45321.64583</v>
      </c>
      <c r="HB29" s="45">
        <f>IFERROR(__xludf.DUMMYFUNCTION("""COMPUTED_VALUE"""),584.3)</f>
        <v>584.3</v>
      </c>
      <c r="HC29" s="46">
        <f t="shared" si="53"/>
        <v>-0.03898026316</v>
      </c>
      <c r="HD29" s="37"/>
      <c r="HE29" s="43">
        <f>IFERROR(__xludf.DUMMYFUNCTION("""COMPUTED_VALUE"""),45321.64583333333)</f>
        <v>45321.64583</v>
      </c>
      <c r="HF29" s="45">
        <f>IFERROR(__xludf.DUMMYFUNCTION("""COMPUTED_VALUE"""),2714.2)</f>
        <v>2714.2</v>
      </c>
      <c r="HG29" s="46" t="str">
        <f t="shared" si="54"/>
        <v>#DIV/0!</v>
      </c>
      <c r="HH29" s="37"/>
      <c r="HI29" s="37">
        <f>IFERROR(__xludf.DUMMYFUNCTION("""COMPUTED_VALUE"""),45321.64583333333)</f>
        <v>45321.64583</v>
      </c>
      <c r="HJ29" s="45">
        <f>IFERROR(__xludf.DUMMYFUNCTION("""COMPUTED_VALUE"""),6518.3)</f>
        <v>6518.3</v>
      </c>
      <c r="HK29" s="46">
        <f t="shared" si="55"/>
        <v>0.2755843876</v>
      </c>
      <c r="HL29" s="37"/>
      <c r="HM29" s="37">
        <f>IFERROR(__xludf.DUMMYFUNCTION("""COMPUTED_VALUE"""),45321.64583333333)</f>
        <v>45321.64583</v>
      </c>
      <c r="HN29" s="45">
        <f>IFERROR(__xludf.DUMMYFUNCTION("""COMPUTED_VALUE"""),382.0)</f>
        <v>382</v>
      </c>
      <c r="HO29" s="46">
        <f t="shared" si="56"/>
        <v>-0.06038617636</v>
      </c>
      <c r="HP29" s="37"/>
      <c r="HQ29" s="37">
        <f>IFERROR(__xludf.DUMMYFUNCTION("""COMPUTED_VALUE"""),45321.64583333333)</f>
        <v>45321.64583</v>
      </c>
      <c r="HR29" s="45">
        <f>IFERROR(__xludf.DUMMYFUNCTION("""COMPUTED_VALUE"""),264.8)</f>
        <v>264.8</v>
      </c>
      <c r="HS29" s="46">
        <f t="shared" si="57"/>
        <v>0.04128981518</v>
      </c>
      <c r="HT29" s="37"/>
      <c r="HU29" s="37">
        <f>IFERROR(__xludf.DUMMYFUNCTION("""COMPUTED_VALUE"""),45321.64583333333)</f>
        <v>45321.64583</v>
      </c>
      <c r="HV29" s="45">
        <f>IFERROR(__xludf.DUMMYFUNCTION("""COMPUTED_VALUE"""),68.0)</f>
        <v>68</v>
      </c>
      <c r="HW29" s="46">
        <f t="shared" si="58"/>
        <v>0.08974358974</v>
      </c>
      <c r="HX29" s="37"/>
      <c r="HY29" s="37">
        <f>IFERROR(__xludf.DUMMYFUNCTION("""COMPUTED_VALUE"""),45321.64583333333)</f>
        <v>45321.64583</v>
      </c>
      <c r="HZ29" s="45">
        <f>IFERROR(__xludf.DUMMYFUNCTION("""COMPUTED_VALUE"""),346.35)</f>
        <v>346.35</v>
      </c>
      <c r="IA29" s="46">
        <f t="shared" si="59"/>
        <v>-0.2551612903</v>
      </c>
      <c r="IB29" s="37"/>
      <c r="IC29" s="37">
        <f>IFERROR(__xludf.DUMMYFUNCTION("""COMPUTED_VALUE"""),45321.64583333333)</f>
        <v>45321.64583</v>
      </c>
      <c r="ID29" s="45">
        <f>IFERROR(__xludf.DUMMYFUNCTION("""COMPUTED_VALUE"""),86.5)</f>
        <v>86.5</v>
      </c>
      <c r="IE29" s="46">
        <f t="shared" si="60"/>
        <v>-0.8028490028</v>
      </c>
      <c r="IF29" s="37"/>
      <c r="IG29" s="37">
        <f>IFERROR(__xludf.DUMMYFUNCTION("""COMPUTED_VALUE"""),45321.64583333333)</f>
        <v>45321.64583</v>
      </c>
      <c r="IH29" s="45">
        <f>IFERROR(__xludf.DUMMYFUNCTION("""COMPUTED_VALUE"""),534.15)</f>
        <v>534.15</v>
      </c>
      <c r="II29" s="46">
        <f t="shared" si="61"/>
        <v>0.002157598499</v>
      </c>
      <c r="IJ29" s="37"/>
      <c r="IK29" s="37">
        <f>IFERROR(__xludf.DUMMYFUNCTION("""COMPUTED_VALUE"""),45321.64583333333)</f>
        <v>45321.64583</v>
      </c>
      <c r="IL29" s="45">
        <f>IFERROR(__xludf.DUMMYFUNCTION("""COMPUTED_VALUE"""),565.0)</f>
        <v>565</v>
      </c>
      <c r="IM29" s="46">
        <f t="shared" si="62"/>
        <v>-0.08568654422</v>
      </c>
      <c r="IN29" s="37"/>
      <c r="IO29" s="37">
        <f>IFERROR(__xludf.DUMMYFUNCTION("""COMPUTED_VALUE"""),45322.64583333333)</f>
        <v>45322.64583</v>
      </c>
      <c r="IP29" s="45">
        <f>IFERROR(__xludf.DUMMYFUNCTION("""COMPUTED_VALUE"""),194.2)</f>
        <v>194.2</v>
      </c>
      <c r="IQ29" s="46">
        <f t="shared" si="63"/>
        <v>0.5450712069</v>
      </c>
      <c r="IR29" s="37"/>
      <c r="IS29" s="37">
        <f>IFERROR(__xludf.DUMMYFUNCTION("""COMPUTED_VALUE"""),45321.64583333333)</f>
        <v>45321.64583</v>
      </c>
      <c r="IT29" s="45">
        <f>IFERROR(__xludf.DUMMYFUNCTION("""COMPUTED_VALUE"""),1009.95)</f>
        <v>1009.95</v>
      </c>
      <c r="IU29" s="46">
        <f t="shared" si="64"/>
        <v>0.005926294821</v>
      </c>
      <c r="IV29" s="37"/>
      <c r="IW29" s="37">
        <f>IFERROR(__xludf.DUMMYFUNCTION("""COMPUTED_VALUE"""),45321.64583333333)</f>
        <v>45321.64583</v>
      </c>
      <c r="IX29" s="45">
        <f>IFERROR(__xludf.DUMMYFUNCTION("""COMPUTED_VALUE"""),230.6)</f>
        <v>230.6</v>
      </c>
      <c r="IY29" s="46">
        <f t="shared" si="65"/>
        <v>0.119689245</v>
      </c>
      <c r="IZ29" s="37"/>
      <c r="JA29" s="37">
        <f>IFERROR(__xludf.DUMMYFUNCTION("""COMPUTED_VALUE"""),45321.64583333333)</f>
        <v>45321.64583</v>
      </c>
      <c r="JB29" s="45">
        <f>IFERROR(__xludf.DUMMYFUNCTION("""COMPUTED_VALUE"""),34059.95)</f>
        <v>34059.95</v>
      </c>
      <c r="JC29" s="46">
        <f t="shared" si="66"/>
        <v>-0.0379265394</v>
      </c>
      <c r="JD29" s="37"/>
      <c r="JE29" s="37">
        <f>IFERROR(__xludf.DUMMYFUNCTION("""COMPUTED_VALUE"""),45321.64583333333)</f>
        <v>45321.64583</v>
      </c>
      <c r="JF29" s="45">
        <f>IFERROR(__xludf.DUMMYFUNCTION("""COMPUTED_VALUE"""),651.5)</f>
        <v>651.5</v>
      </c>
      <c r="JG29" s="46">
        <f t="shared" si="67"/>
        <v>0.01007751938</v>
      </c>
      <c r="JH29" s="37"/>
      <c r="JI29" s="37">
        <f>IFERROR(__xludf.DUMMYFUNCTION("""COMPUTED_VALUE"""),45321.64583333333)</f>
        <v>45321.64583</v>
      </c>
      <c r="JJ29" s="45">
        <f>IFERROR(__xludf.DUMMYFUNCTION("""COMPUTED_VALUE"""),320.95)</f>
        <v>320.95</v>
      </c>
      <c r="JK29" s="46">
        <f t="shared" si="68"/>
        <v>-0.03892798323</v>
      </c>
      <c r="JL29" s="37"/>
      <c r="JM29" s="37">
        <f>IFERROR(__xludf.DUMMYFUNCTION("""COMPUTED_VALUE"""),45321.64583333333)</f>
        <v>45321.64583</v>
      </c>
      <c r="JN29" s="45">
        <f>IFERROR(__xludf.DUMMYFUNCTION("""COMPUTED_VALUE"""),17.2)</f>
        <v>17.2</v>
      </c>
      <c r="JO29" s="46">
        <f t="shared" si="69"/>
        <v>-0.9607977208</v>
      </c>
      <c r="JP29" s="37"/>
      <c r="JQ29" s="37">
        <f>IFERROR(__xludf.DUMMYFUNCTION("""COMPUTED_VALUE"""),45321.64583333333)</f>
        <v>45321.64583</v>
      </c>
      <c r="JR29" s="45">
        <f>IFERROR(__xludf.DUMMYFUNCTION("""COMPUTED_VALUE"""),76.0)</f>
        <v>76</v>
      </c>
      <c r="JS29" s="46">
        <f t="shared" si="70"/>
        <v>-0.4411764706</v>
      </c>
      <c r="JT29" s="37"/>
      <c r="JU29" s="37">
        <f>IFERROR(__xludf.DUMMYFUNCTION("""COMPUTED_VALUE"""),45321.64583333333)</f>
        <v>45321.64583</v>
      </c>
      <c r="JV29" s="45">
        <f>IFERROR(__xludf.DUMMYFUNCTION("""COMPUTED_VALUE"""),250.0)</f>
        <v>250</v>
      </c>
      <c r="JW29" s="46">
        <f t="shared" si="71"/>
        <v>-0.4301994302</v>
      </c>
      <c r="JX29" s="37"/>
      <c r="JY29" s="37">
        <f>IFERROR(__xludf.DUMMYFUNCTION("""COMPUTED_VALUE"""),45321.64583333333)</f>
        <v>45321.64583</v>
      </c>
      <c r="JZ29" s="45">
        <f>IFERROR(__xludf.DUMMYFUNCTION("""COMPUTED_VALUE"""),614.7)</f>
        <v>614.7</v>
      </c>
      <c r="KA29" s="46">
        <f t="shared" si="72"/>
        <v>0.1156079855</v>
      </c>
      <c r="KB29" s="37"/>
      <c r="KC29" s="37">
        <f>IFERROR(__xludf.DUMMYFUNCTION("""COMPUTED_VALUE"""),45321.64583333333)</f>
        <v>45321.64583</v>
      </c>
      <c r="KD29" s="45">
        <f>IFERROR(__xludf.DUMMYFUNCTION("""COMPUTED_VALUE"""),859.25)</f>
        <v>859.25</v>
      </c>
      <c r="KE29" s="46">
        <f t="shared" si="73"/>
        <v>-0.01636998455</v>
      </c>
      <c r="KF29" s="37"/>
      <c r="KG29" s="37">
        <f>IFERROR(__xludf.DUMMYFUNCTION("""COMPUTED_VALUE"""),45321.64583333333)</f>
        <v>45321.64583</v>
      </c>
      <c r="KH29" s="45">
        <f>IFERROR(__xludf.DUMMYFUNCTION("""COMPUTED_VALUE"""),423.7)</f>
        <v>423.7</v>
      </c>
      <c r="KI29" s="46">
        <f t="shared" si="74"/>
        <v>0.08641025641</v>
      </c>
      <c r="KJ29" s="37"/>
      <c r="KK29" s="37">
        <f>IFERROR(__xludf.DUMMYFUNCTION("""COMPUTED_VALUE"""),45321.64583333333)</f>
        <v>45321.64583</v>
      </c>
      <c r="KL29" s="45">
        <f>IFERROR(__xludf.DUMMYFUNCTION("""COMPUTED_VALUE"""),11.35)</f>
        <v>11.35</v>
      </c>
      <c r="KM29" s="46">
        <f t="shared" si="75"/>
        <v>0.2204301075</v>
      </c>
      <c r="KN29" s="37"/>
      <c r="KO29" s="37">
        <f>IFERROR(__xludf.DUMMYFUNCTION("""COMPUTED_VALUE"""),45321.64583333333)</f>
        <v>45321.64583</v>
      </c>
      <c r="KP29" s="45">
        <f>IFERROR(__xludf.DUMMYFUNCTION("""COMPUTED_VALUE"""),262.5)</f>
        <v>262.5</v>
      </c>
      <c r="KQ29" s="46">
        <f t="shared" si="76"/>
        <v>0.2911952779</v>
      </c>
      <c r="KR29" s="37"/>
      <c r="KS29" s="37">
        <f>IFERROR(__xludf.DUMMYFUNCTION("""COMPUTED_VALUE"""),45321.64583333333)</f>
        <v>45321.64583</v>
      </c>
      <c r="KT29" s="45">
        <f>IFERROR(__xludf.DUMMYFUNCTION("""COMPUTED_VALUE"""),11.35)</f>
        <v>11.35</v>
      </c>
      <c r="KU29" s="46">
        <f t="shared" si="77"/>
        <v>0.02714932127</v>
      </c>
      <c r="KV29" s="37"/>
      <c r="KW29" s="37">
        <f>IFERROR(__xludf.DUMMYFUNCTION("""COMPUTED_VALUE"""),45321.64583333333)</f>
        <v>45321.64583</v>
      </c>
      <c r="KX29" s="45">
        <f>IFERROR(__xludf.DUMMYFUNCTION("""COMPUTED_VALUE"""),2360.4)</f>
        <v>2360.4</v>
      </c>
      <c r="KY29" s="46">
        <f t="shared" si="78"/>
        <v>-0.1159385007</v>
      </c>
      <c r="KZ29" s="37"/>
      <c r="LA29" s="37">
        <f>IFERROR(__xludf.DUMMYFUNCTION("""COMPUTED_VALUE"""),45321.64583333333)</f>
        <v>45321.64583</v>
      </c>
      <c r="LB29" s="45">
        <f>IFERROR(__xludf.DUMMYFUNCTION("""COMPUTED_VALUE"""),19.05)</f>
        <v>19.05</v>
      </c>
      <c r="LC29" s="46">
        <f t="shared" si="79"/>
        <v>0.01061007958</v>
      </c>
      <c r="LD29" s="37"/>
      <c r="LE29" s="37">
        <f>IFERROR(__xludf.DUMMYFUNCTION("""COMPUTED_VALUE"""),45321.64583333333)</f>
        <v>45321.64583</v>
      </c>
      <c r="LF29" s="45">
        <f>IFERROR(__xludf.DUMMYFUNCTION("""COMPUTED_VALUE"""),134.05)</f>
        <v>134.05</v>
      </c>
      <c r="LG29" s="46">
        <f t="shared" si="80"/>
        <v>0.0724</v>
      </c>
      <c r="LH29" s="37"/>
      <c r="LI29" s="37">
        <f>IFERROR(__xludf.DUMMYFUNCTION("""COMPUTED_VALUE"""),45321.64583333333)</f>
        <v>45321.64583</v>
      </c>
      <c r="LJ29" s="45">
        <f>IFERROR(__xludf.DUMMYFUNCTION("""COMPUTED_VALUE"""),740.0)</f>
        <v>740</v>
      </c>
      <c r="LK29" s="46">
        <f t="shared" si="81"/>
        <v>0.01648351648</v>
      </c>
      <c r="LL29" s="37"/>
      <c r="LM29" s="37">
        <f>IFERROR(__xludf.DUMMYFUNCTION("""COMPUTED_VALUE"""),45321.64583333333)</f>
        <v>45321.64583</v>
      </c>
      <c r="LN29" s="45">
        <f>IFERROR(__xludf.DUMMYFUNCTION("""COMPUTED_VALUE"""),751.35)</f>
        <v>751.35</v>
      </c>
      <c r="LO29" s="46">
        <f t="shared" si="82"/>
        <v>-0.1212280702</v>
      </c>
      <c r="LP29" s="37"/>
      <c r="LQ29" s="37">
        <f>IFERROR(__xludf.DUMMYFUNCTION("""COMPUTED_VALUE"""),45321.64583333333)</f>
        <v>45321.64583</v>
      </c>
      <c r="LR29" s="45">
        <f>IFERROR(__xludf.DUMMYFUNCTION("""COMPUTED_VALUE"""),586.75)</f>
        <v>586.75</v>
      </c>
      <c r="LS29" s="46">
        <f t="shared" si="83"/>
        <v>0.6057744937</v>
      </c>
      <c r="LT29" s="37"/>
      <c r="LU29" s="37">
        <f>IFERROR(__xludf.DUMMYFUNCTION("""COMPUTED_VALUE"""),45321.64583333333)</f>
        <v>45321.64583</v>
      </c>
      <c r="LV29" s="45">
        <f>IFERROR(__xludf.DUMMYFUNCTION("""COMPUTED_VALUE"""),129.5)</f>
        <v>129.5</v>
      </c>
      <c r="LW29" s="46">
        <f t="shared" si="84"/>
        <v>-0.0533625731</v>
      </c>
      <c r="LX29" s="37"/>
      <c r="LY29" s="37">
        <f>IFERROR(__xludf.DUMMYFUNCTION("""COMPUTED_VALUE"""),45321.64583333333)</f>
        <v>45321.64583</v>
      </c>
      <c r="LZ29" s="45">
        <f>IFERROR(__xludf.DUMMYFUNCTION("""COMPUTED_VALUE"""),663.4)</f>
        <v>663.4</v>
      </c>
      <c r="MA29" s="46">
        <f t="shared" si="85"/>
        <v>0.07</v>
      </c>
      <c r="MB29" s="37"/>
      <c r="MC29" s="37"/>
      <c r="MD29" s="45"/>
      <c r="ME29" s="46" t="str">
        <f t="shared" si="86"/>
        <v>#DIV/0!</v>
      </c>
      <c r="MF29" s="37"/>
      <c r="MG29" s="37">
        <f>IFERROR(__xludf.DUMMYFUNCTION("""COMPUTED_VALUE"""),45321.64583333333)</f>
        <v>45321.64583</v>
      </c>
      <c r="MH29" s="45">
        <f>IFERROR(__xludf.DUMMYFUNCTION("""COMPUTED_VALUE"""),1912.85)</f>
        <v>1912.85</v>
      </c>
      <c r="MI29" s="46">
        <f t="shared" si="87"/>
        <v>-0.02452892731</v>
      </c>
      <c r="MJ29" s="37"/>
      <c r="MK29" s="37">
        <f>IFERROR(__xludf.DUMMYFUNCTION("""COMPUTED_VALUE"""),45321.64583333333)</f>
        <v>45321.64583</v>
      </c>
      <c r="ML29" s="45">
        <f>IFERROR(__xludf.DUMMYFUNCTION("""COMPUTED_VALUE"""),374.15)</f>
        <v>374.15</v>
      </c>
      <c r="MM29" s="46">
        <f t="shared" si="88"/>
        <v>-0.06450806351</v>
      </c>
      <c r="MN29" s="37"/>
      <c r="MO29" s="37">
        <f>IFERROR(__xludf.DUMMYFUNCTION("""COMPUTED_VALUE"""),45321.64583333333)</f>
        <v>45321.64583</v>
      </c>
      <c r="MP29" s="45">
        <f>IFERROR(__xludf.DUMMYFUNCTION("""COMPUTED_VALUE"""),808.95)</f>
        <v>808.95</v>
      </c>
      <c r="MQ29" s="46">
        <f t="shared" si="89"/>
        <v>0.09317567568</v>
      </c>
      <c r="MR29" s="37"/>
      <c r="MS29" s="37">
        <f>IFERROR(__xludf.DUMMYFUNCTION("""COMPUTED_VALUE"""),45321.64583333333)</f>
        <v>45321.64583</v>
      </c>
      <c r="MT29" s="45">
        <f>IFERROR(__xludf.DUMMYFUNCTION("""COMPUTED_VALUE"""),62.4)</f>
        <v>62.4</v>
      </c>
      <c r="MU29" s="46">
        <f t="shared" si="90"/>
        <v>-0.0566893424</v>
      </c>
      <c r="MV29" s="37"/>
      <c r="MW29" s="37">
        <f>IFERROR(__xludf.DUMMYFUNCTION("""COMPUTED_VALUE"""),45321.64583333333)</f>
        <v>45321.64583</v>
      </c>
      <c r="MX29" s="45">
        <f>IFERROR(__xludf.DUMMYFUNCTION("""COMPUTED_VALUE"""),2982.9)</f>
        <v>2982.9</v>
      </c>
      <c r="MY29" s="46">
        <f t="shared" si="91"/>
        <v>-0.0521448999</v>
      </c>
      <c r="MZ29" s="37"/>
      <c r="NA29" s="37">
        <f>IFERROR(__xludf.DUMMYFUNCTION("""COMPUTED_VALUE"""),45321.64583333333)</f>
        <v>45321.64583</v>
      </c>
      <c r="NB29" s="45">
        <f>IFERROR(__xludf.DUMMYFUNCTION("""COMPUTED_VALUE"""),15.7)</f>
        <v>15.7</v>
      </c>
      <c r="NC29" s="46">
        <f t="shared" si="92"/>
        <v>0.2411067194</v>
      </c>
      <c r="ND29" s="37"/>
      <c r="NE29" s="37">
        <f>IFERROR(__xludf.DUMMYFUNCTION("""COMPUTED_VALUE"""),45322.64583333333)</f>
        <v>45322.64583</v>
      </c>
      <c r="NF29" s="45">
        <f>IFERROR(__xludf.DUMMYFUNCTION("""COMPUTED_VALUE"""),367.8)</f>
        <v>367.8</v>
      </c>
      <c r="NG29" s="46">
        <f t="shared" si="93"/>
        <v>-0.03956130043</v>
      </c>
      <c r="NH29" s="37"/>
      <c r="NI29" s="37">
        <f>IFERROR(__xludf.DUMMYFUNCTION("""COMPUTED_VALUE"""),45322.64583333333)</f>
        <v>45322.64583</v>
      </c>
      <c r="NJ29" s="45">
        <f>IFERROR(__xludf.DUMMYFUNCTION("""COMPUTED_VALUE"""),318.37)</f>
        <v>318.37</v>
      </c>
      <c r="NK29" s="46">
        <f t="shared" si="94"/>
        <v>0.1938725766</v>
      </c>
      <c r="NL29" s="37"/>
      <c r="NM29" s="37">
        <f>IFERROR(__xludf.DUMMYFUNCTION("""COMPUTED_VALUE"""),45322.64583333333)</f>
        <v>45322.64583</v>
      </c>
      <c r="NN29" s="45">
        <f>IFERROR(__xludf.DUMMYFUNCTION("""COMPUTED_VALUE"""),124.3)</f>
        <v>124.3</v>
      </c>
      <c r="NO29" s="46">
        <f t="shared" si="95"/>
        <v>0.008110300081</v>
      </c>
      <c r="NP29" s="37"/>
      <c r="NQ29" s="37">
        <f>IFERROR(__xludf.DUMMYFUNCTION("""COMPUTED_VALUE"""),45322.64583333333)</f>
        <v>45322.64583</v>
      </c>
      <c r="NR29" s="45">
        <f>IFERROR(__xludf.DUMMYFUNCTION("""COMPUTED_VALUE"""),4636.9)</f>
        <v>4636.9</v>
      </c>
      <c r="NS29" s="46">
        <f t="shared" si="96"/>
        <v>0.1103687739</v>
      </c>
      <c r="NT29" s="37"/>
      <c r="NU29" s="37">
        <f>IFERROR(__xludf.DUMMYFUNCTION("""COMPUTED_VALUE"""),45322.64583333333)</f>
        <v>45322.64583</v>
      </c>
      <c r="NV29" s="45">
        <f>IFERROR(__xludf.DUMMYFUNCTION("""COMPUTED_VALUE"""),14.4)</f>
        <v>14.4</v>
      </c>
      <c r="NW29" s="46">
        <f t="shared" si="97"/>
        <v>0.1338582677</v>
      </c>
      <c r="NX29" s="37"/>
      <c r="NY29" s="37">
        <f>IFERROR(__xludf.DUMMYFUNCTION("""COMPUTED_VALUE"""),45322.64583333333)</f>
        <v>45322.64583</v>
      </c>
      <c r="NZ29" s="45">
        <f>IFERROR(__xludf.DUMMYFUNCTION("""COMPUTED_VALUE"""),303.6)</f>
        <v>303.6</v>
      </c>
      <c r="OA29" s="46">
        <f t="shared" si="98"/>
        <v>0.2301458671</v>
      </c>
      <c r="OB29" s="37"/>
      <c r="OC29" s="37">
        <f>IFERROR(__xludf.DUMMYFUNCTION("""COMPUTED_VALUE"""),45322.64583333333)</f>
        <v>45322.64583</v>
      </c>
      <c r="OD29" s="45">
        <f>IFERROR(__xludf.DUMMYFUNCTION("""COMPUTED_VALUE"""),1127.5)</f>
        <v>1127.5</v>
      </c>
      <c r="OE29" s="46">
        <f t="shared" si="99"/>
        <v>0.06978509417</v>
      </c>
      <c r="OF29" s="37"/>
      <c r="OG29" s="37">
        <f>IFERROR(__xludf.DUMMYFUNCTION("""COMPUTED_VALUE"""),45322.64583333333)</f>
        <v>45322.64583</v>
      </c>
      <c r="OH29" s="45">
        <f>IFERROR(__xludf.DUMMYFUNCTION("""COMPUTED_VALUE"""),2701.63)</f>
        <v>2701.63</v>
      </c>
      <c r="OI29" s="46">
        <f t="shared" si="100"/>
        <v>0.1073161735</v>
      </c>
      <c r="OJ29" s="37"/>
      <c r="OK29" s="37"/>
      <c r="OL29" s="45"/>
      <c r="OM29" s="46" t="str">
        <f t="shared" si="101"/>
        <v>#DIV/0!</v>
      </c>
      <c r="ON29" s="37"/>
    </row>
    <row r="30" ht="12.0" customHeight="1">
      <c r="A30" s="37">
        <f>IFERROR(__xludf.DUMMYFUNCTION("""COMPUTED_VALUE"""),45321.64583333333)</f>
        <v>45321.64583</v>
      </c>
      <c r="B30" s="45">
        <f>IFERROR(__xludf.DUMMYFUNCTION("""COMPUTED_VALUE"""),377.3)</f>
        <v>377.3</v>
      </c>
      <c r="C30" s="46">
        <f t="shared" si="1"/>
        <v>-0.1400569801</v>
      </c>
      <c r="D30" s="37"/>
      <c r="E30" s="37">
        <f>IFERROR(__xludf.DUMMYFUNCTION("""COMPUTED_VALUE"""),45321.64583333333)</f>
        <v>45321.64583</v>
      </c>
      <c r="F30" s="45">
        <f>IFERROR(__xludf.DUMMYFUNCTION("""COMPUTED_VALUE"""),733.95)</f>
        <v>733.95</v>
      </c>
      <c r="G30" s="46">
        <f t="shared" si="2"/>
        <v>0.1205343511</v>
      </c>
      <c r="H30" s="37"/>
      <c r="I30" s="37">
        <f>IFERROR(__xludf.DUMMYFUNCTION("""COMPUTED_VALUE"""),45321.64583333333)</f>
        <v>45321.64583</v>
      </c>
      <c r="J30" s="45">
        <f>IFERROR(__xludf.DUMMYFUNCTION("""COMPUTED_VALUE"""),192.35)</f>
        <v>192.35</v>
      </c>
      <c r="K30" s="46">
        <f t="shared" si="3"/>
        <v>0.04538043478</v>
      </c>
      <c r="L30" s="37"/>
      <c r="M30" s="37">
        <f>IFERROR(__xludf.DUMMYFUNCTION("""COMPUTED_VALUE"""),45321.64583333333)</f>
        <v>45321.64583</v>
      </c>
      <c r="N30" s="45">
        <f>IFERROR(__xludf.DUMMYFUNCTION("""COMPUTED_VALUE"""),105.0)</f>
        <v>105</v>
      </c>
      <c r="O30" s="46">
        <f t="shared" si="4"/>
        <v>0.2152777778</v>
      </c>
      <c r="P30" s="37"/>
      <c r="Q30" s="37">
        <f>IFERROR(__xludf.DUMMYFUNCTION("""COMPUTED_VALUE"""),45321.64583333333)</f>
        <v>45321.64583</v>
      </c>
      <c r="R30" s="45">
        <f>IFERROR(__xludf.DUMMYFUNCTION("""COMPUTED_VALUE"""),47.45)</f>
        <v>47.45</v>
      </c>
      <c r="S30" s="46">
        <f t="shared" si="5"/>
        <v>-0.09619047619</v>
      </c>
      <c r="T30" s="37"/>
      <c r="U30" s="37">
        <f>IFERROR(__xludf.DUMMYFUNCTION("""COMPUTED_VALUE"""),45321.64583333333)</f>
        <v>45321.64583</v>
      </c>
      <c r="V30" s="45">
        <f>IFERROR(__xludf.DUMMYFUNCTION("""COMPUTED_VALUE"""),814.0)</f>
        <v>814</v>
      </c>
      <c r="W30" s="46">
        <f t="shared" si="6"/>
        <v>0.2288647343</v>
      </c>
      <c r="X30" s="37"/>
      <c r="Y30" s="37">
        <f>IFERROR(__xludf.DUMMYFUNCTION("""COMPUTED_VALUE"""),45321.64583333333)</f>
        <v>45321.64583</v>
      </c>
      <c r="Z30" s="45">
        <f>IFERROR(__xludf.DUMMYFUNCTION("""COMPUTED_VALUE"""),197.8)</f>
        <v>197.8</v>
      </c>
      <c r="AA30" s="46">
        <f t="shared" si="7"/>
        <v>0.06918918919</v>
      </c>
      <c r="AB30" s="37"/>
      <c r="AC30" s="37">
        <f>IFERROR(__xludf.DUMMYFUNCTION("""COMPUTED_VALUE"""),45321.64583333333)</f>
        <v>45321.64583</v>
      </c>
      <c r="AD30" s="45">
        <f>IFERROR(__xludf.DUMMYFUNCTION("""COMPUTED_VALUE"""),2714.2)</f>
        <v>2714.2</v>
      </c>
      <c r="AE30" s="46">
        <f t="shared" si="8"/>
        <v>0.1430616972</v>
      </c>
      <c r="AF30" s="37"/>
      <c r="AG30" s="37">
        <f>IFERROR(__xludf.DUMMYFUNCTION("""COMPUTED_VALUE"""),45321.64583333333)</f>
        <v>45321.64583</v>
      </c>
      <c r="AH30" s="45">
        <f>IFERROR(__xludf.DUMMYFUNCTION("""COMPUTED_VALUE"""),674.15)</f>
        <v>674.15</v>
      </c>
      <c r="AI30" s="46">
        <f t="shared" si="9"/>
        <v>-0.1974404762</v>
      </c>
      <c r="AJ30" s="37"/>
      <c r="AK30" s="37">
        <f>IFERROR(__xludf.DUMMYFUNCTION("""COMPUTED_VALUE"""),45321.64583333333)</f>
        <v>45321.64583</v>
      </c>
      <c r="AL30" s="45">
        <f>IFERROR(__xludf.DUMMYFUNCTION("""COMPUTED_VALUE"""),6518.3)</f>
        <v>6518.3</v>
      </c>
      <c r="AM30" s="46">
        <f t="shared" si="10"/>
        <v>0.2535192308</v>
      </c>
      <c r="AN30" s="37"/>
      <c r="AO30" s="37">
        <f>IFERROR(__xludf.DUMMYFUNCTION("""COMPUTED_VALUE"""),45321.64583333333)</f>
        <v>45321.64583</v>
      </c>
      <c r="AP30" s="45">
        <f>IFERROR(__xludf.DUMMYFUNCTION("""COMPUTED_VALUE"""),852.9)</f>
        <v>852.9</v>
      </c>
      <c r="AQ30" s="46">
        <f t="shared" si="11"/>
        <v>-0.06274725275</v>
      </c>
      <c r="AR30" s="37"/>
      <c r="AS30" s="37">
        <f>IFERROR(__xludf.DUMMYFUNCTION("""COMPUTED_VALUE"""),45321.64583333333)</f>
        <v>45321.64583</v>
      </c>
      <c r="AT30" s="45">
        <f>IFERROR(__xludf.DUMMYFUNCTION("""COMPUTED_VALUE"""),2265.35)</f>
        <v>2265.35</v>
      </c>
      <c r="AU30" s="46">
        <f t="shared" si="12"/>
        <v>-0.08798663392</v>
      </c>
      <c r="AV30" s="37"/>
      <c r="AW30" s="37">
        <f>IFERROR(__xludf.DUMMYFUNCTION("""COMPUTED_VALUE"""),45321.64583333333)</f>
        <v>45321.64583</v>
      </c>
      <c r="AX30" s="45">
        <f>IFERROR(__xludf.DUMMYFUNCTION("""COMPUTED_VALUE"""),6360.0)</f>
        <v>6360</v>
      </c>
      <c r="AY30" s="46">
        <f t="shared" si="13"/>
        <v>0.1267406016</v>
      </c>
      <c r="AZ30" s="37"/>
      <c r="BA30" s="37">
        <f>IFERROR(__xludf.DUMMYFUNCTION("""COMPUTED_VALUE"""),45321.64583333333)</f>
        <v>45321.64583</v>
      </c>
      <c r="BB30" s="45">
        <f>IFERROR(__xludf.DUMMYFUNCTION("""COMPUTED_VALUE"""),482.9)</f>
        <v>482.9</v>
      </c>
      <c r="BC30" s="46">
        <f t="shared" si="14"/>
        <v>0.03073639274</v>
      </c>
      <c r="BD30" s="37"/>
      <c r="BE30" s="37">
        <f>IFERROR(__xludf.DUMMYFUNCTION("""COMPUTED_VALUE"""),45321.64583333333)</f>
        <v>45321.64583</v>
      </c>
      <c r="BF30" s="45">
        <f>IFERROR(__xludf.DUMMYFUNCTION("""COMPUTED_VALUE"""),332.65)</f>
        <v>332.65</v>
      </c>
      <c r="BG30" s="46">
        <f t="shared" si="15"/>
        <v>-0.1826781327</v>
      </c>
      <c r="BH30" s="37"/>
      <c r="BI30" s="37">
        <f>IFERROR(__xludf.DUMMYFUNCTION("""COMPUTED_VALUE"""),45321.64583333333)</f>
        <v>45321.64583</v>
      </c>
      <c r="BJ30" s="45">
        <f>IFERROR(__xludf.DUMMYFUNCTION("""COMPUTED_VALUE"""),78.0)</f>
        <v>78</v>
      </c>
      <c r="BK30" s="46">
        <f t="shared" si="16"/>
        <v>0.1231101512</v>
      </c>
      <c r="BL30" s="37"/>
      <c r="BM30" s="37">
        <f>IFERROR(__xludf.DUMMYFUNCTION("""COMPUTED_VALUE"""),45321.64583333333)</f>
        <v>45321.64583</v>
      </c>
      <c r="BN30" s="45">
        <f>IFERROR(__xludf.DUMMYFUNCTION("""COMPUTED_VALUE"""),264.8)</f>
        <v>264.8</v>
      </c>
      <c r="BO30" s="46">
        <f t="shared" si="17"/>
        <v>0.034375</v>
      </c>
      <c r="BP30" s="37"/>
      <c r="BQ30" s="37">
        <f>IFERROR(__xludf.DUMMYFUNCTION("""COMPUTED_VALUE"""),45321.64583333333)</f>
        <v>45321.64583</v>
      </c>
      <c r="BR30" s="45">
        <f>IFERROR(__xludf.DUMMYFUNCTION("""COMPUTED_VALUE"""),68.0)</f>
        <v>68</v>
      </c>
      <c r="BS30" s="46">
        <f t="shared" si="18"/>
        <v>0.1165845649</v>
      </c>
      <c r="BT30" s="37"/>
      <c r="BU30" s="37">
        <f>IFERROR(__xludf.DUMMYFUNCTION("""COMPUTED_VALUE"""),45321.64583333333)</f>
        <v>45321.64583</v>
      </c>
      <c r="BV30" s="45">
        <f>IFERROR(__xludf.DUMMYFUNCTION("""COMPUTED_VALUE"""),342.0)</f>
        <v>342</v>
      </c>
      <c r="BW30" s="46">
        <f t="shared" si="19"/>
        <v>0.105365223</v>
      </c>
      <c r="BX30" s="37"/>
      <c r="BY30" s="37">
        <f>IFERROR(__xludf.DUMMYFUNCTION("""COMPUTED_VALUE"""),45321.64583333333)</f>
        <v>45321.64583</v>
      </c>
      <c r="BZ30" s="45">
        <f>IFERROR(__xludf.DUMMYFUNCTION("""COMPUTED_VALUE"""),346.35)</f>
        <v>346.35</v>
      </c>
      <c r="CA30" s="46">
        <f t="shared" si="20"/>
        <v>-0.1542124542</v>
      </c>
      <c r="CB30" s="37"/>
      <c r="CC30" s="37">
        <f>IFERROR(__xludf.DUMMYFUNCTION("""COMPUTED_VALUE"""),45321.64583333333)</f>
        <v>45321.64583</v>
      </c>
      <c r="CD30" s="45">
        <f>IFERROR(__xludf.DUMMYFUNCTION("""COMPUTED_VALUE"""),290.7)</f>
        <v>290.7</v>
      </c>
      <c r="CE30" s="46">
        <f t="shared" si="21"/>
        <v>0.2546396202</v>
      </c>
      <c r="CF30" s="37"/>
      <c r="CG30" s="37">
        <f>IFERROR(__xludf.DUMMYFUNCTION("""COMPUTED_VALUE"""),45321.64583333333)</f>
        <v>45321.64583</v>
      </c>
      <c r="CH30" s="45">
        <f>IFERROR(__xludf.DUMMYFUNCTION("""COMPUTED_VALUE"""),651.5)</f>
        <v>651.5</v>
      </c>
      <c r="CI30" s="46">
        <f t="shared" si="22"/>
        <v>0.02437106918</v>
      </c>
      <c r="CJ30" s="37"/>
      <c r="CK30" s="37">
        <f>IFERROR(__xludf.DUMMYFUNCTION("""COMPUTED_VALUE"""),45321.64583333333)</f>
        <v>45321.64583</v>
      </c>
      <c r="CL30" s="45">
        <f>IFERROR(__xludf.DUMMYFUNCTION("""COMPUTED_VALUE"""),320.95)</f>
        <v>320.95</v>
      </c>
      <c r="CM30" s="46">
        <f t="shared" si="23"/>
        <v>-0.04762611276</v>
      </c>
      <c r="CN30" s="37"/>
      <c r="CO30" s="37">
        <f>IFERROR(__xludf.DUMMYFUNCTION("""COMPUTED_VALUE"""),45321.64583333333)</f>
        <v>45321.64583</v>
      </c>
      <c r="CP30" s="45">
        <f>IFERROR(__xludf.DUMMYFUNCTION("""COMPUTED_VALUE"""),17.2)</f>
        <v>17.2</v>
      </c>
      <c r="CQ30" s="46">
        <f t="shared" si="24"/>
        <v>0.1621621622</v>
      </c>
      <c r="CR30" s="37"/>
      <c r="CS30" s="37">
        <f>IFERROR(__xludf.DUMMYFUNCTION("""COMPUTED_VALUE"""),45321.64583333333)</f>
        <v>45321.64583</v>
      </c>
      <c r="CT30" s="45">
        <f>IFERROR(__xludf.DUMMYFUNCTION("""COMPUTED_VALUE"""),200.0)</f>
        <v>200</v>
      </c>
      <c r="CU30" s="46">
        <f t="shared" si="25"/>
        <v>0.0101010101</v>
      </c>
      <c r="CV30" s="37"/>
      <c r="CW30" s="37">
        <f>IFERROR(__xludf.DUMMYFUNCTION("""COMPUTED_VALUE"""),45321.64583333333)</f>
        <v>45321.64583</v>
      </c>
      <c r="CX30" s="45">
        <f>IFERROR(__xludf.DUMMYFUNCTION("""COMPUTED_VALUE"""),895.95)</f>
        <v>895.95</v>
      </c>
      <c r="CY30" s="46">
        <f t="shared" si="26"/>
        <v>0.2951371823</v>
      </c>
      <c r="CZ30" s="37"/>
      <c r="DA30" s="37">
        <f>IFERROR(__xludf.DUMMYFUNCTION("""COMPUTED_VALUE"""),45321.64583333333)</f>
        <v>45321.64583</v>
      </c>
      <c r="DB30" s="45">
        <f>IFERROR(__xludf.DUMMYFUNCTION("""COMPUTED_VALUE"""),32.6)</f>
        <v>32.6</v>
      </c>
      <c r="DC30" s="46">
        <f t="shared" si="27"/>
        <v>0.1684587814</v>
      </c>
      <c r="DD30" s="37"/>
      <c r="DE30" s="37">
        <f>IFERROR(__xludf.DUMMYFUNCTION("""COMPUTED_VALUE"""),45321.64583333333)</f>
        <v>45321.64583</v>
      </c>
      <c r="DF30" s="45">
        <f>IFERROR(__xludf.DUMMYFUNCTION("""COMPUTED_VALUE"""),76.0)</f>
        <v>76</v>
      </c>
      <c r="DG30" s="46">
        <f t="shared" si="28"/>
        <v>-0.3292144748</v>
      </c>
      <c r="DH30" s="37"/>
      <c r="DI30" s="37">
        <f>IFERROR(__xludf.DUMMYFUNCTION("""COMPUTED_VALUE"""),45321.64583333333)</f>
        <v>45321.64583</v>
      </c>
      <c r="DJ30" s="45">
        <f>IFERROR(__xludf.DUMMYFUNCTION("""COMPUTED_VALUE"""),1760.75)</f>
        <v>1760.75</v>
      </c>
      <c r="DK30" s="46">
        <f t="shared" si="29"/>
        <v>0.09717721834</v>
      </c>
      <c r="DL30" s="37"/>
      <c r="DM30" s="37">
        <f>IFERROR(__xludf.DUMMYFUNCTION("""COMPUTED_VALUE"""),45321.64583333333)</f>
        <v>45321.64583</v>
      </c>
      <c r="DN30" s="45">
        <f>IFERROR(__xludf.DUMMYFUNCTION("""COMPUTED_VALUE"""),577.3)</f>
        <v>577.3</v>
      </c>
      <c r="DO30" s="46">
        <f t="shared" si="30"/>
        <v>0.07675090926</v>
      </c>
      <c r="DP30" s="37"/>
      <c r="DQ30" s="37">
        <f>IFERROR(__xludf.DUMMYFUNCTION("""COMPUTED_VALUE"""),45321.64583333333)</f>
        <v>45321.64583</v>
      </c>
      <c r="DR30" s="45">
        <f>IFERROR(__xludf.DUMMYFUNCTION("""COMPUTED_VALUE"""),238.8)</f>
        <v>238.8</v>
      </c>
      <c r="DS30" s="46">
        <f t="shared" si="31"/>
        <v>0.09541284404</v>
      </c>
      <c r="DT30" s="37"/>
      <c r="DU30" s="37">
        <f>IFERROR(__xludf.DUMMYFUNCTION("""COMPUTED_VALUE"""),45321.64583333333)</f>
        <v>45321.64583</v>
      </c>
      <c r="DV30" s="45">
        <f>IFERROR(__xludf.DUMMYFUNCTION("""COMPUTED_VALUE"""),859.25)</f>
        <v>859.25</v>
      </c>
      <c r="DW30" s="46">
        <f t="shared" si="32"/>
        <v>0.01028806584</v>
      </c>
      <c r="DX30" s="37"/>
      <c r="DY30" s="37">
        <f>IFERROR(__xludf.DUMMYFUNCTION("""COMPUTED_VALUE"""),45321.64583333333)</f>
        <v>45321.64583</v>
      </c>
      <c r="DZ30" s="45">
        <f>IFERROR(__xludf.DUMMYFUNCTION("""COMPUTED_VALUE"""),11.35)</f>
        <v>11.35</v>
      </c>
      <c r="EA30" s="46">
        <f t="shared" si="33"/>
        <v>0.04608294931</v>
      </c>
      <c r="EB30" s="37"/>
      <c r="EC30" s="37">
        <f>IFERROR(__xludf.DUMMYFUNCTION("""COMPUTED_VALUE"""),45321.64583333333)</f>
        <v>45321.64583</v>
      </c>
      <c r="ED30" s="45">
        <f>IFERROR(__xludf.DUMMYFUNCTION("""COMPUTED_VALUE"""),2360.4)</f>
        <v>2360.4</v>
      </c>
      <c r="EE30" s="46">
        <f t="shared" si="34"/>
        <v>-0.1075992439</v>
      </c>
      <c r="EF30" s="37"/>
      <c r="EG30" s="37">
        <f>IFERROR(__xludf.DUMMYFUNCTION("""COMPUTED_VALUE"""),45321.64583333333)</f>
        <v>45321.64583</v>
      </c>
      <c r="EH30" s="45">
        <f>IFERROR(__xludf.DUMMYFUNCTION("""COMPUTED_VALUE"""),1111.8)</f>
        <v>1111.8</v>
      </c>
      <c r="EI30" s="46">
        <f t="shared" si="35"/>
        <v>0.7141535615</v>
      </c>
      <c r="EJ30" s="37"/>
      <c r="EK30" s="37">
        <f>IFERROR(__xludf.DUMMYFUNCTION("""COMPUTED_VALUE"""),45321.64583333333)</f>
        <v>45321.64583</v>
      </c>
      <c r="EL30" s="45">
        <f>IFERROR(__xludf.DUMMYFUNCTION("""COMPUTED_VALUE"""),196.8)</f>
        <v>196.8</v>
      </c>
      <c r="EM30" s="46">
        <f t="shared" si="36"/>
        <v>-0.02574257426</v>
      </c>
      <c r="EN30" s="37"/>
      <c r="EO30" s="37">
        <f>IFERROR(__xludf.DUMMYFUNCTION("""COMPUTED_VALUE"""),45321.64583333333)</f>
        <v>45321.64583</v>
      </c>
      <c r="EP30" s="45">
        <f>IFERROR(__xludf.DUMMYFUNCTION("""COMPUTED_VALUE"""),177.0)</f>
        <v>177</v>
      </c>
      <c r="EQ30" s="46">
        <f t="shared" si="37"/>
        <v>0.142303969</v>
      </c>
      <c r="ER30" s="37"/>
      <c r="ES30" s="37">
        <f>IFERROR(__xludf.DUMMYFUNCTION("""COMPUTED_VALUE"""),45321.64583333333)</f>
        <v>45321.64583</v>
      </c>
      <c r="ET30" s="45">
        <f>IFERROR(__xludf.DUMMYFUNCTION("""COMPUTED_VALUE"""),190.2)</f>
        <v>190.2</v>
      </c>
      <c r="EU30" s="46">
        <f t="shared" si="38"/>
        <v>-0.02135322871</v>
      </c>
      <c r="EV30" s="37"/>
      <c r="EW30" s="37">
        <f>IFERROR(__xludf.DUMMYFUNCTION("""COMPUTED_VALUE"""),45321.64583333333)</f>
        <v>45321.64583</v>
      </c>
      <c r="EX30" s="45">
        <f>IFERROR(__xludf.DUMMYFUNCTION("""COMPUTED_VALUE"""),725.0)</f>
        <v>725</v>
      </c>
      <c r="EY30" s="46">
        <f t="shared" si="39"/>
        <v>0.1188271605</v>
      </c>
      <c r="EZ30" s="37"/>
      <c r="FA30" s="37">
        <f>IFERROR(__xludf.DUMMYFUNCTION("""COMPUTED_VALUE"""),45321.64583333333)</f>
        <v>45321.64583</v>
      </c>
      <c r="FB30" s="45">
        <f>IFERROR(__xludf.DUMMYFUNCTION("""COMPUTED_VALUE"""),199.95)</f>
        <v>199.95</v>
      </c>
      <c r="FC30" s="46">
        <f t="shared" si="40"/>
        <v>0.1465022936</v>
      </c>
      <c r="FD30" s="37"/>
      <c r="FE30" s="37">
        <f>IFERROR(__xludf.DUMMYFUNCTION("""COMPUTED_VALUE"""),45321.64583333333)</f>
        <v>45321.64583</v>
      </c>
      <c r="FF30" s="45">
        <f>IFERROR(__xludf.DUMMYFUNCTION("""COMPUTED_VALUE"""),370.0)</f>
        <v>370</v>
      </c>
      <c r="FG30" s="46">
        <f t="shared" si="41"/>
        <v>0.2139107612</v>
      </c>
      <c r="FH30" s="37"/>
      <c r="FI30" s="37">
        <f>IFERROR(__xludf.DUMMYFUNCTION("""COMPUTED_VALUE"""),45321.64583333333)</f>
        <v>45321.64583</v>
      </c>
      <c r="FJ30" s="45">
        <f>IFERROR(__xludf.DUMMYFUNCTION("""COMPUTED_VALUE"""),663.4)</f>
        <v>663.4</v>
      </c>
      <c r="FK30" s="46">
        <f t="shared" si="42"/>
        <v>0.09462915601</v>
      </c>
      <c r="FL30" s="37"/>
      <c r="FM30" s="37">
        <f>IFERROR(__xludf.DUMMYFUNCTION("""COMPUTED_VALUE"""),45321.64583333333)</f>
        <v>45321.64583</v>
      </c>
      <c r="FN30" s="45">
        <f>IFERROR(__xludf.DUMMYFUNCTION("""COMPUTED_VALUE"""),104.15)</f>
        <v>104.15</v>
      </c>
      <c r="FO30" s="46">
        <f t="shared" si="43"/>
        <v>0.09631578947</v>
      </c>
      <c r="FP30" s="37"/>
      <c r="FQ30" s="37">
        <f>IFERROR(__xludf.DUMMYFUNCTION("""COMPUTED_VALUE"""),45321.64583333333)</f>
        <v>45321.64583</v>
      </c>
      <c r="FR30" s="45">
        <f>IFERROR(__xludf.DUMMYFUNCTION("""COMPUTED_VALUE"""),4.15)</f>
        <v>4.15</v>
      </c>
      <c r="FS30" s="46">
        <f t="shared" si="44"/>
        <v>-0.2454545455</v>
      </c>
      <c r="FT30" s="37"/>
      <c r="FU30" s="37">
        <f>IFERROR(__xludf.DUMMYFUNCTION("""COMPUTED_VALUE"""),45321.64583333333)</f>
        <v>45321.64583</v>
      </c>
      <c r="FV30" s="45">
        <f>IFERROR(__xludf.DUMMYFUNCTION("""COMPUTED_VALUE"""),713.65)</f>
        <v>713.65</v>
      </c>
      <c r="FW30" s="46">
        <f t="shared" si="45"/>
        <v>0.06905849749</v>
      </c>
      <c r="FX30" s="37"/>
      <c r="FY30" s="37">
        <f>IFERROR(__xludf.DUMMYFUNCTION("""COMPUTED_VALUE"""),45321.64583333333)</f>
        <v>45321.64583</v>
      </c>
      <c r="FZ30" s="45">
        <f>IFERROR(__xludf.DUMMYFUNCTION("""COMPUTED_VALUE"""),154.5)</f>
        <v>154.5</v>
      </c>
      <c r="GA30" s="46">
        <f t="shared" si="46"/>
        <v>-0.09010600707</v>
      </c>
      <c r="GB30" s="37"/>
      <c r="GC30" s="37">
        <f>IFERROR(__xludf.DUMMYFUNCTION("""COMPUTED_VALUE"""),45321.64583333333)</f>
        <v>45321.64583</v>
      </c>
      <c r="GD30" s="45">
        <f>IFERROR(__xludf.DUMMYFUNCTION("""COMPUTED_VALUE"""),372.05)</f>
        <v>372.05</v>
      </c>
      <c r="GE30" s="46">
        <f t="shared" si="47"/>
        <v>-0.1945226239</v>
      </c>
      <c r="GF30" s="37"/>
      <c r="GG30" s="37">
        <f>IFERROR(__xludf.DUMMYFUNCTION("""COMPUTED_VALUE"""),45321.64583333333)</f>
        <v>45321.64583</v>
      </c>
      <c r="GH30" s="45">
        <f>IFERROR(__xludf.DUMMYFUNCTION("""COMPUTED_VALUE"""),5649.0)</f>
        <v>5649</v>
      </c>
      <c r="GI30" s="46">
        <f t="shared" si="48"/>
        <v>0.06605019815</v>
      </c>
      <c r="GJ30" s="37"/>
      <c r="GK30" s="37">
        <f>IFERROR(__xludf.DUMMYFUNCTION("""COMPUTED_VALUE"""),45321.64583333333)</f>
        <v>45321.64583</v>
      </c>
      <c r="GL30" s="45">
        <f>IFERROR(__xludf.DUMMYFUNCTION("""COMPUTED_VALUE"""),83.95)</f>
        <v>83.95</v>
      </c>
      <c r="GM30" s="46">
        <f t="shared" si="49"/>
        <v>-0.2597001764</v>
      </c>
      <c r="GN30" s="37"/>
      <c r="GO30" s="37">
        <f>IFERROR(__xludf.DUMMYFUNCTION("""COMPUTED_VALUE"""),45321.64583333333)</f>
        <v>45321.64583</v>
      </c>
      <c r="GP30" s="45">
        <f>IFERROR(__xludf.DUMMYFUNCTION("""COMPUTED_VALUE"""),1183.05)</f>
        <v>1183.05</v>
      </c>
      <c r="GQ30" s="46">
        <f t="shared" si="50"/>
        <v>0.07594015734</v>
      </c>
      <c r="GR30" s="37"/>
      <c r="GS30" s="37">
        <f>IFERROR(__xludf.DUMMYFUNCTION("""COMPUTED_VALUE"""),45321.64583333333)</f>
        <v>45321.64583</v>
      </c>
      <c r="GT30" s="45">
        <f>IFERROR(__xludf.DUMMYFUNCTION("""COMPUTED_VALUE"""),15.7)</f>
        <v>15.7</v>
      </c>
      <c r="GU30" s="46">
        <f t="shared" si="51"/>
        <v>0.2123552124</v>
      </c>
      <c r="GV30" s="37"/>
      <c r="GW30" s="37">
        <f>IFERROR(__xludf.DUMMYFUNCTION("""COMPUTED_VALUE"""),45322.64583333333)</f>
        <v>45322.64583</v>
      </c>
      <c r="GX30" s="45">
        <f>IFERROR(__xludf.DUMMYFUNCTION("""COMPUTED_VALUE"""),19.7)</f>
        <v>19.7</v>
      </c>
      <c r="GY30" s="46">
        <f t="shared" si="52"/>
        <v>0.1939393939</v>
      </c>
      <c r="GZ30" s="37"/>
      <c r="HA30" s="37">
        <f>IFERROR(__xludf.DUMMYFUNCTION("""COMPUTED_VALUE"""),45322.64583333333)</f>
        <v>45322.64583</v>
      </c>
      <c r="HB30" s="45">
        <f>IFERROR(__xludf.DUMMYFUNCTION("""COMPUTED_VALUE"""),580.6)</f>
        <v>580.6</v>
      </c>
      <c r="HC30" s="46">
        <f t="shared" si="53"/>
        <v>-0.04506578947</v>
      </c>
      <c r="HD30" s="37"/>
      <c r="HE30" s="43">
        <f>IFERROR(__xludf.DUMMYFUNCTION("""COMPUTED_VALUE"""),45322.64583333333)</f>
        <v>45322.64583</v>
      </c>
      <c r="HF30" s="45">
        <f>IFERROR(__xludf.DUMMYFUNCTION("""COMPUTED_VALUE"""),2701.63)</f>
        <v>2701.63</v>
      </c>
      <c r="HG30" s="46" t="str">
        <f t="shared" si="54"/>
        <v>#DIV/0!</v>
      </c>
      <c r="HH30" s="37"/>
      <c r="HI30" s="37">
        <f>IFERROR(__xludf.DUMMYFUNCTION("""COMPUTED_VALUE"""),45322.64583333333)</f>
        <v>45322.64583</v>
      </c>
      <c r="HJ30" s="45">
        <f>IFERROR(__xludf.DUMMYFUNCTION("""COMPUTED_VALUE"""),6460.5)</f>
        <v>6460.5</v>
      </c>
      <c r="HK30" s="46">
        <f t="shared" si="55"/>
        <v>0.2642733437</v>
      </c>
      <c r="HL30" s="37"/>
      <c r="HM30" s="37">
        <f>IFERROR(__xludf.DUMMYFUNCTION("""COMPUTED_VALUE"""),45322.64583333333)</f>
        <v>45322.64583</v>
      </c>
      <c r="HN30" s="45">
        <f>IFERROR(__xludf.DUMMYFUNCTION("""COMPUTED_VALUE"""),377.8)</f>
        <v>377.8</v>
      </c>
      <c r="HO30" s="46">
        <f t="shared" si="56"/>
        <v>-0.07071700898</v>
      </c>
      <c r="HP30" s="37"/>
      <c r="HQ30" s="37">
        <f>IFERROR(__xludf.DUMMYFUNCTION("""COMPUTED_VALUE"""),45322.64583333333)</f>
        <v>45322.64583</v>
      </c>
      <c r="HR30" s="45">
        <f>IFERROR(__xludf.DUMMYFUNCTION("""COMPUTED_VALUE"""),262.4)</f>
        <v>262.4</v>
      </c>
      <c r="HS30" s="46">
        <f t="shared" si="57"/>
        <v>0.03185214314</v>
      </c>
      <c r="HT30" s="37"/>
      <c r="HU30" s="37">
        <f>IFERROR(__xludf.DUMMYFUNCTION("""COMPUTED_VALUE"""),45322.64583333333)</f>
        <v>45322.64583</v>
      </c>
      <c r="HV30" s="45">
        <f>IFERROR(__xludf.DUMMYFUNCTION("""COMPUTED_VALUE"""),67.7)</f>
        <v>67.7</v>
      </c>
      <c r="HW30" s="46">
        <f t="shared" si="58"/>
        <v>0.08493589744</v>
      </c>
      <c r="HX30" s="37"/>
      <c r="HY30" s="37">
        <f>IFERROR(__xludf.DUMMYFUNCTION("""COMPUTED_VALUE"""),45322.64583333333)</f>
        <v>45322.64583</v>
      </c>
      <c r="HZ30" s="45">
        <f>IFERROR(__xludf.DUMMYFUNCTION("""COMPUTED_VALUE"""),344.45)</f>
        <v>344.45</v>
      </c>
      <c r="IA30" s="46">
        <f t="shared" si="59"/>
        <v>-0.2592473118</v>
      </c>
      <c r="IB30" s="37"/>
      <c r="IC30" s="37">
        <f>IFERROR(__xludf.DUMMYFUNCTION("""COMPUTED_VALUE"""),45322.64583333333)</f>
        <v>45322.64583</v>
      </c>
      <c r="ID30" s="45">
        <f>IFERROR(__xludf.DUMMYFUNCTION("""COMPUTED_VALUE"""),84.9)</f>
        <v>84.9</v>
      </c>
      <c r="IE30" s="46">
        <f t="shared" si="60"/>
        <v>-0.8064957265</v>
      </c>
      <c r="IF30" s="37"/>
      <c r="IG30" s="37">
        <f>IFERROR(__xludf.DUMMYFUNCTION("""COMPUTED_VALUE"""),45322.64583333333)</f>
        <v>45322.64583</v>
      </c>
      <c r="IH30" s="45">
        <f>IFERROR(__xludf.DUMMYFUNCTION("""COMPUTED_VALUE"""),539.8)</f>
        <v>539.8</v>
      </c>
      <c r="II30" s="46">
        <f t="shared" si="61"/>
        <v>0.01275797373</v>
      </c>
      <c r="IJ30" s="37"/>
      <c r="IK30" s="37">
        <f>IFERROR(__xludf.DUMMYFUNCTION("""COMPUTED_VALUE"""),45322.64583333333)</f>
        <v>45322.64583</v>
      </c>
      <c r="IL30" s="45">
        <f>IFERROR(__xludf.DUMMYFUNCTION("""COMPUTED_VALUE"""),548.35)</f>
        <v>548.35</v>
      </c>
      <c r="IM30" s="46">
        <f t="shared" si="62"/>
        <v>-0.1126304717</v>
      </c>
      <c r="IN30" s="37"/>
      <c r="IO30" s="37">
        <f>IFERROR(__xludf.DUMMYFUNCTION("""COMPUTED_VALUE"""),45323.64583333333)</f>
        <v>45323.64583</v>
      </c>
      <c r="IP30" s="45">
        <f>IFERROR(__xludf.DUMMYFUNCTION("""COMPUTED_VALUE"""),198.05)</f>
        <v>198.05</v>
      </c>
      <c r="IQ30" s="46">
        <f t="shared" si="63"/>
        <v>0.5757021243</v>
      </c>
      <c r="IR30" s="37"/>
      <c r="IS30" s="37">
        <f>IFERROR(__xludf.DUMMYFUNCTION("""COMPUTED_VALUE"""),45322.64583333333)</f>
        <v>45322.64583</v>
      </c>
      <c r="IT30" s="45">
        <f>IFERROR(__xludf.DUMMYFUNCTION("""COMPUTED_VALUE"""),1030.45)</f>
        <v>1030.45</v>
      </c>
      <c r="IU30" s="46">
        <f t="shared" si="64"/>
        <v>0.02634462151</v>
      </c>
      <c r="IV30" s="37"/>
      <c r="IW30" s="37">
        <f>IFERROR(__xludf.DUMMYFUNCTION("""COMPUTED_VALUE"""),45322.64583333333)</f>
        <v>45322.64583</v>
      </c>
      <c r="IX30" s="45">
        <f>IFERROR(__xludf.DUMMYFUNCTION("""COMPUTED_VALUE"""),234.0)</f>
        <v>234</v>
      </c>
      <c r="IY30" s="46">
        <f t="shared" si="65"/>
        <v>0.1361981063</v>
      </c>
      <c r="IZ30" s="37"/>
      <c r="JA30" s="37">
        <f>IFERROR(__xludf.DUMMYFUNCTION("""COMPUTED_VALUE"""),45322.64583333333)</f>
        <v>45322.64583</v>
      </c>
      <c r="JB30" s="45">
        <f>IFERROR(__xludf.DUMMYFUNCTION("""COMPUTED_VALUE"""),34659.05)</f>
        <v>34659.05</v>
      </c>
      <c r="JC30" s="46">
        <f t="shared" si="66"/>
        <v>-0.02100407738</v>
      </c>
      <c r="JD30" s="37"/>
      <c r="JE30" s="37">
        <f>IFERROR(__xludf.DUMMYFUNCTION("""COMPUTED_VALUE"""),45322.64583333333)</f>
        <v>45322.64583</v>
      </c>
      <c r="JF30" s="45">
        <f>IFERROR(__xludf.DUMMYFUNCTION("""COMPUTED_VALUE"""),660.0)</f>
        <v>660</v>
      </c>
      <c r="JG30" s="46">
        <f t="shared" si="67"/>
        <v>0.02325581395</v>
      </c>
      <c r="JH30" s="37"/>
      <c r="JI30" s="37">
        <f>IFERROR(__xludf.DUMMYFUNCTION("""COMPUTED_VALUE"""),45322.64583333333)</f>
        <v>45322.64583</v>
      </c>
      <c r="JJ30" s="45">
        <f>IFERROR(__xludf.DUMMYFUNCTION("""COMPUTED_VALUE"""),325.0)</f>
        <v>325</v>
      </c>
      <c r="JK30" s="46">
        <f t="shared" si="68"/>
        <v>-0.02680041922</v>
      </c>
      <c r="JL30" s="37"/>
      <c r="JM30" s="37">
        <f>IFERROR(__xludf.DUMMYFUNCTION("""COMPUTED_VALUE"""),45322.64583333333)</f>
        <v>45322.64583</v>
      </c>
      <c r="JN30" s="45">
        <f>IFERROR(__xludf.DUMMYFUNCTION("""COMPUTED_VALUE"""),16.65)</f>
        <v>16.65</v>
      </c>
      <c r="JO30" s="46">
        <f t="shared" si="69"/>
        <v>-0.9620512821</v>
      </c>
      <c r="JP30" s="37"/>
      <c r="JQ30" s="37">
        <f>IFERROR(__xludf.DUMMYFUNCTION("""COMPUTED_VALUE"""),45322.64583333333)</f>
        <v>45322.64583</v>
      </c>
      <c r="JR30" s="45">
        <f>IFERROR(__xludf.DUMMYFUNCTION("""COMPUTED_VALUE"""),71.0)</f>
        <v>71</v>
      </c>
      <c r="JS30" s="46">
        <f t="shared" si="70"/>
        <v>-0.4779411765</v>
      </c>
      <c r="JT30" s="37"/>
      <c r="JU30" s="37">
        <f>IFERROR(__xludf.DUMMYFUNCTION("""COMPUTED_VALUE"""),45322.64583333333)</f>
        <v>45322.64583</v>
      </c>
      <c r="JV30" s="45">
        <f>IFERROR(__xludf.DUMMYFUNCTION("""COMPUTED_VALUE"""),252.4)</f>
        <v>252.4</v>
      </c>
      <c r="JW30" s="46">
        <f t="shared" si="71"/>
        <v>-0.4247293447</v>
      </c>
      <c r="JX30" s="37"/>
      <c r="JY30" s="37">
        <f>IFERROR(__xludf.DUMMYFUNCTION("""COMPUTED_VALUE"""),45322.64583333333)</f>
        <v>45322.64583</v>
      </c>
      <c r="JZ30" s="45">
        <f>IFERROR(__xludf.DUMMYFUNCTION("""COMPUTED_VALUE"""),610.35)</f>
        <v>610.35</v>
      </c>
      <c r="KA30" s="46">
        <f t="shared" si="72"/>
        <v>0.1077132486</v>
      </c>
      <c r="KB30" s="37"/>
      <c r="KC30" s="37">
        <f>IFERROR(__xludf.DUMMYFUNCTION("""COMPUTED_VALUE"""),45322.64583333333)</f>
        <v>45322.64583</v>
      </c>
      <c r="KD30" s="45">
        <f>IFERROR(__xludf.DUMMYFUNCTION("""COMPUTED_VALUE"""),861.5)</f>
        <v>861.5</v>
      </c>
      <c r="KE30" s="46">
        <f t="shared" si="73"/>
        <v>-0.01379428768</v>
      </c>
      <c r="KF30" s="37"/>
      <c r="KG30" s="37">
        <f>IFERROR(__xludf.DUMMYFUNCTION("""COMPUTED_VALUE"""),45322.64583333333)</f>
        <v>45322.64583</v>
      </c>
      <c r="KH30" s="45">
        <f>IFERROR(__xludf.DUMMYFUNCTION("""COMPUTED_VALUE"""),415.9)</f>
        <v>415.9</v>
      </c>
      <c r="KI30" s="46">
        <f t="shared" si="74"/>
        <v>0.06641025641</v>
      </c>
      <c r="KJ30" s="37"/>
      <c r="KK30" s="37">
        <f>IFERROR(__xludf.DUMMYFUNCTION("""COMPUTED_VALUE"""),45322.64583333333)</f>
        <v>45322.64583</v>
      </c>
      <c r="KL30" s="45">
        <f>IFERROR(__xludf.DUMMYFUNCTION("""COMPUTED_VALUE"""),11.8)</f>
        <v>11.8</v>
      </c>
      <c r="KM30" s="46">
        <f t="shared" si="75"/>
        <v>0.2688172043</v>
      </c>
      <c r="KN30" s="37"/>
      <c r="KO30" s="37">
        <f>IFERROR(__xludf.DUMMYFUNCTION("""COMPUTED_VALUE"""),45322.64583333333)</f>
        <v>45322.64583</v>
      </c>
      <c r="KP30" s="45">
        <f>IFERROR(__xludf.DUMMYFUNCTION("""COMPUTED_VALUE"""),254.2)</f>
        <v>254.2</v>
      </c>
      <c r="KQ30" s="46">
        <f t="shared" si="76"/>
        <v>0.2503689129</v>
      </c>
      <c r="KR30" s="37"/>
      <c r="KS30" s="37">
        <f>IFERROR(__xludf.DUMMYFUNCTION("""COMPUTED_VALUE"""),45322.64583333333)</f>
        <v>45322.64583</v>
      </c>
      <c r="KT30" s="45">
        <f>IFERROR(__xludf.DUMMYFUNCTION("""COMPUTED_VALUE"""),11.9)</f>
        <v>11.9</v>
      </c>
      <c r="KU30" s="46">
        <f t="shared" si="77"/>
        <v>0.07692307692</v>
      </c>
      <c r="KV30" s="37"/>
      <c r="KW30" s="37">
        <f>IFERROR(__xludf.DUMMYFUNCTION("""COMPUTED_VALUE"""),45322.64583333333)</f>
        <v>45322.64583</v>
      </c>
      <c r="KX30" s="45">
        <f>IFERROR(__xludf.DUMMYFUNCTION("""COMPUTED_VALUE"""),2494.95)</f>
        <v>2494.95</v>
      </c>
      <c r="KY30" s="46">
        <f t="shared" si="78"/>
        <v>-0.06554429858</v>
      </c>
      <c r="KZ30" s="37"/>
      <c r="LA30" s="37">
        <f>IFERROR(__xludf.DUMMYFUNCTION("""COMPUTED_VALUE"""),45322.64583333333)</f>
        <v>45322.64583</v>
      </c>
      <c r="LB30" s="45">
        <f>IFERROR(__xludf.DUMMYFUNCTION("""COMPUTED_VALUE"""),18.7)</f>
        <v>18.7</v>
      </c>
      <c r="LC30" s="46">
        <f t="shared" si="79"/>
        <v>-0.007957559682</v>
      </c>
      <c r="LD30" s="37"/>
      <c r="LE30" s="37">
        <f>IFERROR(__xludf.DUMMYFUNCTION("""COMPUTED_VALUE"""),45322.64583333333)</f>
        <v>45322.64583</v>
      </c>
      <c r="LF30" s="45">
        <f>IFERROR(__xludf.DUMMYFUNCTION("""COMPUTED_VALUE"""),131.0)</f>
        <v>131</v>
      </c>
      <c r="LG30" s="46">
        <f t="shared" si="80"/>
        <v>0.048</v>
      </c>
      <c r="LH30" s="37"/>
      <c r="LI30" s="37">
        <f>IFERROR(__xludf.DUMMYFUNCTION("""COMPUTED_VALUE"""),45322.64583333333)</f>
        <v>45322.64583</v>
      </c>
      <c r="LJ30" s="45">
        <f>IFERROR(__xludf.DUMMYFUNCTION("""COMPUTED_VALUE"""),728.0)</f>
        <v>728</v>
      </c>
      <c r="LK30" s="46">
        <f t="shared" si="81"/>
        <v>0</v>
      </c>
      <c r="LL30" s="37"/>
      <c r="LM30" s="37">
        <f>IFERROR(__xludf.DUMMYFUNCTION("""COMPUTED_VALUE"""),45322.64583333333)</f>
        <v>45322.64583</v>
      </c>
      <c r="LN30" s="45">
        <f>IFERROR(__xludf.DUMMYFUNCTION("""COMPUTED_VALUE"""),751.1)</f>
        <v>751.1</v>
      </c>
      <c r="LO30" s="46">
        <f t="shared" si="82"/>
        <v>-0.1215204678</v>
      </c>
      <c r="LP30" s="37"/>
      <c r="LQ30" s="37">
        <f>IFERROR(__xludf.DUMMYFUNCTION("""COMPUTED_VALUE"""),45322.64583333333)</f>
        <v>45322.64583</v>
      </c>
      <c r="LR30" s="45">
        <f>IFERROR(__xludf.DUMMYFUNCTION("""COMPUTED_VALUE"""),586.85)</f>
        <v>586.85</v>
      </c>
      <c r="LS30" s="46">
        <f t="shared" si="83"/>
        <v>0.6060481664</v>
      </c>
      <c r="LT30" s="37"/>
      <c r="LU30" s="37">
        <f>IFERROR(__xludf.DUMMYFUNCTION("""COMPUTED_VALUE"""),45322.64583333333)</f>
        <v>45322.64583</v>
      </c>
      <c r="LV30" s="45">
        <f>IFERROR(__xludf.DUMMYFUNCTION("""COMPUTED_VALUE"""),128.9)</f>
        <v>128.9</v>
      </c>
      <c r="LW30" s="46">
        <f t="shared" si="84"/>
        <v>-0.05774853801</v>
      </c>
      <c r="LX30" s="37"/>
      <c r="LY30" s="37">
        <f>IFERROR(__xludf.DUMMYFUNCTION("""COMPUTED_VALUE"""),45322.64583333333)</f>
        <v>45322.64583</v>
      </c>
      <c r="LZ30" s="45">
        <f>IFERROR(__xludf.DUMMYFUNCTION("""COMPUTED_VALUE"""),659.3)</f>
        <v>659.3</v>
      </c>
      <c r="MA30" s="46">
        <f t="shared" si="85"/>
        <v>0.06338709677</v>
      </c>
      <c r="MB30" s="37"/>
      <c r="MC30" s="37"/>
      <c r="MD30" s="45"/>
      <c r="ME30" s="46" t="str">
        <f t="shared" si="86"/>
        <v>#DIV/0!</v>
      </c>
      <c r="MF30" s="37"/>
      <c r="MG30" s="37">
        <f>IFERROR(__xludf.DUMMYFUNCTION("""COMPUTED_VALUE"""),45322.64583333333)</f>
        <v>45322.64583</v>
      </c>
      <c r="MH30" s="45">
        <f>IFERROR(__xludf.DUMMYFUNCTION("""COMPUTED_VALUE"""),1998.55)</f>
        <v>1998.55</v>
      </c>
      <c r="MI30" s="46">
        <f t="shared" si="87"/>
        <v>0.01917437976</v>
      </c>
      <c r="MJ30" s="37"/>
      <c r="MK30" s="37">
        <f>IFERROR(__xludf.DUMMYFUNCTION("""COMPUTED_VALUE"""),45322.64583333333)</f>
        <v>45322.64583</v>
      </c>
      <c r="ML30" s="45">
        <f>IFERROR(__xludf.DUMMYFUNCTION("""COMPUTED_VALUE"""),391.0)</f>
        <v>391</v>
      </c>
      <c r="MM30" s="46">
        <f t="shared" si="88"/>
        <v>-0.02237779722</v>
      </c>
      <c r="MN30" s="37"/>
      <c r="MO30" s="37">
        <f>IFERROR(__xludf.DUMMYFUNCTION("""COMPUTED_VALUE"""),45322.64583333333)</f>
        <v>45322.64583</v>
      </c>
      <c r="MP30" s="45">
        <f>IFERROR(__xludf.DUMMYFUNCTION("""COMPUTED_VALUE"""),820.0)</f>
        <v>820</v>
      </c>
      <c r="MQ30" s="46">
        <f t="shared" si="89"/>
        <v>0.1081081081</v>
      </c>
      <c r="MR30" s="37"/>
      <c r="MS30" s="37">
        <f>IFERROR(__xludf.DUMMYFUNCTION("""COMPUTED_VALUE"""),45322.64583333333)</f>
        <v>45322.64583</v>
      </c>
      <c r="MT30" s="45">
        <f>IFERROR(__xludf.DUMMYFUNCTION("""COMPUTED_VALUE"""),60.35)</f>
        <v>60.35</v>
      </c>
      <c r="MU30" s="46">
        <f t="shared" si="90"/>
        <v>-0.08767951625</v>
      </c>
      <c r="MV30" s="37"/>
      <c r="MW30" s="37">
        <f>IFERROR(__xludf.DUMMYFUNCTION("""COMPUTED_VALUE"""),45322.64583333333)</f>
        <v>45322.64583</v>
      </c>
      <c r="MX30" s="45">
        <f>IFERROR(__xludf.DUMMYFUNCTION("""COMPUTED_VALUE"""),2913.0)</f>
        <v>2913</v>
      </c>
      <c r="MY30" s="46">
        <f t="shared" si="91"/>
        <v>-0.07435653003</v>
      </c>
      <c r="MZ30" s="37"/>
      <c r="NA30" s="37">
        <f>IFERROR(__xludf.DUMMYFUNCTION("""COMPUTED_VALUE"""),45322.64583333333)</f>
        <v>45322.64583</v>
      </c>
      <c r="NB30" s="45">
        <f>IFERROR(__xludf.DUMMYFUNCTION("""COMPUTED_VALUE"""),15.85)</f>
        <v>15.85</v>
      </c>
      <c r="NC30" s="46">
        <f t="shared" si="92"/>
        <v>0.2529644269</v>
      </c>
      <c r="ND30" s="37"/>
      <c r="NE30" s="37">
        <f>IFERROR(__xludf.DUMMYFUNCTION("""COMPUTED_VALUE"""),45323.64583333333)</f>
        <v>45323.64583</v>
      </c>
      <c r="NF30" s="45">
        <f>IFERROR(__xludf.DUMMYFUNCTION("""COMPUTED_VALUE"""),376.45)</f>
        <v>376.45</v>
      </c>
      <c r="NG30" s="46">
        <f t="shared" si="93"/>
        <v>-0.01697349523</v>
      </c>
      <c r="NH30" s="37"/>
      <c r="NI30" s="37">
        <f>IFERROR(__xludf.DUMMYFUNCTION("""COMPUTED_VALUE"""),45323.64583333333)</f>
        <v>45323.64583</v>
      </c>
      <c r="NJ30" s="45">
        <f>IFERROR(__xludf.DUMMYFUNCTION("""COMPUTED_VALUE"""),313.57)</f>
        <v>313.57</v>
      </c>
      <c r="NK30" s="46">
        <f t="shared" si="94"/>
        <v>0.1758728016</v>
      </c>
      <c r="NL30" s="37"/>
      <c r="NM30" s="37">
        <f>IFERROR(__xludf.DUMMYFUNCTION("""COMPUTED_VALUE"""),45323.64583333333)</f>
        <v>45323.64583</v>
      </c>
      <c r="NN30" s="45">
        <f>IFERROR(__xludf.DUMMYFUNCTION("""COMPUTED_VALUE"""),123.5)</f>
        <v>123.5</v>
      </c>
      <c r="NO30" s="46">
        <f t="shared" si="95"/>
        <v>0.001622060016</v>
      </c>
      <c r="NP30" s="37"/>
      <c r="NQ30" s="37">
        <f>IFERROR(__xludf.DUMMYFUNCTION("""COMPUTED_VALUE"""),45323.64583333333)</f>
        <v>45323.64583</v>
      </c>
      <c r="NR30" s="45">
        <f>IFERROR(__xludf.DUMMYFUNCTION("""COMPUTED_VALUE"""),4717.85)</f>
        <v>4717.85</v>
      </c>
      <c r="NS30" s="46">
        <f t="shared" si="96"/>
        <v>0.1297533525</v>
      </c>
      <c r="NT30" s="37"/>
      <c r="NU30" s="37">
        <f>IFERROR(__xludf.DUMMYFUNCTION("""COMPUTED_VALUE"""),45323.64583333333)</f>
        <v>45323.64583</v>
      </c>
      <c r="NV30" s="45">
        <f>IFERROR(__xludf.DUMMYFUNCTION("""COMPUTED_VALUE"""),14.45)</f>
        <v>14.45</v>
      </c>
      <c r="NW30" s="46">
        <f t="shared" si="97"/>
        <v>0.1377952756</v>
      </c>
      <c r="NX30" s="37"/>
      <c r="NY30" s="37">
        <f>IFERROR(__xludf.DUMMYFUNCTION("""COMPUTED_VALUE"""),45323.64583333333)</f>
        <v>45323.64583</v>
      </c>
      <c r="NZ30" s="45">
        <f>IFERROR(__xludf.DUMMYFUNCTION("""COMPUTED_VALUE"""),302.9)</f>
        <v>302.9</v>
      </c>
      <c r="OA30" s="46">
        <f t="shared" si="98"/>
        <v>0.2273095624</v>
      </c>
      <c r="OB30" s="37"/>
      <c r="OC30" s="37">
        <f>IFERROR(__xludf.DUMMYFUNCTION("""COMPUTED_VALUE"""),45323.64583333333)</f>
        <v>45323.64583</v>
      </c>
      <c r="OD30" s="45">
        <f>IFERROR(__xludf.DUMMYFUNCTION("""COMPUTED_VALUE"""),1134.9)</f>
        <v>1134.9</v>
      </c>
      <c r="OE30" s="46">
        <f t="shared" si="99"/>
        <v>0.07680630011</v>
      </c>
      <c r="OF30" s="37"/>
      <c r="OG30" s="37">
        <f>IFERROR(__xludf.DUMMYFUNCTION("""COMPUTED_VALUE"""),45323.64583333333)</f>
        <v>45323.64583</v>
      </c>
      <c r="OH30" s="45">
        <f>IFERROR(__xludf.DUMMYFUNCTION("""COMPUTED_VALUE"""),2675.0)</f>
        <v>2675</v>
      </c>
      <c r="OI30" s="46">
        <f t="shared" si="100"/>
        <v>0.09640134437</v>
      </c>
      <c r="OJ30" s="37"/>
      <c r="OK30" s="37"/>
      <c r="OL30" s="45"/>
      <c r="OM30" s="46" t="str">
        <f t="shared" si="101"/>
        <v>#DIV/0!</v>
      </c>
      <c r="ON30" s="37"/>
    </row>
    <row r="31" ht="12.0" customHeight="1">
      <c r="A31" s="37">
        <f>IFERROR(__xludf.DUMMYFUNCTION("""COMPUTED_VALUE"""),45322.64583333333)</f>
        <v>45322.64583</v>
      </c>
      <c r="B31" s="45">
        <f>IFERROR(__xludf.DUMMYFUNCTION("""COMPUTED_VALUE"""),384.0)</f>
        <v>384</v>
      </c>
      <c r="C31" s="46">
        <f t="shared" si="1"/>
        <v>-0.1247863248</v>
      </c>
      <c r="D31" s="37"/>
      <c r="E31" s="37">
        <f>IFERROR(__xludf.DUMMYFUNCTION("""COMPUTED_VALUE"""),45322.64583333333)</f>
        <v>45322.64583</v>
      </c>
      <c r="F31" s="45">
        <f>IFERROR(__xludf.DUMMYFUNCTION("""COMPUTED_VALUE"""),726.95)</f>
        <v>726.95</v>
      </c>
      <c r="G31" s="46">
        <f t="shared" si="2"/>
        <v>0.1098473282</v>
      </c>
      <c r="H31" s="37"/>
      <c r="I31" s="37">
        <f>IFERROR(__xludf.DUMMYFUNCTION("""COMPUTED_VALUE"""),45322.64583333333)</f>
        <v>45322.64583</v>
      </c>
      <c r="J31" s="45">
        <f>IFERROR(__xludf.DUMMYFUNCTION("""COMPUTED_VALUE"""),189.1)</f>
        <v>189.1</v>
      </c>
      <c r="K31" s="46">
        <f t="shared" si="3"/>
        <v>0.0277173913</v>
      </c>
      <c r="L31" s="37"/>
      <c r="M31" s="37">
        <f>IFERROR(__xludf.DUMMYFUNCTION("""COMPUTED_VALUE"""),45322.64583333333)</f>
        <v>45322.64583</v>
      </c>
      <c r="N31" s="45">
        <f>IFERROR(__xludf.DUMMYFUNCTION("""COMPUTED_VALUE"""),104.7)</f>
        <v>104.7</v>
      </c>
      <c r="O31" s="46">
        <f t="shared" si="4"/>
        <v>0.2118055556</v>
      </c>
      <c r="P31" s="37"/>
      <c r="Q31" s="37">
        <f>IFERROR(__xludf.DUMMYFUNCTION("""COMPUTED_VALUE"""),45322.64583333333)</f>
        <v>45322.64583</v>
      </c>
      <c r="R31" s="45">
        <f>IFERROR(__xludf.DUMMYFUNCTION("""COMPUTED_VALUE"""),53.6)</f>
        <v>53.6</v>
      </c>
      <c r="S31" s="46">
        <f t="shared" si="5"/>
        <v>0.02095238095</v>
      </c>
      <c r="T31" s="37"/>
      <c r="U31" s="37">
        <f>IFERROR(__xludf.DUMMYFUNCTION("""COMPUTED_VALUE"""),45322.64583333333)</f>
        <v>45322.64583</v>
      </c>
      <c r="V31" s="45">
        <f>IFERROR(__xludf.DUMMYFUNCTION("""COMPUTED_VALUE"""),792.7)</f>
        <v>792.7</v>
      </c>
      <c r="W31" s="46">
        <f t="shared" si="6"/>
        <v>0.1967089372</v>
      </c>
      <c r="X31" s="37"/>
      <c r="Y31" s="37">
        <f>IFERROR(__xludf.DUMMYFUNCTION("""COMPUTED_VALUE"""),45322.64583333333)</f>
        <v>45322.64583</v>
      </c>
      <c r="Z31" s="45">
        <f>IFERROR(__xludf.DUMMYFUNCTION("""COMPUTED_VALUE"""),197.9)</f>
        <v>197.9</v>
      </c>
      <c r="AA31" s="46">
        <f t="shared" si="7"/>
        <v>0.06972972973</v>
      </c>
      <c r="AB31" s="37"/>
      <c r="AC31" s="37">
        <f>IFERROR(__xludf.DUMMYFUNCTION("""COMPUTED_VALUE"""),45322.64583333333)</f>
        <v>45322.64583</v>
      </c>
      <c r="AD31" s="45">
        <f>IFERROR(__xludf.DUMMYFUNCTION("""COMPUTED_VALUE"""),2701.63)</f>
        <v>2701.63</v>
      </c>
      <c r="AE31" s="46">
        <f t="shared" si="8"/>
        <v>0.1377679511</v>
      </c>
      <c r="AF31" s="37"/>
      <c r="AG31" s="37">
        <f>IFERROR(__xludf.DUMMYFUNCTION("""COMPUTED_VALUE"""),45322.64583333333)</f>
        <v>45322.64583</v>
      </c>
      <c r="AH31" s="45">
        <f>IFERROR(__xludf.DUMMYFUNCTION("""COMPUTED_VALUE"""),658.95)</f>
        <v>658.95</v>
      </c>
      <c r="AI31" s="46">
        <f t="shared" si="9"/>
        <v>-0.2155357143</v>
      </c>
      <c r="AJ31" s="37"/>
      <c r="AK31" s="37">
        <f>IFERROR(__xludf.DUMMYFUNCTION("""COMPUTED_VALUE"""),45322.64583333333)</f>
        <v>45322.64583</v>
      </c>
      <c r="AL31" s="45">
        <f>IFERROR(__xludf.DUMMYFUNCTION("""COMPUTED_VALUE"""),6460.5)</f>
        <v>6460.5</v>
      </c>
      <c r="AM31" s="46">
        <f t="shared" si="10"/>
        <v>0.2424038462</v>
      </c>
      <c r="AN31" s="37"/>
      <c r="AO31" s="37">
        <f>IFERROR(__xludf.DUMMYFUNCTION("""COMPUTED_VALUE"""),45322.64583333333)</f>
        <v>45322.64583</v>
      </c>
      <c r="AP31" s="45">
        <f>IFERROR(__xludf.DUMMYFUNCTION("""COMPUTED_VALUE"""),869.9)</f>
        <v>869.9</v>
      </c>
      <c r="AQ31" s="46">
        <f t="shared" si="11"/>
        <v>-0.04406593407</v>
      </c>
      <c r="AR31" s="37"/>
      <c r="AS31" s="37">
        <f>IFERROR(__xludf.DUMMYFUNCTION("""COMPUTED_VALUE"""),45322.64583333333)</f>
        <v>45322.64583</v>
      </c>
      <c r="AT31" s="45">
        <f>IFERROR(__xludf.DUMMYFUNCTION("""COMPUTED_VALUE"""),2320.0)</f>
        <v>2320</v>
      </c>
      <c r="AU31" s="46">
        <f t="shared" si="12"/>
        <v>-0.06598494303</v>
      </c>
      <c r="AV31" s="37"/>
      <c r="AW31" s="37">
        <f>IFERROR(__xludf.DUMMYFUNCTION("""COMPUTED_VALUE"""),45322.64583333333)</f>
        <v>45322.64583</v>
      </c>
      <c r="AX31" s="45">
        <f>IFERROR(__xludf.DUMMYFUNCTION("""COMPUTED_VALUE"""),6872.0)</f>
        <v>6872</v>
      </c>
      <c r="AY31" s="46">
        <f t="shared" si="13"/>
        <v>0.2174467633</v>
      </c>
      <c r="AZ31" s="37"/>
      <c r="BA31" s="37">
        <f>IFERROR(__xludf.DUMMYFUNCTION("""COMPUTED_VALUE"""),45322.64583333333)</f>
        <v>45322.64583</v>
      </c>
      <c r="BB31" s="45">
        <f>IFERROR(__xludf.DUMMYFUNCTION("""COMPUTED_VALUE"""),479.9)</f>
        <v>479.9</v>
      </c>
      <c r="BC31" s="46">
        <f t="shared" si="14"/>
        <v>0.02433297759</v>
      </c>
      <c r="BD31" s="37"/>
      <c r="BE31" s="37">
        <f>IFERROR(__xludf.DUMMYFUNCTION("""COMPUTED_VALUE"""),45322.64583333333)</f>
        <v>45322.64583</v>
      </c>
      <c r="BF31" s="45">
        <f>IFERROR(__xludf.DUMMYFUNCTION("""COMPUTED_VALUE"""),331.0)</f>
        <v>331</v>
      </c>
      <c r="BG31" s="46">
        <f t="shared" si="15"/>
        <v>-0.1867321867</v>
      </c>
      <c r="BH31" s="37"/>
      <c r="BI31" s="37">
        <f>IFERROR(__xludf.DUMMYFUNCTION("""COMPUTED_VALUE"""),45322.64583333333)</f>
        <v>45322.64583</v>
      </c>
      <c r="BJ31" s="45">
        <f>IFERROR(__xludf.DUMMYFUNCTION("""COMPUTED_VALUE"""),80.6)</f>
        <v>80.6</v>
      </c>
      <c r="BK31" s="46">
        <f t="shared" si="16"/>
        <v>0.1605471562</v>
      </c>
      <c r="BL31" s="37"/>
      <c r="BM31" s="37">
        <f>IFERROR(__xludf.DUMMYFUNCTION("""COMPUTED_VALUE"""),45322.64583333333)</f>
        <v>45322.64583</v>
      </c>
      <c r="BN31" s="45">
        <f>IFERROR(__xludf.DUMMYFUNCTION("""COMPUTED_VALUE"""),262.4)</f>
        <v>262.4</v>
      </c>
      <c r="BO31" s="46">
        <f t="shared" si="17"/>
        <v>0.025</v>
      </c>
      <c r="BP31" s="37"/>
      <c r="BQ31" s="37">
        <f>IFERROR(__xludf.DUMMYFUNCTION("""COMPUTED_VALUE"""),45322.64583333333)</f>
        <v>45322.64583</v>
      </c>
      <c r="BR31" s="45">
        <f>IFERROR(__xludf.DUMMYFUNCTION("""COMPUTED_VALUE"""),67.7)</f>
        <v>67.7</v>
      </c>
      <c r="BS31" s="46">
        <f t="shared" si="18"/>
        <v>0.1116584565</v>
      </c>
      <c r="BT31" s="37"/>
      <c r="BU31" s="37">
        <f>IFERROR(__xludf.DUMMYFUNCTION("""COMPUTED_VALUE"""),45322.64583333333)</f>
        <v>45322.64583</v>
      </c>
      <c r="BV31" s="45">
        <f>IFERROR(__xludf.DUMMYFUNCTION("""COMPUTED_VALUE"""),332.0)</f>
        <v>332</v>
      </c>
      <c r="BW31" s="46">
        <f t="shared" si="19"/>
        <v>0.07304460246</v>
      </c>
      <c r="BX31" s="37"/>
      <c r="BY31" s="37">
        <f>IFERROR(__xludf.DUMMYFUNCTION("""COMPUTED_VALUE"""),45322.64583333333)</f>
        <v>45322.64583</v>
      </c>
      <c r="BZ31" s="45">
        <f>IFERROR(__xludf.DUMMYFUNCTION("""COMPUTED_VALUE"""),344.45)</f>
        <v>344.45</v>
      </c>
      <c r="CA31" s="46">
        <f t="shared" si="20"/>
        <v>-0.1588522589</v>
      </c>
      <c r="CB31" s="37"/>
      <c r="CC31" s="37">
        <f>IFERROR(__xludf.DUMMYFUNCTION("""COMPUTED_VALUE"""),45322.64583333333)</f>
        <v>45322.64583</v>
      </c>
      <c r="CD31" s="45">
        <f>IFERROR(__xludf.DUMMYFUNCTION("""COMPUTED_VALUE"""),290.6)</f>
        <v>290.6</v>
      </c>
      <c r="CE31" s="46">
        <f t="shared" si="21"/>
        <v>0.2542080276</v>
      </c>
      <c r="CF31" s="37"/>
      <c r="CG31" s="37">
        <f>IFERROR(__xludf.DUMMYFUNCTION("""COMPUTED_VALUE"""),45322.64583333333)</f>
        <v>45322.64583</v>
      </c>
      <c r="CH31" s="45">
        <f>IFERROR(__xludf.DUMMYFUNCTION("""COMPUTED_VALUE"""),660.0)</f>
        <v>660</v>
      </c>
      <c r="CI31" s="46">
        <f t="shared" si="22"/>
        <v>0.03773584906</v>
      </c>
      <c r="CJ31" s="37"/>
      <c r="CK31" s="37">
        <f>IFERROR(__xludf.DUMMYFUNCTION("""COMPUTED_VALUE"""),45322.64583333333)</f>
        <v>45322.64583</v>
      </c>
      <c r="CL31" s="45">
        <f>IFERROR(__xludf.DUMMYFUNCTION("""COMPUTED_VALUE"""),325.0)</f>
        <v>325</v>
      </c>
      <c r="CM31" s="46">
        <f t="shared" si="23"/>
        <v>-0.03560830861</v>
      </c>
      <c r="CN31" s="37"/>
      <c r="CO31" s="37">
        <f>IFERROR(__xludf.DUMMYFUNCTION("""COMPUTED_VALUE"""),45322.64583333333)</f>
        <v>45322.64583</v>
      </c>
      <c r="CP31" s="45">
        <f>IFERROR(__xludf.DUMMYFUNCTION("""COMPUTED_VALUE"""),16.65)</f>
        <v>16.65</v>
      </c>
      <c r="CQ31" s="46">
        <f t="shared" si="24"/>
        <v>0.125</v>
      </c>
      <c r="CR31" s="37"/>
      <c r="CS31" s="37">
        <f>IFERROR(__xludf.DUMMYFUNCTION("""COMPUTED_VALUE"""),45322.64583333333)</f>
        <v>45322.64583</v>
      </c>
      <c r="CT31" s="45">
        <f>IFERROR(__xludf.DUMMYFUNCTION("""COMPUTED_VALUE"""),199.0)</f>
        <v>199</v>
      </c>
      <c r="CU31" s="46">
        <f t="shared" si="25"/>
        <v>0.005050505051</v>
      </c>
      <c r="CV31" s="37"/>
      <c r="CW31" s="37">
        <f>IFERROR(__xludf.DUMMYFUNCTION("""COMPUTED_VALUE"""),45322.64583333333)</f>
        <v>45322.64583</v>
      </c>
      <c r="CX31" s="45">
        <f>IFERROR(__xludf.DUMMYFUNCTION("""COMPUTED_VALUE"""),945.0)</f>
        <v>945</v>
      </c>
      <c r="CY31" s="46">
        <f t="shared" si="26"/>
        <v>0.366041227</v>
      </c>
      <c r="CZ31" s="37"/>
      <c r="DA31" s="37">
        <f>IFERROR(__xludf.DUMMYFUNCTION("""COMPUTED_VALUE"""),45322.64583333333)</f>
        <v>45322.64583</v>
      </c>
      <c r="DB31" s="45">
        <f>IFERROR(__xludf.DUMMYFUNCTION("""COMPUTED_VALUE"""),32.7)</f>
        <v>32.7</v>
      </c>
      <c r="DC31" s="46">
        <f t="shared" si="27"/>
        <v>0.1720430108</v>
      </c>
      <c r="DD31" s="37"/>
      <c r="DE31" s="37">
        <f>IFERROR(__xludf.DUMMYFUNCTION("""COMPUTED_VALUE"""),45322.64583333333)</f>
        <v>45322.64583</v>
      </c>
      <c r="DF31" s="45">
        <f>IFERROR(__xludf.DUMMYFUNCTION("""COMPUTED_VALUE"""),71.0)</f>
        <v>71</v>
      </c>
      <c r="DG31" s="46">
        <f t="shared" si="28"/>
        <v>-0.3733451015</v>
      </c>
      <c r="DH31" s="37"/>
      <c r="DI31" s="37">
        <f>IFERROR(__xludf.DUMMYFUNCTION("""COMPUTED_VALUE"""),45322.64583333333)</f>
        <v>45322.64583</v>
      </c>
      <c r="DJ31" s="45">
        <f>IFERROR(__xludf.DUMMYFUNCTION("""COMPUTED_VALUE"""),1855.0)</f>
        <v>1855</v>
      </c>
      <c r="DK31" s="46">
        <f t="shared" si="29"/>
        <v>0.1559072782</v>
      </c>
      <c r="DL31" s="37"/>
      <c r="DM31" s="37">
        <f>IFERROR(__xludf.DUMMYFUNCTION("""COMPUTED_VALUE"""),45322.64583333333)</f>
        <v>45322.64583</v>
      </c>
      <c r="DN31" s="45">
        <f>IFERROR(__xludf.DUMMYFUNCTION("""COMPUTED_VALUE"""),574.75)</f>
        <v>574.75</v>
      </c>
      <c r="DO31" s="46">
        <f t="shared" si="30"/>
        <v>0.07199477758</v>
      </c>
      <c r="DP31" s="37"/>
      <c r="DQ31" s="37">
        <f>IFERROR(__xludf.DUMMYFUNCTION("""COMPUTED_VALUE"""),45322.64583333333)</f>
        <v>45322.64583</v>
      </c>
      <c r="DR31" s="45">
        <f>IFERROR(__xludf.DUMMYFUNCTION("""COMPUTED_VALUE"""),243.25)</f>
        <v>243.25</v>
      </c>
      <c r="DS31" s="46">
        <f t="shared" si="31"/>
        <v>0.1158256881</v>
      </c>
      <c r="DT31" s="37"/>
      <c r="DU31" s="37">
        <f>IFERROR(__xludf.DUMMYFUNCTION("""COMPUTED_VALUE"""),45322.64583333333)</f>
        <v>45322.64583</v>
      </c>
      <c r="DV31" s="45">
        <f>IFERROR(__xludf.DUMMYFUNCTION("""COMPUTED_VALUE"""),861.5)</f>
        <v>861.5</v>
      </c>
      <c r="DW31" s="46">
        <f t="shared" si="32"/>
        <v>0.01293356849</v>
      </c>
      <c r="DX31" s="37"/>
      <c r="DY31" s="37">
        <f>IFERROR(__xludf.DUMMYFUNCTION("""COMPUTED_VALUE"""),45322.64583333333)</f>
        <v>45322.64583</v>
      </c>
      <c r="DZ31" s="45">
        <f>IFERROR(__xludf.DUMMYFUNCTION("""COMPUTED_VALUE"""),11.9)</f>
        <v>11.9</v>
      </c>
      <c r="EA31" s="46">
        <f t="shared" si="33"/>
        <v>0.09677419355</v>
      </c>
      <c r="EB31" s="37"/>
      <c r="EC31" s="37">
        <f>IFERROR(__xludf.DUMMYFUNCTION("""COMPUTED_VALUE"""),45322.64583333333)</f>
        <v>45322.64583</v>
      </c>
      <c r="ED31" s="45">
        <f>IFERROR(__xludf.DUMMYFUNCTION("""COMPUTED_VALUE"""),2494.95)</f>
        <v>2494.95</v>
      </c>
      <c r="EE31" s="46">
        <f t="shared" si="34"/>
        <v>-0.05672967864</v>
      </c>
      <c r="EF31" s="37"/>
      <c r="EG31" s="37">
        <f>IFERROR(__xludf.DUMMYFUNCTION("""COMPUTED_VALUE"""),45322.64583333333)</f>
        <v>45322.64583</v>
      </c>
      <c r="EH31" s="45">
        <f>IFERROR(__xludf.DUMMYFUNCTION("""COMPUTED_VALUE"""),1165.0)</f>
        <v>1165</v>
      </c>
      <c r="EI31" s="46">
        <f t="shared" si="35"/>
        <v>0.7961763799</v>
      </c>
      <c r="EJ31" s="37"/>
      <c r="EK31" s="37">
        <f>IFERROR(__xludf.DUMMYFUNCTION("""COMPUTED_VALUE"""),45322.64583333333)</f>
        <v>45322.64583</v>
      </c>
      <c r="EL31" s="45">
        <f>IFERROR(__xludf.DUMMYFUNCTION("""COMPUTED_VALUE"""),198.6)</f>
        <v>198.6</v>
      </c>
      <c r="EM31" s="46">
        <f t="shared" si="36"/>
        <v>-0.01683168317</v>
      </c>
      <c r="EN31" s="37"/>
      <c r="EO31" s="37">
        <f>IFERROR(__xludf.DUMMYFUNCTION("""COMPUTED_VALUE"""),45322.64583333333)</f>
        <v>45322.64583</v>
      </c>
      <c r="EP31" s="45">
        <f>IFERROR(__xludf.DUMMYFUNCTION("""COMPUTED_VALUE"""),174.5)</f>
        <v>174.5</v>
      </c>
      <c r="EQ31" s="46">
        <f t="shared" si="37"/>
        <v>0.1261697322</v>
      </c>
      <c r="ER31" s="37"/>
      <c r="ES31" s="37">
        <f>IFERROR(__xludf.DUMMYFUNCTION("""COMPUTED_VALUE"""),45322.64583333333)</f>
        <v>45322.64583</v>
      </c>
      <c r="ET31" s="45">
        <f>IFERROR(__xludf.DUMMYFUNCTION("""COMPUTED_VALUE"""),191.0)</f>
        <v>191</v>
      </c>
      <c r="EU31" s="46">
        <f t="shared" si="38"/>
        <v>-0.01723694366</v>
      </c>
      <c r="EV31" s="37"/>
      <c r="EW31" s="37">
        <f>IFERROR(__xludf.DUMMYFUNCTION("""COMPUTED_VALUE"""),45322.64583333333)</f>
        <v>45322.64583</v>
      </c>
      <c r="EX31" s="45">
        <f>IFERROR(__xludf.DUMMYFUNCTION("""COMPUTED_VALUE"""),706.4)</f>
        <v>706.4</v>
      </c>
      <c r="EY31" s="46">
        <f t="shared" si="39"/>
        <v>0.09012345679</v>
      </c>
      <c r="EZ31" s="37"/>
      <c r="FA31" s="37">
        <f>IFERROR(__xludf.DUMMYFUNCTION("""COMPUTED_VALUE"""),45322.64583333333)</f>
        <v>45322.64583</v>
      </c>
      <c r="FB31" s="45">
        <f>IFERROR(__xludf.DUMMYFUNCTION("""COMPUTED_VALUE"""),194.7)</f>
        <v>194.7</v>
      </c>
      <c r="FC31" s="46">
        <f t="shared" si="40"/>
        <v>0.1163990826</v>
      </c>
      <c r="FD31" s="37"/>
      <c r="FE31" s="37">
        <f>IFERROR(__xludf.DUMMYFUNCTION("""COMPUTED_VALUE"""),45322.64583333333)</f>
        <v>45322.64583</v>
      </c>
      <c r="FF31" s="45">
        <f>IFERROR(__xludf.DUMMYFUNCTION("""COMPUTED_VALUE"""),360.0)</f>
        <v>360</v>
      </c>
      <c r="FG31" s="46">
        <f t="shared" si="41"/>
        <v>0.1811023622</v>
      </c>
      <c r="FH31" s="37"/>
      <c r="FI31" s="37">
        <f>IFERROR(__xludf.DUMMYFUNCTION("""COMPUTED_VALUE"""),45322.64583333333)</f>
        <v>45322.64583</v>
      </c>
      <c r="FJ31" s="45">
        <f>IFERROR(__xludf.DUMMYFUNCTION("""COMPUTED_VALUE"""),659.3)</f>
        <v>659.3</v>
      </c>
      <c r="FK31" s="46">
        <f t="shared" si="42"/>
        <v>0.08786403762</v>
      </c>
      <c r="FL31" s="37"/>
      <c r="FM31" s="37">
        <f>IFERROR(__xludf.DUMMYFUNCTION("""COMPUTED_VALUE"""),45322.64583333333)</f>
        <v>45322.64583</v>
      </c>
      <c r="FN31" s="45">
        <f>IFERROR(__xludf.DUMMYFUNCTION("""COMPUTED_VALUE"""),104.5)</f>
        <v>104.5</v>
      </c>
      <c r="FO31" s="46">
        <f t="shared" si="43"/>
        <v>0.1</v>
      </c>
      <c r="FP31" s="37"/>
      <c r="FQ31" s="37">
        <f>IFERROR(__xludf.DUMMYFUNCTION("""COMPUTED_VALUE"""),45322.64583333333)</f>
        <v>45322.64583</v>
      </c>
      <c r="FR31" s="45">
        <f>IFERROR(__xludf.DUMMYFUNCTION("""COMPUTED_VALUE"""),4.1)</f>
        <v>4.1</v>
      </c>
      <c r="FS31" s="46">
        <f t="shared" si="44"/>
        <v>-0.2545454545</v>
      </c>
      <c r="FT31" s="37"/>
      <c r="FU31" s="37">
        <f>IFERROR(__xludf.DUMMYFUNCTION("""COMPUTED_VALUE"""),45322.64583333333)</f>
        <v>45322.64583</v>
      </c>
      <c r="FV31" s="45">
        <f>IFERROR(__xludf.DUMMYFUNCTION("""COMPUTED_VALUE"""),728.0)</f>
        <v>728</v>
      </c>
      <c r="FW31" s="46">
        <f t="shared" si="45"/>
        <v>0.09055501461</v>
      </c>
      <c r="FX31" s="37"/>
      <c r="FY31" s="37">
        <f>IFERROR(__xludf.DUMMYFUNCTION("""COMPUTED_VALUE"""),45322.64583333333)</f>
        <v>45322.64583</v>
      </c>
      <c r="FZ31" s="45">
        <f>IFERROR(__xludf.DUMMYFUNCTION("""COMPUTED_VALUE"""),152.5)</f>
        <v>152.5</v>
      </c>
      <c r="GA31" s="46">
        <f t="shared" si="46"/>
        <v>-0.1018845701</v>
      </c>
      <c r="GB31" s="37"/>
      <c r="GC31" s="37">
        <f>IFERROR(__xludf.DUMMYFUNCTION("""COMPUTED_VALUE"""),45322.64583333333)</f>
        <v>45322.64583</v>
      </c>
      <c r="GD31" s="45">
        <f>IFERROR(__xludf.DUMMYFUNCTION("""COMPUTED_VALUE"""),392.95)</f>
        <v>392.95</v>
      </c>
      <c r="GE31" s="46">
        <f t="shared" si="47"/>
        <v>-0.1492747348</v>
      </c>
      <c r="GF31" s="37"/>
      <c r="GG31" s="37">
        <f>IFERROR(__xludf.DUMMYFUNCTION("""COMPUTED_VALUE"""),45322.64583333333)</f>
        <v>45322.64583</v>
      </c>
      <c r="GH31" s="45">
        <f>IFERROR(__xludf.DUMMYFUNCTION("""COMPUTED_VALUE"""),5699.0)</f>
        <v>5699</v>
      </c>
      <c r="GI31" s="46">
        <f t="shared" si="48"/>
        <v>0.07548594074</v>
      </c>
      <c r="GJ31" s="37"/>
      <c r="GK31" s="37">
        <f>IFERROR(__xludf.DUMMYFUNCTION("""COMPUTED_VALUE"""),45322.64583333333)</f>
        <v>45322.64583</v>
      </c>
      <c r="GL31" s="45">
        <f>IFERROR(__xludf.DUMMYFUNCTION("""COMPUTED_VALUE"""),84.75)</f>
        <v>84.75</v>
      </c>
      <c r="GM31" s="46">
        <f t="shared" si="49"/>
        <v>-0.2526455026</v>
      </c>
      <c r="GN31" s="37"/>
      <c r="GO31" s="37">
        <f>IFERROR(__xludf.DUMMYFUNCTION("""COMPUTED_VALUE"""),45322.64583333333)</f>
        <v>45322.64583</v>
      </c>
      <c r="GP31" s="45">
        <f>IFERROR(__xludf.DUMMYFUNCTION("""COMPUTED_VALUE"""),1162.8)</f>
        <v>1162.8</v>
      </c>
      <c r="GQ31" s="46">
        <f t="shared" si="50"/>
        <v>0.05752353235</v>
      </c>
      <c r="GR31" s="37"/>
      <c r="GS31" s="37">
        <f>IFERROR(__xludf.DUMMYFUNCTION("""COMPUTED_VALUE"""),45322.64583333333)</f>
        <v>45322.64583</v>
      </c>
      <c r="GT31" s="45">
        <f>IFERROR(__xludf.DUMMYFUNCTION("""COMPUTED_VALUE"""),15.85)</f>
        <v>15.85</v>
      </c>
      <c r="GU31" s="46">
        <f t="shared" si="51"/>
        <v>0.2239382239</v>
      </c>
      <c r="GV31" s="37"/>
      <c r="GW31" s="37">
        <f>IFERROR(__xludf.DUMMYFUNCTION("""COMPUTED_VALUE"""),45323.64583333333)</f>
        <v>45323.64583</v>
      </c>
      <c r="GX31" s="45">
        <f>IFERROR(__xludf.DUMMYFUNCTION("""COMPUTED_VALUE"""),19.25)</f>
        <v>19.25</v>
      </c>
      <c r="GY31" s="46">
        <f t="shared" si="52"/>
        <v>0.1666666667</v>
      </c>
      <c r="GZ31" s="37"/>
      <c r="HA31" s="37">
        <f>IFERROR(__xludf.DUMMYFUNCTION("""COMPUTED_VALUE"""),45323.64583333333)</f>
        <v>45323.64583</v>
      </c>
      <c r="HB31" s="45">
        <f>IFERROR(__xludf.DUMMYFUNCTION("""COMPUTED_VALUE"""),581.8)</f>
        <v>581.8</v>
      </c>
      <c r="HC31" s="46">
        <f t="shared" si="53"/>
        <v>-0.04309210526</v>
      </c>
      <c r="HD31" s="37"/>
      <c r="HE31" s="43">
        <f>IFERROR(__xludf.DUMMYFUNCTION("""COMPUTED_VALUE"""),45323.64583333333)</f>
        <v>45323.64583</v>
      </c>
      <c r="HF31" s="45">
        <f>IFERROR(__xludf.DUMMYFUNCTION("""COMPUTED_VALUE"""),2675.0)</f>
        <v>2675</v>
      </c>
      <c r="HG31" s="46" t="str">
        <f t="shared" si="54"/>
        <v>#DIV/0!</v>
      </c>
      <c r="HH31" s="37"/>
      <c r="HI31" s="37">
        <f>IFERROR(__xludf.DUMMYFUNCTION("""COMPUTED_VALUE"""),45323.64583333333)</f>
        <v>45323.64583</v>
      </c>
      <c r="HJ31" s="45">
        <f>IFERROR(__xludf.DUMMYFUNCTION("""COMPUTED_VALUE"""),6575.0)</f>
        <v>6575</v>
      </c>
      <c r="HK31" s="46">
        <f t="shared" si="55"/>
        <v>0.2866801695</v>
      </c>
      <c r="HL31" s="37"/>
      <c r="HM31" s="37">
        <f>IFERROR(__xludf.DUMMYFUNCTION("""COMPUTED_VALUE"""),45323.64583333333)</f>
        <v>45323.64583</v>
      </c>
      <c r="HN31" s="45">
        <f>IFERROR(__xludf.DUMMYFUNCTION("""COMPUTED_VALUE"""),378.6)</f>
        <v>378.6</v>
      </c>
      <c r="HO31" s="46">
        <f t="shared" si="56"/>
        <v>-0.06874923134</v>
      </c>
      <c r="HP31" s="37"/>
      <c r="HQ31" s="37">
        <f>IFERROR(__xludf.DUMMYFUNCTION("""COMPUTED_VALUE"""),45323.64583333333)</f>
        <v>45323.64583</v>
      </c>
      <c r="HR31" s="45">
        <f>IFERROR(__xludf.DUMMYFUNCTION("""COMPUTED_VALUE"""),263.25)</f>
        <v>263.25</v>
      </c>
      <c r="HS31" s="46">
        <f t="shared" si="57"/>
        <v>0.03519465199</v>
      </c>
      <c r="HT31" s="37"/>
      <c r="HU31" s="37">
        <f>IFERROR(__xludf.DUMMYFUNCTION("""COMPUTED_VALUE"""),45323.64583333333)</f>
        <v>45323.64583</v>
      </c>
      <c r="HV31" s="45">
        <f>IFERROR(__xludf.DUMMYFUNCTION("""COMPUTED_VALUE"""),67.0)</f>
        <v>67</v>
      </c>
      <c r="HW31" s="46">
        <f t="shared" si="58"/>
        <v>0.07371794872</v>
      </c>
      <c r="HX31" s="37"/>
      <c r="HY31" s="37">
        <f>IFERROR(__xludf.DUMMYFUNCTION("""COMPUTED_VALUE"""),45323.64583333333)</f>
        <v>45323.64583</v>
      </c>
      <c r="HZ31" s="45">
        <f>IFERROR(__xludf.DUMMYFUNCTION("""COMPUTED_VALUE"""),339.75)</f>
        <v>339.75</v>
      </c>
      <c r="IA31" s="46">
        <f t="shared" si="59"/>
        <v>-0.2693548387</v>
      </c>
      <c r="IB31" s="37"/>
      <c r="IC31" s="37">
        <f>IFERROR(__xludf.DUMMYFUNCTION("""COMPUTED_VALUE"""),45323.64583333333)</f>
        <v>45323.64583</v>
      </c>
      <c r="ID31" s="45">
        <f>IFERROR(__xludf.DUMMYFUNCTION("""COMPUTED_VALUE"""),83.55)</f>
        <v>83.55</v>
      </c>
      <c r="IE31" s="46">
        <f t="shared" si="60"/>
        <v>-0.8095726496</v>
      </c>
      <c r="IF31" s="37"/>
      <c r="IG31" s="37">
        <f>IFERROR(__xludf.DUMMYFUNCTION("""COMPUTED_VALUE"""),45323.64583333333)</f>
        <v>45323.64583</v>
      </c>
      <c r="IH31" s="45">
        <f>IFERROR(__xludf.DUMMYFUNCTION("""COMPUTED_VALUE"""),535.0)</f>
        <v>535</v>
      </c>
      <c r="II31" s="46">
        <f t="shared" si="61"/>
        <v>0.003752345216</v>
      </c>
      <c r="IJ31" s="37"/>
      <c r="IK31" s="37">
        <f>IFERROR(__xludf.DUMMYFUNCTION("""COMPUTED_VALUE"""),45323.64583333333)</f>
        <v>45323.64583</v>
      </c>
      <c r="IL31" s="45">
        <f>IFERROR(__xludf.DUMMYFUNCTION("""COMPUTED_VALUE"""),549.9)</f>
        <v>549.9</v>
      </c>
      <c r="IM31" s="46">
        <f t="shared" si="62"/>
        <v>-0.1101221782</v>
      </c>
      <c r="IN31" s="37"/>
      <c r="IO31" s="37">
        <f>IFERROR(__xludf.DUMMYFUNCTION("""COMPUTED_VALUE"""),45324.64583333333)</f>
        <v>45324.64583</v>
      </c>
      <c r="IP31" s="45">
        <f>IFERROR(__xludf.DUMMYFUNCTION("""COMPUTED_VALUE"""),202.0)</f>
        <v>202</v>
      </c>
      <c r="IQ31" s="46">
        <f t="shared" si="63"/>
        <v>0.6071286499</v>
      </c>
      <c r="IR31" s="37"/>
      <c r="IS31" s="37">
        <f>IFERROR(__xludf.DUMMYFUNCTION("""COMPUTED_VALUE"""),45323.64583333333)</f>
        <v>45323.64583</v>
      </c>
      <c r="IT31" s="45">
        <f>IFERROR(__xludf.DUMMYFUNCTION("""COMPUTED_VALUE"""),1026.0)</f>
        <v>1026</v>
      </c>
      <c r="IU31" s="46">
        <f t="shared" si="64"/>
        <v>0.0219123506</v>
      </c>
      <c r="IV31" s="37"/>
      <c r="IW31" s="37">
        <f>IFERROR(__xludf.DUMMYFUNCTION("""COMPUTED_VALUE"""),45323.64583333333)</f>
        <v>45323.64583</v>
      </c>
      <c r="IX31" s="45">
        <f>IFERROR(__xludf.DUMMYFUNCTION("""COMPUTED_VALUE"""),263.9)</f>
        <v>263.9</v>
      </c>
      <c r="IY31" s="46">
        <f t="shared" si="65"/>
        <v>0.2813789755</v>
      </c>
      <c r="IZ31" s="37"/>
      <c r="JA31" s="37">
        <f>IFERROR(__xludf.DUMMYFUNCTION("""COMPUTED_VALUE"""),45323.64583333333)</f>
        <v>45323.64583</v>
      </c>
      <c r="JB31" s="45">
        <f>IFERROR(__xludf.DUMMYFUNCTION("""COMPUTED_VALUE"""),34500.0)</f>
        <v>34500</v>
      </c>
      <c r="JC31" s="46">
        <f t="shared" si="66"/>
        <v>-0.02549667892</v>
      </c>
      <c r="JD31" s="37"/>
      <c r="JE31" s="37">
        <f>IFERROR(__xludf.DUMMYFUNCTION("""COMPUTED_VALUE"""),45323.64583333333)</f>
        <v>45323.64583</v>
      </c>
      <c r="JF31" s="45">
        <f>IFERROR(__xludf.DUMMYFUNCTION("""COMPUTED_VALUE"""),659.6)</f>
        <v>659.6</v>
      </c>
      <c r="JG31" s="46">
        <f t="shared" si="67"/>
        <v>0.02263565891</v>
      </c>
      <c r="JH31" s="37"/>
      <c r="JI31" s="37">
        <f>IFERROR(__xludf.DUMMYFUNCTION("""COMPUTED_VALUE"""),45323.64583333333)</f>
        <v>45323.64583</v>
      </c>
      <c r="JJ31" s="45">
        <f>IFERROR(__xludf.DUMMYFUNCTION("""COMPUTED_VALUE"""),311.1)</f>
        <v>311.1</v>
      </c>
      <c r="JK31" s="46">
        <f t="shared" si="68"/>
        <v>-0.06842341668</v>
      </c>
      <c r="JL31" s="37"/>
      <c r="JM31" s="37">
        <f>IFERROR(__xludf.DUMMYFUNCTION("""COMPUTED_VALUE"""),45323.64583333333)</f>
        <v>45323.64583</v>
      </c>
      <c r="JN31" s="45">
        <f>IFERROR(__xludf.DUMMYFUNCTION("""COMPUTED_VALUE"""),16.55)</f>
        <v>16.55</v>
      </c>
      <c r="JO31" s="46">
        <f t="shared" si="69"/>
        <v>-0.9622792023</v>
      </c>
      <c r="JP31" s="37"/>
      <c r="JQ31" s="37">
        <f>IFERROR(__xludf.DUMMYFUNCTION("""COMPUTED_VALUE"""),45323.64583333333)</f>
        <v>45323.64583</v>
      </c>
      <c r="JR31" s="45">
        <f>IFERROR(__xludf.DUMMYFUNCTION("""COMPUTED_VALUE"""),73.95)</f>
        <v>73.95</v>
      </c>
      <c r="JS31" s="46">
        <f t="shared" si="70"/>
        <v>-0.45625</v>
      </c>
      <c r="JT31" s="37"/>
      <c r="JU31" s="37">
        <f>IFERROR(__xludf.DUMMYFUNCTION("""COMPUTED_VALUE"""),45323.64583333333)</f>
        <v>45323.64583</v>
      </c>
      <c r="JV31" s="45">
        <f>IFERROR(__xludf.DUMMYFUNCTION("""COMPUTED_VALUE"""),250.0)</f>
        <v>250</v>
      </c>
      <c r="JW31" s="46">
        <f t="shared" si="71"/>
        <v>-0.4301994302</v>
      </c>
      <c r="JX31" s="37"/>
      <c r="JY31" s="37">
        <f>IFERROR(__xludf.DUMMYFUNCTION("""COMPUTED_VALUE"""),45323.64583333333)</f>
        <v>45323.64583</v>
      </c>
      <c r="JZ31" s="45">
        <f>IFERROR(__xludf.DUMMYFUNCTION("""COMPUTED_VALUE"""),612.0)</f>
        <v>612</v>
      </c>
      <c r="KA31" s="46">
        <f t="shared" si="72"/>
        <v>0.110707804</v>
      </c>
      <c r="KB31" s="37"/>
      <c r="KC31" s="37">
        <f>IFERROR(__xludf.DUMMYFUNCTION("""COMPUTED_VALUE"""),45323.64583333333)</f>
        <v>45323.64583</v>
      </c>
      <c r="KD31" s="45">
        <f>IFERROR(__xludf.DUMMYFUNCTION("""COMPUTED_VALUE"""),864.0)</f>
        <v>864</v>
      </c>
      <c r="KE31" s="46">
        <f t="shared" si="73"/>
        <v>-0.01093240227</v>
      </c>
      <c r="KF31" s="37"/>
      <c r="KG31" s="37">
        <f>IFERROR(__xludf.DUMMYFUNCTION("""COMPUTED_VALUE"""),45323.64583333333)</f>
        <v>45323.64583</v>
      </c>
      <c r="KH31" s="45">
        <f>IFERROR(__xludf.DUMMYFUNCTION("""COMPUTED_VALUE"""),422.0)</f>
        <v>422</v>
      </c>
      <c r="KI31" s="46">
        <f t="shared" si="74"/>
        <v>0.08205128205</v>
      </c>
      <c r="KJ31" s="37"/>
      <c r="KK31" s="37">
        <f>IFERROR(__xludf.DUMMYFUNCTION("""COMPUTED_VALUE"""),45323.64583333333)</f>
        <v>45323.64583</v>
      </c>
      <c r="KL31" s="45">
        <f>IFERROR(__xludf.DUMMYFUNCTION("""COMPUTED_VALUE"""),11.85)</f>
        <v>11.85</v>
      </c>
      <c r="KM31" s="46">
        <f t="shared" si="75"/>
        <v>0.2741935484</v>
      </c>
      <c r="KN31" s="37"/>
      <c r="KO31" s="37">
        <f>IFERROR(__xludf.DUMMYFUNCTION("""COMPUTED_VALUE"""),45323.64583333333)</f>
        <v>45323.64583</v>
      </c>
      <c r="KP31" s="45">
        <f>IFERROR(__xludf.DUMMYFUNCTION("""COMPUTED_VALUE"""),259.0)</f>
        <v>259</v>
      </c>
      <c r="KQ31" s="46">
        <f t="shared" si="76"/>
        <v>0.2739793409</v>
      </c>
      <c r="KR31" s="37"/>
      <c r="KS31" s="37">
        <f>IFERROR(__xludf.DUMMYFUNCTION("""COMPUTED_VALUE"""),45323.64583333333)</f>
        <v>45323.64583</v>
      </c>
      <c r="KT31" s="45">
        <f>IFERROR(__xludf.DUMMYFUNCTION("""COMPUTED_VALUE"""),12.45)</f>
        <v>12.45</v>
      </c>
      <c r="KU31" s="46">
        <f t="shared" si="77"/>
        <v>0.1266968326</v>
      </c>
      <c r="KV31" s="37"/>
      <c r="KW31" s="37">
        <f>IFERROR(__xludf.DUMMYFUNCTION("""COMPUTED_VALUE"""),45323.64583333333)</f>
        <v>45323.64583</v>
      </c>
      <c r="KX31" s="45">
        <f>IFERROR(__xludf.DUMMYFUNCTION("""COMPUTED_VALUE"""),2440.45)</f>
        <v>2440.45</v>
      </c>
      <c r="KY31" s="46">
        <f t="shared" si="78"/>
        <v>-0.08595666586</v>
      </c>
      <c r="KZ31" s="37"/>
      <c r="LA31" s="37">
        <f>IFERROR(__xludf.DUMMYFUNCTION("""COMPUTED_VALUE"""),45323.64583333333)</f>
        <v>45323.64583</v>
      </c>
      <c r="LB31" s="45">
        <f>IFERROR(__xludf.DUMMYFUNCTION("""COMPUTED_VALUE"""),18.95)</f>
        <v>18.95</v>
      </c>
      <c r="LC31" s="46">
        <f t="shared" si="79"/>
        <v>0.005305039788</v>
      </c>
      <c r="LD31" s="37"/>
      <c r="LE31" s="37">
        <f>IFERROR(__xludf.DUMMYFUNCTION("""COMPUTED_VALUE"""),45323.64583333333)</f>
        <v>45323.64583</v>
      </c>
      <c r="LF31" s="45">
        <f>IFERROR(__xludf.DUMMYFUNCTION("""COMPUTED_VALUE"""),128.0)</f>
        <v>128</v>
      </c>
      <c r="LG31" s="46">
        <f t="shared" si="80"/>
        <v>0.024</v>
      </c>
      <c r="LH31" s="37"/>
      <c r="LI31" s="37">
        <f>IFERROR(__xludf.DUMMYFUNCTION("""COMPUTED_VALUE"""),45323.64583333333)</f>
        <v>45323.64583</v>
      </c>
      <c r="LJ31" s="45">
        <f>IFERROR(__xludf.DUMMYFUNCTION("""COMPUTED_VALUE"""),723.7)</f>
        <v>723.7</v>
      </c>
      <c r="LK31" s="46">
        <f t="shared" si="81"/>
        <v>-0.005906593407</v>
      </c>
      <c r="LL31" s="37"/>
      <c r="LM31" s="37">
        <f>IFERROR(__xludf.DUMMYFUNCTION("""COMPUTED_VALUE"""),45323.64583333333)</f>
        <v>45323.64583</v>
      </c>
      <c r="LN31" s="45">
        <f>IFERROR(__xludf.DUMMYFUNCTION("""COMPUTED_VALUE"""),736.0)</f>
        <v>736</v>
      </c>
      <c r="LO31" s="46">
        <f t="shared" si="82"/>
        <v>-0.1391812865</v>
      </c>
      <c r="LP31" s="37"/>
      <c r="LQ31" s="37">
        <f>IFERROR(__xludf.DUMMYFUNCTION("""COMPUTED_VALUE"""),45323.64583333333)</f>
        <v>45323.64583</v>
      </c>
      <c r="LR31" s="45">
        <f>IFERROR(__xludf.DUMMYFUNCTION("""COMPUTED_VALUE"""),592.0)</f>
        <v>592</v>
      </c>
      <c r="LS31" s="46">
        <f t="shared" si="83"/>
        <v>0.6201423098</v>
      </c>
      <c r="LT31" s="37"/>
      <c r="LU31" s="37">
        <f>IFERROR(__xludf.DUMMYFUNCTION("""COMPUTED_VALUE"""),45323.64583333333)</f>
        <v>45323.64583</v>
      </c>
      <c r="LV31" s="45">
        <f>IFERROR(__xludf.DUMMYFUNCTION("""COMPUTED_VALUE"""),128.0)</f>
        <v>128</v>
      </c>
      <c r="LW31" s="46">
        <f t="shared" si="84"/>
        <v>-0.06432748538</v>
      </c>
      <c r="LX31" s="37"/>
      <c r="LY31" s="37">
        <f>IFERROR(__xludf.DUMMYFUNCTION("""COMPUTED_VALUE"""),45323.64583333333)</f>
        <v>45323.64583</v>
      </c>
      <c r="LZ31" s="45">
        <f>IFERROR(__xludf.DUMMYFUNCTION("""COMPUTED_VALUE"""),653.9)</f>
        <v>653.9</v>
      </c>
      <c r="MA31" s="46">
        <f t="shared" si="85"/>
        <v>0.05467741935</v>
      </c>
      <c r="MB31" s="37"/>
      <c r="MC31" s="37"/>
      <c r="MD31" s="45"/>
      <c r="ME31" s="46" t="str">
        <f t="shared" si="86"/>
        <v>#DIV/0!</v>
      </c>
      <c r="MF31" s="37"/>
      <c r="MG31" s="37">
        <f>IFERROR(__xludf.DUMMYFUNCTION("""COMPUTED_VALUE"""),45323.64583333333)</f>
        <v>45323.64583</v>
      </c>
      <c r="MH31" s="45">
        <f>IFERROR(__xludf.DUMMYFUNCTION("""COMPUTED_VALUE"""),1990.0)</f>
        <v>1990</v>
      </c>
      <c r="MI31" s="46">
        <f t="shared" si="87"/>
        <v>0.0148142482</v>
      </c>
      <c r="MJ31" s="37"/>
      <c r="MK31" s="37">
        <f>IFERROR(__xludf.DUMMYFUNCTION("""COMPUTED_VALUE"""),45323.64583333333)</f>
        <v>45323.64583</v>
      </c>
      <c r="ML31" s="45">
        <f>IFERROR(__xludf.DUMMYFUNCTION("""COMPUTED_VALUE"""),387.2)</f>
        <v>387.2</v>
      </c>
      <c r="MM31" s="46">
        <f t="shared" si="88"/>
        <v>-0.03187898487</v>
      </c>
      <c r="MN31" s="37"/>
      <c r="MO31" s="37">
        <f>IFERROR(__xludf.DUMMYFUNCTION("""COMPUTED_VALUE"""),45323.64583333333)</f>
        <v>45323.64583</v>
      </c>
      <c r="MP31" s="45">
        <f>IFERROR(__xludf.DUMMYFUNCTION("""COMPUTED_VALUE"""),822.95)</f>
        <v>822.95</v>
      </c>
      <c r="MQ31" s="46">
        <f t="shared" si="89"/>
        <v>0.1120945946</v>
      </c>
      <c r="MR31" s="37"/>
      <c r="MS31" s="37">
        <f>IFERROR(__xludf.DUMMYFUNCTION("""COMPUTED_VALUE"""),45323.64583333333)</f>
        <v>45323.64583</v>
      </c>
      <c r="MT31" s="45">
        <f>IFERROR(__xludf.DUMMYFUNCTION("""COMPUTED_VALUE"""),59.9)</f>
        <v>59.9</v>
      </c>
      <c r="MU31" s="46">
        <f t="shared" si="90"/>
        <v>-0.09448223734</v>
      </c>
      <c r="MV31" s="37"/>
      <c r="MW31" s="37">
        <f>IFERROR(__xludf.DUMMYFUNCTION("""COMPUTED_VALUE"""),45323.64583333333)</f>
        <v>45323.64583</v>
      </c>
      <c r="MX31" s="45">
        <f>IFERROR(__xludf.DUMMYFUNCTION("""COMPUTED_VALUE"""),2973.0)</f>
        <v>2973</v>
      </c>
      <c r="MY31" s="46">
        <f t="shared" si="91"/>
        <v>-0.0552907531</v>
      </c>
      <c r="MZ31" s="37"/>
      <c r="NA31" s="37">
        <f>IFERROR(__xludf.DUMMYFUNCTION("""COMPUTED_VALUE"""),45323.64583333333)</f>
        <v>45323.64583</v>
      </c>
      <c r="NB31" s="45">
        <f>IFERROR(__xludf.DUMMYFUNCTION("""COMPUTED_VALUE"""),15.15)</f>
        <v>15.15</v>
      </c>
      <c r="NC31" s="46">
        <f t="shared" si="92"/>
        <v>0.1976284585</v>
      </c>
      <c r="ND31" s="37"/>
      <c r="NE31" s="37">
        <f>IFERROR(__xludf.DUMMYFUNCTION("""COMPUTED_VALUE"""),45324.64583333333)</f>
        <v>45324.64583</v>
      </c>
      <c r="NF31" s="45">
        <f>IFERROR(__xludf.DUMMYFUNCTION("""COMPUTED_VALUE"""),367.8)</f>
        <v>367.8</v>
      </c>
      <c r="NG31" s="46">
        <f t="shared" si="93"/>
        <v>-0.03956130043</v>
      </c>
      <c r="NH31" s="37"/>
      <c r="NI31" s="37">
        <f>IFERROR(__xludf.DUMMYFUNCTION("""COMPUTED_VALUE"""),45324.64583333333)</f>
        <v>45324.64583</v>
      </c>
      <c r="NJ31" s="45">
        <f>IFERROR(__xludf.DUMMYFUNCTION("""COMPUTED_VALUE"""),333.87)</f>
        <v>333.87</v>
      </c>
      <c r="NK31" s="46">
        <f t="shared" si="94"/>
        <v>0.25199685</v>
      </c>
      <c r="NL31" s="37"/>
      <c r="NM31" s="37">
        <f>IFERROR(__xludf.DUMMYFUNCTION("""COMPUTED_VALUE"""),45324.64583333333)</f>
        <v>45324.64583</v>
      </c>
      <c r="NN31" s="45">
        <f>IFERROR(__xludf.DUMMYFUNCTION("""COMPUTED_VALUE"""),129.65)</f>
        <v>129.65</v>
      </c>
      <c r="NO31" s="46">
        <f t="shared" si="95"/>
        <v>0.05150040552</v>
      </c>
      <c r="NP31" s="37"/>
      <c r="NQ31" s="37">
        <f>IFERROR(__xludf.DUMMYFUNCTION("""COMPUTED_VALUE"""),45324.64583333333)</f>
        <v>45324.64583</v>
      </c>
      <c r="NR31" s="45">
        <f>IFERROR(__xludf.DUMMYFUNCTION("""COMPUTED_VALUE"""),4769.3)</f>
        <v>4769.3</v>
      </c>
      <c r="NS31" s="46">
        <f t="shared" si="96"/>
        <v>0.1420737548</v>
      </c>
      <c r="NT31" s="37"/>
      <c r="NU31" s="37">
        <f>IFERROR(__xludf.DUMMYFUNCTION("""COMPUTED_VALUE"""),45324.64583333333)</f>
        <v>45324.64583</v>
      </c>
      <c r="NV31" s="45">
        <f>IFERROR(__xludf.DUMMYFUNCTION("""COMPUTED_VALUE"""),14.4)</f>
        <v>14.4</v>
      </c>
      <c r="NW31" s="46">
        <f t="shared" si="97"/>
        <v>0.1338582677</v>
      </c>
      <c r="NX31" s="37"/>
      <c r="NY31" s="37">
        <f>IFERROR(__xludf.DUMMYFUNCTION("""COMPUTED_VALUE"""),45324.64583333333)</f>
        <v>45324.64583</v>
      </c>
      <c r="NZ31" s="45">
        <f>IFERROR(__xludf.DUMMYFUNCTION("""COMPUTED_VALUE"""),294.75)</f>
        <v>294.75</v>
      </c>
      <c r="OA31" s="46">
        <f t="shared" si="98"/>
        <v>0.194286872</v>
      </c>
      <c r="OB31" s="37"/>
      <c r="OC31" s="37">
        <f>IFERROR(__xludf.DUMMYFUNCTION("""COMPUTED_VALUE"""),45324.64583333333)</f>
        <v>45324.64583</v>
      </c>
      <c r="OD31" s="45">
        <f>IFERROR(__xludf.DUMMYFUNCTION("""COMPUTED_VALUE"""),1170.7)</f>
        <v>1170.7</v>
      </c>
      <c r="OE31" s="46">
        <f t="shared" si="99"/>
        <v>0.1107737559</v>
      </c>
      <c r="OF31" s="37"/>
      <c r="OG31" s="37">
        <f>IFERROR(__xludf.DUMMYFUNCTION("""COMPUTED_VALUE"""),45324.64583333333)</f>
        <v>45324.64583</v>
      </c>
      <c r="OH31" s="45">
        <f>IFERROR(__xludf.DUMMYFUNCTION("""COMPUTED_VALUE"""),2711.23)</f>
        <v>2711.23</v>
      </c>
      <c r="OI31" s="46">
        <f t="shared" si="100"/>
        <v>0.1112509222</v>
      </c>
      <c r="OJ31" s="37"/>
      <c r="OK31" s="37"/>
      <c r="OL31" s="45"/>
      <c r="OM31" s="46" t="str">
        <f t="shared" si="101"/>
        <v>#DIV/0!</v>
      </c>
      <c r="ON31" s="37"/>
    </row>
    <row r="32" ht="12.0" customHeight="1">
      <c r="A32" s="37">
        <f>IFERROR(__xludf.DUMMYFUNCTION("""COMPUTED_VALUE"""),45323.64583333333)</f>
        <v>45323.64583</v>
      </c>
      <c r="B32" s="45">
        <f>IFERROR(__xludf.DUMMYFUNCTION("""COMPUTED_VALUE"""),391.75)</f>
        <v>391.75</v>
      </c>
      <c r="C32" s="46">
        <f t="shared" si="1"/>
        <v>-0.1071225071</v>
      </c>
      <c r="D32" s="37"/>
      <c r="E32" s="37">
        <f>IFERROR(__xludf.DUMMYFUNCTION("""COMPUTED_VALUE"""),45323.64583333333)</f>
        <v>45323.64583</v>
      </c>
      <c r="F32" s="45">
        <f>IFERROR(__xludf.DUMMYFUNCTION("""COMPUTED_VALUE"""),720.0)</f>
        <v>720</v>
      </c>
      <c r="G32" s="46">
        <f t="shared" si="2"/>
        <v>0.09923664122</v>
      </c>
      <c r="H32" s="37"/>
      <c r="I32" s="37">
        <f>IFERROR(__xludf.DUMMYFUNCTION("""COMPUTED_VALUE"""),45323.64583333333)</f>
        <v>45323.64583</v>
      </c>
      <c r="J32" s="45">
        <f>IFERROR(__xludf.DUMMYFUNCTION("""COMPUTED_VALUE"""),188.4)</f>
        <v>188.4</v>
      </c>
      <c r="K32" s="46">
        <f t="shared" si="3"/>
        <v>0.02391304348</v>
      </c>
      <c r="L32" s="37"/>
      <c r="M32" s="37">
        <f>IFERROR(__xludf.DUMMYFUNCTION("""COMPUTED_VALUE"""),45323.64583333333)</f>
        <v>45323.64583</v>
      </c>
      <c r="N32" s="45">
        <f>IFERROR(__xludf.DUMMYFUNCTION("""COMPUTED_VALUE"""),105.25)</f>
        <v>105.25</v>
      </c>
      <c r="O32" s="46">
        <f t="shared" si="4"/>
        <v>0.2181712963</v>
      </c>
      <c r="P32" s="37"/>
      <c r="Q32" s="37">
        <f>IFERROR(__xludf.DUMMYFUNCTION("""COMPUTED_VALUE"""),45323.64583333333)</f>
        <v>45323.64583</v>
      </c>
      <c r="R32" s="45">
        <f>IFERROR(__xludf.DUMMYFUNCTION("""COMPUTED_VALUE"""),55.0)</f>
        <v>55</v>
      </c>
      <c r="S32" s="46">
        <f t="shared" si="5"/>
        <v>0.04761904762</v>
      </c>
      <c r="T32" s="37"/>
      <c r="U32" s="37">
        <f>IFERROR(__xludf.DUMMYFUNCTION("""COMPUTED_VALUE"""),45323.64583333333)</f>
        <v>45323.64583</v>
      </c>
      <c r="V32" s="45">
        <f>IFERROR(__xludf.DUMMYFUNCTION("""COMPUTED_VALUE"""),785.5)</f>
        <v>785.5</v>
      </c>
      <c r="W32" s="46">
        <f t="shared" si="6"/>
        <v>0.185839372</v>
      </c>
      <c r="X32" s="37"/>
      <c r="Y32" s="37">
        <f>IFERROR(__xludf.DUMMYFUNCTION("""COMPUTED_VALUE"""),45323.64583333333)</f>
        <v>45323.64583</v>
      </c>
      <c r="Z32" s="45">
        <f>IFERROR(__xludf.DUMMYFUNCTION("""COMPUTED_VALUE"""),199.4)</f>
        <v>199.4</v>
      </c>
      <c r="AA32" s="46">
        <f t="shared" si="7"/>
        <v>0.07783783784</v>
      </c>
      <c r="AB32" s="37"/>
      <c r="AC32" s="37">
        <f>IFERROR(__xludf.DUMMYFUNCTION("""COMPUTED_VALUE"""),45323.64583333333)</f>
        <v>45323.64583</v>
      </c>
      <c r="AD32" s="45">
        <f>IFERROR(__xludf.DUMMYFUNCTION("""COMPUTED_VALUE"""),2675.0)</f>
        <v>2675</v>
      </c>
      <c r="AE32" s="46">
        <f t="shared" si="8"/>
        <v>0.1265529585</v>
      </c>
      <c r="AF32" s="37"/>
      <c r="AG32" s="37">
        <f>IFERROR(__xludf.DUMMYFUNCTION("""COMPUTED_VALUE"""),45323.64583333333)</f>
        <v>45323.64583</v>
      </c>
      <c r="AH32" s="45">
        <f>IFERROR(__xludf.DUMMYFUNCTION("""COMPUTED_VALUE"""),659.2)</f>
        <v>659.2</v>
      </c>
      <c r="AI32" s="46">
        <f t="shared" si="9"/>
        <v>-0.2152380952</v>
      </c>
      <c r="AJ32" s="37"/>
      <c r="AK32" s="37">
        <f>IFERROR(__xludf.DUMMYFUNCTION("""COMPUTED_VALUE"""),45323.64583333333)</f>
        <v>45323.64583</v>
      </c>
      <c r="AL32" s="45">
        <f>IFERROR(__xludf.DUMMYFUNCTION("""COMPUTED_VALUE"""),6575.0)</f>
        <v>6575</v>
      </c>
      <c r="AM32" s="46">
        <f t="shared" si="10"/>
        <v>0.2644230769</v>
      </c>
      <c r="AN32" s="37"/>
      <c r="AO32" s="37">
        <f>IFERROR(__xludf.DUMMYFUNCTION("""COMPUTED_VALUE"""),45323.64583333333)</f>
        <v>45323.64583</v>
      </c>
      <c r="AP32" s="45">
        <f>IFERROR(__xludf.DUMMYFUNCTION("""COMPUTED_VALUE"""),866.5)</f>
        <v>866.5</v>
      </c>
      <c r="AQ32" s="46">
        <f t="shared" si="11"/>
        <v>-0.0478021978</v>
      </c>
      <c r="AR32" s="37"/>
      <c r="AS32" s="37">
        <f>IFERROR(__xludf.DUMMYFUNCTION("""COMPUTED_VALUE"""),45323.64583333333)</f>
        <v>45323.64583</v>
      </c>
      <c r="AT32" s="45">
        <f>IFERROR(__xludf.DUMMYFUNCTION("""COMPUTED_VALUE"""),2357.95)</f>
        <v>2357.95</v>
      </c>
      <c r="AU32" s="46">
        <f t="shared" si="12"/>
        <v>-0.05070655018</v>
      </c>
      <c r="AV32" s="37"/>
      <c r="AW32" s="37">
        <f>IFERROR(__xludf.DUMMYFUNCTION("""COMPUTED_VALUE"""),45323.64583333333)</f>
        <v>45323.64583</v>
      </c>
      <c r="AX32" s="45">
        <f>IFERROR(__xludf.DUMMYFUNCTION("""COMPUTED_VALUE"""),6648.7)</f>
        <v>6648.7</v>
      </c>
      <c r="AY32" s="46">
        <f t="shared" si="13"/>
        <v>0.1778868299</v>
      </c>
      <c r="AZ32" s="37"/>
      <c r="BA32" s="37">
        <f>IFERROR(__xludf.DUMMYFUNCTION("""COMPUTED_VALUE"""),45323.64583333333)</f>
        <v>45323.64583</v>
      </c>
      <c r="BB32" s="45">
        <f>IFERROR(__xludf.DUMMYFUNCTION("""COMPUTED_VALUE"""),477.7)</f>
        <v>477.7</v>
      </c>
      <c r="BC32" s="46">
        <f t="shared" si="14"/>
        <v>0.01963713981</v>
      </c>
      <c r="BD32" s="37"/>
      <c r="BE32" s="37">
        <f>IFERROR(__xludf.DUMMYFUNCTION("""COMPUTED_VALUE"""),45323.64583333333)</f>
        <v>45323.64583</v>
      </c>
      <c r="BF32" s="45">
        <f>IFERROR(__xludf.DUMMYFUNCTION("""COMPUTED_VALUE"""),331.0)</f>
        <v>331</v>
      </c>
      <c r="BG32" s="46">
        <f t="shared" si="15"/>
        <v>-0.1867321867</v>
      </c>
      <c r="BH32" s="37"/>
      <c r="BI32" s="37">
        <f>IFERROR(__xludf.DUMMYFUNCTION("""COMPUTED_VALUE"""),45323.64583333333)</f>
        <v>45323.64583</v>
      </c>
      <c r="BJ32" s="45">
        <f>IFERROR(__xludf.DUMMYFUNCTION("""COMPUTED_VALUE"""),78.9)</f>
        <v>78.9</v>
      </c>
      <c r="BK32" s="46">
        <f t="shared" si="16"/>
        <v>0.1360691145</v>
      </c>
      <c r="BL32" s="37"/>
      <c r="BM32" s="37">
        <f>IFERROR(__xludf.DUMMYFUNCTION("""COMPUTED_VALUE"""),45323.64583333333)</f>
        <v>45323.64583</v>
      </c>
      <c r="BN32" s="45">
        <f>IFERROR(__xludf.DUMMYFUNCTION("""COMPUTED_VALUE"""),263.25)</f>
        <v>263.25</v>
      </c>
      <c r="BO32" s="46">
        <f t="shared" si="17"/>
        <v>0.0283203125</v>
      </c>
      <c r="BP32" s="37"/>
      <c r="BQ32" s="37">
        <f>IFERROR(__xludf.DUMMYFUNCTION("""COMPUTED_VALUE"""),45323.64583333333)</f>
        <v>45323.64583</v>
      </c>
      <c r="BR32" s="45">
        <f>IFERROR(__xludf.DUMMYFUNCTION("""COMPUTED_VALUE"""),67.0)</f>
        <v>67</v>
      </c>
      <c r="BS32" s="46">
        <f t="shared" si="18"/>
        <v>0.1001642036</v>
      </c>
      <c r="BT32" s="37"/>
      <c r="BU32" s="37">
        <f>IFERROR(__xludf.DUMMYFUNCTION("""COMPUTED_VALUE"""),45323.64583333333)</f>
        <v>45323.64583</v>
      </c>
      <c r="BV32" s="45">
        <f>IFERROR(__xludf.DUMMYFUNCTION("""COMPUTED_VALUE"""),323.0)</f>
        <v>323</v>
      </c>
      <c r="BW32" s="46">
        <f t="shared" si="19"/>
        <v>0.04395604396</v>
      </c>
      <c r="BX32" s="37"/>
      <c r="BY32" s="37">
        <f>IFERROR(__xludf.DUMMYFUNCTION("""COMPUTED_VALUE"""),45323.64583333333)</f>
        <v>45323.64583</v>
      </c>
      <c r="BZ32" s="45">
        <f>IFERROR(__xludf.DUMMYFUNCTION("""COMPUTED_VALUE"""),339.75)</f>
        <v>339.75</v>
      </c>
      <c r="CA32" s="46">
        <f t="shared" si="20"/>
        <v>-0.1703296703</v>
      </c>
      <c r="CB32" s="37"/>
      <c r="CC32" s="37">
        <f>IFERROR(__xludf.DUMMYFUNCTION("""COMPUTED_VALUE"""),45323.64583333333)</f>
        <v>45323.64583</v>
      </c>
      <c r="CD32" s="45">
        <f>IFERROR(__xludf.DUMMYFUNCTION("""COMPUTED_VALUE"""),288.5)</f>
        <v>288.5</v>
      </c>
      <c r="CE32" s="46">
        <f t="shared" si="21"/>
        <v>0.2451445835</v>
      </c>
      <c r="CF32" s="37"/>
      <c r="CG32" s="37">
        <f>IFERROR(__xludf.DUMMYFUNCTION("""COMPUTED_VALUE"""),45323.64583333333)</f>
        <v>45323.64583</v>
      </c>
      <c r="CH32" s="45">
        <f>IFERROR(__xludf.DUMMYFUNCTION("""COMPUTED_VALUE"""),659.6)</f>
        <v>659.6</v>
      </c>
      <c r="CI32" s="46">
        <f t="shared" si="22"/>
        <v>0.03710691824</v>
      </c>
      <c r="CJ32" s="37"/>
      <c r="CK32" s="37">
        <f>IFERROR(__xludf.DUMMYFUNCTION("""COMPUTED_VALUE"""),45323.64583333333)</f>
        <v>45323.64583</v>
      </c>
      <c r="CL32" s="45">
        <f>IFERROR(__xludf.DUMMYFUNCTION("""COMPUTED_VALUE"""),311.1)</f>
        <v>311.1</v>
      </c>
      <c r="CM32" s="46">
        <f t="shared" si="23"/>
        <v>-0.07685459941</v>
      </c>
      <c r="CN32" s="37"/>
      <c r="CO32" s="37">
        <f>IFERROR(__xludf.DUMMYFUNCTION("""COMPUTED_VALUE"""),45323.64583333333)</f>
        <v>45323.64583</v>
      </c>
      <c r="CP32" s="45">
        <f>IFERROR(__xludf.DUMMYFUNCTION("""COMPUTED_VALUE"""),16.55)</f>
        <v>16.55</v>
      </c>
      <c r="CQ32" s="46">
        <f t="shared" si="24"/>
        <v>0.1182432432</v>
      </c>
      <c r="CR32" s="37"/>
      <c r="CS32" s="37">
        <f>IFERROR(__xludf.DUMMYFUNCTION("""COMPUTED_VALUE"""),45323.64583333333)</f>
        <v>45323.64583</v>
      </c>
      <c r="CT32" s="45">
        <f>IFERROR(__xludf.DUMMYFUNCTION("""COMPUTED_VALUE"""),201.05)</f>
        <v>201.05</v>
      </c>
      <c r="CU32" s="46">
        <f t="shared" si="25"/>
        <v>0.0154040404</v>
      </c>
      <c r="CV32" s="37"/>
      <c r="CW32" s="37">
        <f>IFERROR(__xludf.DUMMYFUNCTION("""COMPUTED_VALUE"""),45323.64583333333)</f>
        <v>45323.64583</v>
      </c>
      <c r="CX32" s="45">
        <f>IFERROR(__xludf.DUMMYFUNCTION("""COMPUTED_VALUE"""),941.95)</f>
        <v>941.95</v>
      </c>
      <c r="CY32" s="46">
        <f t="shared" si="26"/>
        <v>0.3616323109</v>
      </c>
      <c r="CZ32" s="37"/>
      <c r="DA32" s="37">
        <f>IFERROR(__xludf.DUMMYFUNCTION("""COMPUTED_VALUE"""),45323.64583333333)</f>
        <v>45323.64583</v>
      </c>
      <c r="DB32" s="45">
        <f>IFERROR(__xludf.DUMMYFUNCTION("""COMPUTED_VALUE"""),32.45)</f>
        <v>32.45</v>
      </c>
      <c r="DC32" s="46">
        <f t="shared" si="27"/>
        <v>0.1630824373</v>
      </c>
      <c r="DD32" s="37"/>
      <c r="DE32" s="37">
        <f>IFERROR(__xludf.DUMMYFUNCTION("""COMPUTED_VALUE"""),45323.64583333333)</f>
        <v>45323.64583</v>
      </c>
      <c r="DF32" s="45">
        <f>IFERROR(__xludf.DUMMYFUNCTION("""COMPUTED_VALUE"""),73.95)</f>
        <v>73.95</v>
      </c>
      <c r="DG32" s="46">
        <f t="shared" si="28"/>
        <v>-0.3473080318</v>
      </c>
      <c r="DH32" s="37"/>
      <c r="DI32" s="37">
        <f>IFERROR(__xludf.DUMMYFUNCTION("""COMPUTED_VALUE"""),45323.64583333333)</f>
        <v>45323.64583</v>
      </c>
      <c r="DJ32" s="45">
        <f>IFERROR(__xludf.DUMMYFUNCTION("""COMPUTED_VALUE"""),1820.0)</f>
        <v>1820</v>
      </c>
      <c r="DK32" s="46">
        <f t="shared" si="29"/>
        <v>0.1340977069</v>
      </c>
      <c r="DL32" s="37"/>
      <c r="DM32" s="37">
        <f>IFERROR(__xludf.DUMMYFUNCTION("""COMPUTED_VALUE"""),45323.64583333333)</f>
        <v>45323.64583</v>
      </c>
      <c r="DN32" s="45">
        <f>IFERROR(__xludf.DUMMYFUNCTION("""COMPUTED_VALUE"""),588.5)</f>
        <v>588.5</v>
      </c>
      <c r="DO32" s="46">
        <f t="shared" si="30"/>
        <v>0.09764058566</v>
      </c>
      <c r="DP32" s="37"/>
      <c r="DQ32" s="37">
        <f>IFERROR(__xludf.DUMMYFUNCTION("""COMPUTED_VALUE"""),45323.64583333333)</f>
        <v>45323.64583</v>
      </c>
      <c r="DR32" s="45">
        <f>IFERROR(__xludf.DUMMYFUNCTION("""COMPUTED_VALUE"""),242.95)</f>
        <v>242.95</v>
      </c>
      <c r="DS32" s="46">
        <f t="shared" si="31"/>
        <v>0.1144495413</v>
      </c>
      <c r="DT32" s="37"/>
      <c r="DU32" s="37">
        <f>IFERROR(__xludf.DUMMYFUNCTION("""COMPUTED_VALUE"""),45323.64583333333)</f>
        <v>45323.64583</v>
      </c>
      <c r="DV32" s="45">
        <f>IFERROR(__xludf.DUMMYFUNCTION("""COMPUTED_VALUE"""),864.0)</f>
        <v>864</v>
      </c>
      <c r="DW32" s="46">
        <f t="shared" si="32"/>
        <v>0.01587301587</v>
      </c>
      <c r="DX32" s="37"/>
      <c r="DY32" s="37">
        <f>IFERROR(__xludf.DUMMYFUNCTION("""COMPUTED_VALUE"""),45323.64583333333)</f>
        <v>45323.64583</v>
      </c>
      <c r="DZ32" s="45">
        <f>IFERROR(__xludf.DUMMYFUNCTION("""COMPUTED_VALUE"""),12.45)</f>
        <v>12.45</v>
      </c>
      <c r="EA32" s="46">
        <f t="shared" si="33"/>
        <v>0.1474654378</v>
      </c>
      <c r="EB32" s="37"/>
      <c r="EC32" s="37">
        <f>IFERROR(__xludf.DUMMYFUNCTION("""COMPUTED_VALUE"""),45323.64583333333)</f>
        <v>45323.64583</v>
      </c>
      <c r="ED32" s="45">
        <f>IFERROR(__xludf.DUMMYFUNCTION("""COMPUTED_VALUE"""),2440.45)</f>
        <v>2440.45</v>
      </c>
      <c r="EE32" s="46">
        <f t="shared" si="34"/>
        <v>-0.07733459357</v>
      </c>
      <c r="EF32" s="37"/>
      <c r="EG32" s="37">
        <f>IFERROR(__xludf.DUMMYFUNCTION("""COMPUTED_VALUE"""),45323.64583333333)</f>
        <v>45323.64583</v>
      </c>
      <c r="EH32" s="45">
        <f>IFERROR(__xludf.DUMMYFUNCTION("""COMPUTED_VALUE"""),1085.0)</f>
        <v>1085</v>
      </c>
      <c r="EI32" s="46">
        <f t="shared" si="35"/>
        <v>0.6728337959</v>
      </c>
      <c r="EJ32" s="37"/>
      <c r="EK32" s="37">
        <f>IFERROR(__xludf.DUMMYFUNCTION("""COMPUTED_VALUE"""),45323.64583333333)</f>
        <v>45323.64583</v>
      </c>
      <c r="EL32" s="45">
        <f>IFERROR(__xludf.DUMMYFUNCTION("""COMPUTED_VALUE"""),193.0)</f>
        <v>193</v>
      </c>
      <c r="EM32" s="46">
        <f t="shared" si="36"/>
        <v>-0.04455445545</v>
      </c>
      <c r="EN32" s="37"/>
      <c r="EO32" s="37">
        <f>IFERROR(__xludf.DUMMYFUNCTION("""COMPUTED_VALUE"""),45323.64583333333)</f>
        <v>45323.64583</v>
      </c>
      <c r="EP32" s="45">
        <f>IFERROR(__xludf.DUMMYFUNCTION("""COMPUTED_VALUE"""),175.5)</f>
        <v>175.5</v>
      </c>
      <c r="EQ32" s="46">
        <f t="shared" si="37"/>
        <v>0.1326234269</v>
      </c>
      <c r="ER32" s="37"/>
      <c r="ES32" s="37">
        <f>IFERROR(__xludf.DUMMYFUNCTION("""COMPUTED_VALUE"""),45323.64583333333)</f>
        <v>45323.64583</v>
      </c>
      <c r="ET32" s="45">
        <f>IFERROR(__xludf.DUMMYFUNCTION("""COMPUTED_VALUE"""),189.9)</f>
        <v>189.9</v>
      </c>
      <c r="EU32" s="46">
        <f t="shared" si="38"/>
        <v>-0.02289683561</v>
      </c>
      <c r="EV32" s="37"/>
      <c r="EW32" s="37">
        <f>IFERROR(__xludf.DUMMYFUNCTION("""COMPUTED_VALUE"""),45323.64583333333)</f>
        <v>45323.64583</v>
      </c>
      <c r="EX32" s="45">
        <f>IFERROR(__xludf.DUMMYFUNCTION("""COMPUTED_VALUE"""),704.55)</f>
        <v>704.55</v>
      </c>
      <c r="EY32" s="46">
        <f t="shared" si="39"/>
        <v>0.08726851852</v>
      </c>
      <c r="EZ32" s="37"/>
      <c r="FA32" s="37">
        <f>IFERROR(__xludf.DUMMYFUNCTION("""COMPUTED_VALUE"""),45323.64583333333)</f>
        <v>45323.64583</v>
      </c>
      <c r="FB32" s="45">
        <f>IFERROR(__xludf.DUMMYFUNCTION("""COMPUTED_VALUE"""),210.95)</f>
        <v>210.95</v>
      </c>
      <c r="FC32" s="46">
        <f t="shared" si="40"/>
        <v>0.2095756881</v>
      </c>
      <c r="FD32" s="37"/>
      <c r="FE32" s="37">
        <f>IFERROR(__xludf.DUMMYFUNCTION("""COMPUTED_VALUE"""),45323.64583333333)</f>
        <v>45323.64583</v>
      </c>
      <c r="FF32" s="45">
        <f>IFERROR(__xludf.DUMMYFUNCTION("""COMPUTED_VALUE"""),358.5)</f>
        <v>358.5</v>
      </c>
      <c r="FG32" s="46">
        <f t="shared" si="41"/>
        <v>0.1761811024</v>
      </c>
      <c r="FH32" s="37"/>
      <c r="FI32" s="37">
        <f>IFERROR(__xludf.DUMMYFUNCTION("""COMPUTED_VALUE"""),45323.64583333333)</f>
        <v>45323.64583</v>
      </c>
      <c r="FJ32" s="45">
        <f>IFERROR(__xludf.DUMMYFUNCTION("""COMPUTED_VALUE"""),653.9)</f>
        <v>653.9</v>
      </c>
      <c r="FK32" s="46">
        <f t="shared" si="42"/>
        <v>0.07895388169</v>
      </c>
      <c r="FL32" s="37"/>
      <c r="FM32" s="37">
        <f>IFERROR(__xludf.DUMMYFUNCTION("""COMPUTED_VALUE"""),45323.64583333333)</f>
        <v>45323.64583</v>
      </c>
      <c r="FN32" s="45">
        <f>IFERROR(__xludf.DUMMYFUNCTION("""COMPUTED_VALUE"""),101.0)</f>
        <v>101</v>
      </c>
      <c r="FO32" s="46">
        <f t="shared" si="43"/>
        <v>0.06315789474</v>
      </c>
      <c r="FP32" s="37"/>
      <c r="FQ32" s="37">
        <f>IFERROR(__xludf.DUMMYFUNCTION("""COMPUTED_VALUE"""),45323.64583333333)</f>
        <v>45323.64583</v>
      </c>
      <c r="FR32" s="45">
        <f>IFERROR(__xludf.DUMMYFUNCTION("""COMPUTED_VALUE"""),4.05)</f>
        <v>4.05</v>
      </c>
      <c r="FS32" s="46">
        <f t="shared" si="44"/>
        <v>-0.2636363636</v>
      </c>
      <c r="FT32" s="37"/>
      <c r="FU32" s="37">
        <f>IFERROR(__xludf.DUMMYFUNCTION("""COMPUTED_VALUE"""),45323.64583333333)</f>
        <v>45323.64583</v>
      </c>
      <c r="FV32" s="45">
        <f>IFERROR(__xludf.DUMMYFUNCTION("""COMPUTED_VALUE"""),714.5)</f>
        <v>714.5</v>
      </c>
      <c r="FW32" s="46">
        <f t="shared" si="45"/>
        <v>0.07033181035</v>
      </c>
      <c r="FX32" s="37"/>
      <c r="FY32" s="37">
        <f>IFERROR(__xludf.DUMMYFUNCTION("""COMPUTED_VALUE"""),45323.64583333333)</f>
        <v>45323.64583</v>
      </c>
      <c r="FZ32" s="45">
        <f>IFERROR(__xludf.DUMMYFUNCTION("""COMPUTED_VALUE"""),150.2)</f>
        <v>150.2</v>
      </c>
      <c r="GA32" s="46">
        <f t="shared" si="46"/>
        <v>-0.1154299176</v>
      </c>
      <c r="GB32" s="37"/>
      <c r="GC32" s="37">
        <f>IFERROR(__xludf.DUMMYFUNCTION("""COMPUTED_VALUE"""),45323.64583333333)</f>
        <v>45323.64583</v>
      </c>
      <c r="GD32" s="45">
        <f>IFERROR(__xludf.DUMMYFUNCTION("""COMPUTED_VALUE"""),387.45)</f>
        <v>387.45</v>
      </c>
      <c r="GE32" s="46">
        <f t="shared" si="47"/>
        <v>-0.161182074</v>
      </c>
      <c r="GF32" s="37"/>
      <c r="GG32" s="37">
        <f>IFERROR(__xludf.DUMMYFUNCTION("""COMPUTED_VALUE"""),45323.64583333333)</f>
        <v>45323.64583</v>
      </c>
      <c r="GH32" s="45">
        <f>IFERROR(__xludf.DUMMYFUNCTION("""COMPUTED_VALUE"""),5890.0)</f>
        <v>5890</v>
      </c>
      <c r="GI32" s="46">
        <f t="shared" si="48"/>
        <v>0.1115304774</v>
      </c>
      <c r="GJ32" s="37"/>
      <c r="GK32" s="37">
        <f>IFERROR(__xludf.DUMMYFUNCTION("""COMPUTED_VALUE"""),45323.64583333333)</f>
        <v>45323.64583</v>
      </c>
      <c r="GL32" s="45">
        <f>IFERROR(__xludf.DUMMYFUNCTION("""COMPUTED_VALUE"""),85.0)</f>
        <v>85</v>
      </c>
      <c r="GM32" s="46">
        <f t="shared" si="49"/>
        <v>-0.2504409171</v>
      </c>
      <c r="GN32" s="37"/>
      <c r="GO32" s="37">
        <f>IFERROR(__xludf.DUMMYFUNCTION("""COMPUTED_VALUE"""),45323.64583333333)</f>
        <v>45323.64583</v>
      </c>
      <c r="GP32" s="45">
        <f>IFERROR(__xludf.DUMMYFUNCTION("""COMPUTED_VALUE"""),1170.0)</f>
        <v>1170</v>
      </c>
      <c r="GQ32" s="46">
        <f t="shared" si="50"/>
        <v>0.06407166568</v>
      </c>
      <c r="GR32" s="37"/>
      <c r="GS32" s="37">
        <f>IFERROR(__xludf.DUMMYFUNCTION("""COMPUTED_VALUE"""),45323.64583333333)</f>
        <v>45323.64583</v>
      </c>
      <c r="GT32" s="45">
        <f>IFERROR(__xludf.DUMMYFUNCTION("""COMPUTED_VALUE"""),15.15)</f>
        <v>15.15</v>
      </c>
      <c r="GU32" s="46">
        <f t="shared" si="51"/>
        <v>0.1698841699</v>
      </c>
      <c r="GV32" s="37"/>
      <c r="GW32" s="37">
        <f>IFERROR(__xludf.DUMMYFUNCTION("""COMPUTED_VALUE"""),45324.64583333333)</f>
        <v>45324.64583</v>
      </c>
      <c r="GX32" s="45">
        <f>IFERROR(__xludf.DUMMYFUNCTION("""COMPUTED_VALUE"""),19.85)</f>
        <v>19.85</v>
      </c>
      <c r="GY32" s="46">
        <f t="shared" si="52"/>
        <v>0.203030303</v>
      </c>
      <c r="GZ32" s="37"/>
      <c r="HA32" s="37">
        <f>IFERROR(__xludf.DUMMYFUNCTION("""COMPUTED_VALUE"""),45324.64583333333)</f>
        <v>45324.64583</v>
      </c>
      <c r="HB32" s="45">
        <f>IFERROR(__xludf.DUMMYFUNCTION("""COMPUTED_VALUE"""),589.0)</f>
        <v>589</v>
      </c>
      <c r="HC32" s="46">
        <f t="shared" si="53"/>
        <v>-0.03125</v>
      </c>
      <c r="HD32" s="37"/>
      <c r="HE32" s="43">
        <f>IFERROR(__xludf.DUMMYFUNCTION("""COMPUTED_VALUE"""),45324.64583333333)</f>
        <v>45324.64583</v>
      </c>
      <c r="HF32" s="45">
        <f>IFERROR(__xludf.DUMMYFUNCTION("""COMPUTED_VALUE"""),2711.23)</f>
        <v>2711.23</v>
      </c>
      <c r="HG32" s="46" t="str">
        <f t="shared" si="54"/>
        <v>#DIV/0!</v>
      </c>
      <c r="HH32" s="37"/>
      <c r="HI32" s="37">
        <f>IFERROR(__xludf.DUMMYFUNCTION("""COMPUTED_VALUE"""),45324.64583333333)</f>
        <v>45324.64583</v>
      </c>
      <c r="HJ32" s="45">
        <f>IFERROR(__xludf.DUMMYFUNCTION("""COMPUTED_VALUE"""),6495.0)</f>
        <v>6495</v>
      </c>
      <c r="HK32" s="46">
        <f t="shared" si="55"/>
        <v>0.2710247454</v>
      </c>
      <c r="HL32" s="37"/>
      <c r="HM32" s="37">
        <f>IFERROR(__xludf.DUMMYFUNCTION("""COMPUTED_VALUE"""),45324.64583333333)</f>
        <v>45324.64583</v>
      </c>
      <c r="HN32" s="45">
        <f>IFERROR(__xludf.DUMMYFUNCTION("""COMPUTED_VALUE"""),383.5)</f>
        <v>383.5</v>
      </c>
      <c r="HO32" s="46">
        <f t="shared" si="56"/>
        <v>-0.05669659328</v>
      </c>
      <c r="HP32" s="37"/>
      <c r="HQ32" s="37">
        <f>IFERROR(__xludf.DUMMYFUNCTION("""COMPUTED_VALUE"""),45324.64583333333)</f>
        <v>45324.64583</v>
      </c>
      <c r="HR32" s="45">
        <f>IFERROR(__xludf.DUMMYFUNCTION("""COMPUTED_VALUE"""),276.85)</f>
        <v>276.85</v>
      </c>
      <c r="HS32" s="46">
        <f t="shared" si="57"/>
        <v>0.08867479355</v>
      </c>
      <c r="HT32" s="37"/>
      <c r="HU32" s="37">
        <f>IFERROR(__xludf.DUMMYFUNCTION("""COMPUTED_VALUE"""),45324.64583333333)</f>
        <v>45324.64583</v>
      </c>
      <c r="HV32" s="45">
        <f>IFERROR(__xludf.DUMMYFUNCTION("""COMPUTED_VALUE"""),67.6)</f>
        <v>67.6</v>
      </c>
      <c r="HW32" s="46">
        <f t="shared" si="58"/>
        <v>0.08333333333</v>
      </c>
      <c r="HX32" s="37"/>
      <c r="HY32" s="37">
        <f>IFERROR(__xludf.DUMMYFUNCTION("""COMPUTED_VALUE"""),45324.64583333333)</f>
        <v>45324.64583</v>
      </c>
      <c r="HZ32" s="45">
        <f>IFERROR(__xludf.DUMMYFUNCTION("""COMPUTED_VALUE"""),329.9)</f>
        <v>329.9</v>
      </c>
      <c r="IA32" s="46">
        <f t="shared" si="59"/>
        <v>-0.2905376344</v>
      </c>
      <c r="IB32" s="37"/>
      <c r="IC32" s="37">
        <f>IFERROR(__xludf.DUMMYFUNCTION("""COMPUTED_VALUE"""),45324.64583333333)</f>
        <v>45324.64583</v>
      </c>
      <c r="ID32" s="45">
        <f>IFERROR(__xludf.DUMMYFUNCTION("""COMPUTED_VALUE"""),88.3)</f>
        <v>88.3</v>
      </c>
      <c r="IE32" s="46">
        <f t="shared" si="60"/>
        <v>-0.7987464387</v>
      </c>
      <c r="IF32" s="37"/>
      <c r="IG32" s="37">
        <f>IFERROR(__xludf.DUMMYFUNCTION("""COMPUTED_VALUE"""),45324.64583333333)</f>
        <v>45324.64583</v>
      </c>
      <c r="IH32" s="45">
        <f>IFERROR(__xludf.DUMMYFUNCTION("""COMPUTED_VALUE"""),524.05)</f>
        <v>524.05</v>
      </c>
      <c r="II32" s="46">
        <f t="shared" si="61"/>
        <v>-0.01679174484</v>
      </c>
      <c r="IJ32" s="37"/>
      <c r="IK32" s="37">
        <f>IFERROR(__xludf.DUMMYFUNCTION("""COMPUTED_VALUE"""),45324.64583333333)</f>
        <v>45324.64583</v>
      </c>
      <c r="IL32" s="45">
        <f>IFERROR(__xludf.DUMMYFUNCTION("""COMPUTED_VALUE"""),551.95)</f>
        <v>551.95</v>
      </c>
      <c r="IM32" s="46">
        <f t="shared" si="62"/>
        <v>-0.1068047577</v>
      </c>
      <c r="IN32" s="37"/>
      <c r="IO32" s="37">
        <f>IFERROR(__xludf.DUMMYFUNCTION("""COMPUTED_VALUE"""),45327.64583333333)</f>
        <v>45327.64583</v>
      </c>
      <c r="IP32" s="45">
        <f>IFERROR(__xludf.DUMMYFUNCTION("""COMPUTED_VALUE"""),206.0)</f>
        <v>206</v>
      </c>
      <c r="IQ32" s="46">
        <f t="shared" si="63"/>
        <v>0.6389529796</v>
      </c>
      <c r="IR32" s="37"/>
      <c r="IS32" s="37">
        <f>IFERROR(__xludf.DUMMYFUNCTION("""COMPUTED_VALUE"""),45324.64583333333)</f>
        <v>45324.64583</v>
      </c>
      <c r="IT32" s="45">
        <f>IFERROR(__xludf.DUMMYFUNCTION("""COMPUTED_VALUE"""),1013.7)</f>
        <v>1013.7</v>
      </c>
      <c r="IU32" s="46">
        <f t="shared" si="64"/>
        <v>0.009661354582</v>
      </c>
      <c r="IV32" s="37"/>
      <c r="IW32" s="37">
        <f>IFERROR(__xludf.DUMMYFUNCTION("""COMPUTED_VALUE"""),45324.64583333333)</f>
        <v>45324.64583</v>
      </c>
      <c r="IX32" s="45">
        <f>IFERROR(__xludf.DUMMYFUNCTION("""COMPUTED_VALUE"""),312.35)</f>
        <v>312.35</v>
      </c>
      <c r="IY32" s="46">
        <f t="shared" si="65"/>
        <v>0.5166302501</v>
      </c>
      <c r="IZ32" s="37"/>
      <c r="JA32" s="37">
        <f>IFERROR(__xludf.DUMMYFUNCTION("""COMPUTED_VALUE"""),45324.64583333333)</f>
        <v>45324.64583</v>
      </c>
      <c r="JB32" s="45">
        <f>IFERROR(__xludf.DUMMYFUNCTION("""COMPUTED_VALUE"""),34039.0)</f>
        <v>34039</v>
      </c>
      <c r="JC32" s="46">
        <f t="shared" si="66"/>
        <v>-0.03851830301</v>
      </c>
      <c r="JD32" s="37"/>
      <c r="JE32" s="37">
        <f>IFERROR(__xludf.DUMMYFUNCTION("""COMPUTED_VALUE"""),45324.64583333333)</f>
        <v>45324.64583</v>
      </c>
      <c r="JF32" s="45">
        <f>IFERROR(__xludf.DUMMYFUNCTION("""COMPUTED_VALUE"""),650.6)</f>
        <v>650.6</v>
      </c>
      <c r="JG32" s="46">
        <f t="shared" si="67"/>
        <v>0.008682170543</v>
      </c>
      <c r="JH32" s="37"/>
      <c r="JI32" s="37">
        <f>IFERROR(__xludf.DUMMYFUNCTION("""COMPUTED_VALUE"""),45324.64583333333)</f>
        <v>45324.64583</v>
      </c>
      <c r="JJ32" s="45">
        <f>IFERROR(__xludf.DUMMYFUNCTION("""COMPUTED_VALUE"""),304.95)</f>
        <v>304.95</v>
      </c>
      <c r="JK32" s="46">
        <f t="shared" si="68"/>
        <v>-0.08683934721</v>
      </c>
      <c r="JL32" s="37"/>
      <c r="JM32" s="37">
        <f>IFERROR(__xludf.DUMMYFUNCTION("""COMPUTED_VALUE"""),45324.64583333333)</f>
        <v>45324.64583</v>
      </c>
      <c r="JN32" s="45">
        <f>IFERROR(__xludf.DUMMYFUNCTION("""COMPUTED_VALUE"""),16.15)</f>
        <v>16.15</v>
      </c>
      <c r="JO32" s="46">
        <f t="shared" si="69"/>
        <v>-0.9631908832</v>
      </c>
      <c r="JP32" s="37"/>
      <c r="JQ32" s="37">
        <f>IFERROR(__xludf.DUMMYFUNCTION("""COMPUTED_VALUE"""),45324.64583333333)</f>
        <v>45324.64583</v>
      </c>
      <c r="JR32" s="45">
        <f>IFERROR(__xludf.DUMMYFUNCTION("""COMPUTED_VALUE"""),77.6)</f>
        <v>77.6</v>
      </c>
      <c r="JS32" s="46">
        <f t="shared" si="70"/>
        <v>-0.4294117647</v>
      </c>
      <c r="JT32" s="37"/>
      <c r="JU32" s="37">
        <f>IFERROR(__xludf.DUMMYFUNCTION("""COMPUTED_VALUE"""),45324.64583333333)</f>
        <v>45324.64583</v>
      </c>
      <c r="JV32" s="45">
        <f>IFERROR(__xludf.DUMMYFUNCTION("""COMPUTED_VALUE"""),251.45)</f>
        <v>251.45</v>
      </c>
      <c r="JW32" s="46">
        <f t="shared" si="71"/>
        <v>-0.4268945869</v>
      </c>
      <c r="JX32" s="37"/>
      <c r="JY32" s="37">
        <f>IFERROR(__xludf.DUMMYFUNCTION("""COMPUTED_VALUE"""),45324.64583333333)</f>
        <v>45324.64583</v>
      </c>
      <c r="JZ32" s="45">
        <f>IFERROR(__xludf.DUMMYFUNCTION("""COMPUTED_VALUE"""),638.4)</f>
        <v>638.4</v>
      </c>
      <c r="KA32" s="46">
        <f t="shared" si="72"/>
        <v>0.1586206897</v>
      </c>
      <c r="KB32" s="37"/>
      <c r="KC32" s="37">
        <f>IFERROR(__xludf.DUMMYFUNCTION("""COMPUTED_VALUE"""),45324.64583333333)</f>
        <v>45324.64583</v>
      </c>
      <c r="KD32" s="45">
        <f>IFERROR(__xludf.DUMMYFUNCTION("""COMPUTED_VALUE"""),915.0)</f>
        <v>915</v>
      </c>
      <c r="KE32" s="46">
        <f t="shared" si="73"/>
        <v>0.0474500601</v>
      </c>
      <c r="KF32" s="37"/>
      <c r="KG32" s="37">
        <f>IFERROR(__xludf.DUMMYFUNCTION("""COMPUTED_VALUE"""),45324.64583333333)</f>
        <v>45324.64583</v>
      </c>
      <c r="KH32" s="45">
        <f>IFERROR(__xludf.DUMMYFUNCTION("""COMPUTED_VALUE"""),420.9)</f>
        <v>420.9</v>
      </c>
      <c r="KI32" s="46">
        <f t="shared" si="74"/>
        <v>0.07923076923</v>
      </c>
      <c r="KJ32" s="37"/>
      <c r="KK32" s="37">
        <f>IFERROR(__xludf.DUMMYFUNCTION("""COMPUTED_VALUE"""),45324.64583333333)</f>
        <v>45324.64583</v>
      </c>
      <c r="KL32" s="45">
        <f>IFERROR(__xludf.DUMMYFUNCTION("""COMPUTED_VALUE"""),11.55)</f>
        <v>11.55</v>
      </c>
      <c r="KM32" s="46">
        <f t="shared" si="75"/>
        <v>0.2419354839</v>
      </c>
      <c r="KN32" s="37"/>
      <c r="KO32" s="37">
        <f>IFERROR(__xludf.DUMMYFUNCTION("""COMPUTED_VALUE"""),45324.64583333333)</f>
        <v>45324.64583</v>
      </c>
      <c r="KP32" s="45">
        <f>IFERROR(__xludf.DUMMYFUNCTION("""COMPUTED_VALUE"""),258.5)</f>
        <v>258.5</v>
      </c>
      <c r="KQ32" s="46">
        <f t="shared" si="76"/>
        <v>0.2715199213</v>
      </c>
      <c r="KR32" s="37"/>
      <c r="KS32" s="37">
        <f>IFERROR(__xludf.DUMMYFUNCTION("""COMPUTED_VALUE"""),45324.64583333333)</f>
        <v>45324.64583</v>
      </c>
      <c r="KT32" s="45">
        <f>IFERROR(__xludf.DUMMYFUNCTION("""COMPUTED_VALUE"""),13.05)</f>
        <v>13.05</v>
      </c>
      <c r="KU32" s="46">
        <f t="shared" si="77"/>
        <v>0.1809954751</v>
      </c>
      <c r="KV32" s="37"/>
      <c r="KW32" s="37">
        <f>IFERROR(__xludf.DUMMYFUNCTION("""COMPUTED_VALUE"""),45324.64583333333)</f>
        <v>45324.64583</v>
      </c>
      <c r="KX32" s="45">
        <f>IFERROR(__xludf.DUMMYFUNCTION("""COMPUTED_VALUE"""),2409.7)</f>
        <v>2409.7</v>
      </c>
      <c r="KY32" s="46">
        <f t="shared" si="78"/>
        <v>-0.09747373546</v>
      </c>
      <c r="KZ32" s="37"/>
      <c r="LA32" s="37">
        <f>IFERROR(__xludf.DUMMYFUNCTION("""COMPUTED_VALUE"""),45324.64583333333)</f>
        <v>45324.64583</v>
      </c>
      <c r="LB32" s="45">
        <f>IFERROR(__xludf.DUMMYFUNCTION("""COMPUTED_VALUE"""),19.3)</f>
        <v>19.3</v>
      </c>
      <c r="LC32" s="46">
        <f t="shared" si="79"/>
        <v>0.02387267905</v>
      </c>
      <c r="LD32" s="37"/>
      <c r="LE32" s="37">
        <f>IFERROR(__xludf.DUMMYFUNCTION("""COMPUTED_VALUE"""),45324.64583333333)</f>
        <v>45324.64583</v>
      </c>
      <c r="LF32" s="45">
        <f>IFERROR(__xludf.DUMMYFUNCTION("""COMPUTED_VALUE"""),129.0)</f>
        <v>129</v>
      </c>
      <c r="LG32" s="46">
        <f t="shared" si="80"/>
        <v>0.032</v>
      </c>
      <c r="LH32" s="37"/>
      <c r="LI32" s="37">
        <f>IFERROR(__xludf.DUMMYFUNCTION("""COMPUTED_VALUE"""),45324.64583333333)</f>
        <v>45324.64583</v>
      </c>
      <c r="LJ32" s="45">
        <f>IFERROR(__xludf.DUMMYFUNCTION("""COMPUTED_VALUE"""),723.0)</f>
        <v>723</v>
      </c>
      <c r="LK32" s="46">
        <f t="shared" si="81"/>
        <v>-0.006868131868</v>
      </c>
      <c r="LL32" s="37"/>
      <c r="LM32" s="37">
        <f>IFERROR(__xludf.DUMMYFUNCTION("""COMPUTED_VALUE"""),45324.64583333333)</f>
        <v>45324.64583</v>
      </c>
      <c r="LN32" s="45">
        <f>IFERROR(__xludf.DUMMYFUNCTION("""COMPUTED_VALUE"""),745.6)</f>
        <v>745.6</v>
      </c>
      <c r="LO32" s="46">
        <f t="shared" si="82"/>
        <v>-0.1279532164</v>
      </c>
      <c r="LP32" s="37"/>
      <c r="LQ32" s="37">
        <f>IFERROR(__xludf.DUMMYFUNCTION("""COMPUTED_VALUE"""),45324.64583333333)</f>
        <v>45324.64583</v>
      </c>
      <c r="LR32" s="45">
        <f>IFERROR(__xludf.DUMMYFUNCTION("""COMPUTED_VALUE"""),598.0)</f>
        <v>598</v>
      </c>
      <c r="LS32" s="46">
        <f t="shared" si="83"/>
        <v>0.636562671</v>
      </c>
      <c r="LT32" s="37"/>
      <c r="LU32" s="37">
        <f>IFERROR(__xludf.DUMMYFUNCTION("""COMPUTED_VALUE"""),45324.64583333333)</f>
        <v>45324.64583</v>
      </c>
      <c r="LV32" s="45">
        <f>IFERROR(__xludf.DUMMYFUNCTION("""COMPUTED_VALUE"""),127.3)</f>
        <v>127.3</v>
      </c>
      <c r="LW32" s="46">
        <f t="shared" si="84"/>
        <v>-0.06944444444</v>
      </c>
      <c r="LX32" s="37"/>
      <c r="LY32" s="37">
        <f>IFERROR(__xludf.DUMMYFUNCTION("""COMPUTED_VALUE"""),45324.64583333333)</f>
        <v>45324.64583</v>
      </c>
      <c r="LZ32" s="45">
        <f>IFERROR(__xludf.DUMMYFUNCTION("""COMPUTED_VALUE"""),670.0)</f>
        <v>670</v>
      </c>
      <c r="MA32" s="46">
        <f t="shared" si="85"/>
        <v>0.08064516129</v>
      </c>
      <c r="MB32" s="37"/>
      <c r="MC32" s="37"/>
      <c r="MD32" s="45"/>
      <c r="ME32" s="46" t="str">
        <f t="shared" si="86"/>
        <v>#DIV/0!</v>
      </c>
      <c r="MF32" s="37"/>
      <c r="MG32" s="37">
        <f>IFERROR(__xludf.DUMMYFUNCTION("""COMPUTED_VALUE"""),45324.64583333333)</f>
        <v>45324.64583</v>
      </c>
      <c r="MH32" s="45">
        <f>IFERROR(__xludf.DUMMYFUNCTION("""COMPUTED_VALUE"""),2026.95)</f>
        <v>2026.95</v>
      </c>
      <c r="MI32" s="46">
        <f t="shared" si="87"/>
        <v>0.03365715597</v>
      </c>
      <c r="MJ32" s="37"/>
      <c r="MK32" s="37">
        <f>IFERROR(__xludf.DUMMYFUNCTION("""COMPUTED_VALUE"""),45324.64583333333)</f>
        <v>45324.64583</v>
      </c>
      <c r="ML32" s="45">
        <f>IFERROR(__xludf.DUMMYFUNCTION("""COMPUTED_VALUE"""),384.45)</f>
        <v>384.45</v>
      </c>
      <c r="MM32" s="46">
        <f t="shared" si="88"/>
        <v>-0.03875484436</v>
      </c>
      <c r="MN32" s="37"/>
      <c r="MO32" s="37">
        <f>IFERROR(__xludf.DUMMYFUNCTION("""COMPUTED_VALUE"""),45324.64583333333)</f>
        <v>45324.64583</v>
      </c>
      <c r="MP32" s="45">
        <f>IFERROR(__xludf.DUMMYFUNCTION("""COMPUTED_VALUE"""),895.0)</f>
        <v>895</v>
      </c>
      <c r="MQ32" s="46">
        <f t="shared" si="89"/>
        <v>0.2094594595</v>
      </c>
      <c r="MR32" s="37"/>
      <c r="MS32" s="37">
        <f>IFERROR(__xludf.DUMMYFUNCTION("""COMPUTED_VALUE"""),45324.64583333333)</f>
        <v>45324.64583</v>
      </c>
      <c r="MT32" s="45">
        <f>IFERROR(__xludf.DUMMYFUNCTION("""COMPUTED_VALUE"""),61.0)</f>
        <v>61</v>
      </c>
      <c r="MU32" s="46">
        <f t="shared" si="90"/>
        <v>-0.07785336357</v>
      </c>
      <c r="MV32" s="37"/>
      <c r="MW32" s="37">
        <f>IFERROR(__xludf.DUMMYFUNCTION("""COMPUTED_VALUE"""),45324.64583333333)</f>
        <v>45324.64583</v>
      </c>
      <c r="MX32" s="45">
        <f>IFERROR(__xludf.DUMMYFUNCTION("""COMPUTED_VALUE"""),3045.0)</f>
        <v>3045</v>
      </c>
      <c r="MY32" s="46">
        <f t="shared" si="91"/>
        <v>-0.03241182078</v>
      </c>
      <c r="MZ32" s="37"/>
      <c r="NA32" s="37">
        <f>IFERROR(__xludf.DUMMYFUNCTION("""COMPUTED_VALUE"""),45324.64583333333)</f>
        <v>45324.64583</v>
      </c>
      <c r="NB32" s="45">
        <f>IFERROR(__xludf.DUMMYFUNCTION("""COMPUTED_VALUE"""),15.3)</f>
        <v>15.3</v>
      </c>
      <c r="NC32" s="46">
        <f t="shared" si="92"/>
        <v>0.209486166</v>
      </c>
      <c r="ND32" s="37"/>
      <c r="NE32" s="37">
        <f>IFERROR(__xludf.DUMMYFUNCTION("""COMPUTED_VALUE"""),45327.64583333333)</f>
        <v>45327.64583</v>
      </c>
      <c r="NF32" s="45">
        <f>IFERROR(__xludf.DUMMYFUNCTION("""COMPUTED_VALUE"""),361.55)</f>
        <v>361.55</v>
      </c>
      <c r="NG32" s="46">
        <f t="shared" si="93"/>
        <v>-0.05588196893</v>
      </c>
      <c r="NH32" s="37"/>
      <c r="NI32" s="37">
        <f>IFERROR(__xludf.DUMMYFUNCTION("""COMPUTED_VALUE"""),45327.64583333333)</f>
        <v>45327.64583</v>
      </c>
      <c r="NJ32" s="45">
        <f>IFERROR(__xludf.DUMMYFUNCTION("""COMPUTED_VALUE"""),344.9)</f>
        <v>344.9</v>
      </c>
      <c r="NK32" s="46">
        <f t="shared" si="94"/>
        <v>0.293358833</v>
      </c>
      <c r="NL32" s="37"/>
      <c r="NM32" s="37">
        <f>IFERROR(__xludf.DUMMYFUNCTION("""COMPUTED_VALUE"""),45327.64583333333)</f>
        <v>45327.64583</v>
      </c>
      <c r="NN32" s="45">
        <f>IFERROR(__xludf.DUMMYFUNCTION("""COMPUTED_VALUE"""),138.4)</f>
        <v>138.4</v>
      </c>
      <c r="NO32" s="46">
        <f t="shared" si="95"/>
        <v>0.1224655312</v>
      </c>
      <c r="NP32" s="37"/>
      <c r="NQ32" s="37">
        <f>IFERROR(__xludf.DUMMYFUNCTION("""COMPUTED_VALUE"""),45327.64583333333)</f>
        <v>45327.64583</v>
      </c>
      <c r="NR32" s="45">
        <f>IFERROR(__xludf.DUMMYFUNCTION("""COMPUTED_VALUE"""),4774.35)</f>
        <v>4774.35</v>
      </c>
      <c r="NS32" s="46">
        <f t="shared" si="96"/>
        <v>0.143283046</v>
      </c>
      <c r="NT32" s="37"/>
      <c r="NU32" s="37">
        <f>IFERROR(__xludf.DUMMYFUNCTION("""COMPUTED_VALUE"""),45327.64583333333)</f>
        <v>45327.64583</v>
      </c>
      <c r="NV32" s="45">
        <f>IFERROR(__xludf.DUMMYFUNCTION("""COMPUTED_VALUE"""),15.6)</f>
        <v>15.6</v>
      </c>
      <c r="NW32" s="46">
        <f t="shared" si="97"/>
        <v>0.2283464567</v>
      </c>
      <c r="NX32" s="37"/>
      <c r="NY32" s="37">
        <f>IFERROR(__xludf.DUMMYFUNCTION("""COMPUTED_VALUE"""),45327.64583333333)</f>
        <v>45327.64583</v>
      </c>
      <c r="NZ32" s="45">
        <f>IFERROR(__xludf.DUMMYFUNCTION("""COMPUTED_VALUE"""),291.2)</f>
        <v>291.2</v>
      </c>
      <c r="OA32" s="46">
        <f t="shared" si="98"/>
        <v>0.1799027553</v>
      </c>
      <c r="OB32" s="37"/>
      <c r="OC32" s="37">
        <f>IFERROR(__xludf.DUMMYFUNCTION("""COMPUTED_VALUE"""),45327.64583333333)</f>
        <v>45327.64583</v>
      </c>
      <c r="OD32" s="45">
        <f>IFERROR(__xludf.DUMMYFUNCTION("""COMPUTED_VALUE"""),1177.0)</f>
        <v>1177</v>
      </c>
      <c r="OE32" s="46">
        <f t="shared" si="99"/>
        <v>0.116751269</v>
      </c>
      <c r="OF32" s="37"/>
      <c r="OG32" s="37">
        <f>IFERROR(__xludf.DUMMYFUNCTION("""COMPUTED_VALUE"""),45327.64583333333)</f>
        <v>45327.64583</v>
      </c>
      <c r="OH32" s="45">
        <f>IFERROR(__xludf.DUMMYFUNCTION("""COMPUTED_VALUE"""),2595.0)</f>
        <v>2595</v>
      </c>
      <c r="OI32" s="46">
        <f t="shared" si="100"/>
        <v>0.06361177146</v>
      </c>
      <c r="OJ32" s="37"/>
      <c r="OK32" s="37"/>
      <c r="OL32" s="45"/>
      <c r="OM32" s="46" t="str">
        <f t="shared" si="101"/>
        <v>#DIV/0!</v>
      </c>
      <c r="ON32" s="37"/>
    </row>
    <row r="33" ht="12.0" customHeight="1">
      <c r="A33" s="37">
        <f>IFERROR(__xludf.DUMMYFUNCTION("""COMPUTED_VALUE"""),45324.64583333333)</f>
        <v>45324.64583</v>
      </c>
      <c r="B33" s="45">
        <f>IFERROR(__xludf.DUMMYFUNCTION("""COMPUTED_VALUE"""),395.25)</f>
        <v>395.25</v>
      </c>
      <c r="C33" s="46">
        <f t="shared" si="1"/>
        <v>-0.09914529915</v>
      </c>
      <c r="D33" s="37"/>
      <c r="E33" s="37">
        <f>IFERROR(__xludf.DUMMYFUNCTION("""COMPUTED_VALUE"""),45324.64583333333)</f>
        <v>45324.64583</v>
      </c>
      <c r="F33" s="45">
        <f>IFERROR(__xludf.DUMMYFUNCTION("""COMPUTED_VALUE"""),709.95)</f>
        <v>709.95</v>
      </c>
      <c r="G33" s="46">
        <f t="shared" si="2"/>
        <v>0.08389312977</v>
      </c>
      <c r="H33" s="37"/>
      <c r="I33" s="37">
        <f>IFERROR(__xludf.DUMMYFUNCTION("""COMPUTED_VALUE"""),45324.64583333333)</f>
        <v>45324.64583</v>
      </c>
      <c r="J33" s="45">
        <f>IFERROR(__xludf.DUMMYFUNCTION("""COMPUTED_VALUE"""),187.75)</f>
        <v>187.75</v>
      </c>
      <c r="K33" s="46">
        <f t="shared" si="3"/>
        <v>0.02038043478</v>
      </c>
      <c r="L33" s="37"/>
      <c r="M33" s="37">
        <f>IFERROR(__xludf.DUMMYFUNCTION("""COMPUTED_VALUE"""),45324.64583333333)</f>
        <v>45324.64583</v>
      </c>
      <c r="N33" s="45">
        <f>IFERROR(__xludf.DUMMYFUNCTION("""COMPUTED_VALUE"""),102.0)</f>
        <v>102</v>
      </c>
      <c r="O33" s="46">
        <f t="shared" si="4"/>
        <v>0.1805555556</v>
      </c>
      <c r="P33" s="37"/>
      <c r="Q33" s="37">
        <f>IFERROR(__xludf.DUMMYFUNCTION("""COMPUTED_VALUE"""),45324.64583333333)</f>
        <v>45324.64583</v>
      </c>
      <c r="R33" s="45">
        <f>IFERROR(__xludf.DUMMYFUNCTION("""COMPUTED_VALUE"""),56.2)</f>
        <v>56.2</v>
      </c>
      <c r="S33" s="46">
        <f t="shared" si="5"/>
        <v>0.07047619048</v>
      </c>
      <c r="T33" s="37"/>
      <c r="U33" s="37">
        <f>IFERROR(__xludf.DUMMYFUNCTION("""COMPUTED_VALUE"""),45324.64583333333)</f>
        <v>45324.64583</v>
      </c>
      <c r="V33" s="45">
        <f>IFERROR(__xludf.DUMMYFUNCTION("""COMPUTED_VALUE"""),782.15)</f>
        <v>782.15</v>
      </c>
      <c r="W33" s="46">
        <f t="shared" si="6"/>
        <v>0.1807820048</v>
      </c>
      <c r="X33" s="37"/>
      <c r="Y33" s="37">
        <f>IFERROR(__xludf.DUMMYFUNCTION("""COMPUTED_VALUE"""),45324.64583333333)</f>
        <v>45324.64583</v>
      </c>
      <c r="Z33" s="45">
        <f>IFERROR(__xludf.DUMMYFUNCTION("""COMPUTED_VALUE"""),208.1)</f>
        <v>208.1</v>
      </c>
      <c r="AA33" s="46">
        <f t="shared" si="7"/>
        <v>0.1248648649</v>
      </c>
      <c r="AB33" s="37"/>
      <c r="AC33" s="37">
        <f>IFERROR(__xludf.DUMMYFUNCTION("""COMPUTED_VALUE"""),45324.64583333333)</f>
        <v>45324.64583</v>
      </c>
      <c r="AD33" s="45">
        <f>IFERROR(__xludf.DUMMYFUNCTION("""COMPUTED_VALUE"""),2711.23)</f>
        <v>2711.23</v>
      </c>
      <c r="AE33" s="46">
        <f t="shared" si="8"/>
        <v>0.1418109076</v>
      </c>
      <c r="AF33" s="37"/>
      <c r="AG33" s="37">
        <f>IFERROR(__xludf.DUMMYFUNCTION("""COMPUTED_VALUE"""),45324.64583333333)</f>
        <v>45324.64583</v>
      </c>
      <c r="AH33" s="45">
        <f>IFERROR(__xludf.DUMMYFUNCTION("""COMPUTED_VALUE"""),658.8)</f>
        <v>658.8</v>
      </c>
      <c r="AI33" s="46">
        <f t="shared" si="9"/>
        <v>-0.2157142857</v>
      </c>
      <c r="AJ33" s="37"/>
      <c r="AK33" s="37">
        <f>IFERROR(__xludf.DUMMYFUNCTION("""COMPUTED_VALUE"""),45324.64583333333)</f>
        <v>45324.64583</v>
      </c>
      <c r="AL33" s="45">
        <f>IFERROR(__xludf.DUMMYFUNCTION("""COMPUTED_VALUE"""),6495.0)</f>
        <v>6495</v>
      </c>
      <c r="AM33" s="46">
        <f t="shared" si="10"/>
        <v>0.2490384615</v>
      </c>
      <c r="AN33" s="37"/>
      <c r="AO33" s="37">
        <f>IFERROR(__xludf.DUMMYFUNCTION("""COMPUTED_VALUE"""),45324.64583333333)</f>
        <v>45324.64583</v>
      </c>
      <c r="AP33" s="45">
        <f>IFERROR(__xludf.DUMMYFUNCTION("""COMPUTED_VALUE"""),896.1)</f>
        <v>896.1</v>
      </c>
      <c r="AQ33" s="46">
        <f t="shared" si="11"/>
        <v>-0.01527472527</v>
      </c>
      <c r="AR33" s="37"/>
      <c r="AS33" s="37">
        <f>IFERROR(__xludf.DUMMYFUNCTION("""COMPUTED_VALUE"""),45324.64583333333)</f>
        <v>45324.64583</v>
      </c>
      <c r="AT33" s="45">
        <f>IFERROR(__xludf.DUMMYFUNCTION("""COMPUTED_VALUE"""),2280.0)</f>
        <v>2280</v>
      </c>
      <c r="AU33" s="46">
        <f t="shared" si="12"/>
        <v>-0.08208865091</v>
      </c>
      <c r="AV33" s="37"/>
      <c r="AW33" s="37">
        <f>IFERROR(__xludf.DUMMYFUNCTION("""COMPUTED_VALUE"""),45324.64583333333)</f>
        <v>45324.64583</v>
      </c>
      <c r="AX33" s="45">
        <f>IFERROR(__xludf.DUMMYFUNCTION("""COMPUTED_VALUE"""),6561.6)</f>
        <v>6561.6</v>
      </c>
      <c r="AY33" s="46">
        <f t="shared" si="13"/>
        <v>0.1624561528</v>
      </c>
      <c r="AZ33" s="37"/>
      <c r="BA33" s="37">
        <f>IFERROR(__xludf.DUMMYFUNCTION("""COMPUTED_VALUE"""),45324.64583333333)</f>
        <v>45324.64583</v>
      </c>
      <c r="BB33" s="45">
        <f>IFERROR(__xludf.DUMMYFUNCTION("""COMPUTED_VALUE"""),486.5)</f>
        <v>486.5</v>
      </c>
      <c r="BC33" s="46">
        <f t="shared" si="14"/>
        <v>0.03842049093</v>
      </c>
      <c r="BD33" s="37"/>
      <c r="BE33" s="37">
        <f>IFERROR(__xludf.DUMMYFUNCTION("""COMPUTED_VALUE"""),45324.64583333333)</f>
        <v>45324.64583</v>
      </c>
      <c r="BF33" s="45">
        <f>IFERROR(__xludf.DUMMYFUNCTION("""COMPUTED_VALUE"""),330.7)</f>
        <v>330.7</v>
      </c>
      <c r="BG33" s="46">
        <f t="shared" si="15"/>
        <v>-0.1874692875</v>
      </c>
      <c r="BH33" s="37"/>
      <c r="BI33" s="37">
        <f>IFERROR(__xludf.DUMMYFUNCTION("""COMPUTED_VALUE"""),45324.64583333333)</f>
        <v>45324.64583</v>
      </c>
      <c r="BJ33" s="45">
        <f>IFERROR(__xludf.DUMMYFUNCTION("""COMPUTED_VALUE"""),78.5)</f>
        <v>78.5</v>
      </c>
      <c r="BK33" s="46">
        <f t="shared" si="16"/>
        <v>0.1303095752</v>
      </c>
      <c r="BL33" s="37"/>
      <c r="BM33" s="37">
        <f>IFERROR(__xludf.DUMMYFUNCTION("""COMPUTED_VALUE"""),45324.64583333333)</f>
        <v>45324.64583</v>
      </c>
      <c r="BN33" s="45">
        <f>IFERROR(__xludf.DUMMYFUNCTION("""COMPUTED_VALUE"""),276.85)</f>
        <v>276.85</v>
      </c>
      <c r="BO33" s="46">
        <f t="shared" si="17"/>
        <v>0.0814453125</v>
      </c>
      <c r="BP33" s="37"/>
      <c r="BQ33" s="37">
        <f>IFERROR(__xludf.DUMMYFUNCTION("""COMPUTED_VALUE"""),45324.64583333333)</f>
        <v>45324.64583</v>
      </c>
      <c r="BR33" s="45">
        <f>IFERROR(__xludf.DUMMYFUNCTION("""COMPUTED_VALUE"""),67.6)</f>
        <v>67.6</v>
      </c>
      <c r="BS33" s="46">
        <f t="shared" si="18"/>
        <v>0.1100164204</v>
      </c>
      <c r="BT33" s="37"/>
      <c r="BU33" s="37">
        <f>IFERROR(__xludf.DUMMYFUNCTION("""COMPUTED_VALUE"""),45324.64583333333)</f>
        <v>45324.64583</v>
      </c>
      <c r="BV33" s="45">
        <f>IFERROR(__xludf.DUMMYFUNCTION("""COMPUTED_VALUE"""),322.65)</f>
        <v>322.65</v>
      </c>
      <c r="BW33" s="46">
        <f t="shared" si="19"/>
        <v>0.04282482224</v>
      </c>
      <c r="BX33" s="37"/>
      <c r="BY33" s="37">
        <f>IFERROR(__xludf.DUMMYFUNCTION("""COMPUTED_VALUE"""),45324.64583333333)</f>
        <v>45324.64583</v>
      </c>
      <c r="BZ33" s="45">
        <f>IFERROR(__xludf.DUMMYFUNCTION("""COMPUTED_VALUE"""),329.9)</f>
        <v>329.9</v>
      </c>
      <c r="CA33" s="46">
        <f t="shared" si="20"/>
        <v>-0.1943833944</v>
      </c>
      <c r="CB33" s="37"/>
      <c r="CC33" s="37">
        <f>IFERROR(__xludf.DUMMYFUNCTION("""COMPUTED_VALUE"""),45324.64583333333)</f>
        <v>45324.64583</v>
      </c>
      <c r="CD33" s="45">
        <f>IFERROR(__xludf.DUMMYFUNCTION("""COMPUTED_VALUE"""),291.0)</f>
        <v>291</v>
      </c>
      <c r="CE33" s="46">
        <f t="shared" si="21"/>
        <v>0.2559343979</v>
      </c>
      <c r="CF33" s="37"/>
      <c r="CG33" s="37">
        <f>IFERROR(__xludf.DUMMYFUNCTION("""COMPUTED_VALUE"""),45324.64583333333)</f>
        <v>45324.64583</v>
      </c>
      <c r="CH33" s="45">
        <f>IFERROR(__xludf.DUMMYFUNCTION("""COMPUTED_VALUE"""),650.6)</f>
        <v>650.6</v>
      </c>
      <c r="CI33" s="46">
        <f t="shared" si="22"/>
        <v>0.02295597484</v>
      </c>
      <c r="CJ33" s="37"/>
      <c r="CK33" s="37">
        <f>IFERROR(__xludf.DUMMYFUNCTION("""COMPUTED_VALUE"""),45324.64583333333)</f>
        <v>45324.64583</v>
      </c>
      <c r="CL33" s="45">
        <f>IFERROR(__xludf.DUMMYFUNCTION("""COMPUTED_VALUE"""),304.95)</f>
        <v>304.95</v>
      </c>
      <c r="CM33" s="46">
        <f t="shared" si="23"/>
        <v>-0.09510385757</v>
      </c>
      <c r="CN33" s="37"/>
      <c r="CO33" s="37">
        <f>IFERROR(__xludf.DUMMYFUNCTION("""COMPUTED_VALUE"""),45324.64583333333)</f>
        <v>45324.64583</v>
      </c>
      <c r="CP33" s="45">
        <f>IFERROR(__xludf.DUMMYFUNCTION("""COMPUTED_VALUE"""),16.15)</f>
        <v>16.15</v>
      </c>
      <c r="CQ33" s="46">
        <f t="shared" si="24"/>
        <v>0.09121621622</v>
      </c>
      <c r="CR33" s="37"/>
      <c r="CS33" s="37">
        <f>IFERROR(__xludf.DUMMYFUNCTION("""COMPUTED_VALUE"""),45324.64583333333)</f>
        <v>45324.64583</v>
      </c>
      <c r="CT33" s="45">
        <f>IFERROR(__xludf.DUMMYFUNCTION("""COMPUTED_VALUE"""),196.05)</f>
        <v>196.05</v>
      </c>
      <c r="CU33" s="46">
        <f t="shared" si="25"/>
        <v>-0.009848484848</v>
      </c>
      <c r="CV33" s="37"/>
      <c r="CW33" s="37">
        <f>IFERROR(__xludf.DUMMYFUNCTION("""COMPUTED_VALUE"""),45324.64583333333)</f>
        <v>45324.64583</v>
      </c>
      <c r="CX33" s="45">
        <f>IFERROR(__xludf.DUMMYFUNCTION("""COMPUTED_VALUE"""),922.0)</f>
        <v>922</v>
      </c>
      <c r="CY33" s="46">
        <f t="shared" si="26"/>
        <v>0.3327936627</v>
      </c>
      <c r="CZ33" s="37"/>
      <c r="DA33" s="37">
        <f>IFERROR(__xludf.DUMMYFUNCTION("""COMPUTED_VALUE"""),45324.64583333333)</f>
        <v>45324.64583</v>
      </c>
      <c r="DB33" s="45">
        <f>IFERROR(__xludf.DUMMYFUNCTION("""COMPUTED_VALUE"""),31.6)</f>
        <v>31.6</v>
      </c>
      <c r="DC33" s="46">
        <f t="shared" si="27"/>
        <v>0.1326164875</v>
      </c>
      <c r="DD33" s="37"/>
      <c r="DE33" s="37">
        <f>IFERROR(__xludf.DUMMYFUNCTION("""COMPUTED_VALUE"""),45324.64583333333)</f>
        <v>45324.64583</v>
      </c>
      <c r="DF33" s="45">
        <f>IFERROR(__xludf.DUMMYFUNCTION("""COMPUTED_VALUE"""),77.6)</f>
        <v>77.6</v>
      </c>
      <c r="DG33" s="46">
        <f t="shared" si="28"/>
        <v>-0.3150926743</v>
      </c>
      <c r="DH33" s="37"/>
      <c r="DI33" s="37">
        <f>IFERROR(__xludf.DUMMYFUNCTION("""COMPUTED_VALUE"""),45324.64583333333)</f>
        <v>45324.64583</v>
      </c>
      <c r="DJ33" s="45">
        <f>IFERROR(__xludf.DUMMYFUNCTION("""COMPUTED_VALUE"""),1836.1)</f>
        <v>1836.1</v>
      </c>
      <c r="DK33" s="46">
        <f t="shared" si="29"/>
        <v>0.1441301097</v>
      </c>
      <c r="DL33" s="37"/>
      <c r="DM33" s="37">
        <f>IFERROR(__xludf.DUMMYFUNCTION("""COMPUTED_VALUE"""),45324.64583333333)</f>
        <v>45324.64583</v>
      </c>
      <c r="DN33" s="45">
        <f>IFERROR(__xludf.DUMMYFUNCTION("""COMPUTED_VALUE"""),616.7)</f>
        <v>616.7</v>
      </c>
      <c r="DO33" s="46">
        <f t="shared" si="30"/>
        <v>0.1502378066</v>
      </c>
      <c r="DP33" s="37"/>
      <c r="DQ33" s="37">
        <f>IFERROR(__xludf.DUMMYFUNCTION("""COMPUTED_VALUE"""),45324.64583333333)</f>
        <v>45324.64583</v>
      </c>
      <c r="DR33" s="45">
        <f>IFERROR(__xludf.DUMMYFUNCTION("""COMPUTED_VALUE"""),238.0)</f>
        <v>238</v>
      </c>
      <c r="DS33" s="46">
        <f t="shared" si="31"/>
        <v>0.09174311927</v>
      </c>
      <c r="DT33" s="37"/>
      <c r="DU33" s="37">
        <f>IFERROR(__xludf.DUMMYFUNCTION("""COMPUTED_VALUE"""),45324.64583333333)</f>
        <v>45324.64583</v>
      </c>
      <c r="DV33" s="45">
        <f>IFERROR(__xludf.DUMMYFUNCTION("""COMPUTED_VALUE"""),915.0)</f>
        <v>915</v>
      </c>
      <c r="DW33" s="46">
        <f t="shared" si="32"/>
        <v>0.0758377425</v>
      </c>
      <c r="DX33" s="37"/>
      <c r="DY33" s="37">
        <f>IFERROR(__xludf.DUMMYFUNCTION("""COMPUTED_VALUE"""),45324.64583333333)</f>
        <v>45324.64583</v>
      </c>
      <c r="DZ33" s="45">
        <f>IFERROR(__xludf.DUMMYFUNCTION("""COMPUTED_VALUE"""),13.05)</f>
        <v>13.05</v>
      </c>
      <c r="EA33" s="46">
        <f t="shared" si="33"/>
        <v>0.202764977</v>
      </c>
      <c r="EB33" s="37"/>
      <c r="EC33" s="37">
        <f>IFERROR(__xludf.DUMMYFUNCTION("""COMPUTED_VALUE"""),45324.64583333333)</f>
        <v>45324.64583</v>
      </c>
      <c r="ED33" s="45">
        <f>IFERROR(__xludf.DUMMYFUNCTION("""COMPUTED_VALUE"""),2409.7)</f>
        <v>2409.7</v>
      </c>
      <c r="EE33" s="46">
        <f t="shared" si="34"/>
        <v>-0.08896030246</v>
      </c>
      <c r="EF33" s="37"/>
      <c r="EG33" s="37">
        <f>IFERROR(__xludf.DUMMYFUNCTION("""COMPUTED_VALUE"""),45324.64583333333)</f>
        <v>45324.64583</v>
      </c>
      <c r="EH33" s="45">
        <f>IFERROR(__xludf.DUMMYFUNCTION("""COMPUTED_VALUE"""),1059.95)</f>
        <v>1059.95</v>
      </c>
      <c r="EI33" s="46">
        <f t="shared" si="35"/>
        <v>0.6342121492</v>
      </c>
      <c r="EJ33" s="37"/>
      <c r="EK33" s="37">
        <f>IFERROR(__xludf.DUMMYFUNCTION("""COMPUTED_VALUE"""),45324.64583333333)</f>
        <v>45324.64583</v>
      </c>
      <c r="EL33" s="45">
        <f>IFERROR(__xludf.DUMMYFUNCTION("""COMPUTED_VALUE"""),187.45)</f>
        <v>187.45</v>
      </c>
      <c r="EM33" s="46">
        <f t="shared" si="36"/>
        <v>-0.07202970297</v>
      </c>
      <c r="EN33" s="37"/>
      <c r="EO33" s="37">
        <f>IFERROR(__xludf.DUMMYFUNCTION("""COMPUTED_VALUE"""),45324.64583333333)</f>
        <v>45324.64583</v>
      </c>
      <c r="EP33" s="45">
        <f>IFERROR(__xludf.DUMMYFUNCTION("""COMPUTED_VALUE"""),180.0)</f>
        <v>180</v>
      </c>
      <c r="EQ33" s="46">
        <f t="shared" si="37"/>
        <v>0.1616650532</v>
      </c>
      <c r="ER33" s="37"/>
      <c r="ES33" s="37">
        <f>IFERROR(__xludf.DUMMYFUNCTION("""COMPUTED_VALUE"""),45324.64583333333)</f>
        <v>45324.64583</v>
      </c>
      <c r="ET33" s="45">
        <f>IFERROR(__xludf.DUMMYFUNCTION("""COMPUTED_VALUE"""),192.0)</f>
        <v>192</v>
      </c>
      <c r="EU33" s="46">
        <f t="shared" si="38"/>
        <v>-0.01209158734</v>
      </c>
      <c r="EV33" s="37"/>
      <c r="EW33" s="37">
        <f>IFERROR(__xludf.DUMMYFUNCTION("""COMPUTED_VALUE"""),45324.64583333333)</f>
        <v>45324.64583</v>
      </c>
      <c r="EX33" s="45">
        <f>IFERROR(__xludf.DUMMYFUNCTION("""COMPUTED_VALUE"""),704.3)</f>
        <v>704.3</v>
      </c>
      <c r="EY33" s="46">
        <f t="shared" si="39"/>
        <v>0.08688271605</v>
      </c>
      <c r="EZ33" s="37"/>
      <c r="FA33" s="37">
        <f>IFERROR(__xludf.DUMMYFUNCTION("""COMPUTED_VALUE"""),45324.64583333333)</f>
        <v>45324.64583</v>
      </c>
      <c r="FB33" s="45">
        <f>IFERROR(__xludf.DUMMYFUNCTION("""COMPUTED_VALUE"""),232.0)</f>
        <v>232</v>
      </c>
      <c r="FC33" s="46">
        <f t="shared" si="40"/>
        <v>0.3302752294</v>
      </c>
      <c r="FD33" s="37"/>
      <c r="FE33" s="37">
        <f>IFERROR(__xludf.DUMMYFUNCTION("""COMPUTED_VALUE"""),45324.64583333333)</f>
        <v>45324.64583</v>
      </c>
      <c r="FF33" s="45">
        <f>IFERROR(__xludf.DUMMYFUNCTION("""COMPUTED_VALUE"""),358.05)</f>
        <v>358.05</v>
      </c>
      <c r="FG33" s="46">
        <f t="shared" si="41"/>
        <v>0.1747047244</v>
      </c>
      <c r="FH33" s="37"/>
      <c r="FI33" s="37">
        <f>IFERROR(__xludf.DUMMYFUNCTION("""COMPUTED_VALUE"""),45324.64583333333)</f>
        <v>45324.64583</v>
      </c>
      <c r="FJ33" s="45">
        <f>IFERROR(__xludf.DUMMYFUNCTION("""COMPUTED_VALUE"""),670.0)</f>
        <v>670</v>
      </c>
      <c r="FK33" s="46">
        <f t="shared" si="42"/>
        <v>0.1055193466</v>
      </c>
      <c r="FL33" s="37"/>
      <c r="FM33" s="37">
        <f>IFERROR(__xludf.DUMMYFUNCTION("""COMPUTED_VALUE"""),45324.64583333333)</f>
        <v>45324.64583</v>
      </c>
      <c r="FN33" s="45">
        <f>IFERROR(__xludf.DUMMYFUNCTION("""COMPUTED_VALUE"""),104.0)</f>
        <v>104</v>
      </c>
      <c r="FO33" s="46">
        <f t="shared" si="43"/>
        <v>0.09473684211</v>
      </c>
      <c r="FP33" s="37"/>
      <c r="FQ33" s="37">
        <f>IFERROR(__xludf.DUMMYFUNCTION("""COMPUTED_VALUE"""),45324.64583333333)</f>
        <v>45324.64583</v>
      </c>
      <c r="FR33" s="45">
        <f>IFERROR(__xludf.DUMMYFUNCTION("""COMPUTED_VALUE"""),4.05)</f>
        <v>4.05</v>
      </c>
      <c r="FS33" s="46">
        <f t="shared" si="44"/>
        <v>-0.2636363636</v>
      </c>
      <c r="FT33" s="37"/>
      <c r="FU33" s="37">
        <f>IFERROR(__xludf.DUMMYFUNCTION("""COMPUTED_VALUE"""),45324.64583333333)</f>
        <v>45324.64583</v>
      </c>
      <c r="FV33" s="45">
        <f>IFERROR(__xludf.DUMMYFUNCTION("""COMPUTED_VALUE"""),717.0)</f>
        <v>717</v>
      </c>
      <c r="FW33" s="46">
        <f t="shared" si="45"/>
        <v>0.07407684818</v>
      </c>
      <c r="FX33" s="37"/>
      <c r="FY33" s="37">
        <f>IFERROR(__xludf.DUMMYFUNCTION("""COMPUTED_VALUE"""),45324.64583333333)</f>
        <v>45324.64583</v>
      </c>
      <c r="FZ33" s="45">
        <f>IFERROR(__xludf.DUMMYFUNCTION("""COMPUTED_VALUE"""),146.0)</f>
        <v>146</v>
      </c>
      <c r="GA33" s="46">
        <f t="shared" si="46"/>
        <v>-0.1401648999</v>
      </c>
      <c r="GB33" s="37"/>
      <c r="GC33" s="37">
        <f>IFERROR(__xludf.DUMMYFUNCTION("""COMPUTED_VALUE"""),45324.64583333333)</f>
        <v>45324.64583</v>
      </c>
      <c r="GD33" s="45">
        <f>IFERROR(__xludf.DUMMYFUNCTION("""COMPUTED_VALUE"""),380.0)</f>
        <v>380</v>
      </c>
      <c r="GE33" s="46">
        <f t="shared" si="47"/>
        <v>-0.1773111063</v>
      </c>
      <c r="GF33" s="37"/>
      <c r="GG33" s="37">
        <f>IFERROR(__xludf.DUMMYFUNCTION("""COMPUTED_VALUE"""),45324.64583333333)</f>
        <v>45324.64583</v>
      </c>
      <c r="GH33" s="45">
        <f>IFERROR(__xludf.DUMMYFUNCTION("""COMPUTED_VALUE"""),5850.0)</f>
        <v>5850</v>
      </c>
      <c r="GI33" s="46">
        <f t="shared" si="48"/>
        <v>0.1039818834</v>
      </c>
      <c r="GJ33" s="37"/>
      <c r="GK33" s="37">
        <f>IFERROR(__xludf.DUMMYFUNCTION("""COMPUTED_VALUE"""),45324.64583333333)</f>
        <v>45324.64583</v>
      </c>
      <c r="GL33" s="45">
        <f>IFERROR(__xludf.DUMMYFUNCTION("""COMPUTED_VALUE"""),85.9)</f>
        <v>85.9</v>
      </c>
      <c r="GM33" s="46">
        <f t="shared" si="49"/>
        <v>-0.2425044092</v>
      </c>
      <c r="GN33" s="37"/>
      <c r="GO33" s="37">
        <f>IFERROR(__xludf.DUMMYFUNCTION("""COMPUTED_VALUE"""),45324.64583333333)</f>
        <v>45324.64583</v>
      </c>
      <c r="GP33" s="45">
        <f>IFERROR(__xludf.DUMMYFUNCTION("""COMPUTED_VALUE"""),1195.0)</f>
        <v>1195</v>
      </c>
      <c r="GQ33" s="46">
        <f t="shared" si="50"/>
        <v>0.08680823973</v>
      </c>
      <c r="GR33" s="37"/>
      <c r="GS33" s="37">
        <f>IFERROR(__xludf.DUMMYFUNCTION("""COMPUTED_VALUE"""),45324.64583333333)</f>
        <v>45324.64583</v>
      </c>
      <c r="GT33" s="45">
        <f>IFERROR(__xludf.DUMMYFUNCTION("""COMPUTED_VALUE"""),15.3)</f>
        <v>15.3</v>
      </c>
      <c r="GU33" s="46">
        <f t="shared" si="51"/>
        <v>0.1814671815</v>
      </c>
      <c r="GV33" s="37"/>
      <c r="GW33" s="37">
        <f>IFERROR(__xludf.DUMMYFUNCTION("""COMPUTED_VALUE"""),45327.64583333333)</f>
        <v>45327.64583</v>
      </c>
      <c r="GX33" s="45">
        <f>IFERROR(__xludf.DUMMYFUNCTION("""COMPUTED_VALUE"""),18.65)</f>
        <v>18.65</v>
      </c>
      <c r="GY33" s="46">
        <f t="shared" si="52"/>
        <v>0.1303030303</v>
      </c>
      <c r="GZ33" s="37"/>
      <c r="HA33" s="37">
        <f>IFERROR(__xludf.DUMMYFUNCTION("""COMPUTED_VALUE"""),45327.64583333333)</f>
        <v>45327.64583</v>
      </c>
      <c r="HB33" s="45">
        <f>IFERROR(__xludf.DUMMYFUNCTION("""COMPUTED_VALUE"""),590.9)</f>
        <v>590.9</v>
      </c>
      <c r="HC33" s="46">
        <f t="shared" si="53"/>
        <v>-0.028125</v>
      </c>
      <c r="HD33" s="37"/>
      <c r="HE33" s="43">
        <f>IFERROR(__xludf.DUMMYFUNCTION("""COMPUTED_VALUE"""),45327.64583333333)</f>
        <v>45327.64583</v>
      </c>
      <c r="HF33" s="45">
        <f>IFERROR(__xludf.DUMMYFUNCTION("""COMPUTED_VALUE"""),2595.0)</f>
        <v>2595</v>
      </c>
      <c r="HG33" s="46" t="str">
        <f t="shared" si="54"/>
        <v>#DIV/0!</v>
      </c>
      <c r="HH33" s="37"/>
      <c r="HI33" s="37">
        <f>IFERROR(__xludf.DUMMYFUNCTION("""COMPUTED_VALUE"""),45327.64583333333)</f>
        <v>45327.64583</v>
      </c>
      <c r="HJ33" s="45">
        <f>IFERROR(__xludf.DUMMYFUNCTION("""COMPUTED_VALUE"""),6780.0)</f>
        <v>6780</v>
      </c>
      <c r="HK33" s="46">
        <f t="shared" si="55"/>
        <v>0.3267971938</v>
      </c>
      <c r="HL33" s="37"/>
      <c r="HM33" s="37">
        <f>IFERROR(__xludf.DUMMYFUNCTION("""COMPUTED_VALUE"""),45327.64583333333)</f>
        <v>45327.64583</v>
      </c>
      <c r="HN33" s="45">
        <f>IFERROR(__xludf.DUMMYFUNCTION("""COMPUTED_VALUE"""),375.8)</f>
        <v>375.8</v>
      </c>
      <c r="HO33" s="46">
        <f t="shared" si="56"/>
        <v>-0.07563645308</v>
      </c>
      <c r="HP33" s="37"/>
      <c r="HQ33" s="37">
        <f>IFERROR(__xludf.DUMMYFUNCTION("""COMPUTED_VALUE"""),45327.64583333333)</f>
        <v>45327.64583</v>
      </c>
      <c r="HR33" s="45">
        <f>IFERROR(__xludf.DUMMYFUNCTION("""COMPUTED_VALUE"""),293.75)</f>
        <v>293.75</v>
      </c>
      <c r="HS33" s="46">
        <f t="shared" si="57"/>
        <v>0.1551317342</v>
      </c>
      <c r="HT33" s="37"/>
      <c r="HU33" s="37">
        <f>IFERROR(__xludf.DUMMYFUNCTION("""COMPUTED_VALUE"""),45327.64583333333)</f>
        <v>45327.64583</v>
      </c>
      <c r="HV33" s="45">
        <f>IFERROR(__xludf.DUMMYFUNCTION("""COMPUTED_VALUE"""),68.45)</f>
        <v>68.45</v>
      </c>
      <c r="HW33" s="46">
        <f t="shared" si="58"/>
        <v>0.09695512821</v>
      </c>
      <c r="HX33" s="37"/>
      <c r="HY33" s="37">
        <f>IFERROR(__xludf.DUMMYFUNCTION("""COMPUTED_VALUE"""),45327.64583333333)</f>
        <v>45327.64583</v>
      </c>
      <c r="HZ33" s="45">
        <f>IFERROR(__xludf.DUMMYFUNCTION("""COMPUTED_VALUE"""),319.05)</f>
        <v>319.05</v>
      </c>
      <c r="IA33" s="46">
        <f t="shared" si="59"/>
        <v>-0.3138709677</v>
      </c>
      <c r="IB33" s="37"/>
      <c r="IC33" s="37">
        <f>IFERROR(__xludf.DUMMYFUNCTION("""COMPUTED_VALUE"""),45327.64583333333)</f>
        <v>45327.64583</v>
      </c>
      <c r="ID33" s="45">
        <f>IFERROR(__xludf.DUMMYFUNCTION("""COMPUTED_VALUE"""),85.3)</f>
        <v>85.3</v>
      </c>
      <c r="IE33" s="46">
        <f t="shared" si="60"/>
        <v>-0.8055840456</v>
      </c>
      <c r="IF33" s="37"/>
      <c r="IG33" s="37">
        <f>IFERROR(__xludf.DUMMYFUNCTION("""COMPUTED_VALUE"""),45327.64583333333)</f>
        <v>45327.64583</v>
      </c>
      <c r="IH33" s="45">
        <f>IFERROR(__xludf.DUMMYFUNCTION("""COMPUTED_VALUE"""),525.8)</f>
        <v>525.8</v>
      </c>
      <c r="II33" s="46">
        <f t="shared" si="61"/>
        <v>-0.01350844278</v>
      </c>
      <c r="IJ33" s="37"/>
      <c r="IK33" s="37">
        <f>IFERROR(__xludf.DUMMYFUNCTION("""COMPUTED_VALUE"""),45327.64583333333)</f>
        <v>45327.64583</v>
      </c>
      <c r="IL33" s="45">
        <f>IFERROR(__xludf.DUMMYFUNCTION("""COMPUTED_VALUE"""),545.0)</f>
        <v>545</v>
      </c>
      <c r="IM33" s="46">
        <f t="shared" si="62"/>
        <v>-0.1180516223</v>
      </c>
      <c r="IN33" s="37"/>
      <c r="IO33" s="37">
        <f>IFERROR(__xludf.DUMMYFUNCTION("""COMPUTED_VALUE"""),45328.64583333333)</f>
        <v>45328.64583</v>
      </c>
      <c r="IP33" s="45">
        <f>IFERROR(__xludf.DUMMYFUNCTION("""COMPUTED_VALUE"""),210.1)</f>
        <v>210.1</v>
      </c>
      <c r="IQ33" s="46">
        <f t="shared" si="63"/>
        <v>0.6715729175</v>
      </c>
      <c r="IR33" s="37"/>
      <c r="IS33" s="37">
        <f>IFERROR(__xludf.DUMMYFUNCTION("""COMPUTED_VALUE"""),45327.64583333333)</f>
        <v>45327.64583</v>
      </c>
      <c r="IT33" s="45">
        <f>IFERROR(__xludf.DUMMYFUNCTION("""COMPUTED_VALUE"""),1000.1)</f>
        <v>1000.1</v>
      </c>
      <c r="IU33" s="46">
        <f t="shared" si="64"/>
        <v>-0.003884462151</v>
      </c>
      <c r="IV33" s="37"/>
      <c r="IW33" s="37">
        <f>IFERROR(__xludf.DUMMYFUNCTION("""COMPUTED_VALUE"""),45327.64583333333)</f>
        <v>45327.64583</v>
      </c>
      <c r="IX33" s="45">
        <f>IFERROR(__xludf.DUMMYFUNCTION("""COMPUTED_VALUE"""),343.55)</f>
        <v>343.55</v>
      </c>
      <c r="IY33" s="46">
        <f t="shared" si="65"/>
        <v>0.6681233309</v>
      </c>
      <c r="IZ33" s="37"/>
      <c r="JA33" s="37">
        <f>IFERROR(__xludf.DUMMYFUNCTION("""COMPUTED_VALUE"""),45327.64583333333)</f>
        <v>45327.64583</v>
      </c>
      <c r="JB33" s="45">
        <f>IFERROR(__xludf.DUMMYFUNCTION("""COMPUTED_VALUE"""),32975.0)</f>
        <v>32975</v>
      </c>
      <c r="JC33" s="46">
        <f t="shared" si="66"/>
        <v>-0.06857255036</v>
      </c>
      <c r="JD33" s="37"/>
      <c r="JE33" s="37">
        <f>IFERROR(__xludf.DUMMYFUNCTION("""COMPUTED_VALUE"""),45327.64583333333)</f>
        <v>45327.64583</v>
      </c>
      <c r="JF33" s="45">
        <f>IFERROR(__xludf.DUMMYFUNCTION("""COMPUTED_VALUE"""),651.55)</f>
        <v>651.55</v>
      </c>
      <c r="JG33" s="46">
        <f t="shared" si="67"/>
        <v>0.01015503876</v>
      </c>
      <c r="JH33" s="37"/>
      <c r="JI33" s="37">
        <f>IFERROR(__xludf.DUMMYFUNCTION("""COMPUTED_VALUE"""),45327.64583333333)</f>
        <v>45327.64583</v>
      </c>
      <c r="JJ33" s="45">
        <f>IFERROR(__xludf.DUMMYFUNCTION("""COMPUTED_VALUE"""),304.4)</f>
        <v>304.4</v>
      </c>
      <c r="JK33" s="46">
        <f t="shared" si="68"/>
        <v>-0.08848630034</v>
      </c>
      <c r="JL33" s="37"/>
      <c r="JM33" s="37">
        <f>IFERROR(__xludf.DUMMYFUNCTION("""COMPUTED_VALUE"""),45327.64583333333)</f>
        <v>45327.64583</v>
      </c>
      <c r="JN33" s="45">
        <f>IFERROR(__xludf.DUMMYFUNCTION("""COMPUTED_VALUE"""),16.25)</f>
        <v>16.25</v>
      </c>
      <c r="JO33" s="46">
        <f t="shared" si="69"/>
        <v>-0.962962963</v>
      </c>
      <c r="JP33" s="37"/>
      <c r="JQ33" s="37">
        <f>IFERROR(__xludf.DUMMYFUNCTION("""COMPUTED_VALUE"""),45327.64583333333)</f>
        <v>45327.64583</v>
      </c>
      <c r="JR33" s="45">
        <f>IFERROR(__xludf.DUMMYFUNCTION("""COMPUTED_VALUE"""),81.45)</f>
        <v>81.45</v>
      </c>
      <c r="JS33" s="46">
        <f t="shared" si="70"/>
        <v>-0.4011029412</v>
      </c>
      <c r="JT33" s="37"/>
      <c r="JU33" s="37">
        <f>IFERROR(__xludf.DUMMYFUNCTION("""COMPUTED_VALUE"""),45327.64583333333)</f>
        <v>45327.64583</v>
      </c>
      <c r="JV33" s="45">
        <f>IFERROR(__xludf.DUMMYFUNCTION("""COMPUTED_VALUE"""),242.75)</f>
        <v>242.75</v>
      </c>
      <c r="JW33" s="46">
        <f t="shared" si="71"/>
        <v>-0.4467236467</v>
      </c>
      <c r="JX33" s="37"/>
      <c r="JY33" s="37">
        <f>IFERROR(__xludf.DUMMYFUNCTION("""COMPUTED_VALUE"""),45327.64583333333)</f>
        <v>45327.64583</v>
      </c>
      <c r="JZ33" s="45">
        <f>IFERROR(__xludf.DUMMYFUNCTION("""COMPUTED_VALUE"""),632.95)</f>
        <v>632.95</v>
      </c>
      <c r="KA33" s="46">
        <f t="shared" si="72"/>
        <v>0.1487295826</v>
      </c>
      <c r="KB33" s="37"/>
      <c r="KC33" s="37">
        <f>IFERROR(__xludf.DUMMYFUNCTION("""COMPUTED_VALUE"""),45327.64583333333)</f>
        <v>45327.64583</v>
      </c>
      <c r="KD33" s="45">
        <f>IFERROR(__xludf.DUMMYFUNCTION("""COMPUTED_VALUE"""),907.98)</f>
        <v>907.98</v>
      </c>
      <c r="KE33" s="46">
        <f t="shared" si="73"/>
        <v>0.03941388587</v>
      </c>
      <c r="KF33" s="37"/>
      <c r="KG33" s="37">
        <f>IFERROR(__xludf.DUMMYFUNCTION("""COMPUTED_VALUE"""),45327.64583333333)</f>
        <v>45327.64583</v>
      </c>
      <c r="KH33" s="45">
        <f>IFERROR(__xludf.DUMMYFUNCTION("""COMPUTED_VALUE"""),443.0)</f>
        <v>443</v>
      </c>
      <c r="KI33" s="46">
        <f t="shared" si="74"/>
        <v>0.1358974359</v>
      </c>
      <c r="KJ33" s="37"/>
      <c r="KK33" s="37">
        <f>IFERROR(__xludf.DUMMYFUNCTION("""COMPUTED_VALUE"""),45327.64583333333)</f>
        <v>45327.64583</v>
      </c>
      <c r="KL33" s="45">
        <f>IFERROR(__xludf.DUMMYFUNCTION("""COMPUTED_VALUE"""),12.1)</f>
        <v>12.1</v>
      </c>
      <c r="KM33" s="46">
        <f t="shared" si="75"/>
        <v>0.3010752688</v>
      </c>
      <c r="KN33" s="37"/>
      <c r="KO33" s="37">
        <f>IFERROR(__xludf.DUMMYFUNCTION("""COMPUTED_VALUE"""),45327.64583333333)</f>
        <v>45327.64583</v>
      </c>
      <c r="KP33" s="45">
        <f>IFERROR(__xludf.DUMMYFUNCTION("""COMPUTED_VALUE"""),255.0)</f>
        <v>255</v>
      </c>
      <c r="KQ33" s="46">
        <f t="shared" si="76"/>
        <v>0.2543039843</v>
      </c>
      <c r="KR33" s="37"/>
      <c r="KS33" s="37">
        <f>IFERROR(__xludf.DUMMYFUNCTION("""COMPUTED_VALUE"""),45327.64583333333)</f>
        <v>45327.64583</v>
      </c>
      <c r="KT33" s="45">
        <f>IFERROR(__xludf.DUMMYFUNCTION("""COMPUTED_VALUE"""),13.55)</f>
        <v>13.55</v>
      </c>
      <c r="KU33" s="46">
        <f t="shared" si="77"/>
        <v>0.2262443439</v>
      </c>
      <c r="KV33" s="37"/>
      <c r="KW33" s="37">
        <f>IFERROR(__xludf.DUMMYFUNCTION("""COMPUTED_VALUE"""),45327.64583333333)</f>
        <v>45327.64583</v>
      </c>
      <c r="KX33" s="45">
        <f>IFERROR(__xludf.DUMMYFUNCTION("""COMPUTED_VALUE"""),2324.35)</f>
        <v>2324.35</v>
      </c>
      <c r="KY33" s="46">
        <f t="shared" si="78"/>
        <v>-0.1294406262</v>
      </c>
      <c r="KZ33" s="37"/>
      <c r="LA33" s="37">
        <f>IFERROR(__xludf.DUMMYFUNCTION("""COMPUTED_VALUE"""),45327.64583333333)</f>
        <v>45327.64583</v>
      </c>
      <c r="LB33" s="45">
        <f>IFERROR(__xludf.DUMMYFUNCTION("""COMPUTED_VALUE"""),19.65)</f>
        <v>19.65</v>
      </c>
      <c r="LC33" s="46">
        <f t="shared" si="79"/>
        <v>0.0424403183</v>
      </c>
      <c r="LD33" s="37"/>
      <c r="LE33" s="37">
        <f>IFERROR(__xludf.DUMMYFUNCTION("""COMPUTED_VALUE"""),45327.64583333333)</f>
        <v>45327.64583</v>
      </c>
      <c r="LF33" s="45">
        <f>IFERROR(__xludf.DUMMYFUNCTION("""COMPUTED_VALUE"""),129.5)</f>
        <v>129.5</v>
      </c>
      <c r="LG33" s="46">
        <f t="shared" si="80"/>
        <v>0.036</v>
      </c>
      <c r="LH33" s="37"/>
      <c r="LI33" s="37">
        <f>IFERROR(__xludf.DUMMYFUNCTION("""COMPUTED_VALUE"""),45327.64583333333)</f>
        <v>45327.64583</v>
      </c>
      <c r="LJ33" s="45">
        <f>IFERROR(__xludf.DUMMYFUNCTION("""COMPUTED_VALUE"""),745.9)</f>
        <v>745.9</v>
      </c>
      <c r="LK33" s="46">
        <f t="shared" si="81"/>
        <v>0.02458791209</v>
      </c>
      <c r="LL33" s="37"/>
      <c r="LM33" s="37">
        <f>IFERROR(__xludf.DUMMYFUNCTION("""COMPUTED_VALUE"""),45327.64583333333)</f>
        <v>45327.64583</v>
      </c>
      <c r="LN33" s="45">
        <f>IFERROR(__xludf.DUMMYFUNCTION("""COMPUTED_VALUE"""),782.85)</f>
        <v>782.85</v>
      </c>
      <c r="LO33" s="46">
        <f t="shared" si="82"/>
        <v>-0.08438596491</v>
      </c>
      <c r="LP33" s="37"/>
      <c r="LQ33" s="37">
        <f>IFERROR(__xludf.DUMMYFUNCTION("""COMPUTED_VALUE"""),45327.64583333333)</f>
        <v>45327.64583</v>
      </c>
      <c r="LR33" s="45">
        <f>IFERROR(__xludf.DUMMYFUNCTION("""COMPUTED_VALUE"""),578.4)</f>
        <v>578.4</v>
      </c>
      <c r="LS33" s="46">
        <f t="shared" si="83"/>
        <v>0.5829228243</v>
      </c>
      <c r="LT33" s="37"/>
      <c r="LU33" s="37">
        <f>IFERROR(__xludf.DUMMYFUNCTION("""COMPUTED_VALUE"""),45327.64583333333)</f>
        <v>45327.64583</v>
      </c>
      <c r="LV33" s="45">
        <f>IFERROR(__xludf.DUMMYFUNCTION("""COMPUTED_VALUE"""),127.95)</f>
        <v>127.95</v>
      </c>
      <c r="LW33" s="46">
        <f t="shared" si="84"/>
        <v>-0.06469298246</v>
      </c>
      <c r="LX33" s="37"/>
      <c r="LY33" s="37">
        <f>IFERROR(__xludf.DUMMYFUNCTION("""COMPUTED_VALUE"""),45327.64583333333)</f>
        <v>45327.64583</v>
      </c>
      <c r="LZ33" s="45">
        <f>IFERROR(__xludf.DUMMYFUNCTION("""COMPUTED_VALUE"""),691.0)</f>
        <v>691</v>
      </c>
      <c r="MA33" s="46">
        <f t="shared" si="85"/>
        <v>0.114516129</v>
      </c>
      <c r="MB33" s="37"/>
      <c r="MC33" s="37"/>
      <c r="MD33" s="45"/>
      <c r="ME33" s="46" t="str">
        <f t="shared" si="86"/>
        <v>#DIV/0!</v>
      </c>
      <c r="MF33" s="37"/>
      <c r="MG33" s="37">
        <f>IFERROR(__xludf.DUMMYFUNCTION("""COMPUTED_VALUE"""),45327.64583333333)</f>
        <v>45327.64583</v>
      </c>
      <c r="MH33" s="45">
        <f>IFERROR(__xludf.DUMMYFUNCTION("""COMPUTED_VALUE"""),2041.95)</f>
        <v>2041.95</v>
      </c>
      <c r="MI33" s="46">
        <f t="shared" si="87"/>
        <v>0.0413065096</v>
      </c>
      <c r="MJ33" s="37"/>
      <c r="MK33" s="37">
        <f>IFERROR(__xludf.DUMMYFUNCTION("""COMPUTED_VALUE"""),45327.64583333333)</f>
        <v>45327.64583</v>
      </c>
      <c r="ML33" s="45">
        <f>IFERROR(__xludf.DUMMYFUNCTION("""COMPUTED_VALUE"""),387.0)</f>
        <v>387</v>
      </c>
      <c r="MM33" s="46">
        <f t="shared" si="88"/>
        <v>-0.03237904738</v>
      </c>
      <c r="MN33" s="37"/>
      <c r="MO33" s="37">
        <f>IFERROR(__xludf.DUMMYFUNCTION("""COMPUTED_VALUE"""),45327.64583333333)</f>
        <v>45327.64583</v>
      </c>
      <c r="MP33" s="45">
        <f>IFERROR(__xludf.DUMMYFUNCTION("""COMPUTED_VALUE"""),920.0)</f>
        <v>920</v>
      </c>
      <c r="MQ33" s="46">
        <f t="shared" si="89"/>
        <v>0.2432432432</v>
      </c>
      <c r="MR33" s="37"/>
      <c r="MS33" s="37">
        <f>IFERROR(__xludf.DUMMYFUNCTION("""COMPUTED_VALUE"""),45327.64583333333)</f>
        <v>45327.64583</v>
      </c>
      <c r="MT33" s="45">
        <f>IFERROR(__xludf.DUMMYFUNCTION("""COMPUTED_VALUE"""),63.0)</f>
        <v>63</v>
      </c>
      <c r="MU33" s="46">
        <f t="shared" si="90"/>
        <v>-0.04761904762</v>
      </c>
      <c r="MV33" s="37"/>
      <c r="MW33" s="37">
        <f>IFERROR(__xludf.DUMMYFUNCTION("""COMPUTED_VALUE"""),45327.64583333333)</f>
        <v>45327.64583</v>
      </c>
      <c r="MX33" s="45">
        <f>IFERROR(__xludf.DUMMYFUNCTION("""COMPUTED_VALUE"""),2997.65)</f>
        <v>2997.65</v>
      </c>
      <c r="MY33" s="46">
        <f t="shared" si="91"/>
        <v>-0.04745789641</v>
      </c>
      <c r="MZ33" s="37"/>
      <c r="NA33" s="37">
        <f>IFERROR(__xludf.DUMMYFUNCTION("""COMPUTED_VALUE"""),45327.64583333333)</f>
        <v>45327.64583</v>
      </c>
      <c r="NB33" s="45">
        <f>IFERROR(__xludf.DUMMYFUNCTION("""COMPUTED_VALUE"""),14.75)</f>
        <v>14.75</v>
      </c>
      <c r="NC33" s="46">
        <f t="shared" si="92"/>
        <v>0.1660079051</v>
      </c>
      <c r="ND33" s="37"/>
      <c r="NE33" s="37">
        <f>IFERROR(__xludf.DUMMYFUNCTION("""COMPUTED_VALUE"""),45328.64583333333)</f>
        <v>45328.64583</v>
      </c>
      <c r="NF33" s="45">
        <f>IFERROR(__xludf.DUMMYFUNCTION("""COMPUTED_VALUE"""),359.8)</f>
        <v>359.8</v>
      </c>
      <c r="NG33" s="46">
        <f t="shared" si="93"/>
        <v>-0.0604517561</v>
      </c>
      <c r="NH33" s="37"/>
      <c r="NI33" s="37">
        <f>IFERROR(__xludf.DUMMYFUNCTION("""COMPUTED_VALUE"""),45328.64583333333)</f>
        <v>45328.64583</v>
      </c>
      <c r="NJ33" s="45">
        <f>IFERROR(__xludf.DUMMYFUNCTION("""COMPUTED_VALUE"""),360.67)</f>
        <v>360.67</v>
      </c>
      <c r="NK33" s="46">
        <f t="shared" si="94"/>
        <v>0.3524955938</v>
      </c>
      <c r="NL33" s="37"/>
      <c r="NM33" s="37">
        <f>IFERROR(__xludf.DUMMYFUNCTION("""COMPUTED_VALUE"""),45328.64583333333)</f>
        <v>45328.64583</v>
      </c>
      <c r="NN33" s="45">
        <f>IFERROR(__xludf.DUMMYFUNCTION("""COMPUTED_VALUE"""),146.7)</f>
        <v>146.7</v>
      </c>
      <c r="NO33" s="46">
        <f t="shared" si="95"/>
        <v>0.1897810219</v>
      </c>
      <c r="NP33" s="37"/>
      <c r="NQ33" s="37">
        <f>IFERROR(__xludf.DUMMYFUNCTION("""COMPUTED_VALUE"""),45328.64583333333)</f>
        <v>45328.64583</v>
      </c>
      <c r="NR33" s="45">
        <f>IFERROR(__xludf.DUMMYFUNCTION("""COMPUTED_VALUE"""),4792.0)</f>
        <v>4792</v>
      </c>
      <c r="NS33" s="46">
        <f t="shared" si="96"/>
        <v>0.1475095785</v>
      </c>
      <c r="NT33" s="37"/>
      <c r="NU33" s="37">
        <f>IFERROR(__xludf.DUMMYFUNCTION("""COMPUTED_VALUE"""),45328.64583333333)</f>
        <v>45328.64583</v>
      </c>
      <c r="NV33" s="45">
        <f>IFERROR(__xludf.DUMMYFUNCTION("""COMPUTED_VALUE"""),16.0)</f>
        <v>16</v>
      </c>
      <c r="NW33" s="46">
        <f t="shared" si="97"/>
        <v>0.2598425197</v>
      </c>
      <c r="NX33" s="37"/>
      <c r="NY33" s="37">
        <f>IFERROR(__xludf.DUMMYFUNCTION("""COMPUTED_VALUE"""),45328.64583333333)</f>
        <v>45328.64583</v>
      </c>
      <c r="NZ33" s="45">
        <f>IFERROR(__xludf.DUMMYFUNCTION("""COMPUTED_VALUE"""),288.0)</f>
        <v>288</v>
      </c>
      <c r="OA33" s="46">
        <f t="shared" si="98"/>
        <v>0.1669367909</v>
      </c>
      <c r="OB33" s="37"/>
      <c r="OC33" s="37">
        <f>IFERROR(__xludf.DUMMYFUNCTION("""COMPUTED_VALUE"""),45328.64583333333)</f>
        <v>45328.64583</v>
      </c>
      <c r="OD33" s="45">
        <f>IFERROR(__xludf.DUMMYFUNCTION("""COMPUTED_VALUE"""),1166.8)</f>
        <v>1166.8</v>
      </c>
      <c r="OE33" s="46">
        <f t="shared" si="99"/>
        <v>0.1070733906</v>
      </c>
      <c r="OF33" s="37"/>
      <c r="OG33" s="37">
        <f>IFERROR(__xludf.DUMMYFUNCTION("""COMPUTED_VALUE"""),45328.64583333333)</f>
        <v>45328.64583</v>
      </c>
      <c r="OH33" s="45">
        <f>IFERROR(__xludf.DUMMYFUNCTION("""COMPUTED_VALUE"""),2675.0)</f>
        <v>2675</v>
      </c>
      <c r="OI33" s="46">
        <f t="shared" si="100"/>
        <v>0.09640134437</v>
      </c>
      <c r="OJ33" s="37"/>
      <c r="OK33" s="37"/>
      <c r="OL33" s="45"/>
      <c r="OM33" s="46" t="str">
        <f t="shared" si="101"/>
        <v>#DIV/0!</v>
      </c>
      <c r="ON33" s="37"/>
    </row>
    <row r="34" ht="12.0" customHeight="1">
      <c r="A34" s="37">
        <f>IFERROR(__xludf.DUMMYFUNCTION("""COMPUTED_VALUE"""),45327.64583333333)</f>
        <v>45327.64583</v>
      </c>
      <c r="B34" s="45">
        <f>IFERROR(__xludf.DUMMYFUNCTION("""COMPUTED_VALUE"""),395.8)</f>
        <v>395.8</v>
      </c>
      <c r="C34" s="46">
        <f t="shared" si="1"/>
        <v>-0.09789173789</v>
      </c>
      <c r="D34" s="37"/>
      <c r="E34" s="37">
        <f>IFERROR(__xludf.DUMMYFUNCTION("""COMPUTED_VALUE"""),45327.64583333333)</f>
        <v>45327.64583</v>
      </c>
      <c r="F34" s="45">
        <f>IFERROR(__xludf.DUMMYFUNCTION("""COMPUTED_VALUE"""),722.85)</f>
        <v>722.85</v>
      </c>
      <c r="G34" s="46">
        <f t="shared" si="2"/>
        <v>0.1035877863</v>
      </c>
      <c r="H34" s="37"/>
      <c r="I34" s="37">
        <f>IFERROR(__xludf.DUMMYFUNCTION("""COMPUTED_VALUE"""),45327.64583333333)</f>
        <v>45327.64583</v>
      </c>
      <c r="J34" s="45">
        <f>IFERROR(__xludf.DUMMYFUNCTION("""COMPUTED_VALUE"""),187.0)</f>
        <v>187</v>
      </c>
      <c r="K34" s="46">
        <f t="shared" si="3"/>
        <v>0.01630434783</v>
      </c>
      <c r="L34" s="37"/>
      <c r="M34" s="37">
        <f>IFERROR(__xludf.DUMMYFUNCTION("""COMPUTED_VALUE"""),45327.64583333333)</f>
        <v>45327.64583</v>
      </c>
      <c r="N34" s="45">
        <f>IFERROR(__xludf.DUMMYFUNCTION("""COMPUTED_VALUE"""),103.4)</f>
        <v>103.4</v>
      </c>
      <c r="O34" s="46">
        <f t="shared" si="4"/>
        <v>0.1967592593</v>
      </c>
      <c r="P34" s="37"/>
      <c r="Q34" s="37">
        <f>IFERROR(__xludf.DUMMYFUNCTION("""COMPUTED_VALUE"""),45327.64583333333)</f>
        <v>45327.64583</v>
      </c>
      <c r="R34" s="45">
        <f>IFERROR(__xludf.DUMMYFUNCTION("""COMPUTED_VALUE"""),55.1)</f>
        <v>55.1</v>
      </c>
      <c r="S34" s="46">
        <f t="shared" si="5"/>
        <v>0.04952380952</v>
      </c>
      <c r="T34" s="37"/>
      <c r="U34" s="37">
        <f>IFERROR(__xludf.DUMMYFUNCTION("""COMPUTED_VALUE"""),45327.64583333333)</f>
        <v>45327.64583</v>
      </c>
      <c r="V34" s="45">
        <f>IFERROR(__xludf.DUMMYFUNCTION("""COMPUTED_VALUE"""),763.65)</f>
        <v>763.65</v>
      </c>
      <c r="W34" s="46">
        <f t="shared" si="6"/>
        <v>0.1528532609</v>
      </c>
      <c r="X34" s="37"/>
      <c r="Y34" s="37">
        <f>IFERROR(__xludf.DUMMYFUNCTION("""COMPUTED_VALUE"""),45327.64583333333)</f>
        <v>45327.64583</v>
      </c>
      <c r="Z34" s="45">
        <f>IFERROR(__xludf.DUMMYFUNCTION("""COMPUTED_VALUE"""),207.45)</f>
        <v>207.45</v>
      </c>
      <c r="AA34" s="46">
        <f t="shared" si="7"/>
        <v>0.1213513514</v>
      </c>
      <c r="AB34" s="37"/>
      <c r="AC34" s="37">
        <f>IFERROR(__xludf.DUMMYFUNCTION("""COMPUTED_VALUE"""),45327.64583333333)</f>
        <v>45327.64583</v>
      </c>
      <c r="AD34" s="45">
        <f>IFERROR(__xludf.DUMMYFUNCTION("""COMPUTED_VALUE"""),2595.0)</f>
        <v>2595</v>
      </c>
      <c r="AE34" s="46">
        <f t="shared" si="8"/>
        <v>0.09286165509</v>
      </c>
      <c r="AF34" s="37"/>
      <c r="AG34" s="37">
        <f>IFERROR(__xludf.DUMMYFUNCTION("""COMPUTED_VALUE"""),45327.64583333333)</f>
        <v>45327.64583</v>
      </c>
      <c r="AH34" s="45">
        <f>IFERROR(__xludf.DUMMYFUNCTION("""COMPUTED_VALUE"""),654.4)</f>
        <v>654.4</v>
      </c>
      <c r="AI34" s="46">
        <f t="shared" si="9"/>
        <v>-0.220952381</v>
      </c>
      <c r="AJ34" s="37"/>
      <c r="AK34" s="37">
        <f>IFERROR(__xludf.DUMMYFUNCTION("""COMPUTED_VALUE"""),45327.64583333333)</f>
        <v>45327.64583</v>
      </c>
      <c r="AL34" s="45">
        <f>IFERROR(__xludf.DUMMYFUNCTION("""COMPUTED_VALUE"""),6780.0)</f>
        <v>6780</v>
      </c>
      <c r="AM34" s="46">
        <f t="shared" si="10"/>
        <v>0.3038461538</v>
      </c>
      <c r="AN34" s="37"/>
      <c r="AO34" s="37">
        <f>IFERROR(__xludf.DUMMYFUNCTION("""COMPUTED_VALUE"""),45327.64583333333)</f>
        <v>45327.64583</v>
      </c>
      <c r="AP34" s="45">
        <f>IFERROR(__xludf.DUMMYFUNCTION("""COMPUTED_VALUE"""),885.8)</f>
        <v>885.8</v>
      </c>
      <c r="AQ34" s="46">
        <f t="shared" si="11"/>
        <v>-0.02659340659</v>
      </c>
      <c r="AR34" s="37"/>
      <c r="AS34" s="37">
        <f>IFERROR(__xludf.DUMMYFUNCTION("""COMPUTED_VALUE"""),45327.64583333333)</f>
        <v>45327.64583</v>
      </c>
      <c r="AT34" s="45">
        <f>IFERROR(__xludf.DUMMYFUNCTION("""COMPUTED_VALUE"""),2268.0)</f>
        <v>2268</v>
      </c>
      <c r="AU34" s="46">
        <f t="shared" si="12"/>
        <v>-0.08691976328</v>
      </c>
      <c r="AV34" s="37"/>
      <c r="AW34" s="37">
        <f>IFERROR(__xludf.DUMMYFUNCTION("""COMPUTED_VALUE"""),45327.64583333333)</f>
        <v>45327.64583</v>
      </c>
      <c r="AX34" s="45">
        <f>IFERROR(__xludf.DUMMYFUNCTION("""COMPUTED_VALUE"""),6723.0)</f>
        <v>6723</v>
      </c>
      <c r="AY34" s="46">
        <f t="shared" si="13"/>
        <v>0.191049853</v>
      </c>
      <c r="AZ34" s="37"/>
      <c r="BA34" s="37">
        <f>IFERROR(__xludf.DUMMYFUNCTION("""COMPUTED_VALUE"""),45327.64583333333)</f>
        <v>45327.64583</v>
      </c>
      <c r="BB34" s="45">
        <f>IFERROR(__xludf.DUMMYFUNCTION("""COMPUTED_VALUE"""),489.5)</f>
        <v>489.5</v>
      </c>
      <c r="BC34" s="46">
        <f t="shared" si="14"/>
        <v>0.04482390608</v>
      </c>
      <c r="BD34" s="37"/>
      <c r="BE34" s="37">
        <f>IFERROR(__xludf.DUMMYFUNCTION("""COMPUTED_VALUE"""),45327.64583333333)</f>
        <v>45327.64583</v>
      </c>
      <c r="BF34" s="45">
        <f>IFERROR(__xludf.DUMMYFUNCTION("""COMPUTED_VALUE"""),315.0)</f>
        <v>315</v>
      </c>
      <c r="BG34" s="46">
        <f t="shared" si="15"/>
        <v>-0.226044226</v>
      </c>
      <c r="BH34" s="37"/>
      <c r="BI34" s="37">
        <f>IFERROR(__xludf.DUMMYFUNCTION("""COMPUTED_VALUE"""),45327.64583333333)</f>
        <v>45327.64583</v>
      </c>
      <c r="BJ34" s="45">
        <f>IFERROR(__xludf.DUMMYFUNCTION("""COMPUTED_VALUE"""),80.9)</f>
        <v>80.9</v>
      </c>
      <c r="BK34" s="46">
        <f t="shared" si="16"/>
        <v>0.1648668107</v>
      </c>
      <c r="BL34" s="37"/>
      <c r="BM34" s="37">
        <f>IFERROR(__xludf.DUMMYFUNCTION("""COMPUTED_VALUE"""),45327.64583333333)</f>
        <v>45327.64583</v>
      </c>
      <c r="BN34" s="45">
        <f>IFERROR(__xludf.DUMMYFUNCTION("""COMPUTED_VALUE"""),293.75)</f>
        <v>293.75</v>
      </c>
      <c r="BO34" s="46">
        <f t="shared" si="17"/>
        <v>0.1474609375</v>
      </c>
      <c r="BP34" s="37"/>
      <c r="BQ34" s="37">
        <f>IFERROR(__xludf.DUMMYFUNCTION("""COMPUTED_VALUE"""),45327.64583333333)</f>
        <v>45327.64583</v>
      </c>
      <c r="BR34" s="45">
        <f>IFERROR(__xludf.DUMMYFUNCTION("""COMPUTED_VALUE"""),68.45)</f>
        <v>68.45</v>
      </c>
      <c r="BS34" s="46">
        <f t="shared" si="18"/>
        <v>0.1239737274</v>
      </c>
      <c r="BT34" s="37"/>
      <c r="BU34" s="37">
        <f>IFERROR(__xludf.DUMMYFUNCTION("""COMPUTED_VALUE"""),45327.64583333333)</f>
        <v>45327.64583</v>
      </c>
      <c r="BV34" s="45">
        <f>IFERROR(__xludf.DUMMYFUNCTION("""COMPUTED_VALUE"""),319.9)</f>
        <v>319.9</v>
      </c>
      <c r="BW34" s="46">
        <f t="shared" si="19"/>
        <v>0.03393665158</v>
      </c>
      <c r="BX34" s="37"/>
      <c r="BY34" s="37">
        <f>IFERROR(__xludf.DUMMYFUNCTION("""COMPUTED_VALUE"""),45327.64583333333)</f>
        <v>45327.64583</v>
      </c>
      <c r="BZ34" s="45">
        <f>IFERROR(__xludf.DUMMYFUNCTION("""COMPUTED_VALUE"""),319.05)</f>
        <v>319.05</v>
      </c>
      <c r="CA34" s="46">
        <f t="shared" si="20"/>
        <v>-0.2208791209</v>
      </c>
      <c r="CB34" s="37"/>
      <c r="CC34" s="37">
        <f>IFERROR(__xludf.DUMMYFUNCTION("""COMPUTED_VALUE"""),45327.64583333333)</f>
        <v>45327.64583</v>
      </c>
      <c r="CD34" s="45">
        <f>IFERROR(__xludf.DUMMYFUNCTION("""COMPUTED_VALUE"""),290.0)</f>
        <v>290</v>
      </c>
      <c r="CE34" s="46">
        <f t="shared" si="21"/>
        <v>0.2516184722</v>
      </c>
      <c r="CF34" s="37"/>
      <c r="CG34" s="37">
        <f>IFERROR(__xludf.DUMMYFUNCTION("""COMPUTED_VALUE"""),45327.64583333333)</f>
        <v>45327.64583</v>
      </c>
      <c r="CH34" s="45">
        <f>IFERROR(__xludf.DUMMYFUNCTION("""COMPUTED_VALUE"""),651.55)</f>
        <v>651.55</v>
      </c>
      <c r="CI34" s="46">
        <f t="shared" si="22"/>
        <v>0.02444968553</v>
      </c>
      <c r="CJ34" s="37"/>
      <c r="CK34" s="37">
        <f>IFERROR(__xludf.DUMMYFUNCTION("""COMPUTED_VALUE"""),45327.64583333333)</f>
        <v>45327.64583</v>
      </c>
      <c r="CL34" s="45">
        <f>IFERROR(__xludf.DUMMYFUNCTION("""COMPUTED_VALUE"""),304.4)</f>
        <v>304.4</v>
      </c>
      <c r="CM34" s="46">
        <f t="shared" si="23"/>
        <v>-0.09673590504</v>
      </c>
      <c r="CN34" s="37"/>
      <c r="CO34" s="37">
        <f>IFERROR(__xludf.DUMMYFUNCTION("""COMPUTED_VALUE"""),45327.64583333333)</f>
        <v>45327.64583</v>
      </c>
      <c r="CP34" s="45">
        <f>IFERROR(__xludf.DUMMYFUNCTION("""COMPUTED_VALUE"""),16.25)</f>
        <v>16.25</v>
      </c>
      <c r="CQ34" s="46">
        <f t="shared" si="24"/>
        <v>0.09797297297</v>
      </c>
      <c r="CR34" s="37"/>
      <c r="CS34" s="37">
        <f>IFERROR(__xludf.DUMMYFUNCTION("""COMPUTED_VALUE"""),45327.64583333333)</f>
        <v>45327.64583</v>
      </c>
      <c r="CT34" s="45">
        <f>IFERROR(__xludf.DUMMYFUNCTION("""COMPUTED_VALUE"""),197.5)</f>
        <v>197.5</v>
      </c>
      <c r="CU34" s="46">
        <f t="shared" si="25"/>
        <v>-0.002525252525</v>
      </c>
      <c r="CV34" s="37"/>
      <c r="CW34" s="37">
        <f>IFERROR(__xludf.DUMMYFUNCTION("""COMPUTED_VALUE"""),45327.64583333333)</f>
        <v>45327.64583</v>
      </c>
      <c r="CX34" s="45">
        <f>IFERROR(__xludf.DUMMYFUNCTION("""COMPUTED_VALUE"""),924.45)</f>
        <v>924.45</v>
      </c>
      <c r="CY34" s="46">
        <f t="shared" si="26"/>
        <v>0.3363352511</v>
      </c>
      <c r="CZ34" s="37"/>
      <c r="DA34" s="37">
        <f>IFERROR(__xludf.DUMMYFUNCTION("""COMPUTED_VALUE"""),45327.64583333333)</f>
        <v>45327.64583</v>
      </c>
      <c r="DB34" s="45">
        <f>IFERROR(__xludf.DUMMYFUNCTION("""COMPUTED_VALUE"""),30.8)</f>
        <v>30.8</v>
      </c>
      <c r="DC34" s="46">
        <f t="shared" si="27"/>
        <v>0.1039426523</v>
      </c>
      <c r="DD34" s="37"/>
      <c r="DE34" s="37">
        <f>IFERROR(__xludf.DUMMYFUNCTION("""COMPUTED_VALUE"""),45327.64583333333)</f>
        <v>45327.64583</v>
      </c>
      <c r="DF34" s="45">
        <f>IFERROR(__xludf.DUMMYFUNCTION("""COMPUTED_VALUE"""),81.45)</f>
        <v>81.45</v>
      </c>
      <c r="DG34" s="46">
        <f t="shared" si="28"/>
        <v>-0.2811120918</v>
      </c>
      <c r="DH34" s="37"/>
      <c r="DI34" s="37">
        <f>IFERROR(__xludf.DUMMYFUNCTION("""COMPUTED_VALUE"""),45327.64583333333)</f>
        <v>45327.64583</v>
      </c>
      <c r="DJ34" s="45">
        <f>IFERROR(__xludf.DUMMYFUNCTION("""COMPUTED_VALUE"""),1917.9)</f>
        <v>1917.9</v>
      </c>
      <c r="DK34" s="46">
        <f t="shared" si="29"/>
        <v>0.1951021934</v>
      </c>
      <c r="DL34" s="37"/>
      <c r="DM34" s="37">
        <f>IFERROR(__xludf.DUMMYFUNCTION("""COMPUTED_VALUE"""),45327.64583333333)</f>
        <v>45327.64583</v>
      </c>
      <c r="DN34" s="45">
        <f>IFERROR(__xludf.DUMMYFUNCTION("""COMPUTED_VALUE"""),592.45)</f>
        <v>592.45</v>
      </c>
      <c r="DO34" s="46">
        <f t="shared" si="30"/>
        <v>0.1050079269</v>
      </c>
      <c r="DP34" s="37"/>
      <c r="DQ34" s="37">
        <f>IFERROR(__xludf.DUMMYFUNCTION("""COMPUTED_VALUE"""),45327.64583333333)</f>
        <v>45327.64583</v>
      </c>
      <c r="DR34" s="45">
        <f>IFERROR(__xludf.DUMMYFUNCTION("""COMPUTED_VALUE"""),231.5)</f>
        <v>231.5</v>
      </c>
      <c r="DS34" s="46">
        <f t="shared" si="31"/>
        <v>0.0619266055</v>
      </c>
      <c r="DT34" s="37"/>
      <c r="DU34" s="37">
        <f>IFERROR(__xludf.DUMMYFUNCTION("""COMPUTED_VALUE"""),45327.64583333333)</f>
        <v>45327.64583</v>
      </c>
      <c r="DV34" s="45">
        <f>IFERROR(__xludf.DUMMYFUNCTION("""COMPUTED_VALUE"""),907.98)</f>
        <v>907.98</v>
      </c>
      <c r="DW34" s="46">
        <f t="shared" si="32"/>
        <v>0.06758377425</v>
      </c>
      <c r="DX34" s="37"/>
      <c r="DY34" s="37">
        <f>IFERROR(__xludf.DUMMYFUNCTION("""COMPUTED_VALUE"""),45327.64583333333)</f>
        <v>45327.64583</v>
      </c>
      <c r="DZ34" s="45">
        <f>IFERROR(__xludf.DUMMYFUNCTION("""COMPUTED_VALUE"""),13.55)</f>
        <v>13.55</v>
      </c>
      <c r="EA34" s="46">
        <f t="shared" si="33"/>
        <v>0.2488479263</v>
      </c>
      <c r="EB34" s="37"/>
      <c r="EC34" s="37">
        <f>IFERROR(__xludf.DUMMYFUNCTION("""COMPUTED_VALUE"""),45327.64583333333)</f>
        <v>45327.64583</v>
      </c>
      <c r="ED34" s="45">
        <f>IFERROR(__xludf.DUMMYFUNCTION("""COMPUTED_VALUE"""),2324.35)</f>
        <v>2324.35</v>
      </c>
      <c r="EE34" s="46">
        <f t="shared" si="34"/>
        <v>-0.1212287335</v>
      </c>
      <c r="EF34" s="37"/>
      <c r="EG34" s="37">
        <f>IFERROR(__xludf.DUMMYFUNCTION("""COMPUTED_VALUE"""),45327.64583333333)</f>
        <v>45327.64583</v>
      </c>
      <c r="EH34" s="45">
        <f>IFERROR(__xludf.DUMMYFUNCTION("""COMPUTED_VALUE"""),1109.45)</f>
        <v>1109.45</v>
      </c>
      <c r="EI34" s="46">
        <f t="shared" si="35"/>
        <v>0.7105303731</v>
      </c>
      <c r="EJ34" s="37"/>
      <c r="EK34" s="37">
        <f>IFERROR(__xludf.DUMMYFUNCTION("""COMPUTED_VALUE"""),45327.64583333333)</f>
        <v>45327.64583</v>
      </c>
      <c r="EL34" s="45">
        <f>IFERROR(__xludf.DUMMYFUNCTION("""COMPUTED_VALUE"""),182.4)</f>
        <v>182.4</v>
      </c>
      <c r="EM34" s="46">
        <f t="shared" si="36"/>
        <v>-0.09702970297</v>
      </c>
      <c r="EN34" s="37"/>
      <c r="EO34" s="37">
        <f>IFERROR(__xludf.DUMMYFUNCTION("""COMPUTED_VALUE"""),45327.64583333333)</f>
        <v>45327.64583</v>
      </c>
      <c r="EP34" s="45">
        <f>IFERROR(__xludf.DUMMYFUNCTION("""COMPUTED_VALUE"""),186.5)</f>
        <v>186.5</v>
      </c>
      <c r="EQ34" s="46">
        <f t="shared" si="37"/>
        <v>0.2036140691</v>
      </c>
      <c r="ER34" s="37"/>
      <c r="ES34" s="37">
        <f>IFERROR(__xludf.DUMMYFUNCTION("""COMPUTED_VALUE"""),45327.64583333333)</f>
        <v>45327.64583</v>
      </c>
      <c r="ET34" s="45">
        <f>IFERROR(__xludf.DUMMYFUNCTION("""COMPUTED_VALUE"""),185.7)</f>
        <v>185.7</v>
      </c>
      <c r="EU34" s="46">
        <f t="shared" si="38"/>
        <v>-0.04450733213</v>
      </c>
      <c r="EV34" s="37"/>
      <c r="EW34" s="37">
        <f>IFERROR(__xludf.DUMMYFUNCTION("""COMPUTED_VALUE"""),45327.64583333333)</f>
        <v>45327.64583</v>
      </c>
      <c r="EX34" s="45">
        <f>IFERROR(__xludf.DUMMYFUNCTION("""COMPUTED_VALUE"""),717.95)</f>
        <v>717.95</v>
      </c>
      <c r="EY34" s="46">
        <f t="shared" si="39"/>
        <v>0.1079475309</v>
      </c>
      <c r="EZ34" s="37"/>
      <c r="FA34" s="37">
        <f>IFERROR(__xludf.DUMMYFUNCTION("""COMPUTED_VALUE"""),45327.64583333333)</f>
        <v>45327.64583</v>
      </c>
      <c r="FB34" s="45">
        <f>IFERROR(__xludf.DUMMYFUNCTION("""COMPUTED_VALUE"""),236.4)</f>
        <v>236.4</v>
      </c>
      <c r="FC34" s="46">
        <f t="shared" si="40"/>
        <v>0.3555045872</v>
      </c>
      <c r="FD34" s="37"/>
      <c r="FE34" s="37">
        <f>IFERROR(__xludf.DUMMYFUNCTION("""COMPUTED_VALUE"""),45327.64583333333)</f>
        <v>45327.64583</v>
      </c>
      <c r="FF34" s="45">
        <f>IFERROR(__xludf.DUMMYFUNCTION("""COMPUTED_VALUE"""),359.4)</f>
        <v>359.4</v>
      </c>
      <c r="FG34" s="46">
        <f t="shared" si="41"/>
        <v>0.1791338583</v>
      </c>
      <c r="FH34" s="37"/>
      <c r="FI34" s="37">
        <f>IFERROR(__xludf.DUMMYFUNCTION("""COMPUTED_VALUE"""),45327.64583333333)</f>
        <v>45327.64583</v>
      </c>
      <c r="FJ34" s="45">
        <f>IFERROR(__xludf.DUMMYFUNCTION("""COMPUTED_VALUE"""),691.0)</f>
        <v>691</v>
      </c>
      <c r="FK34" s="46">
        <f t="shared" si="42"/>
        <v>0.140169953</v>
      </c>
      <c r="FL34" s="37"/>
      <c r="FM34" s="37">
        <f>IFERROR(__xludf.DUMMYFUNCTION("""COMPUTED_VALUE"""),45327.64583333333)</f>
        <v>45327.64583</v>
      </c>
      <c r="FN34" s="45">
        <f>IFERROR(__xludf.DUMMYFUNCTION("""COMPUTED_VALUE"""),102.65)</f>
        <v>102.65</v>
      </c>
      <c r="FO34" s="46">
        <f t="shared" si="43"/>
        <v>0.08052631579</v>
      </c>
      <c r="FP34" s="37"/>
      <c r="FQ34" s="37">
        <f>IFERROR(__xludf.DUMMYFUNCTION("""COMPUTED_VALUE"""),45327.64583333333)</f>
        <v>45327.64583</v>
      </c>
      <c r="FR34" s="45">
        <f>IFERROR(__xludf.DUMMYFUNCTION("""COMPUTED_VALUE"""),4.0)</f>
        <v>4</v>
      </c>
      <c r="FS34" s="46">
        <f t="shared" si="44"/>
        <v>-0.2727272727</v>
      </c>
      <c r="FT34" s="37"/>
      <c r="FU34" s="37">
        <f>IFERROR(__xludf.DUMMYFUNCTION("""COMPUTED_VALUE"""),45327.64583333333)</f>
        <v>45327.64583</v>
      </c>
      <c r="FV34" s="45">
        <f>IFERROR(__xludf.DUMMYFUNCTION("""COMPUTED_VALUE"""),716.35)</f>
        <v>716.35</v>
      </c>
      <c r="FW34" s="46">
        <f t="shared" si="45"/>
        <v>0.07310313834</v>
      </c>
      <c r="FX34" s="37"/>
      <c r="FY34" s="37">
        <f>IFERROR(__xludf.DUMMYFUNCTION("""COMPUTED_VALUE"""),45327.64583333333)</f>
        <v>45327.64583</v>
      </c>
      <c r="FZ34" s="45">
        <f>IFERROR(__xludf.DUMMYFUNCTION("""COMPUTED_VALUE"""),140.85)</f>
        <v>140.85</v>
      </c>
      <c r="GA34" s="46">
        <f t="shared" si="46"/>
        <v>-0.1704946996</v>
      </c>
      <c r="GB34" s="37"/>
      <c r="GC34" s="37">
        <f>IFERROR(__xludf.DUMMYFUNCTION("""COMPUTED_VALUE"""),45327.64583333333)</f>
        <v>45327.64583</v>
      </c>
      <c r="GD34" s="45">
        <f>IFERROR(__xludf.DUMMYFUNCTION("""COMPUTED_VALUE"""),372.2)</f>
        <v>372.2</v>
      </c>
      <c r="GE34" s="46">
        <f t="shared" si="47"/>
        <v>-0.1941978783</v>
      </c>
      <c r="GF34" s="37"/>
      <c r="GG34" s="37">
        <f>IFERROR(__xludf.DUMMYFUNCTION("""COMPUTED_VALUE"""),45327.64583333333)</f>
        <v>45327.64583</v>
      </c>
      <c r="GH34" s="45">
        <f>IFERROR(__xludf.DUMMYFUNCTION("""COMPUTED_VALUE"""),5990.0)</f>
        <v>5990</v>
      </c>
      <c r="GI34" s="46">
        <f t="shared" si="48"/>
        <v>0.1304019626</v>
      </c>
      <c r="GJ34" s="37"/>
      <c r="GK34" s="37">
        <f>IFERROR(__xludf.DUMMYFUNCTION("""COMPUTED_VALUE"""),45327.64583333333)</f>
        <v>45327.64583</v>
      </c>
      <c r="GL34" s="45">
        <f>IFERROR(__xludf.DUMMYFUNCTION("""COMPUTED_VALUE"""),83.95)</f>
        <v>83.95</v>
      </c>
      <c r="GM34" s="46">
        <f t="shared" si="49"/>
        <v>-0.2597001764</v>
      </c>
      <c r="GN34" s="37"/>
      <c r="GO34" s="37">
        <f>IFERROR(__xludf.DUMMYFUNCTION("""COMPUTED_VALUE"""),45327.64583333333)</f>
        <v>45327.64583</v>
      </c>
      <c r="GP34" s="45">
        <f>IFERROR(__xludf.DUMMYFUNCTION("""COMPUTED_VALUE"""),1214.85)</f>
        <v>1214.85</v>
      </c>
      <c r="GQ34" s="46">
        <f t="shared" si="50"/>
        <v>0.1048610795</v>
      </c>
      <c r="GR34" s="37"/>
      <c r="GS34" s="37">
        <f>IFERROR(__xludf.DUMMYFUNCTION("""COMPUTED_VALUE"""),45327.64583333333)</f>
        <v>45327.64583</v>
      </c>
      <c r="GT34" s="45">
        <f>IFERROR(__xludf.DUMMYFUNCTION("""COMPUTED_VALUE"""),14.75)</f>
        <v>14.75</v>
      </c>
      <c r="GU34" s="46">
        <f t="shared" si="51"/>
        <v>0.138996139</v>
      </c>
      <c r="GV34" s="37"/>
      <c r="GW34" s="37">
        <f>IFERROR(__xludf.DUMMYFUNCTION("""COMPUTED_VALUE"""),45328.64583333333)</f>
        <v>45328.64583</v>
      </c>
      <c r="GX34" s="45">
        <f>IFERROR(__xludf.DUMMYFUNCTION("""COMPUTED_VALUE"""),19.1)</f>
        <v>19.1</v>
      </c>
      <c r="GY34" s="46">
        <f t="shared" si="52"/>
        <v>0.1575757576</v>
      </c>
      <c r="GZ34" s="37"/>
      <c r="HA34" s="37">
        <f>IFERROR(__xludf.DUMMYFUNCTION("""COMPUTED_VALUE"""),45328.64583333333)</f>
        <v>45328.64583</v>
      </c>
      <c r="HB34" s="45">
        <f>IFERROR(__xludf.DUMMYFUNCTION("""COMPUTED_VALUE"""),587.75)</f>
        <v>587.75</v>
      </c>
      <c r="HC34" s="46">
        <f t="shared" si="53"/>
        <v>-0.03330592105</v>
      </c>
      <c r="HD34" s="37"/>
      <c r="HE34" s="43">
        <f>IFERROR(__xludf.DUMMYFUNCTION("""COMPUTED_VALUE"""),45328.64583333333)</f>
        <v>45328.64583</v>
      </c>
      <c r="HF34" s="45">
        <f>IFERROR(__xludf.DUMMYFUNCTION("""COMPUTED_VALUE"""),2675.0)</f>
        <v>2675</v>
      </c>
      <c r="HG34" s="46" t="str">
        <f t="shared" si="54"/>
        <v>#DIV/0!</v>
      </c>
      <c r="HH34" s="37"/>
      <c r="HI34" s="37">
        <f>IFERROR(__xludf.DUMMYFUNCTION("""COMPUTED_VALUE"""),45328.64583333333)</f>
        <v>45328.64583</v>
      </c>
      <c r="HJ34" s="45">
        <f>IFERROR(__xludf.DUMMYFUNCTION("""COMPUTED_VALUE"""),6998.95)</f>
        <v>6998.95</v>
      </c>
      <c r="HK34" s="46">
        <f t="shared" si="55"/>
        <v>0.3696441326</v>
      </c>
      <c r="HL34" s="37"/>
      <c r="HM34" s="37">
        <f>IFERROR(__xludf.DUMMYFUNCTION("""COMPUTED_VALUE"""),45328.64583333333)</f>
        <v>45328.64583</v>
      </c>
      <c r="HN34" s="45">
        <f>IFERROR(__xludf.DUMMYFUNCTION("""COMPUTED_VALUE"""),366.45)</f>
        <v>366.45</v>
      </c>
      <c r="HO34" s="46">
        <f t="shared" si="56"/>
        <v>-0.09863485426</v>
      </c>
      <c r="HP34" s="37"/>
      <c r="HQ34" s="37">
        <f>IFERROR(__xludf.DUMMYFUNCTION("""COMPUTED_VALUE"""),45328.64583333333)</f>
        <v>45328.64583</v>
      </c>
      <c r="HR34" s="45">
        <f>IFERROR(__xludf.DUMMYFUNCTION("""COMPUTED_VALUE"""),289.1)</f>
        <v>289.1</v>
      </c>
      <c r="HS34" s="46">
        <f t="shared" si="57"/>
        <v>0.1368462446</v>
      </c>
      <c r="HT34" s="37"/>
      <c r="HU34" s="37">
        <f>IFERROR(__xludf.DUMMYFUNCTION("""COMPUTED_VALUE"""),45328.64583333333)</f>
        <v>45328.64583</v>
      </c>
      <c r="HV34" s="45">
        <f>IFERROR(__xludf.DUMMYFUNCTION("""COMPUTED_VALUE"""),67.0)</f>
        <v>67</v>
      </c>
      <c r="HW34" s="46">
        <f t="shared" si="58"/>
        <v>0.07371794872</v>
      </c>
      <c r="HX34" s="37"/>
      <c r="HY34" s="37">
        <f>IFERROR(__xludf.DUMMYFUNCTION("""COMPUTED_VALUE"""),45328.64583333333)</f>
        <v>45328.64583</v>
      </c>
      <c r="HZ34" s="45">
        <f>IFERROR(__xludf.DUMMYFUNCTION("""COMPUTED_VALUE"""),340.9)</f>
        <v>340.9</v>
      </c>
      <c r="IA34" s="46">
        <f t="shared" si="59"/>
        <v>-0.2668817204</v>
      </c>
      <c r="IB34" s="37"/>
      <c r="IC34" s="37">
        <f>IFERROR(__xludf.DUMMYFUNCTION("""COMPUTED_VALUE"""),45328.64583333333)</f>
        <v>45328.64583</v>
      </c>
      <c r="ID34" s="45">
        <f>IFERROR(__xludf.DUMMYFUNCTION("""COMPUTED_VALUE"""),81.3)</f>
        <v>81.3</v>
      </c>
      <c r="IE34" s="46">
        <f t="shared" si="60"/>
        <v>-0.8147008547</v>
      </c>
      <c r="IF34" s="37"/>
      <c r="IG34" s="37">
        <f>IFERROR(__xludf.DUMMYFUNCTION("""COMPUTED_VALUE"""),45328.64583333333)</f>
        <v>45328.64583</v>
      </c>
      <c r="IH34" s="45">
        <f>IFERROR(__xludf.DUMMYFUNCTION("""COMPUTED_VALUE"""),555.55)</f>
        <v>555.55</v>
      </c>
      <c r="II34" s="46">
        <f t="shared" si="61"/>
        <v>0.04230769231</v>
      </c>
      <c r="IJ34" s="37"/>
      <c r="IK34" s="37">
        <f>IFERROR(__xludf.DUMMYFUNCTION("""COMPUTED_VALUE"""),45328.64583333333)</f>
        <v>45328.64583</v>
      </c>
      <c r="IL34" s="45">
        <f>IFERROR(__xludf.DUMMYFUNCTION("""COMPUTED_VALUE"""),539.9)</f>
        <v>539.9</v>
      </c>
      <c r="IM34" s="46">
        <f t="shared" si="62"/>
        <v>-0.1263047172</v>
      </c>
      <c r="IN34" s="37"/>
      <c r="IO34" s="37">
        <f>IFERROR(__xludf.DUMMYFUNCTION("""COMPUTED_VALUE"""),45329.64583333333)</f>
        <v>45329.64583</v>
      </c>
      <c r="IP34" s="45">
        <f>IFERROR(__xludf.DUMMYFUNCTION("""COMPUTED_VALUE"""),214.3)</f>
        <v>214.3</v>
      </c>
      <c r="IQ34" s="46">
        <f t="shared" si="63"/>
        <v>0.7049884637</v>
      </c>
      <c r="IR34" s="37"/>
      <c r="IS34" s="37">
        <f>IFERROR(__xludf.DUMMYFUNCTION("""COMPUTED_VALUE"""),45328.64583333333)</f>
        <v>45328.64583</v>
      </c>
      <c r="IT34" s="45">
        <f>IFERROR(__xludf.DUMMYFUNCTION("""COMPUTED_VALUE"""),932.0)</f>
        <v>932</v>
      </c>
      <c r="IU34" s="46">
        <f t="shared" si="64"/>
        <v>-0.07171314741</v>
      </c>
      <c r="IV34" s="37"/>
      <c r="IW34" s="37">
        <f>IFERROR(__xludf.DUMMYFUNCTION("""COMPUTED_VALUE"""),45328.64583333333)</f>
        <v>45328.64583</v>
      </c>
      <c r="IX34" s="45">
        <f>IFERROR(__xludf.DUMMYFUNCTION("""COMPUTED_VALUE"""),377.45)</f>
        <v>377.45</v>
      </c>
      <c r="IY34" s="46">
        <f t="shared" si="65"/>
        <v>0.8327263899</v>
      </c>
      <c r="IZ34" s="37"/>
      <c r="JA34" s="37">
        <f>IFERROR(__xludf.DUMMYFUNCTION("""COMPUTED_VALUE"""),45328.64583333333)</f>
        <v>45328.64583</v>
      </c>
      <c r="JB34" s="45">
        <f>IFERROR(__xludf.DUMMYFUNCTION("""COMPUTED_VALUE"""),33769.0)</f>
        <v>33769</v>
      </c>
      <c r="JC34" s="46">
        <f t="shared" si="66"/>
        <v>-0.04614485074</v>
      </c>
      <c r="JD34" s="37"/>
      <c r="JE34" s="37">
        <f>IFERROR(__xludf.DUMMYFUNCTION("""COMPUTED_VALUE"""),45328.64583333333)</f>
        <v>45328.64583</v>
      </c>
      <c r="JF34" s="45">
        <f>IFERROR(__xludf.DUMMYFUNCTION("""COMPUTED_VALUE"""),665.5)</f>
        <v>665.5</v>
      </c>
      <c r="JG34" s="46">
        <f t="shared" si="67"/>
        <v>0.03178294574</v>
      </c>
      <c r="JH34" s="37"/>
      <c r="JI34" s="37">
        <f>IFERROR(__xludf.DUMMYFUNCTION("""COMPUTED_VALUE"""),45328.64583333333)</f>
        <v>45328.64583</v>
      </c>
      <c r="JJ34" s="45">
        <f>IFERROR(__xludf.DUMMYFUNCTION("""COMPUTED_VALUE"""),295.05)</f>
        <v>295.05</v>
      </c>
      <c r="JK34" s="46">
        <f t="shared" si="68"/>
        <v>-0.1164845037</v>
      </c>
      <c r="JL34" s="37"/>
      <c r="JM34" s="37">
        <f>IFERROR(__xludf.DUMMYFUNCTION("""COMPUTED_VALUE"""),45328.64583333333)</f>
        <v>45328.64583</v>
      </c>
      <c r="JN34" s="45">
        <f>IFERROR(__xludf.DUMMYFUNCTION("""COMPUTED_VALUE"""),16.0)</f>
        <v>16</v>
      </c>
      <c r="JO34" s="46">
        <f t="shared" si="69"/>
        <v>-0.9635327635</v>
      </c>
      <c r="JP34" s="37"/>
      <c r="JQ34" s="37">
        <f>IFERROR(__xludf.DUMMYFUNCTION("""COMPUTED_VALUE"""),45328.64583333333)</f>
        <v>45328.64583</v>
      </c>
      <c r="JR34" s="45">
        <f>IFERROR(__xludf.DUMMYFUNCTION("""COMPUTED_VALUE"""),82.95)</f>
        <v>82.95</v>
      </c>
      <c r="JS34" s="46">
        <f t="shared" si="70"/>
        <v>-0.3900735294</v>
      </c>
      <c r="JT34" s="37"/>
      <c r="JU34" s="37">
        <f>IFERROR(__xludf.DUMMYFUNCTION("""COMPUTED_VALUE"""),45328.64583333333)</f>
        <v>45328.64583</v>
      </c>
      <c r="JV34" s="45">
        <f>IFERROR(__xludf.DUMMYFUNCTION("""COMPUTED_VALUE"""),241.0)</f>
        <v>241</v>
      </c>
      <c r="JW34" s="46">
        <f t="shared" si="71"/>
        <v>-0.4507122507</v>
      </c>
      <c r="JX34" s="37"/>
      <c r="JY34" s="37">
        <f>IFERROR(__xludf.DUMMYFUNCTION("""COMPUTED_VALUE"""),45328.64583333333)</f>
        <v>45328.64583</v>
      </c>
      <c r="JZ34" s="45">
        <f>IFERROR(__xludf.DUMMYFUNCTION("""COMPUTED_VALUE"""),609.35)</f>
        <v>609.35</v>
      </c>
      <c r="KA34" s="46">
        <f t="shared" si="72"/>
        <v>0.1058983666</v>
      </c>
      <c r="KB34" s="37"/>
      <c r="KC34" s="37">
        <f>IFERROR(__xludf.DUMMYFUNCTION("""COMPUTED_VALUE"""),45328.64583333333)</f>
        <v>45328.64583</v>
      </c>
      <c r="KD34" s="45">
        <f>IFERROR(__xludf.DUMMYFUNCTION("""COMPUTED_VALUE"""),894.95)</f>
        <v>894.95</v>
      </c>
      <c r="KE34" s="46">
        <f t="shared" si="73"/>
        <v>0.02449773911</v>
      </c>
      <c r="KF34" s="37"/>
      <c r="KG34" s="37">
        <f>IFERROR(__xludf.DUMMYFUNCTION("""COMPUTED_VALUE"""),45328.64583333333)</f>
        <v>45328.64583</v>
      </c>
      <c r="KH34" s="45">
        <f>IFERROR(__xludf.DUMMYFUNCTION("""COMPUTED_VALUE"""),429.0)</f>
        <v>429</v>
      </c>
      <c r="KI34" s="46">
        <f t="shared" si="74"/>
        <v>0.1</v>
      </c>
      <c r="KJ34" s="37"/>
      <c r="KK34" s="37">
        <f>IFERROR(__xludf.DUMMYFUNCTION("""COMPUTED_VALUE"""),45328.64583333333)</f>
        <v>45328.64583</v>
      </c>
      <c r="KL34" s="45">
        <f>IFERROR(__xludf.DUMMYFUNCTION("""COMPUTED_VALUE"""),12.7)</f>
        <v>12.7</v>
      </c>
      <c r="KM34" s="46">
        <f t="shared" si="75"/>
        <v>0.3655913978</v>
      </c>
      <c r="KN34" s="37"/>
      <c r="KO34" s="37">
        <f>IFERROR(__xludf.DUMMYFUNCTION("""COMPUTED_VALUE"""),45328.64583333333)</f>
        <v>45328.64583</v>
      </c>
      <c r="KP34" s="45">
        <f>IFERROR(__xludf.DUMMYFUNCTION("""COMPUTED_VALUE"""),255.0)</f>
        <v>255</v>
      </c>
      <c r="KQ34" s="46">
        <f t="shared" si="76"/>
        <v>0.2543039843</v>
      </c>
      <c r="KR34" s="37"/>
      <c r="KS34" s="37">
        <f>IFERROR(__xludf.DUMMYFUNCTION("""COMPUTED_VALUE"""),45328.64583333333)</f>
        <v>45328.64583</v>
      </c>
      <c r="KT34" s="45">
        <f>IFERROR(__xludf.DUMMYFUNCTION("""COMPUTED_VALUE"""),14.2)</f>
        <v>14.2</v>
      </c>
      <c r="KU34" s="46">
        <f t="shared" si="77"/>
        <v>0.2850678733</v>
      </c>
      <c r="KV34" s="37"/>
      <c r="KW34" s="37">
        <f>IFERROR(__xludf.DUMMYFUNCTION("""COMPUTED_VALUE"""),45328.64583333333)</f>
        <v>45328.64583</v>
      </c>
      <c r="KX34" s="45">
        <f>IFERROR(__xludf.DUMMYFUNCTION("""COMPUTED_VALUE"""),2305.0)</f>
        <v>2305</v>
      </c>
      <c r="KY34" s="46">
        <f t="shared" si="78"/>
        <v>-0.136687953</v>
      </c>
      <c r="KZ34" s="37"/>
      <c r="LA34" s="37">
        <f>IFERROR(__xludf.DUMMYFUNCTION("""COMPUTED_VALUE"""),45328.64583333333)</f>
        <v>45328.64583</v>
      </c>
      <c r="LB34" s="45">
        <f>IFERROR(__xludf.DUMMYFUNCTION("""COMPUTED_VALUE"""),20.0)</f>
        <v>20</v>
      </c>
      <c r="LC34" s="46">
        <f t="shared" si="79"/>
        <v>0.06100795756</v>
      </c>
      <c r="LD34" s="37"/>
      <c r="LE34" s="37">
        <f>IFERROR(__xludf.DUMMYFUNCTION("""COMPUTED_VALUE"""),45328.64583333333)</f>
        <v>45328.64583</v>
      </c>
      <c r="LF34" s="45">
        <f>IFERROR(__xludf.DUMMYFUNCTION("""COMPUTED_VALUE"""),126.9)</f>
        <v>126.9</v>
      </c>
      <c r="LG34" s="46">
        <f t="shared" si="80"/>
        <v>0.0152</v>
      </c>
      <c r="LH34" s="37"/>
      <c r="LI34" s="37">
        <f>IFERROR(__xludf.DUMMYFUNCTION("""COMPUTED_VALUE"""),45328.64583333333)</f>
        <v>45328.64583</v>
      </c>
      <c r="LJ34" s="45">
        <f>IFERROR(__xludf.DUMMYFUNCTION("""COMPUTED_VALUE"""),743.5)</f>
        <v>743.5</v>
      </c>
      <c r="LK34" s="46">
        <f t="shared" si="81"/>
        <v>0.02129120879</v>
      </c>
      <c r="LL34" s="37"/>
      <c r="LM34" s="37">
        <f>IFERROR(__xludf.DUMMYFUNCTION("""COMPUTED_VALUE"""),45328.64583333333)</f>
        <v>45328.64583</v>
      </c>
      <c r="LN34" s="45">
        <f>IFERROR(__xludf.DUMMYFUNCTION("""COMPUTED_VALUE"""),818.1)</f>
        <v>818.1</v>
      </c>
      <c r="LO34" s="46">
        <f t="shared" si="82"/>
        <v>-0.04315789474</v>
      </c>
      <c r="LP34" s="37"/>
      <c r="LQ34" s="37">
        <f>IFERROR(__xludf.DUMMYFUNCTION("""COMPUTED_VALUE"""),45328.64583333333)</f>
        <v>45328.64583</v>
      </c>
      <c r="LR34" s="45">
        <f>IFERROR(__xludf.DUMMYFUNCTION("""COMPUTED_VALUE"""),589.45)</f>
        <v>589.45</v>
      </c>
      <c r="LS34" s="46">
        <f t="shared" si="83"/>
        <v>0.6131636563</v>
      </c>
      <c r="LT34" s="37"/>
      <c r="LU34" s="37">
        <f>IFERROR(__xludf.DUMMYFUNCTION("""COMPUTED_VALUE"""),45328.64583333333)</f>
        <v>45328.64583</v>
      </c>
      <c r="LV34" s="45">
        <f>IFERROR(__xludf.DUMMYFUNCTION("""COMPUTED_VALUE"""),126.9)</f>
        <v>126.9</v>
      </c>
      <c r="LW34" s="46">
        <f t="shared" si="84"/>
        <v>-0.07236842105</v>
      </c>
      <c r="LX34" s="37"/>
      <c r="LY34" s="37">
        <f>IFERROR(__xludf.DUMMYFUNCTION("""COMPUTED_VALUE"""),45328.64583333333)</f>
        <v>45328.64583</v>
      </c>
      <c r="LZ34" s="45">
        <f>IFERROR(__xludf.DUMMYFUNCTION("""COMPUTED_VALUE"""),679.0)</f>
        <v>679</v>
      </c>
      <c r="MA34" s="46">
        <f t="shared" si="85"/>
        <v>0.09516129032</v>
      </c>
      <c r="MB34" s="37"/>
      <c r="MC34" s="37"/>
      <c r="MD34" s="45"/>
      <c r="ME34" s="46" t="str">
        <f t="shared" si="86"/>
        <v>#DIV/0!</v>
      </c>
      <c r="MF34" s="37"/>
      <c r="MG34" s="37">
        <f>IFERROR(__xludf.DUMMYFUNCTION("""COMPUTED_VALUE"""),45328.64583333333)</f>
        <v>45328.64583</v>
      </c>
      <c r="MH34" s="45">
        <f>IFERROR(__xludf.DUMMYFUNCTION("""COMPUTED_VALUE"""),2160.0)</f>
        <v>2160</v>
      </c>
      <c r="MI34" s="46">
        <f t="shared" si="87"/>
        <v>0.1015069227</v>
      </c>
      <c r="MJ34" s="37"/>
      <c r="MK34" s="37">
        <f>IFERROR(__xludf.DUMMYFUNCTION("""COMPUTED_VALUE"""),45328.64583333333)</f>
        <v>45328.64583</v>
      </c>
      <c r="ML34" s="45">
        <f>IFERROR(__xludf.DUMMYFUNCTION("""COMPUTED_VALUE"""),379.95)</f>
        <v>379.95</v>
      </c>
      <c r="MM34" s="46">
        <f t="shared" si="88"/>
        <v>-0.05000625078</v>
      </c>
      <c r="MN34" s="37"/>
      <c r="MO34" s="37">
        <f>IFERROR(__xludf.DUMMYFUNCTION("""COMPUTED_VALUE"""),45328.64583333333)</f>
        <v>45328.64583</v>
      </c>
      <c r="MP34" s="45">
        <f>IFERROR(__xludf.DUMMYFUNCTION("""COMPUTED_VALUE"""),935.0)</f>
        <v>935</v>
      </c>
      <c r="MQ34" s="46">
        <f t="shared" si="89"/>
        <v>0.2635135135</v>
      </c>
      <c r="MR34" s="37"/>
      <c r="MS34" s="37">
        <f>IFERROR(__xludf.DUMMYFUNCTION("""COMPUTED_VALUE"""),45328.64583333333)</f>
        <v>45328.64583</v>
      </c>
      <c r="MT34" s="45">
        <f>IFERROR(__xludf.DUMMYFUNCTION("""COMPUTED_VALUE"""),63.2)</f>
        <v>63.2</v>
      </c>
      <c r="MU34" s="46">
        <f t="shared" si="90"/>
        <v>-0.04459561602</v>
      </c>
      <c r="MV34" s="37"/>
      <c r="MW34" s="37">
        <f>IFERROR(__xludf.DUMMYFUNCTION("""COMPUTED_VALUE"""),45328.64583333333)</f>
        <v>45328.64583</v>
      </c>
      <c r="MX34" s="45">
        <f>IFERROR(__xludf.DUMMYFUNCTION("""COMPUTED_VALUE"""),3146.3)</f>
        <v>3146.3</v>
      </c>
      <c r="MY34" s="46">
        <f t="shared" si="91"/>
        <v>-0.0002224340642</v>
      </c>
      <c r="MZ34" s="37"/>
      <c r="NA34" s="37">
        <f>IFERROR(__xludf.DUMMYFUNCTION("""COMPUTED_VALUE"""),45328.64583333333)</f>
        <v>45328.64583</v>
      </c>
      <c r="NB34" s="45">
        <f>IFERROR(__xludf.DUMMYFUNCTION("""COMPUTED_VALUE"""),14.45)</f>
        <v>14.45</v>
      </c>
      <c r="NC34" s="46">
        <f t="shared" si="92"/>
        <v>0.1422924901</v>
      </c>
      <c r="ND34" s="37"/>
      <c r="NE34" s="37">
        <f>IFERROR(__xludf.DUMMYFUNCTION("""COMPUTED_VALUE"""),45329.64583333333)</f>
        <v>45329.64583</v>
      </c>
      <c r="NF34" s="45">
        <f>IFERROR(__xludf.DUMMYFUNCTION("""COMPUTED_VALUE"""),384.5)</f>
        <v>384.5</v>
      </c>
      <c r="NG34" s="46">
        <f t="shared" si="93"/>
        <v>0.004047525787</v>
      </c>
      <c r="NH34" s="37"/>
      <c r="NI34" s="37">
        <f>IFERROR(__xludf.DUMMYFUNCTION("""COMPUTED_VALUE"""),45329.64583333333)</f>
        <v>45329.64583</v>
      </c>
      <c r="NJ34" s="45">
        <f>IFERROR(__xludf.DUMMYFUNCTION("""COMPUTED_VALUE"""),355.17)</f>
        <v>355.17</v>
      </c>
      <c r="NK34" s="46">
        <f t="shared" si="94"/>
        <v>0.3318708516</v>
      </c>
      <c r="NL34" s="37"/>
      <c r="NM34" s="37">
        <f>IFERROR(__xludf.DUMMYFUNCTION("""COMPUTED_VALUE"""),45329.64583333333)</f>
        <v>45329.64583</v>
      </c>
      <c r="NN34" s="45">
        <f>IFERROR(__xludf.DUMMYFUNCTION("""COMPUTED_VALUE"""),150.0)</f>
        <v>150</v>
      </c>
      <c r="NO34" s="46">
        <f t="shared" si="95"/>
        <v>0.2165450122</v>
      </c>
      <c r="NP34" s="37"/>
      <c r="NQ34" s="37">
        <f>IFERROR(__xludf.DUMMYFUNCTION("""COMPUTED_VALUE"""),45329.64583333333)</f>
        <v>45329.64583</v>
      </c>
      <c r="NR34" s="45">
        <f>IFERROR(__xludf.DUMMYFUNCTION("""COMPUTED_VALUE"""),4817.25)</f>
        <v>4817.25</v>
      </c>
      <c r="NS34" s="46">
        <f t="shared" si="96"/>
        <v>0.1535560345</v>
      </c>
      <c r="NT34" s="37"/>
      <c r="NU34" s="37">
        <f>IFERROR(__xludf.DUMMYFUNCTION("""COMPUTED_VALUE"""),45329.64583333333)</f>
        <v>45329.64583</v>
      </c>
      <c r="NV34" s="45">
        <f>IFERROR(__xludf.DUMMYFUNCTION("""COMPUTED_VALUE"""),16.95)</f>
        <v>16.95</v>
      </c>
      <c r="NW34" s="46">
        <f t="shared" si="97"/>
        <v>0.3346456693</v>
      </c>
      <c r="NX34" s="37"/>
      <c r="NY34" s="37">
        <f>IFERROR(__xludf.DUMMYFUNCTION("""COMPUTED_VALUE"""),45329.64583333333)</f>
        <v>45329.64583</v>
      </c>
      <c r="NZ34" s="45">
        <f>IFERROR(__xludf.DUMMYFUNCTION("""COMPUTED_VALUE"""),273.3)</f>
        <v>273.3</v>
      </c>
      <c r="OA34" s="46">
        <f t="shared" si="98"/>
        <v>0.1073743922</v>
      </c>
      <c r="OB34" s="37"/>
      <c r="OC34" s="37">
        <f>IFERROR(__xludf.DUMMYFUNCTION("""COMPUTED_VALUE"""),45329.64583333333)</f>
        <v>45329.64583</v>
      </c>
      <c r="OD34" s="45">
        <f>IFERROR(__xludf.DUMMYFUNCTION("""COMPUTED_VALUE"""),1175.0)</f>
        <v>1175</v>
      </c>
      <c r="OE34" s="46">
        <f t="shared" si="99"/>
        <v>0.1148536458</v>
      </c>
      <c r="OF34" s="37"/>
      <c r="OG34" s="37">
        <f>IFERROR(__xludf.DUMMYFUNCTION("""COMPUTED_VALUE"""),45329.64583333333)</f>
        <v>45329.64583</v>
      </c>
      <c r="OH34" s="45">
        <f>IFERROR(__xludf.DUMMYFUNCTION("""COMPUTED_VALUE"""),2952.0)</f>
        <v>2952</v>
      </c>
      <c r="OI34" s="46">
        <f t="shared" si="100"/>
        <v>0.2099352406</v>
      </c>
      <c r="OJ34" s="37"/>
      <c r="OK34" s="37"/>
      <c r="OL34" s="45"/>
      <c r="OM34" s="46" t="str">
        <f t="shared" si="101"/>
        <v>#DIV/0!</v>
      </c>
      <c r="ON34" s="37"/>
    </row>
    <row r="35" ht="12.0" customHeight="1">
      <c r="A35" s="37">
        <f>IFERROR(__xludf.DUMMYFUNCTION("""COMPUTED_VALUE"""),45328.64583333333)</f>
        <v>45328.64583</v>
      </c>
      <c r="B35" s="45">
        <f>IFERROR(__xludf.DUMMYFUNCTION("""COMPUTED_VALUE"""),399.9)</f>
        <v>399.9</v>
      </c>
      <c r="C35" s="46">
        <f t="shared" si="1"/>
        <v>-0.08854700855</v>
      </c>
      <c r="D35" s="37"/>
      <c r="E35" s="37">
        <f>IFERROR(__xludf.DUMMYFUNCTION("""COMPUTED_VALUE"""),45328.64583333333)</f>
        <v>45328.64583</v>
      </c>
      <c r="F35" s="45">
        <f>IFERROR(__xludf.DUMMYFUNCTION("""COMPUTED_VALUE"""),672.95)</f>
        <v>672.95</v>
      </c>
      <c r="G35" s="46">
        <f t="shared" si="2"/>
        <v>0.02740458015</v>
      </c>
      <c r="H35" s="37"/>
      <c r="I35" s="37">
        <f>IFERROR(__xludf.DUMMYFUNCTION("""COMPUTED_VALUE"""),45328.64583333333)</f>
        <v>45328.64583</v>
      </c>
      <c r="J35" s="45">
        <f>IFERROR(__xludf.DUMMYFUNCTION("""COMPUTED_VALUE"""),183.55)</f>
        <v>183.55</v>
      </c>
      <c r="K35" s="46">
        <f t="shared" si="3"/>
        <v>-0.002445652174</v>
      </c>
      <c r="L35" s="37"/>
      <c r="M35" s="37">
        <f>IFERROR(__xludf.DUMMYFUNCTION("""COMPUTED_VALUE"""),45328.64583333333)</f>
        <v>45328.64583</v>
      </c>
      <c r="N35" s="45">
        <f>IFERROR(__xludf.DUMMYFUNCTION("""COMPUTED_VALUE"""),104.35)</f>
        <v>104.35</v>
      </c>
      <c r="O35" s="46">
        <f t="shared" si="4"/>
        <v>0.2077546296</v>
      </c>
      <c r="P35" s="37"/>
      <c r="Q35" s="37">
        <f>IFERROR(__xludf.DUMMYFUNCTION("""COMPUTED_VALUE"""),45328.64583333333)</f>
        <v>45328.64583</v>
      </c>
      <c r="R35" s="45">
        <f>IFERROR(__xludf.DUMMYFUNCTION("""COMPUTED_VALUE"""),56.0)</f>
        <v>56</v>
      </c>
      <c r="S35" s="46">
        <f t="shared" si="5"/>
        <v>0.06666666667</v>
      </c>
      <c r="T35" s="37"/>
      <c r="U35" s="37">
        <f>IFERROR(__xludf.DUMMYFUNCTION("""COMPUTED_VALUE"""),45328.64583333333)</f>
        <v>45328.64583</v>
      </c>
      <c r="V35" s="45">
        <f>IFERROR(__xludf.DUMMYFUNCTION("""COMPUTED_VALUE"""),780.6)</f>
        <v>780.6</v>
      </c>
      <c r="W35" s="46">
        <f t="shared" si="6"/>
        <v>0.178442029</v>
      </c>
      <c r="X35" s="37"/>
      <c r="Y35" s="37">
        <f>IFERROR(__xludf.DUMMYFUNCTION("""COMPUTED_VALUE"""),45328.64583333333)</f>
        <v>45328.64583</v>
      </c>
      <c r="Z35" s="45">
        <f>IFERROR(__xludf.DUMMYFUNCTION("""COMPUTED_VALUE"""),206.0)</f>
        <v>206</v>
      </c>
      <c r="AA35" s="46">
        <f t="shared" si="7"/>
        <v>0.1135135135</v>
      </c>
      <c r="AB35" s="37"/>
      <c r="AC35" s="37">
        <f>IFERROR(__xludf.DUMMYFUNCTION("""COMPUTED_VALUE"""),45328.64583333333)</f>
        <v>45328.64583</v>
      </c>
      <c r="AD35" s="45">
        <f>IFERROR(__xludf.DUMMYFUNCTION("""COMPUTED_VALUE"""),2675.0)</f>
        <v>2675</v>
      </c>
      <c r="AE35" s="46">
        <f t="shared" si="8"/>
        <v>0.1265529585</v>
      </c>
      <c r="AF35" s="37"/>
      <c r="AG35" s="37">
        <f>IFERROR(__xludf.DUMMYFUNCTION("""COMPUTED_VALUE"""),45328.64583333333)</f>
        <v>45328.64583</v>
      </c>
      <c r="AH35" s="45">
        <f>IFERROR(__xludf.DUMMYFUNCTION("""COMPUTED_VALUE"""),645.0)</f>
        <v>645</v>
      </c>
      <c r="AI35" s="46">
        <f t="shared" si="9"/>
        <v>-0.2321428571</v>
      </c>
      <c r="AJ35" s="37"/>
      <c r="AK35" s="37">
        <f>IFERROR(__xludf.DUMMYFUNCTION("""COMPUTED_VALUE"""),45328.64583333333)</f>
        <v>45328.64583</v>
      </c>
      <c r="AL35" s="45">
        <f>IFERROR(__xludf.DUMMYFUNCTION("""COMPUTED_VALUE"""),6998.95)</f>
        <v>6998.95</v>
      </c>
      <c r="AM35" s="46">
        <f t="shared" si="10"/>
        <v>0.3459519231</v>
      </c>
      <c r="AN35" s="37"/>
      <c r="AO35" s="37">
        <f>IFERROR(__xludf.DUMMYFUNCTION("""COMPUTED_VALUE"""),45328.64583333333)</f>
        <v>45328.64583</v>
      </c>
      <c r="AP35" s="45">
        <f>IFERROR(__xludf.DUMMYFUNCTION("""COMPUTED_VALUE"""),879.4)</f>
        <v>879.4</v>
      </c>
      <c r="AQ35" s="46">
        <f t="shared" si="11"/>
        <v>-0.03362637363</v>
      </c>
      <c r="AR35" s="37"/>
      <c r="AS35" s="37">
        <f>IFERROR(__xludf.DUMMYFUNCTION("""COMPUTED_VALUE"""),45328.64583333333)</f>
        <v>45328.64583</v>
      </c>
      <c r="AT35" s="45">
        <f>IFERROR(__xludf.DUMMYFUNCTION("""COMPUTED_VALUE"""),2266.7)</f>
        <v>2266.7</v>
      </c>
      <c r="AU35" s="46">
        <f t="shared" si="12"/>
        <v>-0.08744313378</v>
      </c>
      <c r="AV35" s="37"/>
      <c r="AW35" s="37">
        <f>IFERROR(__xludf.DUMMYFUNCTION("""COMPUTED_VALUE"""),45328.64583333333)</f>
        <v>45328.64583</v>
      </c>
      <c r="AX35" s="45">
        <f>IFERROR(__xludf.DUMMYFUNCTION("""COMPUTED_VALUE"""),7220.95)</f>
        <v>7220.95</v>
      </c>
      <c r="AY35" s="46">
        <f t="shared" si="13"/>
        <v>0.27926691</v>
      </c>
      <c r="AZ35" s="37"/>
      <c r="BA35" s="37">
        <f>IFERROR(__xludf.DUMMYFUNCTION("""COMPUTED_VALUE"""),45328.64583333333)</f>
        <v>45328.64583</v>
      </c>
      <c r="BB35" s="45">
        <f>IFERROR(__xludf.DUMMYFUNCTION("""COMPUTED_VALUE"""),501.8)</f>
        <v>501.8</v>
      </c>
      <c r="BC35" s="46">
        <f t="shared" si="14"/>
        <v>0.07107790822</v>
      </c>
      <c r="BD35" s="37"/>
      <c r="BE35" s="37">
        <f>IFERROR(__xludf.DUMMYFUNCTION("""COMPUTED_VALUE"""),45328.64583333333)</f>
        <v>45328.64583</v>
      </c>
      <c r="BF35" s="45">
        <f>IFERROR(__xludf.DUMMYFUNCTION("""COMPUTED_VALUE"""),308.0)</f>
        <v>308</v>
      </c>
      <c r="BG35" s="46">
        <f t="shared" si="15"/>
        <v>-0.2432432432</v>
      </c>
      <c r="BH35" s="37"/>
      <c r="BI35" s="37">
        <f>IFERROR(__xludf.DUMMYFUNCTION("""COMPUTED_VALUE"""),45328.64583333333)</f>
        <v>45328.64583</v>
      </c>
      <c r="BJ35" s="45">
        <f>IFERROR(__xludf.DUMMYFUNCTION("""COMPUTED_VALUE"""),84.9)</f>
        <v>84.9</v>
      </c>
      <c r="BK35" s="46">
        <f t="shared" si="16"/>
        <v>0.222462203</v>
      </c>
      <c r="BL35" s="37"/>
      <c r="BM35" s="37">
        <f>IFERROR(__xludf.DUMMYFUNCTION("""COMPUTED_VALUE"""),45328.64583333333)</f>
        <v>45328.64583</v>
      </c>
      <c r="BN35" s="45">
        <f>IFERROR(__xludf.DUMMYFUNCTION("""COMPUTED_VALUE"""),289.1)</f>
        <v>289.1</v>
      </c>
      <c r="BO35" s="46">
        <f t="shared" si="17"/>
        <v>0.129296875</v>
      </c>
      <c r="BP35" s="37"/>
      <c r="BQ35" s="37">
        <f>IFERROR(__xludf.DUMMYFUNCTION("""COMPUTED_VALUE"""),45328.64583333333)</f>
        <v>45328.64583</v>
      </c>
      <c r="BR35" s="45">
        <f>IFERROR(__xludf.DUMMYFUNCTION("""COMPUTED_VALUE"""),67.0)</f>
        <v>67</v>
      </c>
      <c r="BS35" s="46">
        <f t="shared" si="18"/>
        <v>0.1001642036</v>
      </c>
      <c r="BT35" s="37"/>
      <c r="BU35" s="37">
        <f>IFERROR(__xludf.DUMMYFUNCTION("""COMPUTED_VALUE"""),45328.64583333333)</f>
        <v>45328.64583</v>
      </c>
      <c r="BV35" s="45">
        <f>IFERROR(__xludf.DUMMYFUNCTION("""COMPUTED_VALUE"""),320.2)</f>
        <v>320.2</v>
      </c>
      <c r="BW35" s="46">
        <f t="shared" si="19"/>
        <v>0.0349062702</v>
      </c>
      <c r="BX35" s="37"/>
      <c r="BY35" s="37">
        <f>IFERROR(__xludf.DUMMYFUNCTION("""COMPUTED_VALUE"""),45328.64583333333)</f>
        <v>45328.64583</v>
      </c>
      <c r="BZ35" s="45">
        <f>IFERROR(__xludf.DUMMYFUNCTION("""COMPUTED_VALUE"""),340.9)</f>
        <v>340.9</v>
      </c>
      <c r="CA35" s="46">
        <f t="shared" si="20"/>
        <v>-0.1675213675</v>
      </c>
      <c r="CB35" s="37"/>
      <c r="CC35" s="37">
        <f>IFERROR(__xludf.DUMMYFUNCTION("""COMPUTED_VALUE"""),45328.64583333333)</f>
        <v>45328.64583</v>
      </c>
      <c r="CD35" s="45">
        <f>IFERROR(__xludf.DUMMYFUNCTION("""COMPUTED_VALUE"""),287.0)</f>
        <v>287</v>
      </c>
      <c r="CE35" s="46">
        <f t="shared" si="21"/>
        <v>0.2386706949</v>
      </c>
      <c r="CF35" s="37"/>
      <c r="CG35" s="37">
        <f>IFERROR(__xludf.DUMMYFUNCTION("""COMPUTED_VALUE"""),45328.64583333333)</f>
        <v>45328.64583</v>
      </c>
      <c r="CH35" s="45">
        <f>IFERROR(__xludf.DUMMYFUNCTION("""COMPUTED_VALUE"""),665.5)</f>
        <v>665.5</v>
      </c>
      <c r="CI35" s="46">
        <f t="shared" si="22"/>
        <v>0.0463836478</v>
      </c>
      <c r="CJ35" s="37"/>
      <c r="CK35" s="37">
        <f>IFERROR(__xludf.DUMMYFUNCTION("""COMPUTED_VALUE"""),45328.64583333333)</f>
        <v>45328.64583</v>
      </c>
      <c r="CL35" s="45">
        <f>IFERROR(__xludf.DUMMYFUNCTION("""COMPUTED_VALUE"""),295.05)</f>
        <v>295.05</v>
      </c>
      <c r="CM35" s="46">
        <f t="shared" si="23"/>
        <v>-0.1244807122</v>
      </c>
      <c r="CN35" s="37"/>
      <c r="CO35" s="37">
        <f>IFERROR(__xludf.DUMMYFUNCTION("""COMPUTED_VALUE"""),45328.64583333333)</f>
        <v>45328.64583</v>
      </c>
      <c r="CP35" s="45">
        <f>IFERROR(__xludf.DUMMYFUNCTION("""COMPUTED_VALUE"""),16.0)</f>
        <v>16</v>
      </c>
      <c r="CQ35" s="46">
        <f t="shared" si="24"/>
        <v>0.08108108108</v>
      </c>
      <c r="CR35" s="37"/>
      <c r="CS35" s="37">
        <f>IFERROR(__xludf.DUMMYFUNCTION("""COMPUTED_VALUE"""),45328.64583333333)</f>
        <v>45328.64583</v>
      </c>
      <c r="CT35" s="45">
        <f>IFERROR(__xludf.DUMMYFUNCTION("""COMPUTED_VALUE"""),198.75)</f>
        <v>198.75</v>
      </c>
      <c r="CU35" s="46">
        <f t="shared" si="25"/>
        <v>0.003787878788</v>
      </c>
      <c r="CV35" s="37"/>
      <c r="CW35" s="37">
        <f>IFERROR(__xludf.DUMMYFUNCTION("""COMPUTED_VALUE"""),45328.64583333333)</f>
        <v>45328.64583</v>
      </c>
      <c r="CX35" s="45">
        <f>IFERROR(__xludf.DUMMYFUNCTION("""COMPUTED_VALUE"""),895.0)</f>
        <v>895</v>
      </c>
      <c r="CY35" s="46">
        <f t="shared" si="26"/>
        <v>0.2937639134</v>
      </c>
      <c r="CZ35" s="37"/>
      <c r="DA35" s="37">
        <f>IFERROR(__xludf.DUMMYFUNCTION("""COMPUTED_VALUE"""),45328.64583333333)</f>
        <v>45328.64583</v>
      </c>
      <c r="DB35" s="45">
        <f>IFERROR(__xludf.DUMMYFUNCTION("""COMPUTED_VALUE"""),30.3)</f>
        <v>30.3</v>
      </c>
      <c r="DC35" s="46">
        <f t="shared" si="27"/>
        <v>0.08602150538</v>
      </c>
      <c r="DD35" s="37"/>
      <c r="DE35" s="37">
        <f>IFERROR(__xludf.DUMMYFUNCTION("""COMPUTED_VALUE"""),45328.64583333333)</f>
        <v>45328.64583</v>
      </c>
      <c r="DF35" s="45">
        <f>IFERROR(__xludf.DUMMYFUNCTION("""COMPUTED_VALUE"""),82.95)</f>
        <v>82.95</v>
      </c>
      <c r="DG35" s="46">
        <f t="shared" si="28"/>
        <v>-0.2678729038</v>
      </c>
      <c r="DH35" s="37"/>
      <c r="DI35" s="37">
        <f>IFERROR(__xludf.DUMMYFUNCTION("""COMPUTED_VALUE"""),45328.64583333333)</f>
        <v>45328.64583</v>
      </c>
      <c r="DJ35" s="45">
        <f>IFERROR(__xludf.DUMMYFUNCTION("""COMPUTED_VALUE"""),1787.05)</f>
        <v>1787.05</v>
      </c>
      <c r="DK35" s="46">
        <f t="shared" si="29"/>
        <v>0.1135655533</v>
      </c>
      <c r="DL35" s="37"/>
      <c r="DM35" s="37">
        <f>IFERROR(__xludf.DUMMYFUNCTION("""COMPUTED_VALUE"""),45328.64583333333)</f>
        <v>45328.64583</v>
      </c>
      <c r="DN35" s="45">
        <f>IFERROR(__xludf.DUMMYFUNCTION("""COMPUTED_VALUE"""),586.0)</f>
        <v>586</v>
      </c>
      <c r="DO35" s="46">
        <f t="shared" si="30"/>
        <v>0.09297771146</v>
      </c>
      <c r="DP35" s="37"/>
      <c r="DQ35" s="37">
        <f>IFERROR(__xludf.DUMMYFUNCTION("""COMPUTED_VALUE"""),45328.64583333333)</f>
        <v>45328.64583</v>
      </c>
      <c r="DR35" s="45">
        <f>IFERROR(__xludf.DUMMYFUNCTION("""COMPUTED_VALUE"""),236.0)</f>
        <v>236</v>
      </c>
      <c r="DS35" s="46">
        <f t="shared" si="31"/>
        <v>0.08256880734</v>
      </c>
      <c r="DT35" s="37"/>
      <c r="DU35" s="37">
        <f>IFERROR(__xludf.DUMMYFUNCTION("""COMPUTED_VALUE"""),45328.64583333333)</f>
        <v>45328.64583</v>
      </c>
      <c r="DV35" s="45">
        <f>IFERROR(__xludf.DUMMYFUNCTION("""COMPUTED_VALUE"""),894.95)</f>
        <v>894.95</v>
      </c>
      <c r="DW35" s="46">
        <f t="shared" si="32"/>
        <v>0.05226337449</v>
      </c>
      <c r="DX35" s="37"/>
      <c r="DY35" s="37">
        <f>IFERROR(__xludf.DUMMYFUNCTION("""COMPUTED_VALUE"""),45328.64583333333)</f>
        <v>45328.64583</v>
      </c>
      <c r="DZ35" s="45">
        <f>IFERROR(__xludf.DUMMYFUNCTION("""COMPUTED_VALUE"""),14.2)</f>
        <v>14.2</v>
      </c>
      <c r="EA35" s="46">
        <f t="shared" si="33"/>
        <v>0.3087557604</v>
      </c>
      <c r="EB35" s="37"/>
      <c r="EC35" s="37">
        <f>IFERROR(__xludf.DUMMYFUNCTION("""COMPUTED_VALUE"""),45328.64583333333)</f>
        <v>45328.64583</v>
      </c>
      <c r="ED35" s="45">
        <f>IFERROR(__xludf.DUMMYFUNCTION("""COMPUTED_VALUE"""),2305.0)</f>
        <v>2305</v>
      </c>
      <c r="EE35" s="46">
        <f t="shared" si="34"/>
        <v>-0.1285444234</v>
      </c>
      <c r="EF35" s="37"/>
      <c r="EG35" s="37">
        <f>IFERROR(__xludf.DUMMYFUNCTION("""COMPUTED_VALUE"""),45328.64583333333)</f>
        <v>45328.64583</v>
      </c>
      <c r="EH35" s="45">
        <f>IFERROR(__xludf.DUMMYFUNCTION("""COMPUTED_VALUE"""),1105.0)</f>
        <v>1105</v>
      </c>
      <c r="EI35" s="46">
        <f t="shared" si="35"/>
        <v>0.7036694419</v>
      </c>
      <c r="EJ35" s="37"/>
      <c r="EK35" s="37">
        <f>IFERROR(__xludf.DUMMYFUNCTION("""COMPUTED_VALUE"""),45328.64583333333)</f>
        <v>45328.64583</v>
      </c>
      <c r="EL35" s="45">
        <f>IFERROR(__xludf.DUMMYFUNCTION("""COMPUTED_VALUE"""),193.2)</f>
        <v>193.2</v>
      </c>
      <c r="EM35" s="46">
        <f t="shared" si="36"/>
        <v>-0.04356435644</v>
      </c>
      <c r="EN35" s="37"/>
      <c r="EO35" s="37">
        <f>IFERROR(__xludf.DUMMYFUNCTION("""COMPUTED_VALUE"""),45328.64583333333)</f>
        <v>45328.64583</v>
      </c>
      <c r="EP35" s="45">
        <f>IFERROR(__xludf.DUMMYFUNCTION("""COMPUTED_VALUE"""),183.0)</f>
        <v>183</v>
      </c>
      <c r="EQ35" s="46">
        <f t="shared" si="37"/>
        <v>0.1810261375</v>
      </c>
      <c r="ER35" s="37"/>
      <c r="ES35" s="37">
        <f>IFERROR(__xludf.DUMMYFUNCTION("""COMPUTED_VALUE"""),45328.64583333333)</f>
        <v>45328.64583</v>
      </c>
      <c r="ET35" s="45">
        <f>IFERROR(__xludf.DUMMYFUNCTION("""COMPUTED_VALUE"""),191.9)</f>
        <v>191.9</v>
      </c>
      <c r="EU35" s="46">
        <f t="shared" si="38"/>
        <v>-0.01260612297</v>
      </c>
      <c r="EV35" s="37"/>
      <c r="EW35" s="37">
        <f>IFERROR(__xludf.DUMMYFUNCTION("""COMPUTED_VALUE"""),45328.64583333333)</f>
        <v>45328.64583</v>
      </c>
      <c r="EX35" s="45">
        <f>IFERROR(__xludf.DUMMYFUNCTION("""COMPUTED_VALUE"""),729.1)</f>
        <v>729.1</v>
      </c>
      <c r="EY35" s="46">
        <f t="shared" si="39"/>
        <v>0.125154321</v>
      </c>
      <c r="EZ35" s="37"/>
      <c r="FA35" s="37">
        <f>IFERROR(__xludf.DUMMYFUNCTION("""COMPUTED_VALUE"""),45328.64583333333)</f>
        <v>45328.64583</v>
      </c>
      <c r="FB35" s="45">
        <f>IFERROR(__xludf.DUMMYFUNCTION("""COMPUTED_VALUE"""),219.0)</f>
        <v>219</v>
      </c>
      <c r="FC35" s="46">
        <f t="shared" si="40"/>
        <v>0.255733945</v>
      </c>
      <c r="FD35" s="37"/>
      <c r="FE35" s="37">
        <f>IFERROR(__xludf.DUMMYFUNCTION("""COMPUTED_VALUE"""),45328.64583333333)</f>
        <v>45328.64583</v>
      </c>
      <c r="FF35" s="45">
        <f>IFERROR(__xludf.DUMMYFUNCTION("""COMPUTED_VALUE"""),364.0)</f>
        <v>364</v>
      </c>
      <c r="FG35" s="46">
        <f t="shared" si="41"/>
        <v>0.1942257218</v>
      </c>
      <c r="FH35" s="37"/>
      <c r="FI35" s="37">
        <f>IFERROR(__xludf.DUMMYFUNCTION("""COMPUTED_VALUE"""),45328.64583333333)</f>
        <v>45328.64583</v>
      </c>
      <c r="FJ35" s="45">
        <f>IFERROR(__xludf.DUMMYFUNCTION("""COMPUTED_VALUE"""),679.0)</f>
        <v>679</v>
      </c>
      <c r="FK35" s="46">
        <f t="shared" si="42"/>
        <v>0.1203696065</v>
      </c>
      <c r="FL35" s="37"/>
      <c r="FM35" s="37">
        <f>IFERROR(__xludf.DUMMYFUNCTION("""COMPUTED_VALUE"""),45328.64583333333)</f>
        <v>45328.64583</v>
      </c>
      <c r="FN35" s="45">
        <f>IFERROR(__xludf.DUMMYFUNCTION("""COMPUTED_VALUE"""),116.0)</f>
        <v>116</v>
      </c>
      <c r="FO35" s="46">
        <f t="shared" si="43"/>
        <v>0.2210526316</v>
      </c>
      <c r="FP35" s="37"/>
      <c r="FQ35" s="37">
        <f>IFERROR(__xludf.DUMMYFUNCTION("""COMPUTED_VALUE"""),45328.64583333333)</f>
        <v>45328.64583</v>
      </c>
      <c r="FR35" s="45">
        <f>IFERROR(__xludf.DUMMYFUNCTION("""COMPUTED_VALUE"""),3.95)</f>
        <v>3.95</v>
      </c>
      <c r="FS35" s="46">
        <f t="shared" si="44"/>
        <v>-0.2818181818</v>
      </c>
      <c r="FT35" s="37"/>
      <c r="FU35" s="37">
        <f>IFERROR(__xludf.DUMMYFUNCTION("""COMPUTED_VALUE"""),45328.64583333333)</f>
        <v>45328.64583</v>
      </c>
      <c r="FV35" s="45">
        <f>IFERROR(__xludf.DUMMYFUNCTION("""COMPUTED_VALUE"""),740.0)</f>
        <v>740</v>
      </c>
      <c r="FW35" s="46">
        <f t="shared" si="45"/>
        <v>0.1085311962</v>
      </c>
      <c r="FX35" s="37"/>
      <c r="FY35" s="37">
        <f>IFERROR(__xludf.DUMMYFUNCTION("""COMPUTED_VALUE"""),45328.64583333333)</f>
        <v>45328.64583</v>
      </c>
      <c r="FZ35" s="45">
        <f>IFERROR(__xludf.DUMMYFUNCTION("""COMPUTED_VALUE"""),134.5)</f>
        <v>134.5</v>
      </c>
      <c r="GA35" s="46">
        <f t="shared" si="46"/>
        <v>-0.2078916372</v>
      </c>
      <c r="GB35" s="37"/>
      <c r="GC35" s="37">
        <f>IFERROR(__xludf.DUMMYFUNCTION("""COMPUTED_VALUE"""),45328.64583333333)</f>
        <v>45328.64583</v>
      </c>
      <c r="GD35" s="45">
        <f>IFERROR(__xludf.DUMMYFUNCTION("""COMPUTED_VALUE"""),366.7)</f>
        <v>366.7</v>
      </c>
      <c r="GE35" s="46">
        <f t="shared" si="47"/>
        <v>-0.2061052176</v>
      </c>
      <c r="GF35" s="37"/>
      <c r="GG35" s="37">
        <f>IFERROR(__xludf.DUMMYFUNCTION("""COMPUTED_VALUE"""),45328.64583333333)</f>
        <v>45328.64583</v>
      </c>
      <c r="GH35" s="45">
        <f>IFERROR(__xludf.DUMMYFUNCTION("""COMPUTED_VALUE"""),6139.0)</f>
        <v>6139</v>
      </c>
      <c r="GI35" s="46">
        <f t="shared" si="48"/>
        <v>0.1585204756</v>
      </c>
      <c r="GJ35" s="37"/>
      <c r="GK35" s="37">
        <f>IFERROR(__xludf.DUMMYFUNCTION("""COMPUTED_VALUE"""),45328.64583333333)</f>
        <v>45328.64583</v>
      </c>
      <c r="GL35" s="45">
        <f>IFERROR(__xludf.DUMMYFUNCTION("""COMPUTED_VALUE"""),82.2)</f>
        <v>82.2</v>
      </c>
      <c r="GM35" s="46">
        <f t="shared" si="49"/>
        <v>-0.2751322751</v>
      </c>
      <c r="GN35" s="37"/>
      <c r="GO35" s="37">
        <f>IFERROR(__xludf.DUMMYFUNCTION("""COMPUTED_VALUE"""),45328.64583333333)</f>
        <v>45328.64583</v>
      </c>
      <c r="GP35" s="45">
        <f>IFERROR(__xludf.DUMMYFUNCTION("""COMPUTED_VALUE"""),1193.95)</f>
        <v>1193.95</v>
      </c>
      <c r="GQ35" s="46">
        <f t="shared" si="50"/>
        <v>0.08585330362</v>
      </c>
      <c r="GR35" s="37"/>
      <c r="GS35" s="37">
        <f>IFERROR(__xludf.DUMMYFUNCTION("""COMPUTED_VALUE"""),45328.64583333333)</f>
        <v>45328.64583</v>
      </c>
      <c r="GT35" s="45">
        <f>IFERROR(__xludf.DUMMYFUNCTION("""COMPUTED_VALUE"""),14.45)</f>
        <v>14.45</v>
      </c>
      <c r="GU35" s="46">
        <f t="shared" si="51"/>
        <v>0.1158301158</v>
      </c>
      <c r="GV35" s="37"/>
      <c r="GW35" s="37">
        <f>IFERROR(__xludf.DUMMYFUNCTION("""COMPUTED_VALUE"""),45329.64583333333)</f>
        <v>45329.64583</v>
      </c>
      <c r="GX35" s="45">
        <f>IFERROR(__xludf.DUMMYFUNCTION("""COMPUTED_VALUE"""),18.9)</f>
        <v>18.9</v>
      </c>
      <c r="GY35" s="46">
        <f t="shared" si="52"/>
        <v>0.1454545455</v>
      </c>
      <c r="GZ35" s="37"/>
      <c r="HA35" s="37">
        <f>IFERROR(__xludf.DUMMYFUNCTION("""COMPUTED_VALUE"""),45329.64583333333)</f>
        <v>45329.64583</v>
      </c>
      <c r="HB35" s="45">
        <f>IFERROR(__xludf.DUMMYFUNCTION("""COMPUTED_VALUE"""),602.15)</f>
        <v>602.15</v>
      </c>
      <c r="HC35" s="46">
        <f t="shared" si="53"/>
        <v>-0.009621710526</v>
      </c>
      <c r="HD35" s="37"/>
      <c r="HE35" s="43">
        <f>IFERROR(__xludf.DUMMYFUNCTION("""COMPUTED_VALUE"""),45329.64583333333)</f>
        <v>45329.64583</v>
      </c>
      <c r="HF35" s="45">
        <f>IFERROR(__xludf.DUMMYFUNCTION("""COMPUTED_VALUE"""),2952.0)</f>
        <v>2952</v>
      </c>
      <c r="HG35" s="46" t="str">
        <f t="shared" si="54"/>
        <v>#DIV/0!</v>
      </c>
      <c r="HH35" s="37"/>
      <c r="HI35" s="37">
        <f>IFERROR(__xludf.DUMMYFUNCTION("""COMPUTED_VALUE"""),45329.64583333333)</f>
        <v>45329.64583</v>
      </c>
      <c r="HJ35" s="45">
        <f>IFERROR(__xludf.DUMMYFUNCTION("""COMPUTED_VALUE"""),7192.0)</f>
        <v>7192</v>
      </c>
      <c r="HK35" s="46">
        <f t="shared" si="55"/>
        <v>0.407422628</v>
      </c>
      <c r="HL35" s="37"/>
      <c r="HM35" s="37">
        <f>IFERROR(__xludf.DUMMYFUNCTION("""COMPUTED_VALUE"""),45329.64583333333)</f>
        <v>45329.64583</v>
      </c>
      <c r="HN35" s="45">
        <f>IFERROR(__xludf.DUMMYFUNCTION("""COMPUTED_VALUE"""),378.9)</f>
        <v>378.9</v>
      </c>
      <c r="HO35" s="46">
        <f t="shared" si="56"/>
        <v>-0.06801131472</v>
      </c>
      <c r="HP35" s="37"/>
      <c r="HQ35" s="37">
        <f>IFERROR(__xludf.DUMMYFUNCTION("""COMPUTED_VALUE"""),45329.64583333333)</f>
        <v>45329.64583</v>
      </c>
      <c r="HR35" s="45">
        <f>IFERROR(__xludf.DUMMYFUNCTION("""COMPUTED_VALUE"""),279.75)</f>
        <v>279.75</v>
      </c>
      <c r="HS35" s="46">
        <f t="shared" si="57"/>
        <v>0.1000786473</v>
      </c>
      <c r="HT35" s="37"/>
      <c r="HU35" s="37">
        <f>IFERROR(__xludf.DUMMYFUNCTION("""COMPUTED_VALUE"""),45329.64583333333)</f>
        <v>45329.64583</v>
      </c>
      <c r="HV35" s="45">
        <f>IFERROR(__xludf.DUMMYFUNCTION("""COMPUTED_VALUE"""),67.0)</f>
        <v>67</v>
      </c>
      <c r="HW35" s="46">
        <f t="shared" si="58"/>
        <v>0.07371794872</v>
      </c>
      <c r="HX35" s="37"/>
      <c r="HY35" s="37">
        <f>IFERROR(__xludf.DUMMYFUNCTION("""COMPUTED_VALUE"""),45329.64583333333)</f>
        <v>45329.64583</v>
      </c>
      <c r="HZ35" s="45">
        <f>IFERROR(__xludf.DUMMYFUNCTION("""COMPUTED_VALUE"""),359.0)</f>
        <v>359</v>
      </c>
      <c r="IA35" s="46">
        <f t="shared" si="59"/>
        <v>-0.2279569892</v>
      </c>
      <c r="IB35" s="37"/>
      <c r="IC35" s="37">
        <f>IFERROR(__xludf.DUMMYFUNCTION("""COMPUTED_VALUE"""),45329.64583333333)</f>
        <v>45329.64583</v>
      </c>
      <c r="ID35" s="45">
        <f>IFERROR(__xludf.DUMMYFUNCTION("""COMPUTED_VALUE"""),84.8)</f>
        <v>84.8</v>
      </c>
      <c r="IE35" s="46">
        <f t="shared" si="60"/>
        <v>-0.8067236467</v>
      </c>
      <c r="IF35" s="37"/>
      <c r="IG35" s="37">
        <f>IFERROR(__xludf.DUMMYFUNCTION("""COMPUTED_VALUE"""),45329.64583333333)</f>
        <v>45329.64583</v>
      </c>
      <c r="IH35" s="45">
        <f>IFERROR(__xludf.DUMMYFUNCTION("""COMPUTED_VALUE"""),566.6)</f>
        <v>566.6</v>
      </c>
      <c r="II35" s="46">
        <f t="shared" si="61"/>
        <v>0.06303939962</v>
      </c>
      <c r="IJ35" s="37"/>
      <c r="IK35" s="37">
        <f>IFERROR(__xludf.DUMMYFUNCTION("""COMPUTED_VALUE"""),45329.64583333333)</f>
        <v>45329.64583</v>
      </c>
      <c r="IL35" s="45">
        <f>IFERROR(__xludf.DUMMYFUNCTION("""COMPUTED_VALUE"""),538.6)</f>
        <v>538.6</v>
      </c>
      <c r="IM35" s="46">
        <f t="shared" si="62"/>
        <v>-0.1284084473</v>
      </c>
      <c r="IN35" s="37"/>
      <c r="IO35" s="37">
        <f>IFERROR(__xludf.DUMMYFUNCTION("""COMPUTED_VALUE"""),45330.64583333333)</f>
        <v>45330.64583</v>
      </c>
      <c r="IP35" s="45">
        <f>IFERROR(__xludf.DUMMYFUNCTION("""COMPUTED_VALUE"""),218.55)</f>
        <v>218.55</v>
      </c>
      <c r="IQ35" s="46">
        <f t="shared" si="63"/>
        <v>0.738801814</v>
      </c>
      <c r="IR35" s="37"/>
      <c r="IS35" s="37">
        <f>IFERROR(__xludf.DUMMYFUNCTION("""COMPUTED_VALUE"""),45329.64583333333)</f>
        <v>45329.64583</v>
      </c>
      <c r="IT35" s="45">
        <f>IFERROR(__xludf.DUMMYFUNCTION("""COMPUTED_VALUE"""),899.7)</f>
        <v>899.7</v>
      </c>
      <c r="IU35" s="46">
        <f t="shared" si="64"/>
        <v>-0.1038844622</v>
      </c>
      <c r="IV35" s="37"/>
      <c r="IW35" s="37">
        <f>IFERROR(__xludf.DUMMYFUNCTION("""COMPUTED_VALUE"""),45329.64583333333)</f>
        <v>45329.64583</v>
      </c>
      <c r="IX35" s="45">
        <f>IFERROR(__xludf.DUMMYFUNCTION("""COMPUTED_VALUE"""),333.45)</f>
        <v>333.45</v>
      </c>
      <c r="IY35" s="46">
        <f t="shared" si="65"/>
        <v>0.6190823015</v>
      </c>
      <c r="IZ35" s="37"/>
      <c r="JA35" s="37">
        <f>IFERROR(__xludf.DUMMYFUNCTION("""COMPUTED_VALUE"""),45329.64583333333)</f>
        <v>45329.64583</v>
      </c>
      <c r="JB35" s="45">
        <f>IFERROR(__xludf.DUMMYFUNCTION("""COMPUTED_VALUE"""),34000.0)</f>
        <v>34000</v>
      </c>
      <c r="JC35" s="46">
        <f t="shared" si="66"/>
        <v>-0.03961991546</v>
      </c>
      <c r="JD35" s="37"/>
      <c r="JE35" s="37">
        <f>IFERROR(__xludf.DUMMYFUNCTION("""COMPUTED_VALUE"""),45329.64583333333)</f>
        <v>45329.64583</v>
      </c>
      <c r="JF35" s="45">
        <f>IFERROR(__xludf.DUMMYFUNCTION("""COMPUTED_VALUE"""),674.0)</f>
        <v>674</v>
      </c>
      <c r="JG35" s="46">
        <f t="shared" si="67"/>
        <v>0.04496124031</v>
      </c>
      <c r="JH35" s="37"/>
      <c r="JI35" s="37">
        <f>IFERROR(__xludf.DUMMYFUNCTION("""COMPUTED_VALUE"""),45329.64583333333)</f>
        <v>45329.64583</v>
      </c>
      <c r="JJ35" s="45">
        <f>IFERROR(__xludf.DUMMYFUNCTION("""COMPUTED_VALUE"""),303.0)</f>
        <v>303</v>
      </c>
      <c r="JK35" s="46">
        <f t="shared" si="68"/>
        <v>-0.09267854469</v>
      </c>
      <c r="JL35" s="37"/>
      <c r="JM35" s="37">
        <f>IFERROR(__xludf.DUMMYFUNCTION("""COMPUTED_VALUE"""),45329.64583333333)</f>
        <v>45329.64583</v>
      </c>
      <c r="JN35" s="45">
        <f>IFERROR(__xludf.DUMMYFUNCTION("""COMPUTED_VALUE"""),16.0)</f>
        <v>16</v>
      </c>
      <c r="JO35" s="46">
        <f t="shared" si="69"/>
        <v>-0.9635327635</v>
      </c>
      <c r="JP35" s="37"/>
      <c r="JQ35" s="37">
        <f>IFERROR(__xludf.DUMMYFUNCTION("""COMPUTED_VALUE"""),45329.64583333333)</f>
        <v>45329.64583</v>
      </c>
      <c r="JR35" s="45">
        <f>IFERROR(__xludf.DUMMYFUNCTION("""COMPUTED_VALUE"""),87.05)</f>
        <v>87.05</v>
      </c>
      <c r="JS35" s="46">
        <f t="shared" si="70"/>
        <v>-0.3599264706</v>
      </c>
      <c r="JT35" s="37"/>
      <c r="JU35" s="37">
        <f>IFERROR(__xludf.DUMMYFUNCTION("""COMPUTED_VALUE"""),45329.64583333333)</f>
        <v>45329.64583</v>
      </c>
      <c r="JV35" s="45">
        <f>IFERROR(__xludf.DUMMYFUNCTION("""COMPUTED_VALUE"""),241.6)</f>
        <v>241.6</v>
      </c>
      <c r="JW35" s="46">
        <f t="shared" si="71"/>
        <v>-0.4493447293</v>
      </c>
      <c r="JX35" s="37"/>
      <c r="JY35" s="37">
        <f>IFERROR(__xludf.DUMMYFUNCTION("""COMPUTED_VALUE"""),45329.64583333333)</f>
        <v>45329.64583</v>
      </c>
      <c r="JZ35" s="45">
        <f>IFERROR(__xludf.DUMMYFUNCTION("""COMPUTED_VALUE"""),616.95)</f>
        <v>616.95</v>
      </c>
      <c r="KA35" s="46">
        <f t="shared" si="72"/>
        <v>0.1196914701</v>
      </c>
      <c r="KB35" s="37"/>
      <c r="KC35" s="37">
        <f>IFERROR(__xludf.DUMMYFUNCTION("""COMPUTED_VALUE"""),45329.64583333333)</f>
        <v>45329.64583</v>
      </c>
      <c r="KD35" s="45">
        <f>IFERROR(__xludf.DUMMYFUNCTION("""COMPUTED_VALUE"""),898.0)</f>
        <v>898</v>
      </c>
      <c r="KE35" s="46">
        <f t="shared" si="73"/>
        <v>0.02798923931</v>
      </c>
      <c r="KF35" s="37"/>
      <c r="KG35" s="37">
        <f>IFERROR(__xludf.DUMMYFUNCTION("""COMPUTED_VALUE"""),45329.64583333333)</f>
        <v>45329.64583</v>
      </c>
      <c r="KH35" s="45">
        <f>IFERROR(__xludf.DUMMYFUNCTION("""COMPUTED_VALUE"""),434.15)</f>
        <v>434.15</v>
      </c>
      <c r="KI35" s="46">
        <f t="shared" si="74"/>
        <v>0.1132051282</v>
      </c>
      <c r="KJ35" s="37"/>
      <c r="KK35" s="37">
        <f>IFERROR(__xludf.DUMMYFUNCTION("""COMPUTED_VALUE"""),45329.64583333333)</f>
        <v>45329.64583</v>
      </c>
      <c r="KL35" s="45">
        <f>IFERROR(__xludf.DUMMYFUNCTION("""COMPUTED_VALUE"""),13.3)</f>
        <v>13.3</v>
      </c>
      <c r="KM35" s="46">
        <f t="shared" si="75"/>
        <v>0.4301075269</v>
      </c>
      <c r="KN35" s="37"/>
      <c r="KO35" s="37">
        <f>IFERROR(__xludf.DUMMYFUNCTION("""COMPUTED_VALUE"""),45329.64583333333)</f>
        <v>45329.64583</v>
      </c>
      <c r="KP35" s="45">
        <f>IFERROR(__xludf.DUMMYFUNCTION("""COMPUTED_VALUE"""),252.0)</f>
        <v>252</v>
      </c>
      <c r="KQ35" s="46">
        <f t="shared" si="76"/>
        <v>0.2395474668</v>
      </c>
      <c r="KR35" s="37"/>
      <c r="KS35" s="37">
        <f>IFERROR(__xludf.DUMMYFUNCTION("""COMPUTED_VALUE"""),45329.64583333333)</f>
        <v>45329.64583</v>
      </c>
      <c r="KT35" s="45">
        <f>IFERROR(__xludf.DUMMYFUNCTION("""COMPUTED_VALUE"""),14.45)</f>
        <v>14.45</v>
      </c>
      <c r="KU35" s="46">
        <f t="shared" si="77"/>
        <v>0.3076923077</v>
      </c>
      <c r="KV35" s="37"/>
      <c r="KW35" s="37">
        <f>IFERROR(__xludf.DUMMYFUNCTION("""COMPUTED_VALUE"""),45329.64583333333)</f>
        <v>45329.64583</v>
      </c>
      <c r="KX35" s="45">
        <f>IFERROR(__xludf.DUMMYFUNCTION("""COMPUTED_VALUE"""),2292.85)</f>
        <v>2292.85</v>
      </c>
      <c r="KY35" s="46">
        <f t="shared" si="78"/>
        <v>-0.1412386</v>
      </c>
      <c r="KZ35" s="37"/>
      <c r="LA35" s="37">
        <f>IFERROR(__xludf.DUMMYFUNCTION("""COMPUTED_VALUE"""),45329.64583333333)</f>
        <v>45329.64583</v>
      </c>
      <c r="LB35" s="45">
        <f>IFERROR(__xludf.DUMMYFUNCTION("""COMPUTED_VALUE"""),20.4)</f>
        <v>20.4</v>
      </c>
      <c r="LC35" s="46">
        <f t="shared" si="79"/>
        <v>0.08222811671</v>
      </c>
      <c r="LD35" s="37"/>
      <c r="LE35" s="37">
        <f>IFERROR(__xludf.DUMMYFUNCTION("""COMPUTED_VALUE"""),45329.64583333333)</f>
        <v>45329.64583</v>
      </c>
      <c r="LF35" s="45">
        <f>IFERROR(__xludf.DUMMYFUNCTION("""COMPUTED_VALUE"""),125.95)</f>
        <v>125.95</v>
      </c>
      <c r="LG35" s="46">
        <f t="shared" si="80"/>
        <v>0.0076</v>
      </c>
      <c r="LH35" s="37"/>
      <c r="LI35" s="37">
        <f>IFERROR(__xludf.DUMMYFUNCTION("""COMPUTED_VALUE"""),45329.64583333333)</f>
        <v>45329.64583</v>
      </c>
      <c r="LJ35" s="45">
        <f>IFERROR(__xludf.DUMMYFUNCTION("""COMPUTED_VALUE"""),733.45)</f>
        <v>733.45</v>
      </c>
      <c r="LK35" s="46">
        <f t="shared" si="81"/>
        <v>0.007486263736</v>
      </c>
      <c r="LL35" s="37"/>
      <c r="LM35" s="37">
        <f>IFERROR(__xludf.DUMMYFUNCTION("""COMPUTED_VALUE"""),45329.64583333333)</f>
        <v>45329.64583</v>
      </c>
      <c r="LN35" s="45">
        <f>IFERROR(__xludf.DUMMYFUNCTION("""COMPUTED_VALUE"""),799.95)</f>
        <v>799.95</v>
      </c>
      <c r="LO35" s="46">
        <f t="shared" si="82"/>
        <v>-0.06438596491</v>
      </c>
      <c r="LP35" s="37"/>
      <c r="LQ35" s="37">
        <f>IFERROR(__xludf.DUMMYFUNCTION("""COMPUTED_VALUE"""),45329.64583333333)</f>
        <v>45329.64583</v>
      </c>
      <c r="LR35" s="45">
        <f>IFERROR(__xludf.DUMMYFUNCTION("""COMPUTED_VALUE"""),598.1)</f>
        <v>598.1</v>
      </c>
      <c r="LS35" s="46">
        <f t="shared" si="83"/>
        <v>0.6368363437</v>
      </c>
      <c r="LT35" s="37"/>
      <c r="LU35" s="37">
        <f>IFERROR(__xludf.DUMMYFUNCTION("""COMPUTED_VALUE"""),45329.64583333333)</f>
        <v>45329.64583</v>
      </c>
      <c r="LV35" s="45">
        <f>IFERROR(__xludf.DUMMYFUNCTION("""COMPUTED_VALUE"""),126.55)</f>
        <v>126.55</v>
      </c>
      <c r="LW35" s="46">
        <f t="shared" si="84"/>
        <v>-0.07492690058</v>
      </c>
      <c r="LX35" s="37"/>
      <c r="LY35" s="37">
        <f>IFERROR(__xludf.DUMMYFUNCTION("""COMPUTED_VALUE"""),45329.64583333333)</f>
        <v>45329.64583</v>
      </c>
      <c r="LZ35" s="45">
        <f>IFERROR(__xludf.DUMMYFUNCTION("""COMPUTED_VALUE"""),698.65)</f>
        <v>698.65</v>
      </c>
      <c r="MA35" s="46">
        <f t="shared" si="85"/>
        <v>0.1268548387</v>
      </c>
      <c r="MB35" s="37"/>
      <c r="MC35" s="37"/>
      <c r="MD35" s="45"/>
      <c r="ME35" s="46" t="str">
        <f t="shared" si="86"/>
        <v>#DIV/0!</v>
      </c>
      <c r="MF35" s="37"/>
      <c r="MG35" s="37">
        <f>IFERROR(__xludf.DUMMYFUNCTION("""COMPUTED_VALUE"""),45329.64583333333)</f>
        <v>45329.64583</v>
      </c>
      <c r="MH35" s="45">
        <f>IFERROR(__xludf.DUMMYFUNCTION("""COMPUTED_VALUE"""),2194.0)</f>
        <v>2194</v>
      </c>
      <c r="MI35" s="46">
        <f t="shared" si="87"/>
        <v>0.1188454576</v>
      </c>
      <c r="MJ35" s="37"/>
      <c r="MK35" s="37">
        <f>IFERROR(__xludf.DUMMYFUNCTION("""COMPUTED_VALUE"""),45329.64583333333)</f>
        <v>45329.64583</v>
      </c>
      <c r="ML35" s="45">
        <f>IFERROR(__xludf.DUMMYFUNCTION("""COMPUTED_VALUE"""),400.0)</f>
        <v>400</v>
      </c>
      <c r="MM35" s="46">
        <f t="shared" si="88"/>
        <v>0.000125015627</v>
      </c>
      <c r="MN35" s="37"/>
      <c r="MO35" s="37">
        <f>IFERROR(__xludf.DUMMYFUNCTION("""COMPUTED_VALUE"""),45329.64583333333)</f>
        <v>45329.64583</v>
      </c>
      <c r="MP35" s="45">
        <f>IFERROR(__xludf.DUMMYFUNCTION("""COMPUTED_VALUE"""),920.75)</f>
        <v>920.75</v>
      </c>
      <c r="MQ35" s="46">
        <f t="shared" si="89"/>
        <v>0.2442567568</v>
      </c>
      <c r="MR35" s="37"/>
      <c r="MS35" s="37">
        <f>IFERROR(__xludf.DUMMYFUNCTION("""COMPUTED_VALUE"""),45329.64583333333)</f>
        <v>45329.64583</v>
      </c>
      <c r="MT35" s="45">
        <f>IFERROR(__xludf.DUMMYFUNCTION("""COMPUTED_VALUE"""),63.8)</f>
        <v>63.8</v>
      </c>
      <c r="MU35" s="46">
        <f t="shared" si="90"/>
        <v>-0.03552532124</v>
      </c>
      <c r="MV35" s="37"/>
      <c r="MW35" s="37">
        <f>IFERROR(__xludf.DUMMYFUNCTION("""COMPUTED_VALUE"""),45329.64583333333)</f>
        <v>45329.64583</v>
      </c>
      <c r="MX35" s="45">
        <f>IFERROR(__xludf.DUMMYFUNCTION("""COMPUTED_VALUE"""),3165.9)</f>
        <v>3165.9</v>
      </c>
      <c r="MY35" s="46">
        <f t="shared" si="91"/>
        <v>0.006005719733</v>
      </c>
      <c r="MZ35" s="37"/>
      <c r="NA35" s="37">
        <f>IFERROR(__xludf.DUMMYFUNCTION("""COMPUTED_VALUE"""),45329.64583333333)</f>
        <v>45329.64583</v>
      </c>
      <c r="NB35" s="45">
        <f>IFERROR(__xludf.DUMMYFUNCTION("""COMPUTED_VALUE"""),14.45)</f>
        <v>14.45</v>
      </c>
      <c r="NC35" s="46">
        <f t="shared" si="92"/>
        <v>0.1422924901</v>
      </c>
      <c r="ND35" s="37"/>
      <c r="NE35" s="37">
        <f>IFERROR(__xludf.DUMMYFUNCTION("""COMPUTED_VALUE"""),45330.64583333333)</f>
        <v>45330.64583</v>
      </c>
      <c r="NF35" s="45">
        <f>IFERROR(__xludf.DUMMYFUNCTION("""COMPUTED_VALUE"""),375.0)</f>
        <v>375</v>
      </c>
      <c r="NG35" s="46">
        <f t="shared" si="93"/>
        <v>-0.02075989033</v>
      </c>
      <c r="NH35" s="37"/>
      <c r="NI35" s="37">
        <f>IFERROR(__xludf.DUMMYFUNCTION("""COMPUTED_VALUE"""),45330.64583333333)</f>
        <v>45330.64583</v>
      </c>
      <c r="NJ35" s="45">
        <f>IFERROR(__xludf.DUMMYFUNCTION("""COMPUTED_VALUE"""),358.93)</f>
        <v>358.93</v>
      </c>
      <c r="NK35" s="46">
        <f t="shared" si="94"/>
        <v>0.3459706754</v>
      </c>
      <c r="NL35" s="37"/>
      <c r="NM35" s="37">
        <f>IFERROR(__xludf.DUMMYFUNCTION("""COMPUTED_VALUE"""),45330.64583333333)</f>
        <v>45330.64583</v>
      </c>
      <c r="NN35" s="45">
        <f>IFERROR(__xludf.DUMMYFUNCTION("""COMPUTED_VALUE"""),145.9)</f>
        <v>145.9</v>
      </c>
      <c r="NO35" s="46">
        <f t="shared" si="95"/>
        <v>0.1832927818</v>
      </c>
      <c r="NP35" s="37"/>
      <c r="NQ35" s="37">
        <f>IFERROR(__xludf.DUMMYFUNCTION("""COMPUTED_VALUE"""),45330.64583333333)</f>
        <v>45330.64583</v>
      </c>
      <c r="NR35" s="45">
        <f>IFERROR(__xludf.DUMMYFUNCTION("""COMPUTED_VALUE"""),4824.7)</f>
        <v>4824.7</v>
      </c>
      <c r="NS35" s="46">
        <f t="shared" si="96"/>
        <v>0.1553400383</v>
      </c>
      <c r="NT35" s="37"/>
      <c r="NU35" s="37">
        <f>IFERROR(__xludf.DUMMYFUNCTION("""COMPUTED_VALUE"""),45330.64583333333)</f>
        <v>45330.64583</v>
      </c>
      <c r="NV35" s="45">
        <f>IFERROR(__xludf.DUMMYFUNCTION("""COMPUTED_VALUE"""),17.6)</f>
        <v>17.6</v>
      </c>
      <c r="NW35" s="46">
        <f t="shared" si="97"/>
        <v>0.3858267717</v>
      </c>
      <c r="NX35" s="37"/>
      <c r="NY35" s="37">
        <f>IFERROR(__xludf.DUMMYFUNCTION("""COMPUTED_VALUE"""),45330.64583333333)</f>
        <v>45330.64583</v>
      </c>
      <c r="NZ35" s="45">
        <f>IFERROR(__xludf.DUMMYFUNCTION("""COMPUTED_VALUE"""),271.5)</f>
        <v>271.5</v>
      </c>
      <c r="OA35" s="46">
        <f t="shared" si="98"/>
        <v>0.1000810373</v>
      </c>
      <c r="OB35" s="37"/>
      <c r="OC35" s="37">
        <f>IFERROR(__xludf.DUMMYFUNCTION("""COMPUTED_VALUE"""),45330.64583333333)</f>
        <v>45330.64583</v>
      </c>
      <c r="OD35" s="45">
        <f>IFERROR(__xludf.DUMMYFUNCTION("""COMPUTED_VALUE"""),1162.9)</f>
        <v>1162.9</v>
      </c>
      <c r="OE35" s="46">
        <f t="shared" si="99"/>
        <v>0.1033730253</v>
      </c>
      <c r="OF35" s="37"/>
      <c r="OG35" s="37">
        <f>IFERROR(__xludf.DUMMYFUNCTION("""COMPUTED_VALUE"""),45330.64583333333)</f>
        <v>45330.64583</v>
      </c>
      <c r="OH35" s="45">
        <f>IFERROR(__xludf.DUMMYFUNCTION("""COMPUTED_VALUE"""),3019.0)</f>
        <v>3019</v>
      </c>
      <c r="OI35" s="46">
        <f t="shared" si="100"/>
        <v>0.2373965079</v>
      </c>
      <c r="OJ35" s="37"/>
      <c r="OK35" s="37"/>
      <c r="OL35" s="45"/>
      <c r="OM35" s="46" t="str">
        <f t="shared" si="101"/>
        <v>#DIV/0!</v>
      </c>
      <c r="ON35" s="37"/>
    </row>
    <row r="36" ht="12.0" customHeight="1">
      <c r="A36" s="37">
        <f>IFERROR(__xludf.DUMMYFUNCTION("""COMPUTED_VALUE"""),45329.64583333333)</f>
        <v>45329.64583</v>
      </c>
      <c r="B36" s="45">
        <f>IFERROR(__xludf.DUMMYFUNCTION("""COMPUTED_VALUE"""),402.65)</f>
        <v>402.65</v>
      </c>
      <c r="C36" s="46">
        <f t="shared" si="1"/>
        <v>-0.08227920228</v>
      </c>
      <c r="D36" s="37"/>
      <c r="E36" s="37">
        <f>IFERROR(__xludf.DUMMYFUNCTION("""COMPUTED_VALUE"""),45329.64583333333)</f>
        <v>45329.64583</v>
      </c>
      <c r="F36" s="45">
        <f>IFERROR(__xludf.DUMMYFUNCTION("""COMPUTED_VALUE"""),690.0)</f>
        <v>690</v>
      </c>
      <c r="G36" s="46">
        <f t="shared" si="2"/>
        <v>0.0534351145</v>
      </c>
      <c r="H36" s="37"/>
      <c r="I36" s="37">
        <f>IFERROR(__xludf.DUMMYFUNCTION("""COMPUTED_VALUE"""),45329.64583333333)</f>
        <v>45329.64583</v>
      </c>
      <c r="J36" s="45">
        <f>IFERROR(__xludf.DUMMYFUNCTION("""COMPUTED_VALUE"""),184.15)</f>
        <v>184.15</v>
      </c>
      <c r="K36" s="46">
        <f t="shared" si="3"/>
        <v>0.0008152173913</v>
      </c>
      <c r="L36" s="37"/>
      <c r="M36" s="37">
        <f>IFERROR(__xludf.DUMMYFUNCTION("""COMPUTED_VALUE"""),45329.64583333333)</f>
        <v>45329.64583</v>
      </c>
      <c r="N36" s="45">
        <f>IFERROR(__xludf.DUMMYFUNCTION("""COMPUTED_VALUE"""),107.6)</f>
        <v>107.6</v>
      </c>
      <c r="O36" s="46">
        <f t="shared" si="4"/>
        <v>0.2453703704</v>
      </c>
      <c r="P36" s="37"/>
      <c r="Q36" s="37">
        <f>IFERROR(__xludf.DUMMYFUNCTION("""COMPUTED_VALUE"""),45329.64583333333)</f>
        <v>45329.64583</v>
      </c>
      <c r="R36" s="45">
        <f>IFERROR(__xludf.DUMMYFUNCTION("""COMPUTED_VALUE"""),56.3)</f>
        <v>56.3</v>
      </c>
      <c r="S36" s="46">
        <f t="shared" si="5"/>
        <v>0.07238095238</v>
      </c>
      <c r="T36" s="37"/>
      <c r="U36" s="37">
        <f>IFERROR(__xludf.DUMMYFUNCTION("""COMPUTED_VALUE"""),45329.64583333333)</f>
        <v>45329.64583</v>
      </c>
      <c r="V36" s="45">
        <f>IFERROR(__xludf.DUMMYFUNCTION("""COMPUTED_VALUE"""),795.35)</f>
        <v>795.35</v>
      </c>
      <c r="W36" s="46">
        <f t="shared" si="6"/>
        <v>0.2007095411</v>
      </c>
      <c r="X36" s="37"/>
      <c r="Y36" s="37">
        <f>IFERROR(__xludf.DUMMYFUNCTION("""COMPUTED_VALUE"""),45329.64583333333)</f>
        <v>45329.64583</v>
      </c>
      <c r="Z36" s="45">
        <f>IFERROR(__xludf.DUMMYFUNCTION("""COMPUTED_VALUE"""),203.65)</f>
        <v>203.65</v>
      </c>
      <c r="AA36" s="46">
        <f t="shared" si="7"/>
        <v>0.1008108108</v>
      </c>
      <c r="AB36" s="37"/>
      <c r="AC36" s="37">
        <f>IFERROR(__xludf.DUMMYFUNCTION("""COMPUTED_VALUE"""),45329.64583333333)</f>
        <v>45329.64583</v>
      </c>
      <c r="AD36" s="45">
        <f>IFERROR(__xludf.DUMMYFUNCTION("""COMPUTED_VALUE"""),2952.0)</f>
        <v>2952</v>
      </c>
      <c r="AE36" s="46">
        <f t="shared" si="8"/>
        <v>0.2432090967</v>
      </c>
      <c r="AF36" s="37"/>
      <c r="AG36" s="37">
        <f>IFERROR(__xludf.DUMMYFUNCTION("""COMPUTED_VALUE"""),45329.64583333333)</f>
        <v>45329.64583</v>
      </c>
      <c r="AH36" s="45">
        <f>IFERROR(__xludf.DUMMYFUNCTION("""COMPUTED_VALUE"""),653.95)</f>
        <v>653.95</v>
      </c>
      <c r="AI36" s="46">
        <f t="shared" si="9"/>
        <v>-0.2214880952</v>
      </c>
      <c r="AJ36" s="37"/>
      <c r="AK36" s="37">
        <f>IFERROR(__xludf.DUMMYFUNCTION("""COMPUTED_VALUE"""),45329.64583333333)</f>
        <v>45329.64583</v>
      </c>
      <c r="AL36" s="45">
        <f>IFERROR(__xludf.DUMMYFUNCTION("""COMPUTED_VALUE"""),7192.0)</f>
        <v>7192</v>
      </c>
      <c r="AM36" s="46">
        <f t="shared" si="10"/>
        <v>0.3830769231</v>
      </c>
      <c r="AN36" s="37"/>
      <c r="AO36" s="37">
        <f>IFERROR(__xludf.DUMMYFUNCTION("""COMPUTED_VALUE"""),45329.64583333333)</f>
        <v>45329.64583</v>
      </c>
      <c r="AP36" s="45">
        <f>IFERROR(__xludf.DUMMYFUNCTION("""COMPUTED_VALUE"""),892.0)</f>
        <v>892</v>
      </c>
      <c r="AQ36" s="46">
        <f t="shared" si="11"/>
        <v>-0.01978021978</v>
      </c>
      <c r="AR36" s="37"/>
      <c r="AS36" s="37">
        <f>IFERROR(__xludf.DUMMYFUNCTION("""COMPUTED_VALUE"""),45329.64583333333)</f>
        <v>45329.64583</v>
      </c>
      <c r="AT36" s="45">
        <f>IFERROR(__xludf.DUMMYFUNCTION("""COMPUTED_VALUE"""),2268.75)</f>
        <v>2268.75</v>
      </c>
      <c r="AU36" s="46">
        <f t="shared" si="12"/>
        <v>-0.08661781875</v>
      </c>
      <c r="AV36" s="37"/>
      <c r="AW36" s="37">
        <f>IFERROR(__xludf.DUMMYFUNCTION("""COMPUTED_VALUE"""),45329.64583333333)</f>
        <v>45329.64583</v>
      </c>
      <c r="AX36" s="45">
        <f>IFERROR(__xludf.DUMMYFUNCTION("""COMPUTED_VALUE"""),6925.0)</f>
        <v>6925</v>
      </c>
      <c r="AY36" s="46">
        <f t="shared" si="13"/>
        <v>0.2268362683</v>
      </c>
      <c r="AZ36" s="37"/>
      <c r="BA36" s="37">
        <f>IFERROR(__xludf.DUMMYFUNCTION("""COMPUTED_VALUE"""),45329.64583333333)</f>
        <v>45329.64583</v>
      </c>
      <c r="BB36" s="45">
        <f>IFERROR(__xludf.DUMMYFUNCTION("""COMPUTED_VALUE"""),501.7)</f>
        <v>501.7</v>
      </c>
      <c r="BC36" s="46">
        <f t="shared" si="14"/>
        <v>0.07086446105</v>
      </c>
      <c r="BD36" s="37"/>
      <c r="BE36" s="37">
        <f>IFERROR(__xludf.DUMMYFUNCTION("""COMPUTED_VALUE"""),45329.64583333333)</f>
        <v>45329.64583</v>
      </c>
      <c r="BF36" s="45">
        <f>IFERROR(__xludf.DUMMYFUNCTION("""COMPUTED_VALUE"""),315.2)</f>
        <v>315.2</v>
      </c>
      <c r="BG36" s="46">
        <f t="shared" si="15"/>
        <v>-0.2255528256</v>
      </c>
      <c r="BH36" s="37"/>
      <c r="BI36" s="37">
        <f>IFERROR(__xludf.DUMMYFUNCTION("""COMPUTED_VALUE"""),45329.64583333333)</f>
        <v>45329.64583</v>
      </c>
      <c r="BJ36" s="45">
        <f>IFERROR(__xludf.DUMMYFUNCTION("""COMPUTED_VALUE"""),84.0)</f>
        <v>84</v>
      </c>
      <c r="BK36" s="46">
        <f t="shared" si="16"/>
        <v>0.2095032397</v>
      </c>
      <c r="BL36" s="37"/>
      <c r="BM36" s="37">
        <f>IFERROR(__xludf.DUMMYFUNCTION("""COMPUTED_VALUE"""),45329.64583333333)</f>
        <v>45329.64583</v>
      </c>
      <c r="BN36" s="45">
        <f>IFERROR(__xludf.DUMMYFUNCTION("""COMPUTED_VALUE"""),279.75)</f>
        <v>279.75</v>
      </c>
      <c r="BO36" s="46">
        <f t="shared" si="17"/>
        <v>0.0927734375</v>
      </c>
      <c r="BP36" s="37"/>
      <c r="BQ36" s="37">
        <f>IFERROR(__xludf.DUMMYFUNCTION("""COMPUTED_VALUE"""),45329.64583333333)</f>
        <v>45329.64583</v>
      </c>
      <c r="BR36" s="45">
        <f>IFERROR(__xludf.DUMMYFUNCTION("""COMPUTED_VALUE"""),67.0)</f>
        <v>67</v>
      </c>
      <c r="BS36" s="46">
        <f t="shared" si="18"/>
        <v>0.1001642036</v>
      </c>
      <c r="BT36" s="37"/>
      <c r="BU36" s="37">
        <f>IFERROR(__xludf.DUMMYFUNCTION("""COMPUTED_VALUE"""),45329.64583333333)</f>
        <v>45329.64583</v>
      </c>
      <c r="BV36" s="45">
        <f>IFERROR(__xludf.DUMMYFUNCTION("""COMPUTED_VALUE"""),324.0)</f>
        <v>324</v>
      </c>
      <c r="BW36" s="46">
        <f t="shared" si="19"/>
        <v>0.04718810601</v>
      </c>
      <c r="BX36" s="37"/>
      <c r="BY36" s="37">
        <f>IFERROR(__xludf.DUMMYFUNCTION("""COMPUTED_VALUE"""),45329.64583333333)</f>
        <v>45329.64583</v>
      </c>
      <c r="BZ36" s="45">
        <f>IFERROR(__xludf.DUMMYFUNCTION("""COMPUTED_VALUE"""),359.0)</f>
        <v>359</v>
      </c>
      <c r="CA36" s="46">
        <f t="shared" si="20"/>
        <v>-0.1233211233</v>
      </c>
      <c r="CB36" s="37"/>
      <c r="CC36" s="37">
        <f>IFERROR(__xludf.DUMMYFUNCTION("""COMPUTED_VALUE"""),45329.64583333333)</f>
        <v>45329.64583</v>
      </c>
      <c r="CD36" s="45">
        <f>IFERROR(__xludf.DUMMYFUNCTION("""COMPUTED_VALUE"""),286.95)</f>
        <v>286.95</v>
      </c>
      <c r="CE36" s="46">
        <f t="shared" si="21"/>
        <v>0.2384548986</v>
      </c>
      <c r="CF36" s="37"/>
      <c r="CG36" s="37">
        <f>IFERROR(__xludf.DUMMYFUNCTION("""COMPUTED_VALUE"""),45329.64583333333)</f>
        <v>45329.64583</v>
      </c>
      <c r="CH36" s="45">
        <f>IFERROR(__xludf.DUMMYFUNCTION("""COMPUTED_VALUE"""),674.0)</f>
        <v>674</v>
      </c>
      <c r="CI36" s="46">
        <f t="shared" si="22"/>
        <v>0.05974842767</v>
      </c>
      <c r="CJ36" s="37"/>
      <c r="CK36" s="37">
        <f>IFERROR(__xludf.DUMMYFUNCTION("""COMPUTED_VALUE"""),45329.64583333333)</f>
        <v>45329.64583</v>
      </c>
      <c r="CL36" s="45">
        <f>IFERROR(__xludf.DUMMYFUNCTION("""COMPUTED_VALUE"""),303.0)</f>
        <v>303</v>
      </c>
      <c r="CM36" s="46">
        <f t="shared" si="23"/>
        <v>-0.1008902077</v>
      </c>
      <c r="CN36" s="37"/>
      <c r="CO36" s="37">
        <f>IFERROR(__xludf.DUMMYFUNCTION("""COMPUTED_VALUE"""),45329.64583333333)</f>
        <v>45329.64583</v>
      </c>
      <c r="CP36" s="45">
        <f>IFERROR(__xludf.DUMMYFUNCTION("""COMPUTED_VALUE"""),16.0)</f>
        <v>16</v>
      </c>
      <c r="CQ36" s="46">
        <f t="shared" si="24"/>
        <v>0.08108108108</v>
      </c>
      <c r="CR36" s="37"/>
      <c r="CS36" s="37">
        <f>IFERROR(__xludf.DUMMYFUNCTION("""COMPUTED_VALUE"""),45329.64583333333)</f>
        <v>45329.64583</v>
      </c>
      <c r="CT36" s="45">
        <f>IFERROR(__xludf.DUMMYFUNCTION("""COMPUTED_VALUE"""),200.0)</f>
        <v>200</v>
      </c>
      <c r="CU36" s="46">
        <f t="shared" si="25"/>
        <v>0.0101010101</v>
      </c>
      <c r="CV36" s="37"/>
      <c r="CW36" s="37">
        <f>IFERROR(__xludf.DUMMYFUNCTION("""COMPUTED_VALUE"""),45329.64583333333)</f>
        <v>45329.64583</v>
      </c>
      <c r="CX36" s="45">
        <f>IFERROR(__xludf.DUMMYFUNCTION("""COMPUTED_VALUE"""),897.0)</f>
        <v>897</v>
      </c>
      <c r="CY36" s="46">
        <f t="shared" si="26"/>
        <v>0.2966550059</v>
      </c>
      <c r="CZ36" s="37"/>
      <c r="DA36" s="37">
        <f>IFERROR(__xludf.DUMMYFUNCTION("""COMPUTED_VALUE"""),45329.64583333333)</f>
        <v>45329.64583</v>
      </c>
      <c r="DB36" s="45">
        <f>IFERROR(__xludf.DUMMYFUNCTION("""COMPUTED_VALUE"""),30.65)</f>
        <v>30.65</v>
      </c>
      <c r="DC36" s="46">
        <f t="shared" si="27"/>
        <v>0.09856630824</v>
      </c>
      <c r="DD36" s="37"/>
      <c r="DE36" s="37">
        <f>IFERROR(__xludf.DUMMYFUNCTION("""COMPUTED_VALUE"""),45329.64583333333)</f>
        <v>45329.64583</v>
      </c>
      <c r="DF36" s="45">
        <f>IFERROR(__xludf.DUMMYFUNCTION("""COMPUTED_VALUE"""),87.05)</f>
        <v>87.05</v>
      </c>
      <c r="DG36" s="46">
        <f t="shared" si="28"/>
        <v>-0.2316857899</v>
      </c>
      <c r="DH36" s="37"/>
      <c r="DI36" s="37">
        <f>IFERROR(__xludf.DUMMYFUNCTION("""COMPUTED_VALUE"""),45329.64583333333)</f>
        <v>45329.64583</v>
      </c>
      <c r="DJ36" s="45">
        <f>IFERROR(__xludf.DUMMYFUNCTION("""COMPUTED_VALUE"""),1784.55)</f>
        <v>1784.55</v>
      </c>
      <c r="DK36" s="46">
        <f t="shared" si="29"/>
        <v>0.1120077268</v>
      </c>
      <c r="DL36" s="37"/>
      <c r="DM36" s="37">
        <f>IFERROR(__xludf.DUMMYFUNCTION("""COMPUTED_VALUE"""),45329.64583333333)</f>
        <v>45329.64583</v>
      </c>
      <c r="DN36" s="45">
        <f>IFERROR(__xludf.DUMMYFUNCTION("""COMPUTED_VALUE"""),592.0)</f>
        <v>592</v>
      </c>
      <c r="DO36" s="46">
        <f t="shared" si="30"/>
        <v>0.1041686095</v>
      </c>
      <c r="DP36" s="37"/>
      <c r="DQ36" s="37">
        <f>IFERROR(__xludf.DUMMYFUNCTION("""COMPUTED_VALUE"""),45329.64583333333)</f>
        <v>45329.64583</v>
      </c>
      <c r="DR36" s="45">
        <f>IFERROR(__xludf.DUMMYFUNCTION("""COMPUTED_VALUE"""),239.9)</f>
        <v>239.9</v>
      </c>
      <c r="DS36" s="46">
        <f t="shared" si="31"/>
        <v>0.1004587156</v>
      </c>
      <c r="DT36" s="37"/>
      <c r="DU36" s="37">
        <f>IFERROR(__xludf.DUMMYFUNCTION("""COMPUTED_VALUE"""),45329.64583333333)</f>
        <v>45329.64583</v>
      </c>
      <c r="DV36" s="45">
        <f>IFERROR(__xludf.DUMMYFUNCTION("""COMPUTED_VALUE"""),898.0)</f>
        <v>898</v>
      </c>
      <c r="DW36" s="46">
        <f t="shared" si="32"/>
        <v>0.05584950029</v>
      </c>
      <c r="DX36" s="37"/>
      <c r="DY36" s="37">
        <f>IFERROR(__xludf.DUMMYFUNCTION("""COMPUTED_VALUE"""),45329.64583333333)</f>
        <v>45329.64583</v>
      </c>
      <c r="DZ36" s="45">
        <f>IFERROR(__xludf.DUMMYFUNCTION("""COMPUTED_VALUE"""),14.45)</f>
        <v>14.45</v>
      </c>
      <c r="EA36" s="46">
        <f t="shared" si="33"/>
        <v>0.331797235</v>
      </c>
      <c r="EB36" s="37"/>
      <c r="EC36" s="37">
        <f>IFERROR(__xludf.DUMMYFUNCTION("""COMPUTED_VALUE"""),45329.64583333333)</f>
        <v>45329.64583</v>
      </c>
      <c r="ED36" s="45">
        <f>IFERROR(__xludf.DUMMYFUNCTION("""COMPUTED_VALUE"""),2292.85)</f>
        <v>2292.85</v>
      </c>
      <c r="EE36" s="46">
        <f t="shared" si="34"/>
        <v>-0.1331379962</v>
      </c>
      <c r="EF36" s="37"/>
      <c r="EG36" s="37">
        <f>IFERROR(__xludf.DUMMYFUNCTION("""COMPUTED_VALUE"""),45329.64583333333)</f>
        <v>45329.64583</v>
      </c>
      <c r="EH36" s="45">
        <f>IFERROR(__xludf.DUMMYFUNCTION("""COMPUTED_VALUE"""),1138.3)</f>
        <v>1138.3</v>
      </c>
      <c r="EI36" s="46">
        <f t="shared" si="35"/>
        <v>0.7550107925</v>
      </c>
      <c r="EJ36" s="37"/>
      <c r="EK36" s="37">
        <f>IFERROR(__xludf.DUMMYFUNCTION("""COMPUTED_VALUE"""),45329.64583333333)</f>
        <v>45329.64583</v>
      </c>
      <c r="EL36" s="45">
        <f>IFERROR(__xludf.DUMMYFUNCTION("""COMPUTED_VALUE"""),194.0)</f>
        <v>194</v>
      </c>
      <c r="EM36" s="46">
        <f t="shared" si="36"/>
        <v>-0.0396039604</v>
      </c>
      <c r="EN36" s="37"/>
      <c r="EO36" s="37">
        <f>IFERROR(__xludf.DUMMYFUNCTION("""COMPUTED_VALUE"""),45329.64583333333)</f>
        <v>45329.64583</v>
      </c>
      <c r="EP36" s="45">
        <f>IFERROR(__xludf.DUMMYFUNCTION("""COMPUTED_VALUE"""),185.4)</f>
        <v>185.4</v>
      </c>
      <c r="EQ36" s="46">
        <f t="shared" si="37"/>
        <v>0.1965150048</v>
      </c>
      <c r="ER36" s="37"/>
      <c r="ES36" s="37">
        <f>IFERROR(__xludf.DUMMYFUNCTION("""COMPUTED_VALUE"""),45329.64583333333)</f>
        <v>45329.64583</v>
      </c>
      <c r="ET36" s="45">
        <f>IFERROR(__xludf.DUMMYFUNCTION("""COMPUTED_VALUE"""),190.7)</f>
        <v>190.7</v>
      </c>
      <c r="EU36" s="46">
        <f t="shared" si="38"/>
        <v>-0.01878055055</v>
      </c>
      <c r="EV36" s="37"/>
      <c r="EW36" s="37">
        <f>IFERROR(__xludf.DUMMYFUNCTION("""COMPUTED_VALUE"""),45329.64583333333)</f>
        <v>45329.64583</v>
      </c>
      <c r="EX36" s="45">
        <f>IFERROR(__xludf.DUMMYFUNCTION("""COMPUTED_VALUE"""),725.3)</f>
        <v>725.3</v>
      </c>
      <c r="EY36" s="46">
        <f t="shared" si="39"/>
        <v>0.1192901235</v>
      </c>
      <c r="EZ36" s="37"/>
      <c r="FA36" s="37">
        <f>IFERROR(__xludf.DUMMYFUNCTION("""COMPUTED_VALUE"""),45329.64583333333)</f>
        <v>45329.64583</v>
      </c>
      <c r="FB36" s="45">
        <f>IFERROR(__xludf.DUMMYFUNCTION("""COMPUTED_VALUE"""),225.0)</f>
        <v>225</v>
      </c>
      <c r="FC36" s="46">
        <f t="shared" si="40"/>
        <v>0.2901376147</v>
      </c>
      <c r="FD36" s="37"/>
      <c r="FE36" s="37">
        <f>IFERROR(__xludf.DUMMYFUNCTION("""COMPUTED_VALUE"""),45329.64583333333)</f>
        <v>45329.64583</v>
      </c>
      <c r="FF36" s="45">
        <f>IFERROR(__xludf.DUMMYFUNCTION("""COMPUTED_VALUE"""),375.0)</f>
        <v>375</v>
      </c>
      <c r="FG36" s="46">
        <f t="shared" si="41"/>
        <v>0.2303149606</v>
      </c>
      <c r="FH36" s="37"/>
      <c r="FI36" s="37">
        <f>IFERROR(__xludf.DUMMYFUNCTION("""COMPUTED_VALUE"""),45329.64583333333)</f>
        <v>45329.64583</v>
      </c>
      <c r="FJ36" s="45">
        <f>IFERROR(__xludf.DUMMYFUNCTION("""COMPUTED_VALUE"""),698.65)</f>
        <v>698.65</v>
      </c>
      <c r="FK36" s="46">
        <f t="shared" si="42"/>
        <v>0.1527926739</v>
      </c>
      <c r="FL36" s="37"/>
      <c r="FM36" s="37">
        <f>IFERROR(__xludf.DUMMYFUNCTION("""COMPUTED_VALUE"""),45329.64583333333)</f>
        <v>45329.64583</v>
      </c>
      <c r="FN36" s="45">
        <f>IFERROR(__xludf.DUMMYFUNCTION("""COMPUTED_VALUE"""),114.9)</f>
        <v>114.9</v>
      </c>
      <c r="FO36" s="46">
        <f t="shared" si="43"/>
        <v>0.2094736842</v>
      </c>
      <c r="FP36" s="37"/>
      <c r="FQ36" s="37">
        <f>IFERROR(__xludf.DUMMYFUNCTION("""COMPUTED_VALUE"""),45329.64583333333)</f>
        <v>45329.64583</v>
      </c>
      <c r="FR36" s="45">
        <f>IFERROR(__xludf.DUMMYFUNCTION("""COMPUTED_VALUE"""),3.9)</f>
        <v>3.9</v>
      </c>
      <c r="FS36" s="46">
        <f t="shared" si="44"/>
        <v>-0.2909090909</v>
      </c>
      <c r="FT36" s="37"/>
      <c r="FU36" s="37">
        <f>IFERROR(__xludf.DUMMYFUNCTION("""COMPUTED_VALUE"""),45329.64583333333)</f>
        <v>45329.64583</v>
      </c>
      <c r="FV36" s="45">
        <f>IFERROR(__xludf.DUMMYFUNCTION("""COMPUTED_VALUE"""),771.0)</f>
        <v>771</v>
      </c>
      <c r="FW36" s="46">
        <f t="shared" si="45"/>
        <v>0.1549696652</v>
      </c>
      <c r="FX36" s="37"/>
      <c r="FY36" s="37">
        <f>IFERROR(__xludf.DUMMYFUNCTION("""COMPUTED_VALUE"""),45329.64583333333)</f>
        <v>45329.64583</v>
      </c>
      <c r="FZ36" s="45">
        <f>IFERROR(__xludf.DUMMYFUNCTION("""COMPUTED_VALUE"""),137.3)</f>
        <v>137.3</v>
      </c>
      <c r="GA36" s="46">
        <f t="shared" si="46"/>
        <v>-0.191401649</v>
      </c>
      <c r="GB36" s="37"/>
      <c r="GC36" s="37">
        <f>IFERROR(__xludf.DUMMYFUNCTION("""COMPUTED_VALUE"""),45329.64583333333)</f>
        <v>45329.64583</v>
      </c>
      <c r="GD36" s="45">
        <f>IFERROR(__xludf.DUMMYFUNCTION("""COMPUTED_VALUE"""),382.55)</f>
        <v>382.55</v>
      </c>
      <c r="GE36" s="46">
        <f t="shared" si="47"/>
        <v>-0.1717904308</v>
      </c>
      <c r="GF36" s="37"/>
      <c r="GG36" s="37">
        <f>IFERROR(__xludf.DUMMYFUNCTION("""COMPUTED_VALUE"""),45329.64583333333)</f>
        <v>45329.64583</v>
      </c>
      <c r="GH36" s="45">
        <f>IFERROR(__xludf.DUMMYFUNCTION("""COMPUTED_VALUE"""),6094.0)</f>
        <v>6094</v>
      </c>
      <c r="GI36" s="46">
        <f t="shared" si="48"/>
        <v>0.1500283072</v>
      </c>
      <c r="GJ36" s="37"/>
      <c r="GK36" s="37">
        <f>IFERROR(__xludf.DUMMYFUNCTION("""COMPUTED_VALUE"""),45329.64583333333)</f>
        <v>45329.64583</v>
      </c>
      <c r="GL36" s="45">
        <f>IFERROR(__xludf.DUMMYFUNCTION("""COMPUTED_VALUE"""),83.0)</f>
        <v>83</v>
      </c>
      <c r="GM36" s="46">
        <f t="shared" si="49"/>
        <v>-0.2680776014</v>
      </c>
      <c r="GN36" s="37"/>
      <c r="GO36" s="37">
        <f>IFERROR(__xludf.DUMMYFUNCTION("""COMPUTED_VALUE"""),45329.64583333333)</f>
        <v>45329.64583</v>
      </c>
      <c r="GP36" s="45">
        <f>IFERROR(__xludf.DUMMYFUNCTION("""COMPUTED_VALUE"""),1190.0)</f>
        <v>1190</v>
      </c>
      <c r="GQ36" s="46">
        <f t="shared" si="50"/>
        <v>0.08226092492</v>
      </c>
      <c r="GR36" s="37"/>
      <c r="GS36" s="37">
        <f>IFERROR(__xludf.DUMMYFUNCTION("""COMPUTED_VALUE"""),45329.64583333333)</f>
        <v>45329.64583</v>
      </c>
      <c r="GT36" s="45">
        <f>IFERROR(__xludf.DUMMYFUNCTION("""COMPUTED_VALUE"""),14.45)</f>
        <v>14.45</v>
      </c>
      <c r="GU36" s="46">
        <f t="shared" si="51"/>
        <v>0.1158301158</v>
      </c>
      <c r="GV36" s="37"/>
      <c r="GW36" s="37">
        <f>IFERROR(__xludf.DUMMYFUNCTION("""COMPUTED_VALUE"""),45330.64583333333)</f>
        <v>45330.64583</v>
      </c>
      <c r="GX36" s="45">
        <f>IFERROR(__xludf.DUMMYFUNCTION("""COMPUTED_VALUE"""),18.85)</f>
        <v>18.85</v>
      </c>
      <c r="GY36" s="46">
        <f t="shared" si="52"/>
        <v>0.1424242424</v>
      </c>
      <c r="GZ36" s="37"/>
      <c r="HA36" s="37">
        <f>IFERROR(__xludf.DUMMYFUNCTION("""COMPUTED_VALUE"""),45330.64583333333)</f>
        <v>45330.64583</v>
      </c>
      <c r="HB36" s="45">
        <f>IFERROR(__xludf.DUMMYFUNCTION("""COMPUTED_VALUE"""),608.95)</f>
        <v>608.95</v>
      </c>
      <c r="HC36" s="46">
        <f t="shared" si="53"/>
        <v>0.0015625</v>
      </c>
      <c r="HD36" s="37"/>
      <c r="HE36" s="43">
        <f>IFERROR(__xludf.DUMMYFUNCTION("""COMPUTED_VALUE"""),45330.64583333333)</f>
        <v>45330.64583</v>
      </c>
      <c r="HF36" s="45">
        <f>IFERROR(__xludf.DUMMYFUNCTION("""COMPUTED_VALUE"""),3019.0)</f>
        <v>3019</v>
      </c>
      <c r="HG36" s="46" t="str">
        <f t="shared" si="54"/>
        <v>#DIV/0!</v>
      </c>
      <c r="HH36" s="37"/>
      <c r="HI36" s="37">
        <f>IFERROR(__xludf.DUMMYFUNCTION("""COMPUTED_VALUE"""),45330.64583333333)</f>
        <v>45330.64583</v>
      </c>
      <c r="HJ36" s="45">
        <f>IFERROR(__xludf.DUMMYFUNCTION("""COMPUTED_VALUE"""),7780.0)</f>
        <v>7780</v>
      </c>
      <c r="HK36" s="46">
        <f t="shared" si="55"/>
        <v>0.5224899952</v>
      </c>
      <c r="HL36" s="37"/>
      <c r="HM36" s="37">
        <f>IFERROR(__xludf.DUMMYFUNCTION("""COMPUTED_VALUE"""),45330.64583333333)</f>
        <v>45330.64583</v>
      </c>
      <c r="HN36" s="45">
        <f>IFERROR(__xludf.DUMMYFUNCTION("""COMPUTED_VALUE"""),378.9)</f>
        <v>378.9</v>
      </c>
      <c r="HO36" s="46">
        <f t="shared" si="56"/>
        <v>-0.06801131472</v>
      </c>
      <c r="HP36" s="37"/>
      <c r="HQ36" s="37">
        <f>IFERROR(__xludf.DUMMYFUNCTION("""COMPUTED_VALUE"""),45330.64583333333)</f>
        <v>45330.64583</v>
      </c>
      <c r="HR36" s="45">
        <f>IFERROR(__xludf.DUMMYFUNCTION("""COMPUTED_VALUE"""),269.4)</f>
        <v>269.4</v>
      </c>
      <c r="HS36" s="46">
        <f t="shared" si="57"/>
        <v>0.05937868659</v>
      </c>
      <c r="HT36" s="37"/>
      <c r="HU36" s="37">
        <f>IFERROR(__xludf.DUMMYFUNCTION("""COMPUTED_VALUE"""),45330.64583333333)</f>
        <v>45330.64583</v>
      </c>
      <c r="HV36" s="45">
        <f>IFERROR(__xludf.DUMMYFUNCTION("""COMPUTED_VALUE"""),64.8)</f>
        <v>64.8</v>
      </c>
      <c r="HW36" s="46">
        <f t="shared" si="58"/>
        <v>0.03846153846</v>
      </c>
      <c r="HX36" s="37"/>
      <c r="HY36" s="37">
        <f>IFERROR(__xludf.DUMMYFUNCTION("""COMPUTED_VALUE"""),45330.64583333333)</f>
        <v>45330.64583</v>
      </c>
      <c r="HZ36" s="45">
        <f>IFERROR(__xludf.DUMMYFUNCTION("""COMPUTED_VALUE"""),345.0)</f>
        <v>345</v>
      </c>
      <c r="IA36" s="46">
        <f t="shared" si="59"/>
        <v>-0.2580645161</v>
      </c>
      <c r="IB36" s="37"/>
      <c r="IC36" s="37">
        <f>IFERROR(__xludf.DUMMYFUNCTION("""COMPUTED_VALUE"""),45330.64583333333)</f>
        <v>45330.64583</v>
      </c>
      <c r="ID36" s="45">
        <f>IFERROR(__xludf.DUMMYFUNCTION("""COMPUTED_VALUE"""),85.85)</f>
        <v>85.85</v>
      </c>
      <c r="IE36" s="46">
        <f t="shared" si="60"/>
        <v>-0.8043304843</v>
      </c>
      <c r="IF36" s="37"/>
      <c r="IG36" s="37">
        <f>IFERROR(__xludf.DUMMYFUNCTION("""COMPUTED_VALUE"""),45330.64583333333)</f>
        <v>45330.64583</v>
      </c>
      <c r="IH36" s="45">
        <f>IFERROR(__xludf.DUMMYFUNCTION("""COMPUTED_VALUE"""),566.95)</f>
        <v>566.95</v>
      </c>
      <c r="II36" s="46">
        <f t="shared" si="61"/>
        <v>0.06369606004</v>
      </c>
      <c r="IJ36" s="37"/>
      <c r="IK36" s="37">
        <f>IFERROR(__xludf.DUMMYFUNCTION("""COMPUTED_VALUE"""),45330.64583333333)</f>
        <v>45330.64583</v>
      </c>
      <c r="IL36" s="45">
        <f>IFERROR(__xludf.DUMMYFUNCTION("""COMPUTED_VALUE"""),535.65)</f>
        <v>535.65</v>
      </c>
      <c r="IM36" s="46">
        <f t="shared" si="62"/>
        <v>-0.1331822963</v>
      </c>
      <c r="IN36" s="37"/>
      <c r="IO36" s="37">
        <f>IFERROR(__xludf.DUMMYFUNCTION("""COMPUTED_VALUE"""),45331.64583333333)</f>
        <v>45331.64583</v>
      </c>
      <c r="IP36" s="45">
        <f>IFERROR(__xludf.DUMMYFUNCTION("""COMPUTED_VALUE"""),222.9)</f>
        <v>222.9</v>
      </c>
      <c r="IQ36" s="46">
        <f t="shared" si="63"/>
        <v>0.7734107725</v>
      </c>
      <c r="IR36" s="37"/>
      <c r="IS36" s="37">
        <f>IFERROR(__xludf.DUMMYFUNCTION("""COMPUTED_VALUE"""),45330.64583333333)</f>
        <v>45330.64583</v>
      </c>
      <c r="IT36" s="45">
        <f>IFERROR(__xludf.DUMMYFUNCTION("""COMPUTED_VALUE"""),895.15)</f>
        <v>895.15</v>
      </c>
      <c r="IU36" s="46">
        <f t="shared" si="64"/>
        <v>-0.1084163347</v>
      </c>
      <c r="IV36" s="37"/>
      <c r="IW36" s="37">
        <f>IFERROR(__xludf.DUMMYFUNCTION("""COMPUTED_VALUE"""),45330.64583333333)</f>
        <v>45330.64583</v>
      </c>
      <c r="IX36" s="45">
        <f>IFERROR(__xludf.DUMMYFUNCTION("""COMPUTED_VALUE"""),332.35)</f>
        <v>332.35</v>
      </c>
      <c r="IY36" s="46">
        <f t="shared" si="65"/>
        <v>0.6137411993</v>
      </c>
      <c r="IZ36" s="37"/>
      <c r="JA36" s="37">
        <f>IFERROR(__xludf.DUMMYFUNCTION("""COMPUTED_VALUE"""),45330.64583333333)</f>
        <v>45330.64583</v>
      </c>
      <c r="JB36" s="45">
        <f>IFERROR(__xludf.DUMMYFUNCTION("""COMPUTED_VALUE"""),34587.15)</f>
        <v>34587.15</v>
      </c>
      <c r="JC36" s="46">
        <f t="shared" si="66"/>
        <v>-0.02303499879</v>
      </c>
      <c r="JD36" s="37"/>
      <c r="JE36" s="37">
        <f>IFERROR(__xludf.DUMMYFUNCTION("""COMPUTED_VALUE"""),45330.64583333333)</f>
        <v>45330.64583</v>
      </c>
      <c r="JF36" s="45">
        <f>IFERROR(__xludf.DUMMYFUNCTION("""COMPUTED_VALUE"""),672.25)</f>
        <v>672.25</v>
      </c>
      <c r="JG36" s="46">
        <f t="shared" si="67"/>
        <v>0.04224806202</v>
      </c>
      <c r="JH36" s="37"/>
      <c r="JI36" s="37">
        <f>IFERROR(__xludf.DUMMYFUNCTION("""COMPUTED_VALUE"""),45330.64583333333)</f>
        <v>45330.64583</v>
      </c>
      <c r="JJ36" s="45">
        <f>IFERROR(__xludf.DUMMYFUNCTION("""COMPUTED_VALUE"""),305.0)</f>
        <v>305</v>
      </c>
      <c r="JK36" s="46">
        <f t="shared" si="68"/>
        <v>-0.0866896242</v>
      </c>
      <c r="JL36" s="37"/>
      <c r="JM36" s="37">
        <f>IFERROR(__xludf.DUMMYFUNCTION("""COMPUTED_VALUE"""),45330.64583333333)</f>
        <v>45330.64583</v>
      </c>
      <c r="JN36" s="45">
        <f>IFERROR(__xludf.DUMMYFUNCTION("""COMPUTED_VALUE"""),16.0)</f>
        <v>16</v>
      </c>
      <c r="JO36" s="46">
        <f t="shared" si="69"/>
        <v>-0.9635327635</v>
      </c>
      <c r="JP36" s="37"/>
      <c r="JQ36" s="37">
        <f>IFERROR(__xludf.DUMMYFUNCTION("""COMPUTED_VALUE"""),45330.64583333333)</f>
        <v>45330.64583</v>
      </c>
      <c r="JR36" s="45">
        <f>IFERROR(__xludf.DUMMYFUNCTION("""COMPUTED_VALUE"""),91.0)</f>
        <v>91</v>
      </c>
      <c r="JS36" s="46">
        <f t="shared" si="70"/>
        <v>-0.3308823529</v>
      </c>
      <c r="JT36" s="37"/>
      <c r="JU36" s="37">
        <f>IFERROR(__xludf.DUMMYFUNCTION("""COMPUTED_VALUE"""),45330.64583333333)</f>
        <v>45330.64583</v>
      </c>
      <c r="JV36" s="45">
        <f>IFERROR(__xludf.DUMMYFUNCTION("""COMPUTED_VALUE"""),236.45)</f>
        <v>236.45</v>
      </c>
      <c r="JW36" s="46">
        <f t="shared" si="71"/>
        <v>-0.4610826211</v>
      </c>
      <c r="JX36" s="37"/>
      <c r="JY36" s="37">
        <f>IFERROR(__xludf.DUMMYFUNCTION("""COMPUTED_VALUE"""),45330.64583333333)</f>
        <v>45330.64583</v>
      </c>
      <c r="JZ36" s="45">
        <f>IFERROR(__xludf.DUMMYFUNCTION("""COMPUTED_VALUE"""),606.0)</f>
        <v>606</v>
      </c>
      <c r="KA36" s="46">
        <f t="shared" si="72"/>
        <v>0.0998185118</v>
      </c>
      <c r="KB36" s="37"/>
      <c r="KC36" s="37">
        <f>IFERROR(__xludf.DUMMYFUNCTION("""COMPUTED_VALUE"""),45330.64583333333)</f>
        <v>45330.64583</v>
      </c>
      <c r="KD36" s="45">
        <f>IFERROR(__xludf.DUMMYFUNCTION("""COMPUTED_VALUE"""),969.45)</f>
        <v>969.45</v>
      </c>
      <c r="KE36" s="46">
        <f t="shared" si="73"/>
        <v>0.1097819243</v>
      </c>
      <c r="KF36" s="37"/>
      <c r="KG36" s="37">
        <f>IFERROR(__xludf.DUMMYFUNCTION("""COMPUTED_VALUE"""),45330.64583333333)</f>
        <v>45330.64583</v>
      </c>
      <c r="KH36" s="45">
        <f>IFERROR(__xludf.DUMMYFUNCTION("""COMPUTED_VALUE"""),443.9)</f>
        <v>443.9</v>
      </c>
      <c r="KI36" s="46">
        <f t="shared" si="74"/>
        <v>0.1382051282</v>
      </c>
      <c r="KJ36" s="37"/>
      <c r="KK36" s="37">
        <f>IFERROR(__xludf.DUMMYFUNCTION("""COMPUTED_VALUE"""),45330.64583333333)</f>
        <v>45330.64583</v>
      </c>
      <c r="KL36" s="45">
        <f>IFERROR(__xludf.DUMMYFUNCTION("""COMPUTED_VALUE"""),13.95)</f>
        <v>13.95</v>
      </c>
      <c r="KM36" s="46">
        <f t="shared" si="75"/>
        <v>0.5</v>
      </c>
      <c r="KN36" s="37"/>
      <c r="KO36" s="37">
        <f>IFERROR(__xludf.DUMMYFUNCTION("""COMPUTED_VALUE"""),45330.64583333333)</f>
        <v>45330.64583</v>
      </c>
      <c r="KP36" s="45">
        <f>IFERROR(__xludf.DUMMYFUNCTION("""COMPUTED_VALUE"""),259.9)</f>
        <v>259.9</v>
      </c>
      <c r="KQ36" s="46">
        <f t="shared" si="76"/>
        <v>0.2784062961</v>
      </c>
      <c r="KR36" s="37"/>
      <c r="KS36" s="37">
        <f>IFERROR(__xludf.DUMMYFUNCTION("""COMPUTED_VALUE"""),45330.64583333333)</f>
        <v>45330.64583</v>
      </c>
      <c r="KT36" s="45">
        <f>IFERROR(__xludf.DUMMYFUNCTION("""COMPUTED_VALUE"""),14.7)</f>
        <v>14.7</v>
      </c>
      <c r="KU36" s="46">
        <f t="shared" si="77"/>
        <v>0.3303167421</v>
      </c>
      <c r="KV36" s="37"/>
      <c r="KW36" s="37">
        <f>IFERROR(__xludf.DUMMYFUNCTION("""COMPUTED_VALUE"""),45330.64583333333)</f>
        <v>45330.64583</v>
      </c>
      <c r="KX36" s="45">
        <f>IFERROR(__xludf.DUMMYFUNCTION("""COMPUTED_VALUE"""),2337.85)</f>
        <v>2337.85</v>
      </c>
      <c r="KY36" s="46">
        <f t="shared" si="78"/>
        <v>-0.1243843518</v>
      </c>
      <c r="KZ36" s="37"/>
      <c r="LA36" s="37">
        <f>IFERROR(__xludf.DUMMYFUNCTION("""COMPUTED_VALUE"""),45330.64583333333)</f>
        <v>45330.64583</v>
      </c>
      <c r="LB36" s="45">
        <f>IFERROR(__xludf.DUMMYFUNCTION("""COMPUTED_VALUE"""),20.8)</f>
        <v>20.8</v>
      </c>
      <c r="LC36" s="46">
        <f t="shared" si="79"/>
        <v>0.1034482759</v>
      </c>
      <c r="LD36" s="37"/>
      <c r="LE36" s="37">
        <f>IFERROR(__xludf.DUMMYFUNCTION("""COMPUTED_VALUE"""),45330.64583333333)</f>
        <v>45330.64583</v>
      </c>
      <c r="LF36" s="45">
        <f>IFERROR(__xludf.DUMMYFUNCTION("""COMPUTED_VALUE"""),126.0)</f>
        <v>126</v>
      </c>
      <c r="LG36" s="46">
        <f t="shared" si="80"/>
        <v>0.008</v>
      </c>
      <c r="LH36" s="37"/>
      <c r="LI36" s="37">
        <f>IFERROR(__xludf.DUMMYFUNCTION("""COMPUTED_VALUE"""),45330.64583333333)</f>
        <v>45330.64583</v>
      </c>
      <c r="LJ36" s="45">
        <f>IFERROR(__xludf.DUMMYFUNCTION("""COMPUTED_VALUE"""),728.8)</f>
        <v>728.8</v>
      </c>
      <c r="LK36" s="46">
        <f t="shared" si="81"/>
        <v>0.001098901099</v>
      </c>
      <c r="LL36" s="37"/>
      <c r="LM36" s="37">
        <f>IFERROR(__xludf.DUMMYFUNCTION("""COMPUTED_VALUE"""),45330.64583333333)</f>
        <v>45330.64583</v>
      </c>
      <c r="LN36" s="45">
        <f>IFERROR(__xludf.DUMMYFUNCTION("""COMPUTED_VALUE"""),816.45)</f>
        <v>816.45</v>
      </c>
      <c r="LO36" s="46">
        <f t="shared" si="82"/>
        <v>-0.0450877193</v>
      </c>
      <c r="LP36" s="37"/>
      <c r="LQ36" s="37">
        <f>IFERROR(__xludf.DUMMYFUNCTION("""COMPUTED_VALUE"""),45330.64583333333)</f>
        <v>45330.64583</v>
      </c>
      <c r="LR36" s="45">
        <f>IFERROR(__xludf.DUMMYFUNCTION("""COMPUTED_VALUE"""),610.0)</f>
        <v>610</v>
      </c>
      <c r="LS36" s="46">
        <f t="shared" si="83"/>
        <v>0.6694033935</v>
      </c>
      <c r="LT36" s="37"/>
      <c r="LU36" s="37">
        <f>IFERROR(__xludf.DUMMYFUNCTION("""COMPUTED_VALUE"""),45330.64583333333)</f>
        <v>45330.64583</v>
      </c>
      <c r="LV36" s="45">
        <f>IFERROR(__xludf.DUMMYFUNCTION("""COMPUTED_VALUE"""),126.4)</f>
        <v>126.4</v>
      </c>
      <c r="LW36" s="46">
        <f t="shared" si="84"/>
        <v>-0.07602339181</v>
      </c>
      <c r="LX36" s="37"/>
      <c r="LY36" s="37">
        <f>IFERROR(__xludf.DUMMYFUNCTION("""COMPUTED_VALUE"""),45330.64583333333)</f>
        <v>45330.64583</v>
      </c>
      <c r="LZ36" s="45">
        <f>IFERROR(__xludf.DUMMYFUNCTION("""COMPUTED_VALUE"""),698.0)</f>
        <v>698</v>
      </c>
      <c r="MA36" s="46">
        <f t="shared" si="85"/>
        <v>0.1258064516</v>
      </c>
      <c r="MB36" s="37"/>
      <c r="MC36" s="37"/>
      <c r="MD36" s="45"/>
      <c r="ME36" s="46" t="str">
        <f t="shared" si="86"/>
        <v>#DIV/0!</v>
      </c>
      <c r="MF36" s="37"/>
      <c r="MG36" s="37">
        <f>IFERROR(__xludf.DUMMYFUNCTION("""COMPUTED_VALUE"""),45330.64583333333)</f>
        <v>45330.64583</v>
      </c>
      <c r="MH36" s="45">
        <f>IFERROR(__xludf.DUMMYFUNCTION("""COMPUTED_VALUE"""),2055.9)</f>
        <v>2055.9</v>
      </c>
      <c r="MI36" s="46">
        <f t="shared" si="87"/>
        <v>0.04842040848</v>
      </c>
      <c r="MJ36" s="37"/>
      <c r="MK36" s="37">
        <f>IFERROR(__xludf.DUMMYFUNCTION("""COMPUTED_VALUE"""),45330.64583333333)</f>
        <v>45330.64583</v>
      </c>
      <c r="ML36" s="45">
        <f>IFERROR(__xludf.DUMMYFUNCTION("""COMPUTED_VALUE"""),386.45)</f>
        <v>386.45</v>
      </c>
      <c r="MM36" s="46">
        <f t="shared" si="88"/>
        <v>-0.03375421928</v>
      </c>
      <c r="MN36" s="37"/>
      <c r="MO36" s="37">
        <f>IFERROR(__xludf.DUMMYFUNCTION("""COMPUTED_VALUE"""),45330.64583333333)</f>
        <v>45330.64583</v>
      </c>
      <c r="MP36" s="45">
        <f>IFERROR(__xludf.DUMMYFUNCTION("""COMPUTED_VALUE"""),926.0)</f>
        <v>926</v>
      </c>
      <c r="MQ36" s="46">
        <f t="shared" si="89"/>
        <v>0.2513513514</v>
      </c>
      <c r="MR36" s="37"/>
      <c r="MS36" s="37">
        <f>IFERROR(__xludf.DUMMYFUNCTION("""COMPUTED_VALUE"""),45330.64583333333)</f>
        <v>45330.64583</v>
      </c>
      <c r="MT36" s="45">
        <f>IFERROR(__xludf.DUMMYFUNCTION("""COMPUTED_VALUE"""),62.3)</f>
        <v>62.3</v>
      </c>
      <c r="MU36" s="46">
        <f t="shared" si="90"/>
        <v>-0.0582010582</v>
      </c>
      <c r="MV36" s="37"/>
      <c r="MW36" s="37">
        <f>IFERROR(__xludf.DUMMYFUNCTION("""COMPUTED_VALUE"""),45330.64583333333)</f>
        <v>45330.64583</v>
      </c>
      <c r="MX36" s="45">
        <f>IFERROR(__xludf.DUMMYFUNCTION("""COMPUTED_VALUE"""),3139.25)</f>
        <v>3139.25</v>
      </c>
      <c r="MY36" s="46">
        <f t="shared" si="91"/>
        <v>-0.002462662854</v>
      </c>
      <c r="MZ36" s="37"/>
      <c r="NA36" s="37">
        <f>IFERROR(__xludf.DUMMYFUNCTION("""COMPUTED_VALUE"""),45330.64583333333)</f>
        <v>45330.64583</v>
      </c>
      <c r="NB36" s="45">
        <f>IFERROR(__xludf.DUMMYFUNCTION("""COMPUTED_VALUE"""),14.35)</f>
        <v>14.35</v>
      </c>
      <c r="NC36" s="46">
        <f t="shared" si="92"/>
        <v>0.1343873518</v>
      </c>
      <c r="ND36" s="37"/>
      <c r="NE36" s="37">
        <f>IFERROR(__xludf.DUMMYFUNCTION("""COMPUTED_VALUE"""),45331.64583333333)</f>
        <v>45331.64583</v>
      </c>
      <c r="NF36" s="45">
        <f>IFERROR(__xludf.DUMMYFUNCTION("""COMPUTED_VALUE"""),364.15)</f>
        <v>364.15</v>
      </c>
      <c r="NG36" s="46">
        <f t="shared" si="93"/>
        <v>-0.04909257083</v>
      </c>
      <c r="NH36" s="37"/>
      <c r="NI36" s="37">
        <f>IFERROR(__xludf.DUMMYFUNCTION("""COMPUTED_VALUE"""),45331.64583333333)</f>
        <v>45331.64583</v>
      </c>
      <c r="NJ36" s="45">
        <f>IFERROR(__xludf.DUMMYFUNCTION("""COMPUTED_VALUE"""),350.97)</f>
        <v>350.97</v>
      </c>
      <c r="NK36" s="46">
        <f t="shared" si="94"/>
        <v>0.3161210485</v>
      </c>
      <c r="NL36" s="37"/>
      <c r="NM36" s="37">
        <f>IFERROR(__xludf.DUMMYFUNCTION("""COMPUTED_VALUE"""),45331.64583333333)</f>
        <v>45331.64583</v>
      </c>
      <c r="NN36" s="45">
        <f>IFERROR(__xludf.DUMMYFUNCTION("""COMPUTED_VALUE"""),139.6)</f>
        <v>139.6</v>
      </c>
      <c r="NO36" s="46">
        <f t="shared" si="95"/>
        <v>0.1321978913</v>
      </c>
      <c r="NP36" s="37"/>
      <c r="NQ36" s="37">
        <f>IFERROR(__xludf.DUMMYFUNCTION("""COMPUTED_VALUE"""),45331.64583333333)</f>
        <v>45331.64583</v>
      </c>
      <c r="NR36" s="45">
        <f>IFERROR(__xludf.DUMMYFUNCTION("""COMPUTED_VALUE"""),4924.0)</f>
        <v>4924</v>
      </c>
      <c r="NS36" s="46">
        <f t="shared" si="96"/>
        <v>0.1791187739</v>
      </c>
      <c r="NT36" s="37"/>
      <c r="NU36" s="37">
        <f>IFERROR(__xludf.DUMMYFUNCTION("""COMPUTED_VALUE"""),45331.64583333333)</f>
        <v>45331.64583</v>
      </c>
      <c r="NV36" s="45">
        <f>IFERROR(__xludf.DUMMYFUNCTION("""COMPUTED_VALUE"""),17.65)</f>
        <v>17.65</v>
      </c>
      <c r="NW36" s="46">
        <f t="shared" si="97"/>
        <v>0.3897637795</v>
      </c>
      <c r="NX36" s="37"/>
      <c r="NY36" s="37">
        <f>IFERROR(__xludf.DUMMYFUNCTION("""COMPUTED_VALUE"""),45331.64583333333)</f>
        <v>45331.64583</v>
      </c>
      <c r="NZ36" s="45">
        <f>IFERROR(__xludf.DUMMYFUNCTION("""COMPUTED_VALUE"""),261.7)</f>
        <v>261.7</v>
      </c>
      <c r="OA36" s="46">
        <f t="shared" si="98"/>
        <v>0.06037277147</v>
      </c>
      <c r="OB36" s="37"/>
      <c r="OC36" s="37">
        <f>IFERROR(__xludf.DUMMYFUNCTION("""COMPUTED_VALUE"""),45331.64583333333)</f>
        <v>45331.64583</v>
      </c>
      <c r="OD36" s="45">
        <f>IFERROR(__xludf.DUMMYFUNCTION("""COMPUTED_VALUE"""),1149.4)</f>
        <v>1149.4</v>
      </c>
      <c r="OE36" s="46">
        <f t="shared" si="99"/>
        <v>0.0905640685</v>
      </c>
      <c r="OF36" s="37"/>
      <c r="OG36" s="37">
        <f>IFERROR(__xludf.DUMMYFUNCTION("""COMPUTED_VALUE"""),45331.64583333333)</f>
        <v>45331.64583</v>
      </c>
      <c r="OH36" s="45">
        <f>IFERROR(__xludf.DUMMYFUNCTION("""COMPUTED_VALUE"""),3000.0)</f>
        <v>3000</v>
      </c>
      <c r="OI36" s="46">
        <f t="shared" si="100"/>
        <v>0.2296089843</v>
      </c>
      <c r="OJ36" s="37"/>
      <c r="OK36" s="37"/>
      <c r="OL36" s="45"/>
      <c r="OM36" s="46" t="str">
        <f t="shared" si="101"/>
        <v>#DIV/0!</v>
      </c>
      <c r="ON36" s="37"/>
    </row>
    <row r="37" ht="12.0" customHeight="1">
      <c r="A37" s="37">
        <f>IFERROR(__xludf.DUMMYFUNCTION("""COMPUTED_VALUE"""),45330.64583333333)</f>
        <v>45330.64583</v>
      </c>
      <c r="B37" s="45">
        <f>IFERROR(__xludf.DUMMYFUNCTION("""COMPUTED_VALUE"""),399.9)</f>
        <v>399.9</v>
      </c>
      <c r="C37" s="46">
        <f t="shared" si="1"/>
        <v>-0.08854700855</v>
      </c>
      <c r="D37" s="37"/>
      <c r="E37" s="37">
        <f>IFERROR(__xludf.DUMMYFUNCTION("""COMPUTED_VALUE"""),45330.64583333333)</f>
        <v>45330.64583</v>
      </c>
      <c r="F37" s="45">
        <f>IFERROR(__xludf.DUMMYFUNCTION("""COMPUTED_VALUE"""),720.0)</f>
        <v>720</v>
      </c>
      <c r="G37" s="46">
        <f t="shared" si="2"/>
        <v>0.09923664122</v>
      </c>
      <c r="H37" s="37"/>
      <c r="I37" s="37">
        <f>IFERROR(__xludf.DUMMYFUNCTION("""COMPUTED_VALUE"""),45330.64583333333)</f>
        <v>45330.64583</v>
      </c>
      <c r="J37" s="45">
        <f>IFERROR(__xludf.DUMMYFUNCTION("""COMPUTED_VALUE"""),187.1)</f>
        <v>187.1</v>
      </c>
      <c r="K37" s="46">
        <f t="shared" si="3"/>
        <v>0.01684782609</v>
      </c>
      <c r="L37" s="37"/>
      <c r="M37" s="37">
        <f>IFERROR(__xludf.DUMMYFUNCTION("""COMPUTED_VALUE"""),45330.64583333333)</f>
        <v>45330.64583</v>
      </c>
      <c r="N37" s="45">
        <f>IFERROR(__xludf.DUMMYFUNCTION("""COMPUTED_VALUE"""),112.45)</f>
        <v>112.45</v>
      </c>
      <c r="O37" s="46">
        <f t="shared" si="4"/>
        <v>0.3015046296</v>
      </c>
      <c r="P37" s="37"/>
      <c r="Q37" s="37">
        <f>IFERROR(__xludf.DUMMYFUNCTION("""COMPUTED_VALUE"""),45330.64583333333)</f>
        <v>45330.64583</v>
      </c>
      <c r="R37" s="45">
        <f>IFERROR(__xludf.DUMMYFUNCTION("""COMPUTED_VALUE"""),55.75)</f>
        <v>55.75</v>
      </c>
      <c r="S37" s="46">
        <f t="shared" si="5"/>
        <v>0.0619047619</v>
      </c>
      <c r="T37" s="37"/>
      <c r="U37" s="37">
        <f>IFERROR(__xludf.DUMMYFUNCTION("""COMPUTED_VALUE"""),45330.64583333333)</f>
        <v>45330.64583</v>
      </c>
      <c r="V37" s="45">
        <f>IFERROR(__xludf.DUMMYFUNCTION("""COMPUTED_VALUE"""),794.7)</f>
        <v>794.7</v>
      </c>
      <c r="W37" s="46">
        <f t="shared" si="6"/>
        <v>0.1997282609</v>
      </c>
      <c r="X37" s="37"/>
      <c r="Y37" s="37">
        <f>IFERROR(__xludf.DUMMYFUNCTION("""COMPUTED_VALUE"""),45330.64583333333)</f>
        <v>45330.64583</v>
      </c>
      <c r="Z37" s="45">
        <f>IFERROR(__xludf.DUMMYFUNCTION("""COMPUTED_VALUE"""),201.45)</f>
        <v>201.45</v>
      </c>
      <c r="AA37" s="46">
        <f t="shared" si="7"/>
        <v>0.08891891892</v>
      </c>
      <c r="AB37" s="37"/>
      <c r="AC37" s="37">
        <f>IFERROR(__xludf.DUMMYFUNCTION("""COMPUTED_VALUE"""),45330.64583333333)</f>
        <v>45330.64583</v>
      </c>
      <c r="AD37" s="45">
        <f>IFERROR(__xludf.DUMMYFUNCTION("""COMPUTED_VALUE"""),3019.0)</f>
        <v>3019</v>
      </c>
      <c r="AE37" s="46">
        <f t="shared" si="8"/>
        <v>0.2714255633</v>
      </c>
      <c r="AF37" s="37"/>
      <c r="AG37" s="37">
        <f>IFERROR(__xludf.DUMMYFUNCTION("""COMPUTED_VALUE"""),45330.64583333333)</f>
        <v>45330.64583</v>
      </c>
      <c r="AH37" s="45">
        <f>IFERROR(__xludf.DUMMYFUNCTION("""COMPUTED_VALUE"""),701.0)</f>
        <v>701</v>
      </c>
      <c r="AI37" s="46">
        <f t="shared" si="9"/>
        <v>-0.1654761905</v>
      </c>
      <c r="AJ37" s="37"/>
      <c r="AK37" s="37">
        <f>IFERROR(__xludf.DUMMYFUNCTION("""COMPUTED_VALUE"""),45330.64583333333)</f>
        <v>45330.64583</v>
      </c>
      <c r="AL37" s="45">
        <f>IFERROR(__xludf.DUMMYFUNCTION("""COMPUTED_VALUE"""),7780.0)</f>
        <v>7780</v>
      </c>
      <c r="AM37" s="46">
        <f t="shared" si="10"/>
        <v>0.4961538462</v>
      </c>
      <c r="AN37" s="37"/>
      <c r="AO37" s="37">
        <f>IFERROR(__xludf.DUMMYFUNCTION("""COMPUTED_VALUE"""),45330.64583333333)</f>
        <v>45330.64583</v>
      </c>
      <c r="AP37" s="45">
        <f>IFERROR(__xludf.DUMMYFUNCTION("""COMPUTED_VALUE"""),881.2)</f>
        <v>881.2</v>
      </c>
      <c r="AQ37" s="46">
        <f t="shared" si="11"/>
        <v>-0.03164835165</v>
      </c>
      <c r="AR37" s="37"/>
      <c r="AS37" s="37">
        <f>IFERROR(__xludf.DUMMYFUNCTION("""COMPUTED_VALUE"""),45330.64583333333)</f>
        <v>45330.64583</v>
      </c>
      <c r="AT37" s="45">
        <f>IFERROR(__xludf.DUMMYFUNCTION("""COMPUTED_VALUE"""),2247.35)</f>
        <v>2247.35</v>
      </c>
      <c r="AU37" s="46">
        <f t="shared" si="12"/>
        <v>-0.09523330247</v>
      </c>
      <c r="AV37" s="37"/>
      <c r="AW37" s="37">
        <f>IFERROR(__xludf.DUMMYFUNCTION("""COMPUTED_VALUE"""),45330.64583333333)</f>
        <v>45330.64583</v>
      </c>
      <c r="AX37" s="45">
        <f>IFERROR(__xludf.DUMMYFUNCTION("""COMPUTED_VALUE"""),6950.0)</f>
        <v>6950</v>
      </c>
      <c r="AY37" s="46">
        <f t="shared" si="13"/>
        <v>0.2312652801</v>
      </c>
      <c r="AZ37" s="37"/>
      <c r="BA37" s="37">
        <f>IFERROR(__xludf.DUMMYFUNCTION("""COMPUTED_VALUE"""),45330.64583333333)</f>
        <v>45330.64583</v>
      </c>
      <c r="BB37" s="45">
        <f>IFERROR(__xludf.DUMMYFUNCTION("""COMPUTED_VALUE"""),500.1)</f>
        <v>500.1</v>
      </c>
      <c r="BC37" s="46">
        <f t="shared" si="14"/>
        <v>0.0674493063</v>
      </c>
      <c r="BD37" s="37"/>
      <c r="BE37" s="37">
        <f>IFERROR(__xludf.DUMMYFUNCTION("""COMPUTED_VALUE"""),45330.64583333333)</f>
        <v>45330.64583</v>
      </c>
      <c r="BF37" s="45">
        <f>IFERROR(__xludf.DUMMYFUNCTION("""COMPUTED_VALUE"""),321.05)</f>
        <v>321.05</v>
      </c>
      <c r="BG37" s="46">
        <f t="shared" si="15"/>
        <v>-0.2111793612</v>
      </c>
      <c r="BH37" s="37"/>
      <c r="BI37" s="37">
        <f>IFERROR(__xludf.DUMMYFUNCTION("""COMPUTED_VALUE"""),45330.64583333333)</f>
        <v>45330.64583</v>
      </c>
      <c r="BJ37" s="45">
        <f>IFERROR(__xludf.DUMMYFUNCTION("""COMPUTED_VALUE"""),78.25)</f>
        <v>78.25</v>
      </c>
      <c r="BK37" s="46">
        <f t="shared" si="16"/>
        <v>0.1267098632</v>
      </c>
      <c r="BL37" s="37"/>
      <c r="BM37" s="37">
        <f>IFERROR(__xludf.DUMMYFUNCTION("""COMPUTED_VALUE"""),45330.64583333333)</f>
        <v>45330.64583</v>
      </c>
      <c r="BN37" s="45">
        <f>IFERROR(__xludf.DUMMYFUNCTION("""COMPUTED_VALUE"""),269.4)</f>
        <v>269.4</v>
      </c>
      <c r="BO37" s="46">
        <f t="shared" si="17"/>
        <v>0.05234375</v>
      </c>
      <c r="BP37" s="37"/>
      <c r="BQ37" s="37">
        <f>IFERROR(__xludf.DUMMYFUNCTION("""COMPUTED_VALUE"""),45330.64583333333)</f>
        <v>45330.64583</v>
      </c>
      <c r="BR37" s="45">
        <f>IFERROR(__xludf.DUMMYFUNCTION("""COMPUTED_VALUE"""),64.8)</f>
        <v>64.8</v>
      </c>
      <c r="BS37" s="46">
        <f t="shared" si="18"/>
        <v>0.06403940887</v>
      </c>
      <c r="BT37" s="37"/>
      <c r="BU37" s="37">
        <f>IFERROR(__xludf.DUMMYFUNCTION("""COMPUTED_VALUE"""),45330.64583333333)</f>
        <v>45330.64583</v>
      </c>
      <c r="BV37" s="45">
        <f>IFERROR(__xludf.DUMMYFUNCTION("""COMPUTED_VALUE"""),320.95)</f>
        <v>320.95</v>
      </c>
      <c r="BW37" s="46">
        <f t="shared" si="19"/>
        <v>0.03733031674</v>
      </c>
      <c r="BX37" s="37"/>
      <c r="BY37" s="37">
        <f>IFERROR(__xludf.DUMMYFUNCTION("""COMPUTED_VALUE"""),45330.64583333333)</f>
        <v>45330.64583</v>
      </c>
      <c r="BZ37" s="45">
        <f>IFERROR(__xludf.DUMMYFUNCTION("""COMPUTED_VALUE"""),345.0)</f>
        <v>345</v>
      </c>
      <c r="CA37" s="46">
        <f t="shared" si="20"/>
        <v>-0.1575091575</v>
      </c>
      <c r="CB37" s="37"/>
      <c r="CC37" s="37">
        <f>IFERROR(__xludf.DUMMYFUNCTION("""COMPUTED_VALUE"""),45330.64583333333)</f>
        <v>45330.64583</v>
      </c>
      <c r="CD37" s="45">
        <f>IFERROR(__xludf.DUMMYFUNCTION("""COMPUTED_VALUE"""),286.2)</f>
        <v>286.2</v>
      </c>
      <c r="CE37" s="46">
        <f t="shared" si="21"/>
        <v>0.2352179543</v>
      </c>
      <c r="CF37" s="37"/>
      <c r="CG37" s="37">
        <f>IFERROR(__xludf.DUMMYFUNCTION("""COMPUTED_VALUE"""),45330.64583333333)</f>
        <v>45330.64583</v>
      </c>
      <c r="CH37" s="45">
        <f>IFERROR(__xludf.DUMMYFUNCTION("""COMPUTED_VALUE"""),672.25)</f>
        <v>672.25</v>
      </c>
      <c r="CI37" s="46">
        <f t="shared" si="22"/>
        <v>0.05699685535</v>
      </c>
      <c r="CJ37" s="37"/>
      <c r="CK37" s="37">
        <f>IFERROR(__xludf.DUMMYFUNCTION("""COMPUTED_VALUE"""),45330.64583333333)</f>
        <v>45330.64583</v>
      </c>
      <c r="CL37" s="45">
        <f>IFERROR(__xludf.DUMMYFUNCTION("""COMPUTED_VALUE"""),305.0)</f>
        <v>305</v>
      </c>
      <c r="CM37" s="46">
        <f t="shared" si="23"/>
        <v>-0.09495548961</v>
      </c>
      <c r="CN37" s="37"/>
      <c r="CO37" s="37">
        <f>IFERROR(__xludf.DUMMYFUNCTION("""COMPUTED_VALUE"""),45330.64583333333)</f>
        <v>45330.64583</v>
      </c>
      <c r="CP37" s="45">
        <f>IFERROR(__xludf.DUMMYFUNCTION("""COMPUTED_VALUE"""),16.0)</f>
        <v>16</v>
      </c>
      <c r="CQ37" s="46">
        <f t="shared" si="24"/>
        <v>0.08108108108</v>
      </c>
      <c r="CR37" s="37"/>
      <c r="CS37" s="37">
        <f>IFERROR(__xludf.DUMMYFUNCTION("""COMPUTED_VALUE"""),45330.64583333333)</f>
        <v>45330.64583</v>
      </c>
      <c r="CT37" s="45">
        <f>IFERROR(__xludf.DUMMYFUNCTION("""COMPUTED_VALUE"""),195.7)</f>
        <v>195.7</v>
      </c>
      <c r="CU37" s="46">
        <f t="shared" si="25"/>
        <v>-0.01161616162</v>
      </c>
      <c r="CV37" s="37"/>
      <c r="CW37" s="37">
        <f>IFERROR(__xludf.DUMMYFUNCTION("""COMPUTED_VALUE"""),45330.64583333333)</f>
        <v>45330.64583</v>
      </c>
      <c r="CX37" s="45">
        <f>IFERROR(__xludf.DUMMYFUNCTION("""COMPUTED_VALUE"""),920.0)</f>
        <v>920</v>
      </c>
      <c r="CY37" s="46">
        <f t="shared" si="26"/>
        <v>0.3299025702</v>
      </c>
      <c r="CZ37" s="37"/>
      <c r="DA37" s="37">
        <f>IFERROR(__xludf.DUMMYFUNCTION("""COMPUTED_VALUE"""),45330.64583333333)</f>
        <v>45330.64583</v>
      </c>
      <c r="DB37" s="45">
        <f>IFERROR(__xludf.DUMMYFUNCTION("""COMPUTED_VALUE"""),30.5)</f>
        <v>30.5</v>
      </c>
      <c r="DC37" s="46">
        <f t="shared" si="27"/>
        <v>0.09318996416</v>
      </c>
      <c r="DD37" s="37"/>
      <c r="DE37" s="37">
        <f>IFERROR(__xludf.DUMMYFUNCTION("""COMPUTED_VALUE"""),45330.64583333333)</f>
        <v>45330.64583</v>
      </c>
      <c r="DF37" s="45">
        <f>IFERROR(__xludf.DUMMYFUNCTION("""COMPUTED_VALUE"""),91.0)</f>
        <v>91</v>
      </c>
      <c r="DG37" s="46">
        <f t="shared" si="28"/>
        <v>-0.1968225949</v>
      </c>
      <c r="DH37" s="37"/>
      <c r="DI37" s="37">
        <f>IFERROR(__xludf.DUMMYFUNCTION("""COMPUTED_VALUE"""),45330.64583333333)</f>
        <v>45330.64583</v>
      </c>
      <c r="DJ37" s="45">
        <f>IFERROR(__xludf.DUMMYFUNCTION("""COMPUTED_VALUE"""),1797.1)</f>
        <v>1797.1</v>
      </c>
      <c r="DK37" s="46">
        <f t="shared" si="29"/>
        <v>0.119828016</v>
      </c>
      <c r="DL37" s="37"/>
      <c r="DM37" s="37">
        <f>IFERROR(__xludf.DUMMYFUNCTION("""COMPUTED_VALUE"""),45330.64583333333)</f>
        <v>45330.64583</v>
      </c>
      <c r="DN37" s="45">
        <f>IFERROR(__xludf.DUMMYFUNCTION("""COMPUTED_VALUE"""),577.25)</f>
        <v>577.25</v>
      </c>
      <c r="DO37" s="46">
        <f t="shared" si="30"/>
        <v>0.07665765178</v>
      </c>
      <c r="DP37" s="37"/>
      <c r="DQ37" s="37">
        <f>IFERROR(__xludf.DUMMYFUNCTION("""COMPUTED_VALUE"""),45330.64583333333)</f>
        <v>45330.64583</v>
      </c>
      <c r="DR37" s="45">
        <f>IFERROR(__xludf.DUMMYFUNCTION("""COMPUTED_VALUE"""),231.8)</f>
        <v>231.8</v>
      </c>
      <c r="DS37" s="46">
        <f t="shared" si="31"/>
        <v>0.06330275229</v>
      </c>
      <c r="DT37" s="37"/>
      <c r="DU37" s="37">
        <f>IFERROR(__xludf.DUMMYFUNCTION("""COMPUTED_VALUE"""),45330.64583333333)</f>
        <v>45330.64583</v>
      </c>
      <c r="DV37" s="45">
        <f>IFERROR(__xludf.DUMMYFUNCTION("""COMPUTED_VALUE"""),969.45)</f>
        <v>969.45</v>
      </c>
      <c r="DW37" s="46">
        <f t="shared" si="32"/>
        <v>0.1398589065</v>
      </c>
      <c r="DX37" s="37"/>
      <c r="DY37" s="37">
        <f>IFERROR(__xludf.DUMMYFUNCTION("""COMPUTED_VALUE"""),45330.64583333333)</f>
        <v>45330.64583</v>
      </c>
      <c r="DZ37" s="45">
        <f>IFERROR(__xludf.DUMMYFUNCTION("""COMPUTED_VALUE"""),14.7)</f>
        <v>14.7</v>
      </c>
      <c r="EA37" s="46">
        <f t="shared" si="33"/>
        <v>0.3548387097</v>
      </c>
      <c r="EB37" s="37"/>
      <c r="EC37" s="37">
        <f>IFERROR(__xludf.DUMMYFUNCTION("""COMPUTED_VALUE"""),45330.64583333333)</f>
        <v>45330.64583</v>
      </c>
      <c r="ED37" s="45">
        <f>IFERROR(__xludf.DUMMYFUNCTION("""COMPUTED_VALUE"""),2337.85)</f>
        <v>2337.85</v>
      </c>
      <c r="EE37" s="46">
        <f t="shared" si="34"/>
        <v>-0.1161247637</v>
      </c>
      <c r="EF37" s="37"/>
      <c r="EG37" s="37">
        <f>IFERROR(__xludf.DUMMYFUNCTION("""COMPUTED_VALUE"""),45330.64583333333)</f>
        <v>45330.64583</v>
      </c>
      <c r="EH37" s="45">
        <f>IFERROR(__xludf.DUMMYFUNCTION("""COMPUTED_VALUE"""),1157.05)</f>
        <v>1157.05</v>
      </c>
      <c r="EI37" s="46">
        <f t="shared" si="35"/>
        <v>0.7839192106</v>
      </c>
      <c r="EJ37" s="37"/>
      <c r="EK37" s="37">
        <f>IFERROR(__xludf.DUMMYFUNCTION("""COMPUTED_VALUE"""),45330.64583333333)</f>
        <v>45330.64583</v>
      </c>
      <c r="EL37" s="45">
        <f>IFERROR(__xludf.DUMMYFUNCTION("""COMPUTED_VALUE"""),192.4)</f>
        <v>192.4</v>
      </c>
      <c r="EM37" s="46">
        <f t="shared" si="36"/>
        <v>-0.04752475248</v>
      </c>
      <c r="EN37" s="37"/>
      <c r="EO37" s="37">
        <f>IFERROR(__xludf.DUMMYFUNCTION("""COMPUTED_VALUE"""),45330.64583333333)</f>
        <v>45330.64583</v>
      </c>
      <c r="EP37" s="45">
        <f>IFERROR(__xludf.DUMMYFUNCTION("""COMPUTED_VALUE"""),182.2)</f>
        <v>182.2</v>
      </c>
      <c r="EQ37" s="46">
        <f t="shared" si="37"/>
        <v>0.1758631817</v>
      </c>
      <c r="ER37" s="37"/>
      <c r="ES37" s="37">
        <f>IFERROR(__xludf.DUMMYFUNCTION("""COMPUTED_VALUE"""),45330.64583333333)</f>
        <v>45330.64583</v>
      </c>
      <c r="ET37" s="45">
        <f>IFERROR(__xludf.DUMMYFUNCTION("""COMPUTED_VALUE"""),187.0)</f>
        <v>187</v>
      </c>
      <c r="EU37" s="46">
        <f t="shared" si="38"/>
        <v>-0.03781836892</v>
      </c>
      <c r="EV37" s="37"/>
      <c r="EW37" s="37">
        <f>IFERROR(__xludf.DUMMYFUNCTION("""COMPUTED_VALUE"""),45330.64583333333)</f>
        <v>45330.64583</v>
      </c>
      <c r="EX37" s="45">
        <f>IFERROR(__xludf.DUMMYFUNCTION("""COMPUTED_VALUE"""),727.8)</f>
        <v>727.8</v>
      </c>
      <c r="EY37" s="46">
        <f t="shared" si="39"/>
        <v>0.1231481481</v>
      </c>
      <c r="EZ37" s="37"/>
      <c r="FA37" s="37">
        <f>IFERROR(__xludf.DUMMYFUNCTION("""COMPUTED_VALUE"""),45330.64583333333)</f>
        <v>45330.64583</v>
      </c>
      <c r="FB37" s="45">
        <f>IFERROR(__xludf.DUMMYFUNCTION("""COMPUTED_VALUE"""),222.45)</f>
        <v>222.45</v>
      </c>
      <c r="FC37" s="46">
        <f t="shared" si="40"/>
        <v>0.275516055</v>
      </c>
      <c r="FD37" s="37"/>
      <c r="FE37" s="37">
        <f>IFERROR(__xludf.DUMMYFUNCTION("""COMPUTED_VALUE"""),45330.64583333333)</f>
        <v>45330.64583</v>
      </c>
      <c r="FF37" s="45">
        <f>IFERROR(__xludf.DUMMYFUNCTION("""COMPUTED_VALUE"""),392.6)</f>
        <v>392.6</v>
      </c>
      <c r="FG37" s="46">
        <f t="shared" si="41"/>
        <v>0.2880577428</v>
      </c>
      <c r="FH37" s="37"/>
      <c r="FI37" s="37">
        <f>IFERROR(__xludf.DUMMYFUNCTION("""COMPUTED_VALUE"""),45330.64583333333)</f>
        <v>45330.64583</v>
      </c>
      <c r="FJ37" s="45">
        <f>IFERROR(__xludf.DUMMYFUNCTION("""COMPUTED_VALUE"""),698.0)</f>
        <v>698</v>
      </c>
      <c r="FK37" s="46">
        <f t="shared" si="42"/>
        <v>0.1517201551</v>
      </c>
      <c r="FL37" s="37"/>
      <c r="FM37" s="37">
        <f>IFERROR(__xludf.DUMMYFUNCTION("""COMPUTED_VALUE"""),45330.64583333333)</f>
        <v>45330.64583</v>
      </c>
      <c r="FN37" s="45">
        <f>IFERROR(__xludf.DUMMYFUNCTION("""COMPUTED_VALUE"""),114.5)</f>
        <v>114.5</v>
      </c>
      <c r="FO37" s="46">
        <f t="shared" si="43"/>
        <v>0.2052631579</v>
      </c>
      <c r="FP37" s="37"/>
      <c r="FQ37" s="37">
        <f>IFERROR(__xludf.DUMMYFUNCTION("""COMPUTED_VALUE"""),45330.64583333333)</f>
        <v>45330.64583</v>
      </c>
      <c r="FR37" s="45">
        <f>IFERROR(__xludf.DUMMYFUNCTION("""COMPUTED_VALUE"""),3.85)</f>
        <v>3.85</v>
      </c>
      <c r="FS37" s="46">
        <f t="shared" si="44"/>
        <v>-0.3</v>
      </c>
      <c r="FT37" s="37"/>
      <c r="FU37" s="37">
        <f>IFERROR(__xludf.DUMMYFUNCTION("""COMPUTED_VALUE"""),45330.64583333333)</f>
        <v>45330.64583</v>
      </c>
      <c r="FV37" s="45">
        <f>IFERROR(__xludf.DUMMYFUNCTION("""COMPUTED_VALUE"""),828.6)</f>
        <v>828.6</v>
      </c>
      <c r="FW37" s="46">
        <f t="shared" si="45"/>
        <v>0.2412553367</v>
      </c>
      <c r="FX37" s="37"/>
      <c r="FY37" s="37">
        <f>IFERROR(__xludf.DUMMYFUNCTION("""COMPUTED_VALUE"""),45330.64583333333)</f>
        <v>45330.64583</v>
      </c>
      <c r="FZ37" s="45">
        <f>IFERROR(__xludf.DUMMYFUNCTION("""COMPUTED_VALUE"""),138.0)</f>
        <v>138</v>
      </c>
      <c r="GA37" s="46">
        <f t="shared" si="46"/>
        <v>-0.1872791519</v>
      </c>
      <c r="GB37" s="37"/>
      <c r="GC37" s="37">
        <f>IFERROR(__xludf.DUMMYFUNCTION("""COMPUTED_VALUE"""),45330.64583333333)</f>
        <v>45330.64583</v>
      </c>
      <c r="GD37" s="45">
        <f>IFERROR(__xludf.DUMMYFUNCTION("""COMPUTED_VALUE"""),369.4)</f>
        <v>369.4</v>
      </c>
      <c r="GE37" s="46">
        <f t="shared" si="47"/>
        <v>-0.2002597965</v>
      </c>
      <c r="GF37" s="37"/>
      <c r="GG37" s="37">
        <f>IFERROR(__xludf.DUMMYFUNCTION("""COMPUTED_VALUE"""),45330.64583333333)</f>
        <v>45330.64583</v>
      </c>
      <c r="GH37" s="45">
        <f>IFERROR(__xludf.DUMMYFUNCTION("""COMPUTED_VALUE"""),6182.95)</f>
        <v>6182.95</v>
      </c>
      <c r="GI37" s="46">
        <f t="shared" si="48"/>
        <v>0.1668144933</v>
      </c>
      <c r="GJ37" s="37"/>
      <c r="GK37" s="37">
        <f>IFERROR(__xludf.DUMMYFUNCTION("""COMPUTED_VALUE"""),45330.64583333333)</f>
        <v>45330.64583</v>
      </c>
      <c r="GL37" s="45">
        <f>IFERROR(__xludf.DUMMYFUNCTION("""COMPUTED_VALUE"""),83.7)</f>
        <v>83.7</v>
      </c>
      <c r="GM37" s="46">
        <f t="shared" si="49"/>
        <v>-0.2619047619</v>
      </c>
      <c r="GN37" s="37"/>
      <c r="GO37" s="37">
        <f>IFERROR(__xludf.DUMMYFUNCTION("""COMPUTED_VALUE"""),45330.64583333333)</f>
        <v>45330.64583</v>
      </c>
      <c r="GP37" s="45">
        <f>IFERROR(__xludf.DUMMYFUNCTION("""COMPUTED_VALUE"""),1185.45)</f>
        <v>1185.45</v>
      </c>
      <c r="GQ37" s="46">
        <f t="shared" si="50"/>
        <v>0.07812286845</v>
      </c>
      <c r="GR37" s="37"/>
      <c r="GS37" s="37">
        <f>IFERROR(__xludf.DUMMYFUNCTION("""COMPUTED_VALUE"""),45330.64583333333)</f>
        <v>45330.64583</v>
      </c>
      <c r="GT37" s="45">
        <f>IFERROR(__xludf.DUMMYFUNCTION("""COMPUTED_VALUE"""),14.35)</f>
        <v>14.35</v>
      </c>
      <c r="GU37" s="46">
        <f t="shared" si="51"/>
        <v>0.1081081081</v>
      </c>
      <c r="GV37" s="37"/>
      <c r="GW37" s="37">
        <f>IFERROR(__xludf.DUMMYFUNCTION("""COMPUTED_VALUE"""),45331.64583333333)</f>
        <v>45331.64583</v>
      </c>
      <c r="GX37" s="45">
        <f>IFERROR(__xludf.DUMMYFUNCTION("""COMPUTED_VALUE"""),19.4)</f>
        <v>19.4</v>
      </c>
      <c r="GY37" s="46">
        <f t="shared" si="52"/>
        <v>0.1757575758</v>
      </c>
      <c r="GZ37" s="37"/>
      <c r="HA37" s="37">
        <f>IFERROR(__xludf.DUMMYFUNCTION("""COMPUTED_VALUE"""),45331.64583333333)</f>
        <v>45331.64583</v>
      </c>
      <c r="HB37" s="45">
        <f>IFERROR(__xludf.DUMMYFUNCTION("""COMPUTED_VALUE"""),602.0)</f>
        <v>602</v>
      </c>
      <c r="HC37" s="46">
        <f t="shared" si="53"/>
        <v>-0.009868421053</v>
      </c>
      <c r="HD37" s="37"/>
      <c r="HE37" s="43">
        <f>IFERROR(__xludf.DUMMYFUNCTION("""COMPUTED_VALUE"""),45331.64583333333)</f>
        <v>45331.64583</v>
      </c>
      <c r="HF37" s="45">
        <f>IFERROR(__xludf.DUMMYFUNCTION("""COMPUTED_VALUE"""),3000.0)</f>
        <v>3000</v>
      </c>
      <c r="HG37" s="46" t="str">
        <f t="shared" si="54"/>
        <v>#DIV/0!</v>
      </c>
      <c r="HH37" s="37"/>
      <c r="HI37" s="37">
        <f>IFERROR(__xludf.DUMMYFUNCTION("""COMPUTED_VALUE"""),45331.64583333333)</f>
        <v>45331.64583</v>
      </c>
      <c r="HJ37" s="45">
        <f>IFERROR(__xludf.DUMMYFUNCTION("""COMPUTED_VALUE"""),7631.0)</f>
        <v>7631</v>
      </c>
      <c r="HK37" s="46">
        <f t="shared" si="55"/>
        <v>0.4933317678</v>
      </c>
      <c r="HL37" s="37"/>
      <c r="HM37" s="37">
        <f>IFERROR(__xludf.DUMMYFUNCTION("""COMPUTED_VALUE"""),45331.64583333333)</f>
        <v>45331.64583</v>
      </c>
      <c r="HN37" s="45">
        <f>IFERROR(__xludf.DUMMYFUNCTION("""COMPUTED_VALUE"""),363.0)</f>
        <v>363</v>
      </c>
      <c r="HO37" s="46">
        <f t="shared" si="56"/>
        <v>-0.1071208953</v>
      </c>
      <c r="HP37" s="37"/>
      <c r="HQ37" s="37">
        <f>IFERROR(__xludf.DUMMYFUNCTION("""COMPUTED_VALUE"""),45331.64583333333)</f>
        <v>45331.64583</v>
      </c>
      <c r="HR37" s="45">
        <f>IFERROR(__xludf.DUMMYFUNCTION("""COMPUTED_VALUE"""),271.8)</f>
        <v>271.8</v>
      </c>
      <c r="HS37" s="46">
        <f t="shared" si="57"/>
        <v>0.06881635863</v>
      </c>
      <c r="HT37" s="37"/>
      <c r="HU37" s="37">
        <f>IFERROR(__xludf.DUMMYFUNCTION("""COMPUTED_VALUE"""),45331.64583333333)</f>
        <v>45331.64583</v>
      </c>
      <c r="HV37" s="45">
        <f>IFERROR(__xludf.DUMMYFUNCTION("""COMPUTED_VALUE"""),64.35)</f>
        <v>64.35</v>
      </c>
      <c r="HW37" s="46">
        <f t="shared" si="58"/>
        <v>0.03125</v>
      </c>
      <c r="HX37" s="37"/>
      <c r="HY37" s="37">
        <f>IFERROR(__xludf.DUMMYFUNCTION("""COMPUTED_VALUE"""),45331.64583333333)</f>
        <v>45331.64583</v>
      </c>
      <c r="HZ37" s="45">
        <f>IFERROR(__xludf.DUMMYFUNCTION("""COMPUTED_VALUE"""),329.8)</f>
        <v>329.8</v>
      </c>
      <c r="IA37" s="46">
        <f t="shared" si="59"/>
        <v>-0.2907526882</v>
      </c>
      <c r="IB37" s="37"/>
      <c r="IC37" s="37">
        <f>IFERROR(__xludf.DUMMYFUNCTION("""COMPUTED_VALUE"""),45331.64583333333)</f>
        <v>45331.64583</v>
      </c>
      <c r="ID37" s="45">
        <f>IFERROR(__xludf.DUMMYFUNCTION("""COMPUTED_VALUE"""),84.35)</f>
        <v>84.35</v>
      </c>
      <c r="IE37" s="46">
        <f t="shared" si="60"/>
        <v>-0.8077492877</v>
      </c>
      <c r="IF37" s="37"/>
      <c r="IG37" s="37">
        <f>IFERROR(__xludf.DUMMYFUNCTION("""COMPUTED_VALUE"""),45331.64583333333)</f>
        <v>45331.64583</v>
      </c>
      <c r="IH37" s="45">
        <f>IFERROR(__xludf.DUMMYFUNCTION("""COMPUTED_VALUE"""),525.85)</f>
        <v>525.85</v>
      </c>
      <c r="II37" s="46">
        <f t="shared" si="61"/>
        <v>-0.01341463415</v>
      </c>
      <c r="IJ37" s="37"/>
      <c r="IK37" s="37">
        <f>IFERROR(__xludf.DUMMYFUNCTION("""COMPUTED_VALUE"""),45331.64583333333)</f>
        <v>45331.64583</v>
      </c>
      <c r="IL37" s="45">
        <f>IFERROR(__xludf.DUMMYFUNCTION("""COMPUTED_VALUE"""),529.3)</f>
        <v>529.3</v>
      </c>
      <c r="IM37" s="46">
        <f t="shared" si="62"/>
        <v>-0.1434582086</v>
      </c>
      <c r="IN37" s="37"/>
      <c r="IO37" s="37">
        <f>IFERROR(__xludf.DUMMYFUNCTION("""COMPUTED_VALUE"""),45334.64583333333)</f>
        <v>45334.64583</v>
      </c>
      <c r="IP37" s="45">
        <f>IFERROR(__xludf.DUMMYFUNCTION("""COMPUTED_VALUE"""),227.35)</f>
        <v>227.35</v>
      </c>
      <c r="IQ37" s="46">
        <f t="shared" si="63"/>
        <v>0.8088153393</v>
      </c>
      <c r="IR37" s="37"/>
      <c r="IS37" s="37">
        <f>IFERROR(__xludf.DUMMYFUNCTION("""COMPUTED_VALUE"""),45331.64583333333)</f>
        <v>45331.64583</v>
      </c>
      <c r="IT37" s="45">
        <f>IFERROR(__xludf.DUMMYFUNCTION("""COMPUTED_VALUE"""),880.0)</f>
        <v>880</v>
      </c>
      <c r="IU37" s="46">
        <f t="shared" si="64"/>
        <v>-0.1235059761</v>
      </c>
      <c r="IV37" s="37"/>
      <c r="IW37" s="37">
        <f>IFERROR(__xludf.DUMMYFUNCTION("""COMPUTED_VALUE"""),45331.64583333333)</f>
        <v>45331.64583</v>
      </c>
      <c r="IX37" s="45">
        <f>IFERROR(__xludf.DUMMYFUNCTION("""COMPUTED_VALUE"""),317.85)</f>
        <v>317.85</v>
      </c>
      <c r="IY37" s="46">
        <f t="shared" si="65"/>
        <v>0.5433357611</v>
      </c>
      <c r="IZ37" s="37"/>
      <c r="JA37" s="37">
        <f>IFERROR(__xludf.DUMMYFUNCTION("""COMPUTED_VALUE"""),45331.64583333333)</f>
        <v>45331.64583</v>
      </c>
      <c r="JB37" s="45">
        <f>IFERROR(__xludf.DUMMYFUNCTION("""COMPUTED_VALUE"""),33886.0)</f>
        <v>33886</v>
      </c>
      <c r="JC37" s="46">
        <f t="shared" si="66"/>
        <v>-0.04284001339</v>
      </c>
      <c r="JD37" s="37"/>
      <c r="JE37" s="37">
        <f>IFERROR(__xludf.DUMMYFUNCTION("""COMPUTED_VALUE"""),45331.64583333333)</f>
        <v>45331.64583</v>
      </c>
      <c r="JF37" s="45">
        <f>IFERROR(__xludf.DUMMYFUNCTION("""COMPUTED_VALUE"""),666.0)</f>
        <v>666</v>
      </c>
      <c r="JG37" s="46">
        <f t="shared" si="67"/>
        <v>0.03255813953</v>
      </c>
      <c r="JH37" s="37"/>
      <c r="JI37" s="37">
        <f>IFERROR(__xludf.DUMMYFUNCTION("""COMPUTED_VALUE"""),45331.64583333333)</f>
        <v>45331.64583</v>
      </c>
      <c r="JJ37" s="45">
        <f>IFERROR(__xludf.DUMMYFUNCTION("""COMPUTED_VALUE"""),313.0)</f>
        <v>313</v>
      </c>
      <c r="JK37" s="46">
        <f t="shared" si="68"/>
        <v>-0.06273394221</v>
      </c>
      <c r="JL37" s="37"/>
      <c r="JM37" s="37">
        <f>IFERROR(__xludf.DUMMYFUNCTION("""COMPUTED_VALUE"""),45331.64583333333)</f>
        <v>45331.64583</v>
      </c>
      <c r="JN37" s="45">
        <f>IFERROR(__xludf.DUMMYFUNCTION("""COMPUTED_VALUE"""),15.9)</f>
        <v>15.9</v>
      </c>
      <c r="JO37" s="46">
        <f t="shared" si="69"/>
        <v>-0.9637606838</v>
      </c>
      <c r="JP37" s="37"/>
      <c r="JQ37" s="37">
        <f>IFERROR(__xludf.DUMMYFUNCTION("""COMPUTED_VALUE"""),45331.64583333333)</f>
        <v>45331.64583</v>
      </c>
      <c r="JR37" s="45">
        <f>IFERROR(__xludf.DUMMYFUNCTION("""COMPUTED_VALUE"""),94.5)</f>
        <v>94.5</v>
      </c>
      <c r="JS37" s="46">
        <f t="shared" si="70"/>
        <v>-0.3051470588</v>
      </c>
      <c r="JT37" s="37"/>
      <c r="JU37" s="37">
        <f>IFERROR(__xludf.DUMMYFUNCTION("""COMPUTED_VALUE"""),45331.64583333333)</f>
        <v>45331.64583</v>
      </c>
      <c r="JV37" s="45">
        <f>IFERROR(__xludf.DUMMYFUNCTION("""COMPUTED_VALUE"""),233.65)</f>
        <v>233.65</v>
      </c>
      <c r="JW37" s="46">
        <f t="shared" si="71"/>
        <v>-0.4674643875</v>
      </c>
      <c r="JX37" s="37"/>
      <c r="JY37" s="37">
        <f>IFERROR(__xludf.DUMMYFUNCTION("""COMPUTED_VALUE"""),45331.64583333333)</f>
        <v>45331.64583</v>
      </c>
      <c r="JZ37" s="45">
        <f>IFERROR(__xludf.DUMMYFUNCTION("""COMPUTED_VALUE"""),603.9)</f>
        <v>603.9</v>
      </c>
      <c r="KA37" s="46">
        <f t="shared" si="72"/>
        <v>0.09600725953</v>
      </c>
      <c r="KB37" s="37"/>
      <c r="KC37" s="37">
        <f>IFERROR(__xludf.DUMMYFUNCTION("""COMPUTED_VALUE"""),45331.64583333333)</f>
        <v>45331.64583</v>
      </c>
      <c r="KD37" s="45">
        <f>IFERROR(__xludf.DUMMYFUNCTION("""COMPUTED_VALUE"""),963.45)</f>
        <v>963.45</v>
      </c>
      <c r="KE37" s="46">
        <f t="shared" si="73"/>
        <v>0.1029133993</v>
      </c>
      <c r="KF37" s="37"/>
      <c r="KG37" s="37">
        <f>IFERROR(__xludf.DUMMYFUNCTION("""COMPUTED_VALUE"""),45331.64583333333)</f>
        <v>45331.64583</v>
      </c>
      <c r="KH37" s="45">
        <f>IFERROR(__xludf.DUMMYFUNCTION("""COMPUTED_VALUE"""),447.45)</f>
        <v>447.45</v>
      </c>
      <c r="KI37" s="46">
        <f t="shared" si="74"/>
        <v>0.1473076923</v>
      </c>
      <c r="KJ37" s="37"/>
      <c r="KK37" s="37">
        <f>IFERROR(__xludf.DUMMYFUNCTION("""COMPUTED_VALUE"""),45331.64583333333)</f>
        <v>45331.64583</v>
      </c>
      <c r="KL37" s="45">
        <f>IFERROR(__xludf.DUMMYFUNCTION("""COMPUTED_VALUE"""),14.45)</f>
        <v>14.45</v>
      </c>
      <c r="KM37" s="46">
        <f t="shared" si="75"/>
        <v>0.5537634409</v>
      </c>
      <c r="KN37" s="37"/>
      <c r="KO37" s="37">
        <f>IFERROR(__xludf.DUMMYFUNCTION("""COMPUTED_VALUE"""),45331.64583333333)</f>
        <v>45331.64583</v>
      </c>
      <c r="KP37" s="45">
        <f>IFERROR(__xludf.DUMMYFUNCTION("""COMPUTED_VALUE"""),262.5)</f>
        <v>262.5</v>
      </c>
      <c r="KQ37" s="46">
        <f t="shared" si="76"/>
        <v>0.2911952779</v>
      </c>
      <c r="KR37" s="37"/>
      <c r="KS37" s="37">
        <f>IFERROR(__xludf.DUMMYFUNCTION("""COMPUTED_VALUE"""),45331.64583333333)</f>
        <v>45331.64583</v>
      </c>
      <c r="KT37" s="45">
        <f>IFERROR(__xludf.DUMMYFUNCTION("""COMPUTED_VALUE"""),14.7)</f>
        <v>14.7</v>
      </c>
      <c r="KU37" s="46">
        <f t="shared" si="77"/>
        <v>0.3303167421</v>
      </c>
      <c r="KV37" s="37"/>
      <c r="KW37" s="37">
        <f>IFERROR(__xludf.DUMMYFUNCTION("""COMPUTED_VALUE"""),45331.64583333333)</f>
        <v>45331.64583</v>
      </c>
      <c r="KX37" s="45">
        <f>IFERROR(__xludf.DUMMYFUNCTION("""COMPUTED_VALUE"""),2279.0)</f>
        <v>2279</v>
      </c>
      <c r="KY37" s="46">
        <f t="shared" si="78"/>
        <v>-0.146425963</v>
      </c>
      <c r="KZ37" s="37"/>
      <c r="LA37" s="37">
        <f>IFERROR(__xludf.DUMMYFUNCTION("""COMPUTED_VALUE"""),45331.64583333333)</f>
        <v>45331.64583</v>
      </c>
      <c r="LB37" s="45">
        <f>IFERROR(__xludf.DUMMYFUNCTION("""COMPUTED_VALUE"""),20.0)</f>
        <v>20</v>
      </c>
      <c r="LC37" s="46">
        <f t="shared" si="79"/>
        <v>0.06100795756</v>
      </c>
      <c r="LD37" s="37"/>
      <c r="LE37" s="37">
        <f>IFERROR(__xludf.DUMMYFUNCTION("""COMPUTED_VALUE"""),45331.64583333333)</f>
        <v>45331.64583</v>
      </c>
      <c r="LF37" s="45">
        <f>IFERROR(__xludf.DUMMYFUNCTION("""COMPUTED_VALUE"""),123.8)</f>
        <v>123.8</v>
      </c>
      <c r="LG37" s="46">
        <f t="shared" si="80"/>
        <v>-0.0096</v>
      </c>
      <c r="LH37" s="37"/>
      <c r="LI37" s="37">
        <f>IFERROR(__xludf.DUMMYFUNCTION("""COMPUTED_VALUE"""),45331.64583333333)</f>
        <v>45331.64583</v>
      </c>
      <c r="LJ37" s="45">
        <f>IFERROR(__xludf.DUMMYFUNCTION("""COMPUTED_VALUE"""),716.6)</f>
        <v>716.6</v>
      </c>
      <c r="LK37" s="46">
        <f t="shared" si="81"/>
        <v>-0.01565934066</v>
      </c>
      <c r="LL37" s="37"/>
      <c r="LM37" s="37">
        <f>IFERROR(__xludf.DUMMYFUNCTION("""COMPUTED_VALUE"""),45331.64583333333)</f>
        <v>45331.64583</v>
      </c>
      <c r="LN37" s="45">
        <f>IFERROR(__xludf.DUMMYFUNCTION("""COMPUTED_VALUE"""),808.0)</f>
        <v>808</v>
      </c>
      <c r="LO37" s="46">
        <f t="shared" si="82"/>
        <v>-0.05497076023</v>
      </c>
      <c r="LP37" s="37"/>
      <c r="LQ37" s="37">
        <f>IFERROR(__xludf.DUMMYFUNCTION("""COMPUTED_VALUE"""),45331.64583333333)</f>
        <v>45331.64583</v>
      </c>
      <c r="LR37" s="45">
        <f>IFERROR(__xludf.DUMMYFUNCTION("""COMPUTED_VALUE"""),590.05)</f>
        <v>590.05</v>
      </c>
      <c r="LS37" s="46">
        <f t="shared" si="83"/>
        <v>0.6148056924</v>
      </c>
      <c r="LT37" s="37"/>
      <c r="LU37" s="37">
        <f>IFERROR(__xludf.DUMMYFUNCTION("""COMPUTED_VALUE"""),45331.64583333333)</f>
        <v>45331.64583</v>
      </c>
      <c r="LV37" s="45">
        <f>IFERROR(__xludf.DUMMYFUNCTION("""COMPUTED_VALUE"""),126.4)</f>
        <v>126.4</v>
      </c>
      <c r="LW37" s="46">
        <f t="shared" si="84"/>
        <v>-0.07602339181</v>
      </c>
      <c r="LX37" s="37"/>
      <c r="LY37" s="37">
        <f>IFERROR(__xludf.DUMMYFUNCTION("""COMPUTED_VALUE"""),45331.64583333333)</f>
        <v>45331.64583</v>
      </c>
      <c r="LZ37" s="45">
        <f>IFERROR(__xludf.DUMMYFUNCTION("""COMPUTED_VALUE"""),678.95)</f>
        <v>678.95</v>
      </c>
      <c r="MA37" s="46">
        <f t="shared" si="85"/>
        <v>0.09508064516</v>
      </c>
      <c r="MB37" s="37"/>
      <c r="MC37" s="37"/>
      <c r="MD37" s="45"/>
      <c r="ME37" s="46" t="str">
        <f t="shared" si="86"/>
        <v>#DIV/0!</v>
      </c>
      <c r="MF37" s="37"/>
      <c r="MG37" s="37">
        <f>IFERROR(__xludf.DUMMYFUNCTION("""COMPUTED_VALUE"""),45331.64583333333)</f>
        <v>45331.64583</v>
      </c>
      <c r="MH37" s="45">
        <f>IFERROR(__xludf.DUMMYFUNCTION("""COMPUTED_VALUE"""),2022.3)</f>
        <v>2022.3</v>
      </c>
      <c r="MI37" s="46">
        <f t="shared" si="87"/>
        <v>0.03128585635</v>
      </c>
      <c r="MJ37" s="37"/>
      <c r="MK37" s="37">
        <f>IFERROR(__xludf.DUMMYFUNCTION("""COMPUTED_VALUE"""),45331.64583333333)</f>
        <v>45331.64583</v>
      </c>
      <c r="ML37" s="45">
        <f>IFERROR(__xludf.DUMMYFUNCTION("""COMPUTED_VALUE"""),373.55)</f>
        <v>373.55</v>
      </c>
      <c r="MM37" s="46">
        <f t="shared" si="88"/>
        <v>-0.06600825103</v>
      </c>
      <c r="MN37" s="37"/>
      <c r="MO37" s="37">
        <f>IFERROR(__xludf.DUMMYFUNCTION("""COMPUTED_VALUE"""),45331.64583333333)</f>
        <v>45331.64583</v>
      </c>
      <c r="MP37" s="45">
        <f>IFERROR(__xludf.DUMMYFUNCTION("""COMPUTED_VALUE"""),924.9)</f>
        <v>924.9</v>
      </c>
      <c r="MQ37" s="46">
        <f t="shared" si="89"/>
        <v>0.2498648649</v>
      </c>
      <c r="MR37" s="37"/>
      <c r="MS37" s="37">
        <f>IFERROR(__xludf.DUMMYFUNCTION("""COMPUTED_VALUE"""),45331.64583333333)</f>
        <v>45331.64583</v>
      </c>
      <c r="MT37" s="45">
        <f>IFERROR(__xludf.DUMMYFUNCTION("""COMPUTED_VALUE"""),61.05)</f>
        <v>61.05</v>
      </c>
      <c r="MU37" s="46">
        <f t="shared" si="90"/>
        <v>-0.07709750567</v>
      </c>
      <c r="MV37" s="37"/>
      <c r="MW37" s="37">
        <f>IFERROR(__xludf.DUMMYFUNCTION("""COMPUTED_VALUE"""),45331.64583333333)</f>
        <v>45331.64583</v>
      </c>
      <c r="MX37" s="45">
        <f>IFERROR(__xludf.DUMMYFUNCTION("""COMPUTED_VALUE"""),3125.0)</f>
        <v>3125</v>
      </c>
      <c r="MY37" s="46">
        <f t="shared" si="91"/>
        <v>-0.006990784874</v>
      </c>
      <c r="MZ37" s="37"/>
      <c r="NA37" s="37">
        <f>IFERROR(__xludf.DUMMYFUNCTION("""COMPUTED_VALUE"""),45331.64583333333)</f>
        <v>45331.64583</v>
      </c>
      <c r="NB37" s="45">
        <f>IFERROR(__xludf.DUMMYFUNCTION("""COMPUTED_VALUE"""),14.15)</f>
        <v>14.15</v>
      </c>
      <c r="NC37" s="46">
        <f t="shared" si="92"/>
        <v>0.1185770751</v>
      </c>
      <c r="ND37" s="37"/>
      <c r="NE37" s="37">
        <f>IFERROR(__xludf.DUMMYFUNCTION("""COMPUTED_VALUE"""),45334.64583333333)</f>
        <v>45334.64583</v>
      </c>
      <c r="NF37" s="45">
        <f>IFERROR(__xludf.DUMMYFUNCTION("""COMPUTED_VALUE"""),364.15)</f>
        <v>364.15</v>
      </c>
      <c r="NG37" s="46">
        <f t="shared" si="93"/>
        <v>-0.04909257083</v>
      </c>
      <c r="NH37" s="37"/>
      <c r="NI37" s="37">
        <f>IFERROR(__xludf.DUMMYFUNCTION("""COMPUTED_VALUE"""),45334.64583333333)</f>
        <v>45334.64583</v>
      </c>
      <c r="NJ37" s="45">
        <f>IFERROR(__xludf.DUMMYFUNCTION("""COMPUTED_VALUE"""),340.13)</f>
        <v>340.13</v>
      </c>
      <c r="NK37" s="46">
        <f t="shared" si="94"/>
        <v>0.2754715566</v>
      </c>
      <c r="NL37" s="37"/>
      <c r="NM37" s="37">
        <f>IFERROR(__xludf.DUMMYFUNCTION("""COMPUTED_VALUE"""),45334.64583333333)</f>
        <v>45334.64583</v>
      </c>
      <c r="NN37" s="45">
        <f>IFERROR(__xludf.DUMMYFUNCTION("""COMPUTED_VALUE"""),136.0)</f>
        <v>136</v>
      </c>
      <c r="NO37" s="46">
        <f t="shared" si="95"/>
        <v>0.103000811</v>
      </c>
      <c r="NP37" s="37"/>
      <c r="NQ37" s="37">
        <f>IFERROR(__xludf.DUMMYFUNCTION("""COMPUTED_VALUE"""),45334.64583333333)</f>
        <v>45334.64583</v>
      </c>
      <c r="NR37" s="45">
        <f>IFERROR(__xludf.DUMMYFUNCTION("""COMPUTED_VALUE"""),4949.05)</f>
        <v>4949.05</v>
      </c>
      <c r="NS37" s="46">
        <f t="shared" si="96"/>
        <v>0.1851173372</v>
      </c>
      <c r="NT37" s="37"/>
      <c r="NU37" s="37">
        <f>IFERROR(__xludf.DUMMYFUNCTION("""COMPUTED_VALUE"""),45334.64583333333)</f>
        <v>45334.64583</v>
      </c>
      <c r="NV37" s="45">
        <f>IFERROR(__xludf.DUMMYFUNCTION("""COMPUTED_VALUE"""),17.3)</f>
        <v>17.3</v>
      </c>
      <c r="NW37" s="46">
        <f t="shared" si="97"/>
        <v>0.3622047244</v>
      </c>
      <c r="NX37" s="37"/>
      <c r="NY37" s="37">
        <f>IFERROR(__xludf.DUMMYFUNCTION("""COMPUTED_VALUE"""),45334.64583333333)</f>
        <v>45334.64583</v>
      </c>
      <c r="NZ37" s="45">
        <f>IFERROR(__xludf.DUMMYFUNCTION("""COMPUTED_VALUE"""),257.85)</f>
        <v>257.85</v>
      </c>
      <c r="OA37" s="46">
        <f t="shared" si="98"/>
        <v>0.04477309562</v>
      </c>
      <c r="OB37" s="37"/>
      <c r="OC37" s="37">
        <f>IFERROR(__xludf.DUMMYFUNCTION("""COMPUTED_VALUE"""),45334.64583333333)</f>
        <v>45334.64583</v>
      </c>
      <c r="OD37" s="45">
        <f>IFERROR(__xludf.DUMMYFUNCTION("""COMPUTED_VALUE"""),1134.4)</f>
        <v>1134.4</v>
      </c>
      <c r="OE37" s="46">
        <f t="shared" si="99"/>
        <v>0.0763318943</v>
      </c>
      <c r="OF37" s="37"/>
      <c r="OG37" s="37">
        <f>IFERROR(__xludf.DUMMYFUNCTION("""COMPUTED_VALUE"""),45334.64583333333)</f>
        <v>45334.64583</v>
      </c>
      <c r="OH37" s="45">
        <f>IFERROR(__xludf.DUMMYFUNCTION("""COMPUTED_VALUE"""),3042.5)</f>
        <v>3042.5</v>
      </c>
      <c r="OI37" s="46">
        <f t="shared" si="100"/>
        <v>0.247028445</v>
      </c>
      <c r="OJ37" s="37"/>
      <c r="OK37" s="37"/>
      <c r="OL37" s="45"/>
      <c r="OM37" s="46" t="str">
        <f t="shared" si="101"/>
        <v>#DIV/0!</v>
      </c>
      <c r="ON37" s="37"/>
    </row>
    <row r="38" ht="12.0" customHeight="1">
      <c r="A38" s="37">
        <f>IFERROR(__xludf.DUMMYFUNCTION("""COMPUTED_VALUE"""),45331.64583333333)</f>
        <v>45331.64583</v>
      </c>
      <c r="B38" s="45">
        <f>IFERROR(__xludf.DUMMYFUNCTION("""COMPUTED_VALUE"""),396.0)</f>
        <v>396</v>
      </c>
      <c r="C38" s="46">
        <f t="shared" si="1"/>
        <v>-0.09743589744</v>
      </c>
      <c r="D38" s="37"/>
      <c r="E38" s="37">
        <f>IFERROR(__xludf.DUMMYFUNCTION("""COMPUTED_VALUE"""),45331.64583333333)</f>
        <v>45331.64583</v>
      </c>
      <c r="F38" s="45">
        <f>IFERROR(__xludf.DUMMYFUNCTION("""COMPUTED_VALUE"""),729.9)</f>
        <v>729.9</v>
      </c>
      <c r="G38" s="46">
        <f t="shared" si="2"/>
        <v>0.114351145</v>
      </c>
      <c r="H38" s="37"/>
      <c r="I38" s="37">
        <f>IFERROR(__xludf.DUMMYFUNCTION("""COMPUTED_VALUE"""),45331.64583333333)</f>
        <v>45331.64583</v>
      </c>
      <c r="J38" s="45">
        <f>IFERROR(__xludf.DUMMYFUNCTION("""COMPUTED_VALUE"""),185.7)</f>
        <v>185.7</v>
      </c>
      <c r="K38" s="46">
        <f t="shared" si="3"/>
        <v>0.009239130435</v>
      </c>
      <c r="L38" s="37"/>
      <c r="M38" s="37">
        <f>IFERROR(__xludf.DUMMYFUNCTION("""COMPUTED_VALUE"""),45331.64583333333)</f>
        <v>45331.64583</v>
      </c>
      <c r="N38" s="45">
        <f>IFERROR(__xludf.DUMMYFUNCTION("""COMPUTED_VALUE"""),107.35)</f>
        <v>107.35</v>
      </c>
      <c r="O38" s="46">
        <f t="shared" si="4"/>
        <v>0.2424768519</v>
      </c>
      <c r="P38" s="37"/>
      <c r="Q38" s="37">
        <f>IFERROR(__xludf.DUMMYFUNCTION("""COMPUTED_VALUE"""),45331.64583333333)</f>
        <v>45331.64583</v>
      </c>
      <c r="R38" s="45">
        <f>IFERROR(__xludf.DUMMYFUNCTION("""COMPUTED_VALUE"""),54.55)</f>
        <v>54.55</v>
      </c>
      <c r="S38" s="46">
        <f t="shared" si="5"/>
        <v>0.03904761905</v>
      </c>
      <c r="T38" s="37"/>
      <c r="U38" s="37">
        <f>IFERROR(__xludf.DUMMYFUNCTION("""COMPUTED_VALUE"""),45331.64583333333)</f>
        <v>45331.64583</v>
      </c>
      <c r="V38" s="45">
        <f>IFERROR(__xludf.DUMMYFUNCTION("""COMPUTED_VALUE"""),705.95)</f>
        <v>705.95</v>
      </c>
      <c r="W38" s="46">
        <f t="shared" si="6"/>
        <v>0.06574577295</v>
      </c>
      <c r="X38" s="37"/>
      <c r="Y38" s="37">
        <f>IFERROR(__xludf.DUMMYFUNCTION("""COMPUTED_VALUE"""),45331.64583333333)</f>
        <v>45331.64583</v>
      </c>
      <c r="Z38" s="45">
        <f>IFERROR(__xludf.DUMMYFUNCTION("""COMPUTED_VALUE"""),206.0)</f>
        <v>206</v>
      </c>
      <c r="AA38" s="46">
        <f t="shared" si="7"/>
        <v>0.1135135135</v>
      </c>
      <c r="AB38" s="37"/>
      <c r="AC38" s="37">
        <f>IFERROR(__xludf.DUMMYFUNCTION("""COMPUTED_VALUE"""),45331.64583333333)</f>
        <v>45331.64583</v>
      </c>
      <c r="AD38" s="45">
        <f>IFERROR(__xludf.DUMMYFUNCTION("""COMPUTED_VALUE"""),3000.0)</f>
        <v>3000</v>
      </c>
      <c r="AE38" s="46">
        <f t="shared" si="8"/>
        <v>0.2634238787</v>
      </c>
      <c r="AF38" s="37"/>
      <c r="AG38" s="37">
        <f>IFERROR(__xludf.DUMMYFUNCTION("""COMPUTED_VALUE"""),45331.64583333333)</f>
        <v>45331.64583</v>
      </c>
      <c r="AH38" s="45">
        <f>IFERROR(__xludf.DUMMYFUNCTION("""COMPUTED_VALUE"""),740.0)</f>
        <v>740</v>
      </c>
      <c r="AI38" s="46">
        <f t="shared" si="9"/>
        <v>-0.119047619</v>
      </c>
      <c r="AJ38" s="37"/>
      <c r="AK38" s="37">
        <f>IFERROR(__xludf.DUMMYFUNCTION("""COMPUTED_VALUE"""),45331.64583333333)</f>
        <v>45331.64583</v>
      </c>
      <c r="AL38" s="45">
        <f>IFERROR(__xludf.DUMMYFUNCTION("""COMPUTED_VALUE"""),7631.0)</f>
        <v>7631</v>
      </c>
      <c r="AM38" s="46">
        <f t="shared" si="10"/>
        <v>0.4675</v>
      </c>
      <c r="AN38" s="37"/>
      <c r="AO38" s="37">
        <f>IFERROR(__xludf.DUMMYFUNCTION("""COMPUTED_VALUE"""),45331.64583333333)</f>
        <v>45331.64583</v>
      </c>
      <c r="AP38" s="45">
        <f>IFERROR(__xludf.DUMMYFUNCTION("""COMPUTED_VALUE"""),870.7)</f>
        <v>870.7</v>
      </c>
      <c r="AQ38" s="46">
        <f t="shared" si="11"/>
        <v>-0.04318681319</v>
      </c>
      <c r="AR38" s="37"/>
      <c r="AS38" s="37">
        <f>IFERROR(__xludf.DUMMYFUNCTION("""COMPUTED_VALUE"""),45331.64583333333)</f>
        <v>45331.64583</v>
      </c>
      <c r="AT38" s="45">
        <f>IFERROR(__xludf.DUMMYFUNCTION("""COMPUTED_VALUE"""),2222.4)</f>
        <v>2222.4</v>
      </c>
      <c r="AU38" s="46">
        <f t="shared" si="12"/>
        <v>-0.1052779903</v>
      </c>
      <c r="AV38" s="37"/>
      <c r="AW38" s="37">
        <f>IFERROR(__xludf.DUMMYFUNCTION("""COMPUTED_VALUE"""),45331.64583333333)</f>
        <v>45331.64583</v>
      </c>
      <c r="AX38" s="45">
        <f>IFERROR(__xludf.DUMMYFUNCTION("""COMPUTED_VALUE"""),5928.45)</f>
        <v>5928.45</v>
      </c>
      <c r="AY38" s="46">
        <f t="shared" si="13"/>
        <v>0.05028699996</v>
      </c>
      <c r="AZ38" s="37"/>
      <c r="BA38" s="37">
        <f>IFERROR(__xludf.DUMMYFUNCTION("""COMPUTED_VALUE"""),45331.64583333333)</f>
        <v>45331.64583</v>
      </c>
      <c r="BB38" s="45">
        <f>IFERROR(__xludf.DUMMYFUNCTION("""COMPUTED_VALUE"""),494.75)</f>
        <v>494.75</v>
      </c>
      <c r="BC38" s="46">
        <f t="shared" si="14"/>
        <v>0.0560298826</v>
      </c>
      <c r="BD38" s="37"/>
      <c r="BE38" s="37">
        <f>IFERROR(__xludf.DUMMYFUNCTION("""COMPUTED_VALUE"""),45331.64583333333)</f>
        <v>45331.64583</v>
      </c>
      <c r="BF38" s="45">
        <f>IFERROR(__xludf.DUMMYFUNCTION("""COMPUTED_VALUE"""),336.45)</f>
        <v>336.45</v>
      </c>
      <c r="BG38" s="46">
        <f t="shared" si="15"/>
        <v>-0.1733415233</v>
      </c>
      <c r="BH38" s="37"/>
      <c r="BI38" s="37">
        <f>IFERROR(__xludf.DUMMYFUNCTION("""COMPUTED_VALUE"""),45331.64583333333)</f>
        <v>45331.64583</v>
      </c>
      <c r="BJ38" s="45">
        <f>IFERROR(__xludf.DUMMYFUNCTION("""COMPUTED_VALUE"""),74.25)</f>
        <v>74.25</v>
      </c>
      <c r="BK38" s="46">
        <f t="shared" si="16"/>
        <v>0.06911447084</v>
      </c>
      <c r="BL38" s="37"/>
      <c r="BM38" s="37">
        <f>IFERROR(__xludf.DUMMYFUNCTION("""COMPUTED_VALUE"""),45331.64583333333)</f>
        <v>45331.64583</v>
      </c>
      <c r="BN38" s="45">
        <f>IFERROR(__xludf.DUMMYFUNCTION("""COMPUTED_VALUE"""),271.8)</f>
        <v>271.8</v>
      </c>
      <c r="BO38" s="46">
        <f t="shared" si="17"/>
        <v>0.06171875</v>
      </c>
      <c r="BP38" s="37"/>
      <c r="BQ38" s="37">
        <f>IFERROR(__xludf.DUMMYFUNCTION("""COMPUTED_VALUE"""),45331.64583333333)</f>
        <v>45331.64583</v>
      </c>
      <c r="BR38" s="45">
        <f>IFERROR(__xludf.DUMMYFUNCTION("""COMPUTED_VALUE"""),64.35)</f>
        <v>64.35</v>
      </c>
      <c r="BS38" s="46">
        <f t="shared" si="18"/>
        <v>0.05665024631</v>
      </c>
      <c r="BT38" s="37"/>
      <c r="BU38" s="37">
        <f>IFERROR(__xludf.DUMMYFUNCTION("""COMPUTED_VALUE"""),45331.64583333333)</f>
        <v>45331.64583</v>
      </c>
      <c r="BV38" s="45">
        <f>IFERROR(__xludf.DUMMYFUNCTION("""COMPUTED_VALUE"""),336.0)</f>
        <v>336</v>
      </c>
      <c r="BW38" s="46">
        <f t="shared" si="19"/>
        <v>0.08597285068</v>
      </c>
      <c r="BX38" s="37"/>
      <c r="BY38" s="37">
        <f>IFERROR(__xludf.DUMMYFUNCTION("""COMPUTED_VALUE"""),45331.64583333333)</f>
        <v>45331.64583</v>
      </c>
      <c r="BZ38" s="45">
        <f>IFERROR(__xludf.DUMMYFUNCTION("""COMPUTED_VALUE"""),329.8)</f>
        <v>329.8</v>
      </c>
      <c r="CA38" s="46">
        <f t="shared" si="20"/>
        <v>-0.1946275946</v>
      </c>
      <c r="CB38" s="37"/>
      <c r="CC38" s="37">
        <f>IFERROR(__xludf.DUMMYFUNCTION("""COMPUTED_VALUE"""),45331.64583333333)</f>
        <v>45331.64583</v>
      </c>
      <c r="CD38" s="45">
        <f>IFERROR(__xludf.DUMMYFUNCTION("""COMPUTED_VALUE"""),290.95)</f>
        <v>290.95</v>
      </c>
      <c r="CE38" s="46">
        <f t="shared" si="21"/>
        <v>0.2557186016</v>
      </c>
      <c r="CF38" s="37"/>
      <c r="CG38" s="37">
        <f>IFERROR(__xludf.DUMMYFUNCTION("""COMPUTED_VALUE"""),45331.64583333333)</f>
        <v>45331.64583</v>
      </c>
      <c r="CH38" s="45">
        <f>IFERROR(__xludf.DUMMYFUNCTION("""COMPUTED_VALUE"""),666.0)</f>
        <v>666</v>
      </c>
      <c r="CI38" s="46">
        <f t="shared" si="22"/>
        <v>0.04716981132</v>
      </c>
      <c r="CJ38" s="37"/>
      <c r="CK38" s="37">
        <f>IFERROR(__xludf.DUMMYFUNCTION("""COMPUTED_VALUE"""),45331.64583333333)</f>
        <v>45331.64583</v>
      </c>
      <c r="CL38" s="45">
        <f>IFERROR(__xludf.DUMMYFUNCTION("""COMPUTED_VALUE"""),313.0)</f>
        <v>313</v>
      </c>
      <c r="CM38" s="46">
        <f t="shared" si="23"/>
        <v>-0.07121661721</v>
      </c>
      <c r="CN38" s="37"/>
      <c r="CO38" s="37">
        <f>IFERROR(__xludf.DUMMYFUNCTION("""COMPUTED_VALUE"""),45331.64583333333)</f>
        <v>45331.64583</v>
      </c>
      <c r="CP38" s="45">
        <f>IFERROR(__xludf.DUMMYFUNCTION("""COMPUTED_VALUE"""),15.9)</f>
        <v>15.9</v>
      </c>
      <c r="CQ38" s="46">
        <f t="shared" si="24"/>
        <v>0.07432432432</v>
      </c>
      <c r="CR38" s="37"/>
      <c r="CS38" s="37">
        <f>IFERROR(__xludf.DUMMYFUNCTION("""COMPUTED_VALUE"""),45331.64583333333)</f>
        <v>45331.64583</v>
      </c>
      <c r="CT38" s="45">
        <f>IFERROR(__xludf.DUMMYFUNCTION("""COMPUTED_VALUE"""),195.2)</f>
        <v>195.2</v>
      </c>
      <c r="CU38" s="46">
        <f t="shared" si="25"/>
        <v>-0.01414141414</v>
      </c>
      <c r="CV38" s="37"/>
      <c r="CW38" s="37">
        <f>IFERROR(__xludf.DUMMYFUNCTION("""COMPUTED_VALUE"""),45331.64583333333)</f>
        <v>45331.64583</v>
      </c>
      <c r="CX38" s="45">
        <f>IFERROR(__xludf.DUMMYFUNCTION("""COMPUTED_VALUE"""),916.2)</f>
        <v>916.2</v>
      </c>
      <c r="CY38" s="46">
        <f t="shared" si="26"/>
        <v>0.3244094943</v>
      </c>
      <c r="CZ38" s="37"/>
      <c r="DA38" s="37">
        <f>IFERROR(__xludf.DUMMYFUNCTION("""COMPUTED_VALUE"""),45331.64583333333)</f>
        <v>45331.64583</v>
      </c>
      <c r="DB38" s="45">
        <f>IFERROR(__xludf.DUMMYFUNCTION("""COMPUTED_VALUE"""),29.6)</f>
        <v>29.6</v>
      </c>
      <c r="DC38" s="46">
        <f t="shared" si="27"/>
        <v>0.06093189964</v>
      </c>
      <c r="DD38" s="37"/>
      <c r="DE38" s="37">
        <f>IFERROR(__xludf.DUMMYFUNCTION("""COMPUTED_VALUE"""),45331.64583333333)</f>
        <v>45331.64583</v>
      </c>
      <c r="DF38" s="45">
        <f>IFERROR(__xludf.DUMMYFUNCTION("""COMPUTED_VALUE"""),94.5)</f>
        <v>94.5</v>
      </c>
      <c r="DG38" s="46">
        <f t="shared" si="28"/>
        <v>-0.1659311562</v>
      </c>
      <c r="DH38" s="37"/>
      <c r="DI38" s="37">
        <f>IFERROR(__xludf.DUMMYFUNCTION("""COMPUTED_VALUE"""),45331.64583333333)</f>
        <v>45331.64583</v>
      </c>
      <c r="DJ38" s="45">
        <f>IFERROR(__xludf.DUMMYFUNCTION("""COMPUTED_VALUE"""),1764.45)</f>
        <v>1764.45</v>
      </c>
      <c r="DK38" s="46">
        <f t="shared" si="29"/>
        <v>0.0994828016</v>
      </c>
      <c r="DL38" s="37"/>
      <c r="DM38" s="37">
        <f>IFERROR(__xludf.DUMMYFUNCTION("""COMPUTED_VALUE"""),45331.64583333333)</f>
        <v>45331.64583</v>
      </c>
      <c r="DN38" s="45">
        <f>IFERROR(__xludf.DUMMYFUNCTION("""COMPUTED_VALUE"""),573.4)</f>
        <v>573.4</v>
      </c>
      <c r="DO38" s="46">
        <f t="shared" si="30"/>
        <v>0.06947682552</v>
      </c>
      <c r="DP38" s="37"/>
      <c r="DQ38" s="37">
        <f>IFERROR(__xludf.DUMMYFUNCTION("""COMPUTED_VALUE"""),45331.64583333333)</f>
        <v>45331.64583</v>
      </c>
      <c r="DR38" s="45">
        <f>IFERROR(__xludf.DUMMYFUNCTION("""COMPUTED_VALUE"""),223.5)</f>
        <v>223.5</v>
      </c>
      <c r="DS38" s="46">
        <f t="shared" si="31"/>
        <v>0.0252293578</v>
      </c>
      <c r="DT38" s="37"/>
      <c r="DU38" s="37">
        <f>IFERROR(__xludf.DUMMYFUNCTION("""COMPUTED_VALUE"""),45331.64583333333)</f>
        <v>45331.64583</v>
      </c>
      <c r="DV38" s="45">
        <f>IFERROR(__xludf.DUMMYFUNCTION("""COMPUTED_VALUE"""),963.45)</f>
        <v>963.45</v>
      </c>
      <c r="DW38" s="46">
        <f t="shared" si="32"/>
        <v>0.1328042328</v>
      </c>
      <c r="DX38" s="37"/>
      <c r="DY38" s="37">
        <f>IFERROR(__xludf.DUMMYFUNCTION("""COMPUTED_VALUE"""),45331.64583333333)</f>
        <v>45331.64583</v>
      </c>
      <c r="DZ38" s="45">
        <f>IFERROR(__xludf.DUMMYFUNCTION("""COMPUTED_VALUE"""),14.7)</f>
        <v>14.7</v>
      </c>
      <c r="EA38" s="46">
        <f t="shared" si="33"/>
        <v>0.3548387097</v>
      </c>
      <c r="EB38" s="37"/>
      <c r="EC38" s="37">
        <f>IFERROR(__xludf.DUMMYFUNCTION("""COMPUTED_VALUE"""),45331.64583333333)</f>
        <v>45331.64583</v>
      </c>
      <c r="ED38" s="45">
        <f>IFERROR(__xludf.DUMMYFUNCTION("""COMPUTED_VALUE"""),2279.0)</f>
        <v>2279</v>
      </c>
      <c r="EE38" s="46">
        <f t="shared" si="34"/>
        <v>-0.1383742911</v>
      </c>
      <c r="EF38" s="37"/>
      <c r="EG38" s="37">
        <f>IFERROR(__xludf.DUMMYFUNCTION("""COMPUTED_VALUE"""),45331.64583333333)</f>
        <v>45331.64583</v>
      </c>
      <c r="EH38" s="45">
        <f>IFERROR(__xludf.DUMMYFUNCTION("""COMPUTED_VALUE"""),1046.15)</f>
        <v>1046.15</v>
      </c>
      <c r="EI38" s="46">
        <f t="shared" si="35"/>
        <v>0.6129355535</v>
      </c>
      <c r="EJ38" s="37"/>
      <c r="EK38" s="37">
        <f>IFERROR(__xludf.DUMMYFUNCTION("""COMPUTED_VALUE"""),45331.64583333333)</f>
        <v>45331.64583</v>
      </c>
      <c r="EL38" s="45">
        <f>IFERROR(__xludf.DUMMYFUNCTION("""COMPUTED_VALUE"""),184.85)</f>
        <v>184.85</v>
      </c>
      <c r="EM38" s="46">
        <f t="shared" si="36"/>
        <v>-0.0849009901</v>
      </c>
      <c r="EN38" s="37"/>
      <c r="EO38" s="37">
        <f>IFERROR(__xludf.DUMMYFUNCTION("""COMPUTED_VALUE"""),45331.64583333333)</f>
        <v>45331.64583</v>
      </c>
      <c r="EP38" s="45">
        <f>IFERROR(__xludf.DUMMYFUNCTION("""COMPUTED_VALUE"""),180.1)</f>
        <v>180.1</v>
      </c>
      <c r="EQ38" s="46">
        <f t="shared" si="37"/>
        <v>0.1623104227</v>
      </c>
      <c r="ER38" s="37"/>
      <c r="ES38" s="37">
        <f>IFERROR(__xludf.DUMMYFUNCTION("""COMPUTED_VALUE"""),45331.64583333333)</f>
        <v>45331.64583</v>
      </c>
      <c r="ET38" s="45">
        <f>IFERROR(__xludf.DUMMYFUNCTION("""COMPUTED_VALUE"""),186.55)</f>
        <v>186.55</v>
      </c>
      <c r="EU38" s="46">
        <f t="shared" si="38"/>
        <v>-0.04013377926</v>
      </c>
      <c r="EV38" s="37"/>
      <c r="EW38" s="37">
        <f>IFERROR(__xludf.DUMMYFUNCTION("""COMPUTED_VALUE"""),45331.64583333333)</f>
        <v>45331.64583</v>
      </c>
      <c r="EX38" s="45">
        <f>IFERROR(__xludf.DUMMYFUNCTION("""COMPUTED_VALUE"""),725.0)</f>
        <v>725</v>
      </c>
      <c r="EY38" s="46">
        <f t="shared" si="39"/>
        <v>0.1188271605</v>
      </c>
      <c r="EZ38" s="37"/>
      <c r="FA38" s="37">
        <f>IFERROR(__xludf.DUMMYFUNCTION("""COMPUTED_VALUE"""),45331.64583333333)</f>
        <v>45331.64583</v>
      </c>
      <c r="FB38" s="45">
        <f>IFERROR(__xludf.DUMMYFUNCTION("""COMPUTED_VALUE"""),215.0)</f>
        <v>215</v>
      </c>
      <c r="FC38" s="46">
        <f t="shared" si="40"/>
        <v>0.2327981651</v>
      </c>
      <c r="FD38" s="37"/>
      <c r="FE38" s="37">
        <f>IFERROR(__xludf.DUMMYFUNCTION("""COMPUTED_VALUE"""),45331.64583333333)</f>
        <v>45331.64583</v>
      </c>
      <c r="FF38" s="45">
        <f>IFERROR(__xludf.DUMMYFUNCTION("""COMPUTED_VALUE"""),395.0)</f>
        <v>395</v>
      </c>
      <c r="FG38" s="46">
        <f t="shared" si="41"/>
        <v>0.2959317585</v>
      </c>
      <c r="FH38" s="37"/>
      <c r="FI38" s="37">
        <f>IFERROR(__xludf.DUMMYFUNCTION("""COMPUTED_VALUE"""),45331.64583333333)</f>
        <v>45331.64583</v>
      </c>
      <c r="FJ38" s="45">
        <f>IFERROR(__xludf.DUMMYFUNCTION("""COMPUTED_VALUE"""),678.95)</f>
        <v>678.95</v>
      </c>
      <c r="FK38" s="46">
        <f t="shared" si="42"/>
        <v>0.120287105</v>
      </c>
      <c r="FL38" s="37"/>
      <c r="FM38" s="37">
        <f>IFERROR(__xludf.DUMMYFUNCTION("""COMPUTED_VALUE"""),45331.64583333333)</f>
        <v>45331.64583</v>
      </c>
      <c r="FN38" s="45">
        <f>IFERROR(__xludf.DUMMYFUNCTION("""COMPUTED_VALUE"""),112.3)</f>
        <v>112.3</v>
      </c>
      <c r="FO38" s="46">
        <f t="shared" si="43"/>
        <v>0.1821052632</v>
      </c>
      <c r="FP38" s="37"/>
      <c r="FQ38" s="37">
        <f>IFERROR(__xludf.DUMMYFUNCTION("""COMPUTED_VALUE"""),45331.64583333333)</f>
        <v>45331.64583</v>
      </c>
      <c r="FR38" s="45">
        <f>IFERROR(__xludf.DUMMYFUNCTION("""COMPUTED_VALUE"""),3.8)</f>
        <v>3.8</v>
      </c>
      <c r="FS38" s="46">
        <f t="shared" si="44"/>
        <v>-0.3090909091</v>
      </c>
      <c r="FT38" s="37"/>
      <c r="FU38" s="37">
        <f>IFERROR(__xludf.DUMMYFUNCTION("""COMPUTED_VALUE"""),45331.64583333333)</f>
        <v>45331.64583</v>
      </c>
      <c r="FV38" s="45">
        <f>IFERROR(__xludf.DUMMYFUNCTION("""COMPUTED_VALUE"""),858.0)</f>
        <v>858</v>
      </c>
      <c r="FW38" s="46">
        <f t="shared" si="45"/>
        <v>0.2852969815</v>
      </c>
      <c r="FX38" s="37"/>
      <c r="FY38" s="37">
        <f>IFERROR(__xludf.DUMMYFUNCTION("""COMPUTED_VALUE"""),45331.64583333333)</f>
        <v>45331.64583</v>
      </c>
      <c r="FZ38" s="45">
        <f>IFERROR(__xludf.DUMMYFUNCTION("""COMPUTED_VALUE"""),134.2)</f>
        <v>134.2</v>
      </c>
      <c r="GA38" s="46">
        <f t="shared" si="46"/>
        <v>-0.2096584217</v>
      </c>
      <c r="GB38" s="37"/>
      <c r="GC38" s="37">
        <f>IFERROR(__xludf.DUMMYFUNCTION("""COMPUTED_VALUE"""),45331.64583333333)</f>
        <v>45331.64583</v>
      </c>
      <c r="GD38" s="45">
        <f>IFERROR(__xludf.DUMMYFUNCTION("""COMPUTED_VALUE"""),362.5)</f>
        <v>362.5</v>
      </c>
      <c r="GE38" s="46">
        <f t="shared" si="47"/>
        <v>-0.2151980948</v>
      </c>
      <c r="GF38" s="37"/>
      <c r="GG38" s="37">
        <f>IFERROR(__xludf.DUMMYFUNCTION("""COMPUTED_VALUE"""),45331.64583333333)</f>
        <v>45331.64583</v>
      </c>
      <c r="GH38" s="45">
        <f>IFERROR(__xludf.DUMMYFUNCTION("""COMPUTED_VALUE"""),6178.0)</f>
        <v>6178</v>
      </c>
      <c r="GI38" s="46">
        <f t="shared" si="48"/>
        <v>0.1658803548</v>
      </c>
      <c r="GJ38" s="37"/>
      <c r="GK38" s="37">
        <f>IFERROR(__xludf.DUMMYFUNCTION("""COMPUTED_VALUE"""),45331.64583333333)</f>
        <v>45331.64583</v>
      </c>
      <c r="GL38" s="45">
        <f>IFERROR(__xludf.DUMMYFUNCTION("""COMPUTED_VALUE"""),83.75)</f>
        <v>83.75</v>
      </c>
      <c r="GM38" s="46">
        <f t="shared" si="49"/>
        <v>-0.2614638448</v>
      </c>
      <c r="GN38" s="37"/>
      <c r="GO38" s="37">
        <f>IFERROR(__xludf.DUMMYFUNCTION("""COMPUTED_VALUE"""),45331.64583333333)</f>
        <v>45331.64583</v>
      </c>
      <c r="GP38" s="45">
        <f>IFERROR(__xludf.DUMMYFUNCTION("""COMPUTED_VALUE"""),1178.9)</f>
        <v>1178.9</v>
      </c>
      <c r="GQ38" s="46">
        <f t="shared" si="50"/>
        <v>0.07216588604</v>
      </c>
      <c r="GR38" s="37"/>
      <c r="GS38" s="37">
        <f>IFERROR(__xludf.DUMMYFUNCTION("""COMPUTED_VALUE"""),45331.64583333333)</f>
        <v>45331.64583</v>
      </c>
      <c r="GT38" s="45">
        <f>IFERROR(__xludf.DUMMYFUNCTION("""COMPUTED_VALUE"""),14.15)</f>
        <v>14.15</v>
      </c>
      <c r="GU38" s="46">
        <f t="shared" si="51"/>
        <v>0.09266409266</v>
      </c>
      <c r="GV38" s="37"/>
      <c r="GW38" s="37">
        <f>IFERROR(__xludf.DUMMYFUNCTION("""COMPUTED_VALUE"""),45334.64583333333)</f>
        <v>45334.64583</v>
      </c>
      <c r="GX38" s="45">
        <f>IFERROR(__xludf.DUMMYFUNCTION("""COMPUTED_VALUE"""),19.2)</f>
        <v>19.2</v>
      </c>
      <c r="GY38" s="46">
        <f t="shared" si="52"/>
        <v>0.1636363636</v>
      </c>
      <c r="GZ38" s="37"/>
      <c r="HA38" s="37">
        <f>IFERROR(__xludf.DUMMYFUNCTION("""COMPUTED_VALUE"""),45334.64583333333)</f>
        <v>45334.64583</v>
      </c>
      <c r="HB38" s="45">
        <f>IFERROR(__xludf.DUMMYFUNCTION("""COMPUTED_VALUE"""),601.8)</f>
        <v>601.8</v>
      </c>
      <c r="HC38" s="46">
        <f t="shared" si="53"/>
        <v>-0.01019736842</v>
      </c>
      <c r="HD38" s="37"/>
      <c r="HE38" s="43">
        <f>IFERROR(__xludf.DUMMYFUNCTION("""COMPUTED_VALUE"""),45334.64583333333)</f>
        <v>45334.64583</v>
      </c>
      <c r="HF38" s="45">
        <f>IFERROR(__xludf.DUMMYFUNCTION("""COMPUTED_VALUE"""),3042.5)</f>
        <v>3042.5</v>
      </c>
      <c r="HG38" s="46" t="str">
        <f t="shared" si="54"/>
        <v>#DIV/0!</v>
      </c>
      <c r="HH38" s="37"/>
      <c r="HI38" s="37">
        <f>IFERROR(__xludf.DUMMYFUNCTION("""COMPUTED_VALUE"""),45334.64583333333)</f>
        <v>45334.64583</v>
      </c>
      <c r="HJ38" s="45">
        <f>IFERROR(__xludf.DUMMYFUNCTION("""COMPUTED_VALUE"""),7388.0)</f>
        <v>7388</v>
      </c>
      <c r="HK38" s="46">
        <f t="shared" si="55"/>
        <v>0.445778417</v>
      </c>
      <c r="HL38" s="37"/>
      <c r="HM38" s="37">
        <f>IFERROR(__xludf.DUMMYFUNCTION("""COMPUTED_VALUE"""),45334.64583333333)</f>
        <v>45334.64583</v>
      </c>
      <c r="HN38" s="45">
        <f>IFERROR(__xludf.DUMMYFUNCTION("""COMPUTED_VALUE"""),349.0)</f>
        <v>349</v>
      </c>
      <c r="HO38" s="46">
        <f t="shared" si="56"/>
        <v>-0.1415570041</v>
      </c>
      <c r="HP38" s="37"/>
      <c r="HQ38" s="37">
        <f>IFERROR(__xludf.DUMMYFUNCTION("""COMPUTED_VALUE"""),45334.64583333333)</f>
        <v>45334.64583</v>
      </c>
      <c r="HR38" s="45">
        <f>IFERROR(__xludf.DUMMYFUNCTION("""COMPUTED_VALUE"""),252.7)</f>
        <v>252.7</v>
      </c>
      <c r="HS38" s="46">
        <f t="shared" si="57"/>
        <v>-0.006291781361</v>
      </c>
      <c r="HT38" s="37"/>
      <c r="HU38" s="37">
        <f>IFERROR(__xludf.DUMMYFUNCTION("""COMPUTED_VALUE"""),45334.64583333333)</f>
        <v>45334.64583</v>
      </c>
      <c r="HV38" s="45">
        <f>IFERROR(__xludf.DUMMYFUNCTION("""COMPUTED_VALUE"""),60.35)</f>
        <v>60.35</v>
      </c>
      <c r="HW38" s="46">
        <f t="shared" si="58"/>
        <v>-0.0328525641</v>
      </c>
      <c r="HX38" s="37"/>
      <c r="HY38" s="37">
        <f>IFERROR(__xludf.DUMMYFUNCTION("""COMPUTED_VALUE"""),45334.64583333333)</f>
        <v>45334.64583</v>
      </c>
      <c r="HZ38" s="45">
        <f>IFERROR(__xludf.DUMMYFUNCTION("""COMPUTED_VALUE"""),353.0)</f>
        <v>353</v>
      </c>
      <c r="IA38" s="46">
        <f t="shared" si="59"/>
        <v>-0.2408602151</v>
      </c>
      <c r="IB38" s="37"/>
      <c r="IC38" s="37">
        <f>IFERROR(__xludf.DUMMYFUNCTION("""COMPUTED_VALUE"""),45334.64583333333)</f>
        <v>45334.64583</v>
      </c>
      <c r="ID38" s="45">
        <f>IFERROR(__xludf.DUMMYFUNCTION("""COMPUTED_VALUE"""),78.9)</f>
        <v>78.9</v>
      </c>
      <c r="IE38" s="46">
        <f t="shared" si="60"/>
        <v>-0.8201709402</v>
      </c>
      <c r="IF38" s="37"/>
      <c r="IG38" s="37">
        <f>IFERROR(__xludf.DUMMYFUNCTION("""COMPUTED_VALUE"""),45334.64583333333)</f>
        <v>45334.64583</v>
      </c>
      <c r="IH38" s="45">
        <f>IFERROR(__xludf.DUMMYFUNCTION("""COMPUTED_VALUE"""),519.75)</f>
        <v>519.75</v>
      </c>
      <c r="II38" s="46">
        <f t="shared" si="61"/>
        <v>-0.02485928705</v>
      </c>
      <c r="IJ38" s="37"/>
      <c r="IK38" s="37">
        <f>IFERROR(__xludf.DUMMYFUNCTION("""COMPUTED_VALUE"""),45334.64583333333)</f>
        <v>45334.64583</v>
      </c>
      <c r="IL38" s="45">
        <f>IFERROR(__xludf.DUMMYFUNCTION("""COMPUTED_VALUE"""),519.85)</f>
        <v>519.85</v>
      </c>
      <c r="IM38" s="46">
        <f t="shared" si="62"/>
        <v>-0.158750708</v>
      </c>
      <c r="IN38" s="37"/>
      <c r="IO38" s="37">
        <f>IFERROR(__xludf.DUMMYFUNCTION("""COMPUTED_VALUE"""),45335.64583333333)</f>
        <v>45335.64583</v>
      </c>
      <c r="IP38" s="45">
        <f>IFERROR(__xludf.DUMMYFUNCTION("""COMPUTED_VALUE"""),231.85)</f>
        <v>231.85</v>
      </c>
      <c r="IQ38" s="46">
        <f t="shared" si="63"/>
        <v>0.8446177102</v>
      </c>
      <c r="IR38" s="37"/>
      <c r="IS38" s="37">
        <f>IFERROR(__xludf.DUMMYFUNCTION("""COMPUTED_VALUE"""),45334.64583333333)</f>
        <v>45334.64583</v>
      </c>
      <c r="IT38" s="45">
        <f>IFERROR(__xludf.DUMMYFUNCTION("""COMPUTED_VALUE"""),896.0)</f>
        <v>896</v>
      </c>
      <c r="IU38" s="46">
        <f t="shared" si="64"/>
        <v>-0.1075697211</v>
      </c>
      <c r="IV38" s="37"/>
      <c r="IW38" s="37">
        <f>IFERROR(__xludf.DUMMYFUNCTION("""COMPUTED_VALUE"""),45334.64583333333)</f>
        <v>45334.64583</v>
      </c>
      <c r="IX38" s="45">
        <f>IFERROR(__xludf.DUMMYFUNCTION("""COMPUTED_VALUE"""),302.0)</f>
        <v>302</v>
      </c>
      <c r="IY38" s="46">
        <f t="shared" si="65"/>
        <v>0.4663753338</v>
      </c>
      <c r="IZ38" s="37"/>
      <c r="JA38" s="37">
        <f>IFERROR(__xludf.DUMMYFUNCTION("""COMPUTED_VALUE"""),45334.64583333333)</f>
        <v>45334.64583</v>
      </c>
      <c r="JB38" s="45">
        <f>IFERROR(__xludf.DUMMYFUNCTION("""COMPUTED_VALUE"""),32897.8)</f>
        <v>32897.8</v>
      </c>
      <c r="JC38" s="46">
        <f t="shared" si="66"/>
        <v>-0.07075317808</v>
      </c>
      <c r="JD38" s="37"/>
      <c r="JE38" s="37">
        <f>IFERROR(__xludf.DUMMYFUNCTION("""COMPUTED_VALUE"""),45334.64583333333)</f>
        <v>45334.64583</v>
      </c>
      <c r="JF38" s="45">
        <f>IFERROR(__xludf.DUMMYFUNCTION("""COMPUTED_VALUE"""),702.1)</f>
        <v>702.1</v>
      </c>
      <c r="JG38" s="46">
        <f t="shared" si="67"/>
        <v>0.08852713178</v>
      </c>
      <c r="JH38" s="37"/>
      <c r="JI38" s="37">
        <f>IFERROR(__xludf.DUMMYFUNCTION("""COMPUTED_VALUE"""),45334.64583333333)</f>
        <v>45334.64583</v>
      </c>
      <c r="JJ38" s="45">
        <f>IFERROR(__xludf.DUMMYFUNCTION("""COMPUTED_VALUE"""),293.9)</f>
        <v>293.9</v>
      </c>
      <c r="JK38" s="46">
        <f t="shared" si="68"/>
        <v>-0.119928133</v>
      </c>
      <c r="JL38" s="37"/>
      <c r="JM38" s="37">
        <f>IFERROR(__xludf.DUMMYFUNCTION("""COMPUTED_VALUE"""),45334.64583333333)</f>
        <v>45334.64583</v>
      </c>
      <c r="JN38" s="45">
        <f>IFERROR(__xludf.DUMMYFUNCTION("""COMPUTED_VALUE"""),16.2)</f>
        <v>16.2</v>
      </c>
      <c r="JO38" s="46">
        <f t="shared" si="69"/>
        <v>-0.9630769231</v>
      </c>
      <c r="JP38" s="37"/>
      <c r="JQ38" s="37">
        <f>IFERROR(__xludf.DUMMYFUNCTION("""COMPUTED_VALUE"""),45334.64583333333)</f>
        <v>45334.64583</v>
      </c>
      <c r="JR38" s="45">
        <f>IFERROR(__xludf.DUMMYFUNCTION("""COMPUTED_VALUE"""),89.75)</f>
        <v>89.75</v>
      </c>
      <c r="JS38" s="46">
        <f t="shared" si="70"/>
        <v>-0.3400735294</v>
      </c>
      <c r="JT38" s="37"/>
      <c r="JU38" s="37">
        <f>IFERROR(__xludf.DUMMYFUNCTION("""COMPUTED_VALUE"""),45334.64583333333)</f>
        <v>45334.64583</v>
      </c>
      <c r="JV38" s="45">
        <f>IFERROR(__xludf.DUMMYFUNCTION("""COMPUTED_VALUE"""),230.85)</f>
        <v>230.85</v>
      </c>
      <c r="JW38" s="46">
        <f t="shared" si="71"/>
        <v>-0.4738461538</v>
      </c>
      <c r="JX38" s="37"/>
      <c r="JY38" s="37">
        <f>IFERROR(__xludf.DUMMYFUNCTION("""COMPUTED_VALUE"""),45334.64583333333)</f>
        <v>45334.64583</v>
      </c>
      <c r="JZ38" s="45">
        <f>IFERROR(__xludf.DUMMYFUNCTION("""COMPUTED_VALUE"""),594.95)</f>
        <v>594.95</v>
      </c>
      <c r="KA38" s="46">
        <f t="shared" si="72"/>
        <v>0.07976406534</v>
      </c>
      <c r="KB38" s="37"/>
      <c r="KC38" s="37">
        <f>IFERROR(__xludf.DUMMYFUNCTION("""COMPUTED_VALUE"""),45334.64583333333)</f>
        <v>45334.64583</v>
      </c>
      <c r="KD38" s="45">
        <f>IFERROR(__xludf.DUMMYFUNCTION("""COMPUTED_VALUE"""),931.43)</f>
        <v>931.43</v>
      </c>
      <c r="KE38" s="46">
        <f t="shared" si="73"/>
        <v>0.06625837101</v>
      </c>
      <c r="KF38" s="37"/>
      <c r="KG38" s="37">
        <f>IFERROR(__xludf.DUMMYFUNCTION("""COMPUTED_VALUE"""),45334.64583333333)</f>
        <v>45334.64583</v>
      </c>
      <c r="KH38" s="45">
        <f>IFERROR(__xludf.DUMMYFUNCTION("""COMPUTED_VALUE"""),451.7)</f>
        <v>451.7</v>
      </c>
      <c r="KI38" s="46">
        <f t="shared" si="74"/>
        <v>0.1582051282</v>
      </c>
      <c r="KJ38" s="37"/>
      <c r="KK38" s="37">
        <f>IFERROR(__xludf.DUMMYFUNCTION("""COMPUTED_VALUE"""),45334.64583333333)</f>
        <v>45334.64583</v>
      </c>
      <c r="KL38" s="45">
        <f>IFERROR(__xludf.DUMMYFUNCTION("""COMPUTED_VALUE"""),14.05)</f>
        <v>14.05</v>
      </c>
      <c r="KM38" s="46">
        <f t="shared" si="75"/>
        <v>0.5107526882</v>
      </c>
      <c r="KN38" s="37"/>
      <c r="KO38" s="37">
        <f>IFERROR(__xludf.DUMMYFUNCTION("""COMPUTED_VALUE"""),45334.64583333333)</f>
        <v>45334.64583</v>
      </c>
      <c r="KP38" s="45">
        <f>IFERROR(__xludf.DUMMYFUNCTION("""COMPUTED_VALUE"""),255.0)</f>
        <v>255</v>
      </c>
      <c r="KQ38" s="46">
        <f t="shared" si="76"/>
        <v>0.2543039843</v>
      </c>
      <c r="KR38" s="37"/>
      <c r="KS38" s="37">
        <f>IFERROR(__xludf.DUMMYFUNCTION("""COMPUTED_VALUE"""),45334.64583333333)</f>
        <v>45334.64583</v>
      </c>
      <c r="KT38" s="45">
        <f>IFERROR(__xludf.DUMMYFUNCTION("""COMPUTED_VALUE"""),14.65)</f>
        <v>14.65</v>
      </c>
      <c r="KU38" s="46">
        <f t="shared" si="77"/>
        <v>0.3257918552</v>
      </c>
      <c r="KV38" s="37"/>
      <c r="KW38" s="37">
        <f>IFERROR(__xludf.DUMMYFUNCTION("""COMPUTED_VALUE"""),45334.64583333333)</f>
        <v>45334.64583</v>
      </c>
      <c r="KX38" s="45">
        <f>IFERROR(__xludf.DUMMYFUNCTION("""COMPUTED_VALUE"""),2233.0)</f>
        <v>2233</v>
      </c>
      <c r="KY38" s="46">
        <f t="shared" si="78"/>
        <v>-0.1636547501</v>
      </c>
      <c r="KZ38" s="37"/>
      <c r="LA38" s="37">
        <f>IFERROR(__xludf.DUMMYFUNCTION("""COMPUTED_VALUE"""),45334.64583333333)</f>
        <v>45334.64583</v>
      </c>
      <c r="LB38" s="45">
        <f>IFERROR(__xludf.DUMMYFUNCTION("""COMPUTED_VALUE"""),19.3)</f>
        <v>19.3</v>
      </c>
      <c r="LC38" s="46">
        <f t="shared" si="79"/>
        <v>0.02387267905</v>
      </c>
      <c r="LD38" s="37"/>
      <c r="LE38" s="37">
        <f>IFERROR(__xludf.DUMMYFUNCTION("""COMPUTED_VALUE"""),45334.64583333333)</f>
        <v>45334.64583</v>
      </c>
      <c r="LF38" s="45">
        <f>IFERROR(__xludf.DUMMYFUNCTION("""COMPUTED_VALUE"""),122.95)</f>
        <v>122.95</v>
      </c>
      <c r="LG38" s="46">
        <f t="shared" si="80"/>
        <v>-0.0164</v>
      </c>
      <c r="LH38" s="37"/>
      <c r="LI38" s="37">
        <f>IFERROR(__xludf.DUMMYFUNCTION("""COMPUTED_VALUE"""),45334.64583333333)</f>
        <v>45334.64583</v>
      </c>
      <c r="LJ38" s="45">
        <f>IFERROR(__xludf.DUMMYFUNCTION("""COMPUTED_VALUE"""),714.8)</f>
        <v>714.8</v>
      </c>
      <c r="LK38" s="46">
        <f t="shared" si="81"/>
        <v>-0.01813186813</v>
      </c>
      <c r="LL38" s="37"/>
      <c r="LM38" s="37">
        <f>IFERROR(__xludf.DUMMYFUNCTION("""COMPUTED_VALUE"""),45334.64583333333)</f>
        <v>45334.64583</v>
      </c>
      <c r="LN38" s="45">
        <f>IFERROR(__xludf.DUMMYFUNCTION("""COMPUTED_VALUE"""),795.5)</f>
        <v>795.5</v>
      </c>
      <c r="LO38" s="46">
        <f t="shared" si="82"/>
        <v>-0.06959064327</v>
      </c>
      <c r="LP38" s="37"/>
      <c r="LQ38" s="37">
        <f>IFERROR(__xludf.DUMMYFUNCTION("""COMPUTED_VALUE"""),45334.64583333333)</f>
        <v>45334.64583</v>
      </c>
      <c r="LR38" s="45">
        <f>IFERROR(__xludf.DUMMYFUNCTION("""COMPUTED_VALUE"""),604.7)</f>
        <v>604.7</v>
      </c>
      <c r="LS38" s="46">
        <f t="shared" si="83"/>
        <v>0.6548987411</v>
      </c>
      <c r="LT38" s="37"/>
      <c r="LU38" s="37">
        <f>IFERROR(__xludf.DUMMYFUNCTION("""COMPUTED_VALUE"""),45334.64583333333)</f>
        <v>45334.64583</v>
      </c>
      <c r="LV38" s="45">
        <f>IFERROR(__xludf.DUMMYFUNCTION("""COMPUTED_VALUE"""),126.75)</f>
        <v>126.75</v>
      </c>
      <c r="LW38" s="46">
        <f t="shared" si="84"/>
        <v>-0.07346491228</v>
      </c>
      <c r="LX38" s="37"/>
      <c r="LY38" s="37">
        <f>IFERROR(__xludf.DUMMYFUNCTION("""COMPUTED_VALUE"""),45334.64583333333)</f>
        <v>45334.64583</v>
      </c>
      <c r="LZ38" s="45">
        <f>IFERROR(__xludf.DUMMYFUNCTION("""COMPUTED_VALUE"""),662.8)</f>
        <v>662.8</v>
      </c>
      <c r="MA38" s="46">
        <f t="shared" si="85"/>
        <v>0.06903225806</v>
      </c>
      <c r="MB38" s="37"/>
      <c r="MC38" s="37"/>
      <c r="MD38" s="45"/>
      <c r="ME38" s="46" t="str">
        <f t="shared" si="86"/>
        <v>#DIV/0!</v>
      </c>
      <c r="MF38" s="37"/>
      <c r="MG38" s="37">
        <f>IFERROR(__xludf.DUMMYFUNCTION("""COMPUTED_VALUE"""),45334.64583333333)</f>
        <v>45334.64583</v>
      </c>
      <c r="MH38" s="45">
        <f>IFERROR(__xludf.DUMMYFUNCTION("""COMPUTED_VALUE"""),2038.95)</f>
        <v>2038.95</v>
      </c>
      <c r="MI38" s="46">
        <f t="shared" si="87"/>
        <v>0.03977663887</v>
      </c>
      <c r="MJ38" s="37"/>
      <c r="MK38" s="37">
        <f>IFERROR(__xludf.DUMMYFUNCTION("""COMPUTED_VALUE"""),45334.64583333333)</f>
        <v>45334.64583</v>
      </c>
      <c r="ML38" s="45">
        <f>IFERROR(__xludf.DUMMYFUNCTION("""COMPUTED_VALUE"""),364.25)</f>
        <v>364.25</v>
      </c>
      <c r="MM38" s="46">
        <f t="shared" si="88"/>
        <v>-0.08926115764</v>
      </c>
      <c r="MN38" s="37"/>
      <c r="MO38" s="37">
        <f>IFERROR(__xludf.DUMMYFUNCTION("""COMPUTED_VALUE"""),45334.64583333333)</f>
        <v>45334.64583</v>
      </c>
      <c r="MP38" s="45">
        <f>IFERROR(__xludf.DUMMYFUNCTION("""COMPUTED_VALUE"""),907.95)</f>
        <v>907.95</v>
      </c>
      <c r="MQ38" s="46">
        <f t="shared" si="89"/>
        <v>0.2269594595</v>
      </c>
      <c r="MR38" s="37"/>
      <c r="MS38" s="37">
        <f>IFERROR(__xludf.DUMMYFUNCTION("""COMPUTED_VALUE"""),45334.64583333333)</f>
        <v>45334.64583</v>
      </c>
      <c r="MT38" s="45">
        <f>IFERROR(__xludf.DUMMYFUNCTION("""COMPUTED_VALUE"""),60.2)</f>
        <v>60.2</v>
      </c>
      <c r="MU38" s="46">
        <f t="shared" si="90"/>
        <v>-0.08994708995</v>
      </c>
      <c r="MV38" s="37"/>
      <c r="MW38" s="37">
        <f>IFERROR(__xludf.DUMMYFUNCTION("""COMPUTED_VALUE"""),45334.64583333333)</f>
        <v>45334.64583</v>
      </c>
      <c r="MX38" s="45">
        <f>IFERROR(__xludf.DUMMYFUNCTION("""COMPUTED_VALUE"""),3085.0)</f>
        <v>3085</v>
      </c>
      <c r="MY38" s="46">
        <f t="shared" si="91"/>
        <v>-0.01970130283</v>
      </c>
      <c r="MZ38" s="37"/>
      <c r="NA38" s="37">
        <f>IFERROR(__xludf.DUMMYFUNCTION("""COMPUTED_VALUE"""),45334.64583333333)</f>
        <v>45334.64583</v>
      </c>
      <c r="NB38" s="45">
        <f>IFERROR(__xludf.DUMMYFUNCTION("""COMPUTED_VALUE"""),13.85)</f>
        <v>13.85</v>
      </c>
      <c r="NC38" s="46">
        <f t="shared" si="92"/>
        <v>0.09486166008</v>
      </c>
      <c r="ND38" s="37"/>
      <c r="NE38" s="37">
        <f>IFERROR(__xludf.DUMMYFUNCTION("""COMPUTED_VALUE"""),45335.64583333333)</f>
        <v>45335.64583</v>
      </c>
      <c r="NF38" s="45">
        <f>IFERROR(__xludf.DUMMYFUNCTION("""COMPUTED_VALUE"""),361.0)</f>
        <v>361</v>
      </c>
      <c r="NG38" s="46">
        <f t="shared" si="93"/>
        <v>-0.05731818775</v>
      </c>
      <c r="NH38" s="37"/>
      <c r="NI38" s="37">
        <f>IFERROR(__xludf.DUMMYFUNCTION("""COMPUTED_VALUE"""),45335.64583333333)</f>
        <v>45335.64583</v>
      </c>
      <c r="NJ38" s="45">
        <f>IFERROR(__xludf.DUMMYFUNCTION("""COMPUTED_VALUE"""),338.5)</f>
        <v>338.5</v>
      </c>
      <c r="NK38" s="46">
        <f t="shared" si="94"/>
        <v>0.269359133</v>
      </c>
      <c r="NL38" s="37"/>
      <c r="NM38" s="37">
        <f>IFERROR(__xludf.DUMMYFUNCTION("""COMPUTED_VALUE"""),45335.64583333333)</f>
        <v>45335.64583</v>
      </c>
      <c r="NN38" s="45">
        <f>IFERROR(__xludf.DUMMYFUNCTION("""COMPUTED_VALUE"""),121.65)</f>
        <v>121.65</v>
      </c>
      <c r="NO38" s="46">
        <f t="shared" si="95"/>
        <v>-0.01338199513</v>
      </c>
      <c r="NP38" s="37"/>
      <c r="NQ38" s="37">
        <f>IFERROR(__xludf.DUMMYFUNCTION("""COMPUTED_VALUE"""),45335.64583333333)</f>
        <v>45335.64583</v>
      </c>
      <c r="NR38" s="45">
        <f>IFERROR(__xludf.DUMMYFUNCTION("""COMPUTED_VALUE"""),4829.85)</f>
        <v>4829.85</v>
      </c>
      <c r="NS38" s="46">
        <f t="shared" si="96"/>
        <v>0.1565732759</v>
      </c>
      <c r="NT38" s="37"/>
      <c r="NU38" s="37">
        <f>IFERROR(__xludf.DUMMYFUNCTION("""COMPUTED_VALUE"""),45335.64583333333)</f>
        <v>45335.64583</v>
      </c>
      <c r="NV38" s="45">
        <f>IFERROR(__xludf.DUMMYFUNCTION("""COMPUTED_VALUE"""),16.3)</f>
        <v>16.3</v>
      </c>
      <c r="NW38" s="46">
        <f t="shared" si="97"/>
        <v>0.2834645669</v>
      </c>
      <c r="NX38" s="37"/>
      <c r="NY38" s="37">
        <f>IFERROR(__xludf.DUMMYFUNCTION("""COMPUTED_VALUE"""),45335.64583333333)</f>
        <v>45335.64583</v>
      </c>
      <c r="NZ38" s="45">
        <f>IFERROR(__xludf.DUMMYFUNCTION("""COMPUTED_VALUE"""),237.5)</f>
        <v>237.5</v>
      </c>
      <c r="OA38" s="46">
        <f t="shared" si="98"/>
        <v>-0.03768233387</v>
      </c>
      <c r="OB38" s="37"/>
      <c r="OC38" s="37">
        <f>IFERROR(__xludf.DUMMYFUNCTION("""COMPUTED_VALUE"""),45335.64583333333)</f>
        <v>45335.64583</v>
      </c>
      <c r="OD38" s="45">
        <f>IFERROR(__xludf.DUMMYFUNCTION("""COMPUTED_VALUE"""),1141.3)</f>
        <v>1141.3</v>
      </c>
      <c r="OE38" s="46">
        <f t="shared" si="99"/>
        <v>0.08287869444</v>
      </c>
      <c r="OF38" s="37"/>
      <c r="OG38" s="37">
        <f>IFERROR(__xludf.DUMMYFUNCTION("""COMPUTED_VALUE"""),45335.64583333333)</f>
        <v>45335.64583</v>
      </c>
      <c r="OH38" s="45">
        <f>IFERROR(__xludf.DUMMYFUNCTION("""COMPUTED_VALUE"""),2949.5)</f>
        <v>2949.5</v>
      </c>
      <c r="OI38" s="46">
        <f t="shared" si="100"/>
        <v>0.2089105664</v>
      </c>
      <c r="OJ38" s="37"/>
      <c r="OK38" s="37"/>
      <c r="OL38" s="45"/>
      <c r="OM38" s="46" t="str">
        <f t="shared" si="101"/>
        <v>#DIV/0!</v>
      </c>
      <c r="ON38" s="37"/>
    </row>
    <row r="39" ht="12.0" customHeight="1">
      <c r="A39" s="37">
        <f>IFERROR(__xludf.DUMMYFUNCTION("""COMPUTED_VALUE"""),45334.64583333333)</f>
        <v>45334.64583</v>
      </c>
      <c r="B39" s="45">
        <f>IFERROR(__xludf.DUMMYFUNCTION("""COMPUTED_VALUE"""),403.7)</f>
        <v>403.7</v>
      </c>
      <c r="C39" s="46">
        <f t="shared" si="1"/>
        <v>-0.07988603989</v>
      </c>
      <c r="D39" s="37"/>
      <c r="E39" s="37">
        <f>IFERROR(__xludf.DUMMYFUNCTION("""COMPUTED_VALUE"""),45334.64583333333)</f>
        <v>45334.64583</v>
      </c>
      <c r="F39" s="45">
        <f>IFERROR(__xludf.DUMMYFUNCTION("""COMPUTED_VALUE"""),720.0)</f>
        <v>720</v>
      </c>
      <c r="G39" s="46">
        <f t="shared" si="2"/>
        <v>0.09923664122</v>
      </c>
      <c r="H39" s="37"/>
      <c r="I39" s="37">
        <f>IFERROR(__xludf.DUMMYFUNCTION("""COMPUTED_VALUE"""),45334.64583333333)</f>
        <v>45334.64583</v>
      </c>
      <c r="J39" s="45">
        <f>IFERROR(__xludf.DUMMYFUNCTION("""COMPUTED_VALUE"""),183.1)</f>
        <v>183.1</v>
      </c>
      <c r="K39" s="46">
        <f t="shared" si="3"/>
        <v>-0.004891304348</v>
      </c>
      <c r="L39" s="37"/>
      <c r="M39" s="37">
        <f>IFERROR(__xludf.DUMMYFUNCTION("""COMPUTED_VALUE"""),45334.64583333333)</f>
        <v>45334.64583</v>
      </c>
      <c r="N39" s="45">
        <f>IFERROR(__xludf.DUMMYFUNCTION("""COMPUTED_VALUE"""),102.7)</f>
        <v>102.7</v>
      </c>
      <c r="O39" s="46">
        <f t="shared" si="4"/>
        <v>0.1886574074</v>
      </c>
      <c r="P39" s="37"/>
      <c r="Q39" s="37">
        <f>IFERROR(__xludf.DUMMYFUNCTION("""COMPUTED_VALUE"""),45334.64583333333)</f>
        <v>45334.64583</v>
      </c>
      <c r="R39" s="45">
        <f>IFERROR(__xludf.DUMMYFUNCTION("""COMPUTED_VALUE"""),53.25)</f>
        <v>53.25</v>
      </c>
      <c r="S39" s="46">
        <f t="shared" si="5"/>
        <v>0.01428571429</v>
      </c>
      <c r="T39" s="37"/>
      <c r="U39" s="37">
        <f>IFERROR(__xludf.DUMMYFUNCTION("""COMPUTED_VALUE"""),45334.64583333333)</f>
        <v>45334.64583</v>
      </c>
      <c r="V39" s="45">
        <f>IFERROR(__xludf.DUMMYFUNCTION("""COMPUTED_VALUE"""),666.45)</f>
        <v>666.45</v>
      </c>
      <c r="W39" s="46">
        <f t="shared" si="6"/>
        <v>0.006114130435</v>
      </c>
      <c r="X39" s="37"/>
      <c r="Y39" s="37">
        <f>IFERROR(__xludf.DUMMYFUNCTION("""COMPUTED_VALUE"""),45334.64583333333)</f>
        <v>45334.64583</v>
      </c>
      <c r="Z39" s="45">
        <f>IFERROR(__xludf.DUMMYFUNCTION("""COMPUTED_VALUE"""),205.3)</f>
        <v>205.3</v>
      </c>
      <c r="AA39" s="46">
        <f t="shared" si="7"/>
        <v>0.1097297297</v>
      </c>
      <c r="AB39" s="37"/>
      <c r="AC39" s="37">
        <f>IFERROR(__xludf.DUMMYFUNCTION("""COMPUTED_VALUE"""),45334.64583333333)</f>
        <v>45334.64583</v>
      </c>
      <c r="AD39" s="45">
        <f>IFERROR(__xludf.DUMMYFUNCTION("""COMPUTED_VALUE"""),3042.5)</f>
        <v>3042.5</v>
      </c>
      <c r="AE39" s="46">
        <f t="shared" si="8"/>
        <v>0.2813223837</v>
      </c>
      <c r="AF39" s="37"/>
      <c r="AG39" s="37">
        <f>IFERROR(__xludf.DUMMYFUNCTION("""COMPUTED_VALUE"""),45334.64583333333)</f>
        <v>45334.64583</v>
      </c>
      <c r="AH39" s="45">
        <f>IFERROR(__xludf.DUMMYFUNCTION("""COMPUTED_VALUE"""),727.55)</f>
        <v>727.55</v>
      </c>
      <c r="AI39" s="46">
        <f t="shared" si="9"/>
        <v>-0.1338690476</v>
      </c>
      <c r="AJ39" s="37"/>
      <c r="AK39" s="37">
        <f>IFERROR(__xludf.DUMMYFUNCTION("""COMPUTED_VALUE"""),45334.64583333333)</f>
        <v>45334.64583</v>
      </c>
      <c r="AL39" s="45">
        <f>IFERROR(__xludf.DUMMYFUNCTION("""COMPUTED_VALUE"""),7388.0)</f>
        <v>7388</v>
      </c>
      <c r="AM39" s="46">
        <f t="shared" si="10"/>
        <v>0.4207692308</v>
      </c>
      <c r="AN39" s="37"/>
      <c r="AO39" s="37">
        <f>IFERROR(__xludf.DUMMYFUNCTION("""COMPUTED_VALUE"""),45334.64583333333)</f>
        <v>45334.64583</v>
      </c>
      <c r="AP39" s="45">
        <f>IFERROR(__xludf.DUMMYFUNCTION("""COMPUTED_VALUE"""),861.45)</f>
        <v>861.45</v>
      </c>
      <c r="AQ39" s="46">
        <f t="shared" si="11"/>
        <v>-0.05335164835</v>
      </c>
      <c r="AR39" s="37"/>
      <c r="AS39" s="37">
        <f>IFERROR(__xludf.DUMMYFUNCTION("""COMPUTED_VALUE"""),45334.64583333333)</f>
        <v>45334.64583</v>
      </c>
      <c r="AT39" s="45">
        <f>IFERROR(__xludf.DUMMYFUNCTION("""COMPUTED_VALUE"""),2251.0)</f>
        <v>2251</v>
      </c>
      <c r="AU39" s="46">
        <f t="shared" si="12"/>
        <v>-0.09376383912</v>
      </c>
      <c r="AV39" s="37"/>
      <c r="AW39" s="37">
        <f>IFERROR(__xludf.DUMMYFUNCTION("""COMPUTED_VALUE"""),45334.64583333333)</f>
        <v>45334.64583</v>
      </c>
      <c r="AX39" s="45">
        <f>IFERROR(__xludf.DUMMYFUNCTION("""COMPUTED_VALUE"""),5798.85)</f>
        <v>5798.85</v>
      </c>
      <c r="AY39" s="46">
        <f t="shared" si="13"/>
        <v>0.0273270028</v>
      </c>
      <c r="AZ39" s="37"/>
      <c r="BA39" s="37">
        <f>IFERROR(__xludf.DUMMYFUNCTION("""COMPUTED_VALUE"""),45334.64583333333)</f>
        <v>45334.64583</v>
      </c>
      <c r="BB39" s="45">
        <f>IFERROR(__xludf.DUMMYFUNCTION("""COMPUTED_VALUE"""),510.8)</f>
        <v>510.8</v>
      </c>
      <c r="BC39" s="46">
        <f t="shared" si="14"/>
        <v>0.09028815368</v>
      </c>
      <c r="BD39" s="37"/>
      <c r="BE39" s="37">
        <f>IFERROR(__xludf.DUMMYFUNCTION("""COMPUTED_VALUE"""),45334.64583333333)</f>
        <v>45334.64583</v>
      </c>
      <c r="BF39" s="45">
        <f>IFERROR(__xludf.DUMMYFUNCTION("""COMPUTED_VALUE"""),314.8)</f>
        <v>314.8</v>
      </c>
      <c r="BG39" s="46">
        <f t="shared" si="15"/>
        <v>-0.2265356265</v>
      </c>
      <c r="BH39" s="37"/>
      <c r="BI39" s="37">
        <f>IFERROR(__xludf.DUMMYFUNCTION("""COMPUTED_VALUE"""),45334.64583333333)</f>
        <v>45334.64583</v>
      </c>
      <c r="BJ39" s="45">
        <f>IFERROR(__xludf.DUMMYFUNCTION("""COMPUTED_VALUE"""),72.75)</f>
        <v>72.75</v>
      </c>
      <c r="BK39" s="46">
        <f t="shared" si="16"/>
        <v>0.0475161987</v>
      </c>
      <c r="BL39" s="37"/>
      <c r="BM39" s="37">
        <f>IFERROR(__xludf.DUMMYFUNCTION("""COMPUTED_VALUE"""),45334.64583333333)</f>
        <v>45334.64583</v>
      </c>
      <c r="BN39" s="45">
        <f>IFERROR(__xludf.DUMMYFUNCTION("""COMPUTED_VALUE"""),252.7)</f>
        <v>252.7</v>
      </c>
      <c r="BO39" s="46">
        <f t="shared" si="17"/>
        <v>-0.012890625</v>
      </c>
      <c r="BP39" s="37"/>
      <c r="BQ39" s="37">
        <f>IFERROR(__xludf.DUMMYFUNCTION("""COMPUTED_VALUE"""),45334.64583333333)</f>
        <v>45334.64583</v>
      </c>
      <c r="BR39" s="45">
        <f>IFERROR(__xludf.DUMMYFUNCTION("""COMPUTED_VALUE"""),60.35)</f>
        <v>60.35</v>
      </c>
      <c r="BS39" s="46">
        <f t="shared" si="18"/>
        <v>-0.009031198686</v>
      </c>
      <c r="BT39" s="37"/>
      <c r="BU39" s="37">
        <f>IFERROR(__xludf.DUMMYFUNCTION("""COMPUTED_VALUE"""),45334.64583333333)</f>
        <v>45334.64583</v>
      </c>
      <c r="BV39" s="45">
        <f>IFERROR(__xludf.DUMMYFUNCTION("""COMPUTED_VALUE"""),335.0)</f>
        <v>335</v>
      </c>
      <c r="BW39" s="46">
        <f t="shared" si="19"/>
        <v>0.08274078862</v>
      </c>
      <c r="BX39" s="37"/>
      <c r="BY39" s="37">
        <f>IFERROR(__xludf.DUMMYFUNCTION("""COMPUTED_VALUE"""),45334.64583333333)</f>
        <v>45334.64583</v>
      </c>
      <c r="BZ39" s="45">
        <f>IFERROR(__xludf.DUMMYFUNCTION("""COMPUTED_VALUE"""),353.0)</f>
        <v>353</v>
      </c>
      <c r="CA39" s="46">
        <f t="shared" si="20"/>
        <v>-0.137973138</v>
      </c>
      <c r="CB39" s="37"/>
      <c r="CC39" s="37">
        <f>IFERROR(__xludf.DUMMYFUNCTION("""COMPUTED_VALUE"""),45334.64583333333)</f>
        <v>45334.64583</v>
      </c>
      <c r="CD39" s="45">
        <f>IFERROR(__xludf.DUMMYFUNCTION("""COMPUTED_VALUE"""),264.4)</f>
        <v>264.4</v>
      </c>
      <c r="CE39" s="46">
        <f t="shared" si="21"/>
        <v>0.1411307726</v>
      </c>
      <c r="CF39" s="37"/>
      <c r="CG39" s="37">
        <f>IFERROR(__xludf.DUMMYFUNCTION("""COMPUTED_VALUE"""),45334.64583333333)</f>
        <v>45334.64583</v>
      </c>
      <c r="CH39" s="45">
        <f>IFERROR(__xludf.DUMMYFUNCTION("""COMPUTED_VALUE"""),702.1)</f>
        <v>702.1</v>
      </c>
      <c r="CI39" s="46">
        <f t="shared" si="22"/>
        <v>0.1039308176</v>
      </c>
      <c r="CJ39" s="37"/>
      <c r="CK39" s="37">
        <f>IFERROR(__xludf.DUMMYFUNCTION("""COMPUTED_VALUE"""),45334.64583333333)</f>
        <v>45334.64583</v>
      </c>
      <c r="CL39" s="45">
        <f>IFERROR(__xludf.DUMMYFUNCTION("""COMPUTED_VALUE"""),293.9)</f>
        <v>293.9</v>
      </c>
      <c r="CM39" s="46">
        <f t="shared" si="23"/>
        <v>-0.1278931751</v>
      </c>
      <c r="CN39" s="37"/>
      <c r="CO39" s="37">
        <f>IFERROR(__xludf.DUMMYFUNCTION("""COMPUTED_VALUE"""),45334.64583333333)</f>
        <v>45334.64583</v>
      </c>
      <c r="CP39" s="45">
        <f>IFERROR(__xludf.DUMMYFUNCTION("""COMPUTED_VALUE"""),16.2)</f>
        <v>16.2</v>
      </c>
      <c r="CQ39" s="46">
        <f t="shared" si="24"/>
        <v>0.09459459459</v>
      </c>
      <c r="CR39" s="37"/>
      <c r="CS39" s="37">
        <f>IFERROR(__xludf.DUMMYFUNCTION("""COMPUTED_VALUE"""),45334.64583333333)</f>
        <v>45334.64583</v>
      </c>
      <c r="CT39" s="45">
        <f>IFERROR(__xludf.DUMMYFUNCTION("""COMPUTED_VALUE"""),196.7)</f>
        <v>196.7</v>
      </c>
      <c r="CU39" s="46">
        <f t="shared" si="25"/>
        <v>-0.006565656566</v>
      </c>
      <c r="CV39" s="37"/>
      <c r="CW39" s="37">
        <f>IFERROR(__xludf.DUMMYFUNCTION("""COMPUTED_VALUE"""),45334.64583333333)</f>
        <v>45334.64583</v>
      </c>
      <c r="CX39" s="45">
        <f>IFERROR(__xludf.DUMMYFUNCTION("""COMPUTED_VALUE"""),882.0)</f>
        <v>882</v>
      </c>
      <c r="CY39" s="46">
        <f t="shared" si="26"/>
        <v>0.2749718118</v>
      </c>
      <c r="CZ39" s="37"/>
      <c r="DA39" s="37">
        <f>IFERROR(__xludf.DUMMYFUNCTION("""COMPUTED_VALUE"""),45334.64583333333)</f>
        <v>45334.64583</v>
      </c>
      <c r="DB39" s="45">
        <f>IFERROR(__xludf.DUMMYFUNCTION("""COMPUTED_VALUE"""),30.9)</f>
        <v>30.9</v>
      </c>
      <c r="DC39" s="46">
        <f t="shared" si="27"/>
        <v>0.1075268817</v>
      </c>
      <c r="DD39" s="37"/>
      <c r="DE39" s="37">
        <f>IFERROR(__xludf.DUMMYFUNCTION("""COMPUTED_VALUE"""),45334.64583333333)</f>
        <v>45334.64583</v>
      </c>
      <c r="DF39" s="45">
        <f>IFERROR(__xludf.DUMMYFUNCTION("""COMPUTED_VALUE"""),89.75)</f>
        <v>89.75</v>
      </c>
      <c r="DG39" s="46">
        <f t="shared" si="28"/>
        <v>-0.2078552515</v>
      </c>
      <c r="DH39" s="37"/>
      <c r="DI39" s="37">
        <f>IFERROR(__xludf.DUMMYFUNCTION("""COMPUTED_VALUE"""),45334.64583333333)</f>
        <v>45334.64583</v>
      </c>
      <c r="DJ39" s="45">
        <f>IFERROR(__xludf.DUMMYFUNCTION("""COMPUTED_VALUE"""),1761.85)</f>
        <v>1761.85</v>
      </c>
      <c r="DK39" s="46">
        <f t="shared" si="29"/>
        <v>0.09786266201</v>
      </c>
      <c r="DL39" s="37"/>
      <c r="DM39" s="37">
        <f>IFERROR(__xludf.DUMMYFUNCTION("""COMPUTED_VALUE"""),45334.64583333333)</f>
        <v>45334.64583</v>
      </c>
      <c r="DN39" s="45">
        <f>IFERROR(__xludf.DUMMYFUNCTION("""COMPUTED_VALUE"""),594.3)</f>
        <v>594.3</v>
      </c>
      <c r="DO39" s="46">
        <f t="shared" si="30"/>
        <v>0.1084584538</v>
      </c>
      <c r="DP39" s="37"/>
      <c r="DQ39" s="37">
        <f>IFERROR(__xludf.DUMMYFUNCTION("""COMPUTED_VALUE"""),45334.64583333333)</f>
        <v>45334.64583</v>
      </c>
      <c r="DR39" s="45">
        <f>IFERROR(__xludf.DUMMYFUNCTION("""COMPUTED_VALUE"""),206.4)</f>
        <v>206.4</v>
      </c>
      <c r="DS39" s="46">
        <f t="shared" si="31"/>
        <v>-0.05321100917</v>
      </c>
      <c r="DT39" s="37"/>
      <c r="DU39" s="37">
        <f>IFERROR(__xludf.DUMMYFUNCTION("""COMPUTED_VALUE"""),45334.64583333333)</f>
        <v>45334.64583</v>
      </c>
      <c r="DV39" s="45">
        <f>IFERROR(__xludf.DUMMYFUNCTION("""COMPUTED_VALUE"""),931.43)</f>
        <v>931.43</v>
      </c>
      <c r="DW39" s="46">
        <f t="shared" si="32"/>
        <v>0.09515579071</v>
      </c>
      <c r="DX39" s="37"/>
      <c r="DY39" s="37">
        <f>IFERROR(__xludf.DUMMYFUNCTION("""COMPUTED_VALUE"""),45334.64583333333)</f>
        <v>45334.64583</v>
      </c>
      <c r="DZ39" s="45">
        <f>IFERROR(__xludf.DUMMYFUNCTION("""COMPUTED_VALUE"""),14.65)</f>
        <v>14.65</v>
      </c>
      <c r="EA39" s="46">
        <f t="shared" si="33"/>
        <v>0.3502304147</v>
      </c>
      <c r="EB39" s="37"/>
      <c r="EC39" s="37">
        <f>IFERROR(__xludf.DUMMYFUNCTION("""COMPUTED_VALUE"""),45334.64583333333)</f>
        <v>45334.64583</v>
      </c>
      <c r="ED39" s="45">
        <f>IFERROR(__xludf.DUMMYFUNCTION("""COMPUTED_VALUE"""),2233.0)</f>
        <v>2233</v>
      </c>
      <c r="EE39" s="46">
        <f t="shared" si="34"/>
        <v>-0.1557655955</v>
      </c>
      <c r="EF39" s="37"/>
      <c r="EG39" s="37">
        <f>IFERROR(__xludf.DUMMYFUNCTION("""COMPUTED_VALUE"""),45334.64583333333)</f>
        <v>45334.64583</v>
      </c>
      <c r="EH39" s="45">
        <f>IFERROR(__xludf.DUMMYFUNCTION("""COMPUTED_VALUE"""),986.9)</f>
        <v>986.9</v>
      </c>
      <c r="EI39" s="46">
        <f t="shared" si="35"/>
        <v>0.5215849522</v>
      </c>
      <c r="EJ39" s="37"/>
      <c r="EK39" s="37">
        <f>IFERROR(__xludf.DUMMYFUNCTION("""COMPUTED_VALUE"""),45334.64583333333)</f>
        <v>45334.64583</v>
      </c>
      <c r="EL39" s="45">
        <f>IFERROR(__xludf.DUMMYFUNCTION("""COMPUTED_VALUE"""),179.3)</f>
        <v>179.3</v>
      </c>
      <c r="EM39" s="46">
        <f t="shared" si="36"/>
        <v>-0.1123762376</v>
      </c>
      <c r="EN39" s="37"/>
      <c r="EO39" s="37">
        <f>IFERROR(__xludf.DUMMYFUNCTION("""COMPUTED_VALUE"""),45334.64583333333)</f>
        <v>45334.64583</v>
      </c>
      <c r="EP39" s="45">
        <f>IFERROR(__xludf.DUMMYFUNCTION("""COMPUTED_VALUE"""),174.7)</f>
        <v>174.7</v>
      </c>
      <c r="EQ39" s="46">
        <f t="shared" si="37"/>
        <v>0.1274604711</v>
      </c>
      <c r="ER39" s="37"/>
      <c r="ES39" s="37">
        <f>IFERROR(__xludf.DUMMYFUNCTION("""COMPUTED_VALUE"""),45334.64583333333)</f>
        <v>45334.64583</v>
      </c>
      <c r="ET39" s="45">
        <f>IFERROR(__xludf.DUMMYFUNCTION("""COMPUTED_VALUE"""),175.9)</f>
        <v>175.9</v>
      </c>
      <c r="EU39" s="46">
        <f t="shared" si="38"/>
        <v>-0.09493182403</v>
      </c>
      <c r="EV39" s="37"/>
      <c r="EW39" s="37">
        <f>IFERROR(__xludf.DUMMYFUNCTION("""COMPUTED_VALUE"""),45334.64583333333)</f>
        <v>45334.64583</v>
      </c>
      <c r="EX39" s="45">
        <f>IFERROR(__xludf.DUMMYFUNCTION("""COMPUTED_VALUE"""),759.4)</f>
        <v>759.4</v>
      </c>
      <c r="EY39" s="46">
        <f t="shared" si="39"/>
        <v>0.1719135802</v>
      </c>
      <c r="EZ39" s="37"/>
      <c r="FA39" s="37">
        <f>IFERROR(__xludf.DUMMYFUNCTION("""COMPUTED_VALUE"""),45334.64583333333)</f>
        <v>45334.64583</v>
      </c>
      <c r="FB39" s="45">
        <f>IFERROR(__xludf.DUMMYFUNCTION("""COMPUTED_VALUE"""),212.7)</f>
        <v>212.7</v>
      </c>
      <c r="FC39" s="46">
        <f t="shared" si="40"/>
        <v>0.2196100917</v>
      </c>
      <c r="FD39" s="37"/>
      <c r="FE39" s="37">
        <f>IFERROR(__xludf.DUMMYFUNCTION("""COMPUTED_VALUE"""),45334.64583333333)</f>
        <v>45334.64583</v>
      </c>
      <c r="FF39" s="45">
        <f>IFERROR(__xludf.DUMMYFUNCTION("""COMPUTED_VALUE"""),409.65)</f>
        <v>409.65</v>
      </c>
      <c r="FG39" s="46">
        <f t="shared" si="41"/>
        <v>0.343996063</v>
      </c>
      <c r="FH39" s="37"/>
      <c r="FI39" s="37">
        <f>IFERROR(__xludf.DUMMYFUNCTION("""COMPUTED_VALUE"""),45334.64583333333)</f>
        <v>45334.64583</v>
      </c>
      <c r="FJ39" s="45">
        <f>IFERROR(__xludf.DUMMYFUNCTION("""COMPUTED_VALUE"""),662.8)</f>
        <v>662.8</v>
      </c>
      <c r="FK39" s="46">
        <f t="shared" si="42"/>
        <v>0.09363913868</v>
      </c>
      <c r="FL39" s="37"/>
      <c r="FM39" s="37">
        <f>IFERROR(__xludf.DUMMYFUNCTION("""COMPUTED_VALUE"""),45334.64583333333)</f>
        <v>45334.64583</v>
      </c>
      <c r="FN39" s="45">
        <f>IFERROR(__xludf.DUMMYFUNCTION("""COMPUTED_VALUE"""),109.8)</f>
        <v>109.8</v>
      </c>
      <c r="FO39" s="46">
        <f t="shared" si="43"/>
        <v>0.1557894737</v>
      </c>
      <c r="FP39" s="37"/>
      <c r="FQ39" s="37">
        <f>IFERROR(__xludf.DUMMYFUNCTION("""COMPUTED_VALUE"""),45334.64583333333)</f>
        <v>45334.64583</v>
      </c>
      <c r="FR39" s="45">
        <f>IFERROR(__xludf.DUMMYFUNCTION("""COMPUTED_VALUE"""),3.75)</f>
        <v>3.75</v>
      </c>
      <c r="FS39" s="46">
        <f t="shared" si="44"/>
        <v>-0.3181818182</v>
      </c>
      <c r="FT39" s="37"/>
      <c r="FU39" s="37">
        <f>IFERROR(__xludf.DUMMYFUNCTION("""COMPUTED_VALUE"""),45334.64583333333)</f>
        <v>45334.64583</v>
      </c>
      <c r="FV39" s="45">
        <f>IFERROR(__xludf.DUMMYFUNCTION("""COMPUTED_VALUE"""),884.4)</f>
        <v>884.4</v>
      </c>
      <c r="FW39" s="46">
        <f t="shared" si="45"/>
        <v>0.3248445809</v>
      </c>
      <c r="FX39" s="37"/>
      <c r="FY39" s="37">
        <f>IFERROR(__xludf.DUMMYFUNCTION("""COMPUTED_VALUE"""),45334.64583333333)</f>
        <v>45334.64583</v>
      </c>
      <c r="FZ39" s="45">
        <f>IFERROR(__xludf.DUMMYFUNCTION("""COMPUTED_VALUE"""),131.95)</f>
        <v>131.95</v>
      </c>
      <c r="GA39" s="46">
        <f t="shared" si="46"/>
        <v>-0.2229093051</v>
      </c>
      <c r="GB39" s="37"/>
      <c r="GC39" s="37">
        <f>IFERROR(__xludf.DUMMYFUNCTION("""COMPUTED_VALUE"""),45334.64583333333)</f>
        <v>45334.64583</v>
      </c>
      <c r="GD39" s="45">
        <f>IFERROR(__xludf.DUMMYFUNCTION("""COMPUTED_VALUE"""),362.95)</f>
        <v>362.95</v>
      </c>
      <c r="GE39" s="46">
        <f t="shared" si="47"/>
        <v>-0.214223858</v>
      </c>
      <c r="GF39" s="37"/>
      <c r="GG39" s="37">
        <f>IFERROR(__xludf.DUMMYFUNCTION("""COMPUTED_VALUE"""),45334.64583333333)</f>
        <v>45334.64583</v>
      </c>
      <c r="GH39" s="45">
        <f>IFERROR(__xludf.DUMMYFUNCTION("""COMPUTED_VALUE"""),6111.0)</f>
        <v>6111</v>
      </c>
      <c r="GI39" s="46">
        <f t="shared" si="48"/>
        <v>0.1532364597</v>
      </c>
      <c r="GJ39" s="37"/>
      <c r="GK39" s="37">
        <f>IFERROR(__xludf.DUMMYFUNCTION("""COMPUTED_VALUE"""),45334.64583333333)</f>
        <v>45334.64583</v>
      </c>
      <c r="GL39" s="45">
        <f>IFERROR(__xludf.DUMMYFUNCTION("""COMPUTED_VALUE"""),82.0)</f>
        <v>82</v>
      </c>
      <c r="GM39" s="46">
        <f t="shared" si="49"/>
        <v>-0.2768959436</v>
      </c>
      <c r="GN39" s="37"/>
      <c r="GO39" s="37">
        <f>IFERROR(__xludf.DUMMYFUNCTION("""COMPUTED_VALUE"""),45334.64583333333)</f>
        <v>45334.64583</v>
      </c>
      <c r="GP39" s="45">
        <f>IFERROR(__xludf.DUMMYFUNCTION("""COMPUTED_VALUE"""),1224.95)</f>
        <v>1224.95</v>
      </c>
      <c r="GQ39" s="46">
        <f t="shared" si="50"/>
        <v>0.1140466554</v>
      </c>
      <c r="GR39" s="37"/>
      <c r="GS39" s="37">
        <f>IFERROR(__xludf.DUMMYFUNCTION("""COMPUTED_VALUE"""),45334.64583333333)</f>
        <v>45334.64583</v>
      </c>
      <c r="GT39" s="45">
        <f>IFERROR(__xludf.DUMMYFUNCTION("""COMPUTED_VALUE"""),13.85)</f>
        <v>13.85</v>
      </c>
      <c r="GU39" s="46">
        <f t="shared" si="51"/>
        <v>0.0694980695</v>
      </c>
      <c r="GV39" s="37"/>
      <c r="GW39" s="37">
        <f>IFERROR(__xludf.DUMMYFUNCTION("""COMPUTED_VALUE"""),45335.64583333333)</f>
        <v>45335.64583</v>
      </c>
      <c r="GX39" s="45">
        <f>IFERROR(__xludf.DUMMYFUNCTION("""COMPUTED_VALUE"""),18.95)</f>
        <v>18.95</v>
      </c>
      <c r="GY39" s="46">
        <f t="shared" si="52"/>
        <v>0.1484848485</v>
      </c>
      <c r="GZ39" s="37"/>
      <c r="HA39" s="37">
        <f>IFERROR(__xludf.DUMMYFUNCTION("""COMPUTED_VALUE"""),45335.64583333333)</f>
        <v>45335.64583</v>
      </c>
      <c r="HB39" s="45">
        <f>IFERROR(__xludf.DUMMYFUNCTION("""COMPUTED_VALUE"""),540.0)</f>
        <v>540</v>
      </c>
      <c r="HC39" s="46">
        <f t="shared" si="53"/>
        <v>-0.1118421053</v>
      </c>
      <c r="HD39" s="37"/>
      <c r="HE39" s="43">
        <f>IFERROR(__xludf.DUMMYFUNCTION("""COMPUTED_VALUE"""),45335.64583333333)</f>
        <v>45335.64583</v>
      </c>
      <c r="HF39" s="45">
        <f>IFERROR(__xludf.DUMMYFUNCTION("""COMPUTED_VALUE"""),2949.5)</f>
        <v>2949.5</v>
      </c>
      <c r="HG39" s="46" t="str">
        <f t="shared" si="54"/>
        <v>#DIV/0!</v>
      </c>
      <c r="HH39" s="37"/>
      <c r="HI39" s="37">
        <f>IFERROR(__xludf.DUMMYFUNCTION("""COMPUTED_VALUE"""),45335.64583333333)</f>
        <v>45335.64583</v>
      </c>
      <c r="HJ39" s="45">
        <f>IFERROR(__xludf.DUMMYFUNCTION("""COMPUTED_VALUE"""),7132.95)</f>
        <v>7132.95</v>
      </c>
      <c r="HK39" s="46">
        <f t="shared" si="55"/>
        <v>0.395866968</v>
      </c>
      <c r="HL39" s="37"/>
      <c r="HM39" s="37">
        <f>IFERROR(__xludf.DUMMYFUNCTION("""COMPUTED_VALUE"""),45335.64583333333)</f>
        <v>45335.64583</v>
      </c>
      <c r="HN39" s="45">
        <f>IFERROR(__xludf.DUMMYFUNCTION("""COMPUTED_VALUE"""),327.0)</f>
        <v>327</v>
      </c>
      <c r="HO39" s="46">
        <f t="shared" si="56"/>
        <v>-0.1956708892</v>
      </c>
      <c r="HP39" s="37"/>
      <c r="HQ39" s="37">
        <f>IFERROR(__xludf.DUMMYFUNCTION("""COMPUTED_VALUE"""),45335.64583333333)</f>
        <v>45335.64583</v>
      </c>
      <c r="HR39" s="45">
        <f>IFERROR(__xludf.DUMMYFUNCTION("""COMPUTED_VALUE"""),248.0)</f>
        <v>248</v>
      </c>
      <c r="HS39" s="46">
        <f t="shared" si="57"/>
        <v>-0.02477388911</v>
      </c>
      <c r="HT39" s="37"/>
      <c r="HU39" s="37">
        <f>IFERROR(__xludf.DUMMYFUNCTION("""COMPUTED_VALUE"""),45335.64583333333)</f>
        <v>45335.64583</v>
      </c>
      <c r="HV39" s="45">
        <f>IFERROR(__xludf.DUMMYFUNCTION("""COMPUTED_VALUE"""),57.9)</f>
        <v>57.9</v>
      </c>
      <c r="HW39" s="46">
        <f t="shared" si="58"/>
        <v>-0.07211538462</v>
      </c>
      <c r="HX39" s="37"/>
      <c r="HY39" s="37">
        <f>IFERROR(__xludf.DUMMYFUNCTION("""COMPUTED_VALUE"""),45335.64583333333)</f>
        <v>45335.64583</v>
      </c>
      <c r="HZ39" s="45">
        <f>IFERROR(__xludf.DUMMYFUNCTION("""COMPUTED_VALUE"""),356.0)</f>
        <v>356</v>
      </c>
      <c r="IA39" s="46">
        <f t="shared" si="59"/>
        <v>-0.2344086022</v>
      </c>
      <c r="IB39" s="37"/>
      <c r="IC39" s="37">
        <f>IFERROR(__xludf.DUMMYFUNCTION("""COMPUTED_VALUE"""),45335.64583333333)</f>
        <v>45335.64583</v>
      </c>
      <c r="ID39" s="45">
        <f>IFERROR(__xludf.DUMMYFUNCTION("""COMPUTED_VALUE"""),76.0)</f>
        <v>76</v>
      </c>
      <c r="IE39" s="46">
        <f t="shared" si="60"/>
        <v>-0.8267806268</v>
      </c>
      <c r="IF39" s="37"/>
      <c r="IG39" s="37">
        <f>IFERROR(__xludf.DUMMYFUNCTION("""COMPUTED_VALUE"""),45335.64583333333)</f>
        <v>45335.64583</v>
      </c>
      <c r="IH39" s="45">
        <f>IFERROR(__xludf.DUMMYFUNCTION("""COMPUTED_VALUE"""),516.95)</f>
        <v>516.95</v>
      </c>
      <c r="II39" s="46">
        <f t="shared" si="61"/>
        <v>-0.03011257036</v>
      </c>
      <c r="IJ39" s="37"/>
      <c r="IK39" s="37">
        <f>IFERROR(__xludf.DUMMYFUNCTION("""COMPUTED_VALUE"""),45335.64583333333)</f>
        <v>45335.64583</v>
      </c>
      <c r="IL39" s="45">
        <f>IFERROR(__xludf.DUMMYFUNCTION("""COMPUTED_VALUE"""),517.0)</f>
        <v>517</v>
      </c>
      <c r="IM39" s="46">
        <f t="shared" si="62"/>
        <v>-0.1633627316</v>
      </c>
      <c r="IN39" s="37"/>
      <c r="IO39" s="37">
        <f>IFERROR(__xludf.DUMMYFUNCTION("""COMPUTED_VALUE"""),45336.64583333333)</f>
        <v>45336.64583</v>
      </c>
      <c r="IP39" s="45">
        <f>IFERROR(__xludf.DUMMYFUNCTION("""COMPUTED_VALUE"""),236.45)</f>
        <v>236.45</v>
      </c>
      <c r="IQ39" s="46">
        <f t="shared" si="63"/>
        <v>0.8812156894</v>
      </c>
      <c r="IR39" s="37"/>
      <c r="IS39" s="37">
        <f>IFERROR(__xludf.DUMMYFUNCTION("""COMPUTED_VALUE"""),45335.64583333333)</f>
        <v>45335.64583</v>
      </c>
      <c r="IT39" s="45">
        <f>IFERROR(__xludf.DUMMYFUNCTION("""COMPUTED_VALUE"""),919.7)</f>
        <v>919.7</v>
      </c>
      <c r="IU39" s="46">
        <f t="shared" si="64"/>
        <v>-0.08396414343</v>
      </c>
      <c r="IV39" s="37"/>
      <c r="IW39" s="37">
        <f>IFERROR(__xludf.DUMMYFUNCTION("""COMPUTED_VALUE"""),45335.64583333333)</f>
        <v>45335.64583</v>
      </c>
      <c r="IX39" s="45">
        <f>IFERROR(__xludf.DUMMYFUNCTION("""COMPUTED_VALUE"""),274.55)</f>
        <v>274.55</v>
      </c>
      <c r="IY39" s="46">
        <f t="shared" si="65"/>
        <v>0.333090556</v>
      </c>
      <c r="IZ39" s="37"/>
      <c r="JA39" s="37">
        <f>IFERROR(__xludf.DUMMYFUNCTION("""COMPUTED_VALUE"""),45335.64583333333)</f>
        <v>45335.64583</v>
      </c>
      <c r="JB39" s="45">
        <f>IFERROR(__xludf.DUMMYFUNCTION("""COMPUTED_VALUE"""),31992.65)</f>
        <v>31992.65</v>
      </c>
      <c r="JC39" s="46">
        <f t="shared" si="66"/>
        <v>-0.09632047318</v>
      </c>
      <c r="JD39" s="37"/>
      <c r="JE39" s="37">
        <f>IFERROR(__xludf.DUMMYFUNCTION("""COMPUTED_VALUE"""),45335.64583333333)</f>
        <v>45335.64583</v>
      </c>
      <c r="JF39" s="45">
        <f>IFERROR(__xludf.DUMMYFUNCTION("""COMPUTED_VALUE"""),675.0)</f>
        <v>675</v>
      </c>
      <c r="JG39" s="46">
        <f t="shared" si="67"/>
        <v>0.04651162791</v>
      </c>
      <c r="JH39" s="37"/>
      <c r="JI39" s="37">
        <f>IFERROR(__xludf.DUMMYFUNCTION("""COMPUTED_VALUE"""),45335.64583333333)</f>
        <v>45335.64583</v>
      </c>
      <c r="JJ39" s="45">
        <f>IFERROR(__xludf.DUMMYFUNCTION("""COMPUTED_VALUE"""),290.9)</f>
        <v>290.9</v>
      </c>
      <c r="JK39" s="46">
        <f t="shared" si="68"/>
        <v>-0.1289115137</v>
      </c>
      <c r="JL39" s="37"/>
      <c r="JM39" s="37">
        <f>IFERROR(__xludf.DUMMYFUNCTION("""COMPUTED_VALUE"""),45335.64583333333)</f>
        <v>45335.64583</v>
      </c>
      <c r="JN39" s="45">
        <f>IFERROR(__xludf.DUMMYFUNCTION("""COMPUTED_VALUE"""),15.6)</f>
        <v>15.6</v>
      </c>
      <c r="JO39" s="46">
        <f t="shared" si="69"/>
        <v>-0.9644444444</v>
      </c>
      <c r="JP39" s="37"/>
      <c r="JQ39" s="37">
        <f>IFERROR(__xludf.DUMMYFUNCTION("""COMPUTED_VALUE"""),45335.64583333333)</f>
        <v>45335.64583</v>
      </c>
      <c r="JR39" s="45">
        <f>IFERROR(__xludf.DUMMYFUNCTION("""COMPUTED_VALUE"""),87.8)</f>
        <v>87.8</v>
      </c>
      <c r="JS39" s="46">
        <f t="shared" si="70"/>
        <v>-0.3544117647</v>
      </c>
      <c r="JT39" s="37"/>
      <c r="JU39" s="37">
        <f>IFERROR(__xludf.DUMMYFUNCTION("""COMPUTED_VALUE"""),45335.64583333333)</f>
        <v>45335.64583</v>
      </c>
      <c r="JV39" s="45">
        <f>IFERROR(__xludf.DUMMYFUNCTION("""COMPUTED_VALUE"""),238.95)</f>
        <v>238.95</v>
      </c>
      <c r="JW39" s="46">
        <f t="shared" si="71"/>
        <v>-0.4553846154</v>
      </c>
      <c r="JX39" s="37"/>
      <c r="JY39" s="37">
        <f>IFERROR(__xludf.DUMMYFUNCTION("""COMPUTED_VALUE"""),45335.64583333333)</f>
        <v>45335.64583</v>
      </c>
      <c r="JZ39" s="45">
        <f>IFERROR(__xludf.DUMMYFUNCTION("""COMPUTED_VALUE"""),576.05)</f>
        <v>576.05</v>
      </c>
      <c r="KA39" s="46">
        <f t="shared" si="72"/>
        <v>0.04546279492</v>
      </c>
      <c r="KB39" s="37"/>
      <c r="KC39" s="37">
        <f>IFERROR(__xludf.DUMMYFUNCTION("""COMPUTED_VALUE"""),45335.64583333333)</f>
        <v>45335.64583</v>
      </c>
      <c r="KD39" s="45">
        <f>IFERROR(__xludf.DUMMYFUNCTION("""COMPUTED_VALUE"""),832.35)</f>
        <v>832.35</v>
      </c>
      <c r="KE39" s="46">
        <f t="shared" si="73"/>
        <v>-0.04716387156</v>
      </c>
      <c r="KF39" s="37"/>
      <c r="KG39" s="37">
        <f>IFERROR(__xludf.DUMMYFUNCTION("""COMPUTED_VALUE"""),45335.64583333333)</f>
        <v>45335.64583</v>
      </c>
      <c r="KH39" s="45">
        <f>IFERROR(__xludf.DUMMYFUNCTION("""COMPUTED_VALUE"""),431.9)</f>
        <v>431.9</v>
      </c>
      <c r="KI39" s="46">
        <f t="shared" si="74"/>
        <v>0.1074358974</v>
      </c>
      <c r="KJ39" s="37"/>
      <c r="KK39" s="37">
        <f>IFERROR(__xludf.DUMMYFUNCTION("""COMPUTED_VALUE"""),45335.64583333333)</f>
        <v>45335.64583</v>
      </c>
      <c r="KL39" s="45">
        <f>IFERROR(__xludf.DUMMYFUNCTION("""COMPUTED_VALUE"""),14.35)</f>
        <v>14.35</v>
      </c>
      <c r="KM39" s="46">
        <f t="shared" si="75"/>
        <v>0.5430107527</v>
      </c>
      <c r="KN39" s="37"/>
      <c r="KO39" s="37">
        <f>IFERROR(__xludf.DUMMYFUNCTION("""COMPUTED_VALUE"""),45335.64583333333)</f>
        <v>45335.64583</v>
      </c>
      <c r="KP39" s="45">
        <f>IFERROR(__xludf.DUMMYFUNCTION("""COMPUTED_VALUE"""),245.0)</f>
        <v>245</v>
      </c>
      <c r="KQ39" s="46">
        <f t="shared" si="76"/>
        <v>0.2051155927</v>
      </c>
      <c r="KR39" s="37"/>
      <c r="KS39" s="37">
        <f>IFERROR(__xludf.DUMMYFUNCTION("""COMPUTED_VALUE"""),45335.64583333333)</f>
        <v>45335.64583</v>
      </c>
      <c r="KT39" s="45">
        <f>IFERROR(__xludf.DUMMYFUNCTION("""COMPUTED_VALUE"""),14.9)</f>
        <v>14.9</v>
      </c>
      <c r="KU39" s="46">
        <f t="shared" si="77"/>
        <v>0.3484162896</v>
      </c>
      <c r="KV39" s="37"/>
      <c r="KW39" s="37">
        <f>IFERROR(__xludf.DUMMYFUNCTION("""COMPUTED_VALUE"""),45335.64583333333)</f>
        <v>45335.64583</v>
      </c>
      <c r="KX39" s="45">
        <f>IFERROR(__xludf.DUMMYFUNCTION("""COMPUTED_VALUE"""),2196.75)</f>
        <v>2196.75</v>
      </c>
      <c r="KY39" s="46">
        <f t="shared" si="78"/>
        <v>-0.1772317834</v>
      </c>
      <c r="KZ39" s="37"/>
      <c r="LA39" s="37">
        <f>IFERROR(__xludf.DUMMYFUNCTION("""COMPUTED_VALUE"""),45335.64583333333)</f>
        <v>45335.64583</v>
      </c>
      <c r="LB39" s="45">
        <f>IFERROR(__xludf.DUMMYFUNCTION("""COMPUTED_VALUE"""),18.95)</f>
        <v>18.95</v>
      </c>
      <c r="LC39" s="46">
        <f t="shared" si="79"/>
        <v>0.005305039788</v>
      </c>
      <c r="LD39" s="37"/>
      <c r="LE39" s="37">
        <f>IFERROR(__xludf.DUMMYFUNCTION("""COMPUTED_VALUE"""),45335.64583333333)</f>
        <v>45335.64583</v>
      </c>
      <c r="LF39" s="45">
        <f>IFERROR(__xludf.DUMMYFUNCTION("""COMPUTED_VALUE"""),116.0)</f>
        <v>116</v>
      </c>
      <c r="LG39" s="46">
        <f t="shared" si="80"/>
        <v>-0.072</v>
      </c>
      <c r="LH39" s="37"/>
      <c r="LI39" s="37">
        <f>IFERROR(__xludf.DUMMYFUNCTION("""COMPUTED_VALUE"""),45335.64583333333)</f>
        <v>45335.64583</v>
      </c>
      <c r="LJ39" s="45">
        <f>IFERROR(__xludf.DUMMYFUNCTION("""COMPUTED_VALUE"""),697.95)</f>
        <v>697.95</v>
      </c>
      <c r="LK39" s="46">
        <f t="shared" si="81"/>
        <v>-0.04127747253</v>
      </c>
      <c r="LL39" s="37"/>
      <c r="LM39" s="37">
        <f>IFERROR(__xludf.DUMMYFUNCTION("""COMPUTED_VALUE"""),45335.64583333333)</f>
        <v>45335.64583</v>
      </c>
      <c r="LN39" s="45">
        <f>IFERROR(__xludf.DUMMYFUNCTION("""COMPUTED_VALUE"""),744.0)</f>
        <v>744</v>
      </c>
      <c r="LO39" s="46">
        <f t="shared" si="82"/>
        <v>-0.1298245614</v>
      </c>
      <c r="LP39" s="37"/>
      <c r="LQ39" s="37">
        <f>IFERROR(__xludf.DUMMYFUNCTION("""COMPUTED_VALUE"""),45335.64583333333)</f>
        <v>45335.64583</v>
      </c>
      <c r="LR39" s="45">
        <f>IFERROR(__xludf.DUMMYFUNCTION("""COMPUTED_VALUE"""),561.5)</f>
        <v>561.5</v>
      </c>
      <c r="LS39" s="46">
        <f t="shared" si="83"/>
        <v>0.5366721401</v>
      </c>
      <c r="LT39" s="37"/>
      <c r="LU39" s="37">
        <f>IFERROR(__xludf.DUMMYFUNCTION("""COMPUTED_VALUE"""),45335.64583333333)</f>
        <v>45335.64583</v>
      </c>
      <c r="LV39" s="45">
        <f>IFERROR(__xludf.DUMMYFUNCTION("""COMPUTED_VALUE"""),126.0)</f>
        <v>126</v>
      </c>
      <c r="LW39" s="46">
        <f t="shared" si="84"/>
        <v>-0.07894736842</v>
      </c>
      <c r="LX39" s="37"/>
      <c r="LY39" s="37">
        <f>IFERROR(__xludf.DUMMYFUNCTION("""COMPUTED_VALUE"""),45335.64583333333)</f>
        <v>45335.64583</v>
      </c>
      <c r="LZ39" s="45">
        <f>IFERROR(__xludf.DUMMYFUNCTION("""COMPUTED_VALUE"""),638.65)</f>
        <v>638.65</v>
      </c>
      <c r="MA39" s="46">
        <f t="shared" si="85"/>
        <v>0.03008064516</v>
      </c>
      <c r="MB39" s="37"/>
      <c r="MC39" s="37"/>
      <c r="MD39" s="45"/>
      <c r="ME39" s="46" t="str">
        <f t="shared" si="86"/>
        <v>#DIV/0!</v>
      </c>
      <c r="MF39" s="37"/>
      <c r="MG39" s="37">
        <f>IFERROR(__xludf.DUMMYFUNCTION("""COMPUTED_VALUE"""),45335.64583333333)</f>
        <v>45335.64583</v>
      </c>
      <c r="MH39" s="45">
        <f>IFERROR(__xludf.DUMMYFUNCTION("""COMPUTED_VALUE"""),2021.6)</f>
        <v>2021.6</v>
      </c>
      <c r="MI39" s="46">
        <f t="shared" si="87"/>
        <v>0.03092888651</v>
      </c>
      <c r="MJ39" s="37"/>
      <c r="MK39" s="37">
        <f>IFERROR(__xludf.DUMMYFUNCTION("""COMPUTED_VALUE"""),45335.64583333333)</f>
        <v>45335.64583</v>
      </c>
      <c r="ML39" s="45">
        <f>IFERROR(__xludf.DUMMYFUNCTION("""COMPUTED_VALUE"""),348.85)</f>
        <v>348.85</v>
      </c>
      <c r="MM39" s="46">
        <f t="shared" si="88"/>
        <v>-0.1277659707</v>
      </c>
      <c r="MN39" s="37"/>
      <c r="MO39" s="37">
        <f>IFERROR(__xludf.DUMMYFUNCTION("""COMPUTED_VALUE"""),45335.64583333333)</f>
        <v>45335.64583</v>
      </c>
      <c r="MP39" s="45">
        <f>IFERROR(__xludf.DUMMYFUNCTION("""COMPUTED_VALUE"""),856.4)</f>
        <v>856.4</v>
      </c>
      <c r="MQ39" s="46">
        <f t="shared" si="89"/>
        <v>0.1572972973</v>
      </c>
      <c r="MR39" s="37"/>
      <c r="MS39" s="37">
        <f>IFERROR(__xludf.DUMMYFUNCTION("""COMPUTED_VALUE"""),45335.64583333333)</f>
        <v>45335.64583</v>
      </c>
      <c r="MT39" s="45">
        <f>IFERROR(__xludf.DUMMYFUNCTION("""COMPUTED_VALUE"""),59.8)</f>
        <v>59.8</v>
      </c>
      <c r="MU39" s="46">
        <f t="shared" si="90"/>
        <v>-0.09599395314</v>
      </c>
      <c r="MV39" s="37"/>
      <c r="MW39" s="37">
        <f>IFERROR(__xludf.DUMMYFUNCTION("""COMPUTED_VALUE"""),45335.64583333333)</f>
        <v>45335.64583</v>
      </c>
      <c r="MX39" s="45">
        <f>IFERROR(__xludf.DUMMYFUNCTION("""COMPUTED_VALUE"""),3094.0)</f>
        <v>3094</v>
      </c>
      <c r="MY39" s="46">
        <f t="shared" si="91"/>
        <v>-0.01684143629</v>
      </c>
      <c r="MZ39" s="37"/>
      <c r="NA39" s="37">
        <f>IFERROR(__xludf.DUMMYFUNCTION("""COMPUTED_VALUE"""),45335.64583333333)</f>
        <v>45335.64583</v>
      </c>
      <c r="NB39" s="45">
        <f>IFERROR(__xludf.DUMMYFUNCTION("""COMPUTED_VALUE"""),13.2)</f>
        <v>13.2</v>
      </c>
      <c r="NC39" s="46">
        <f t="shared" si="92"/>
        <v>0.04347826087</v>
      </c>
      <c r="ND39" s="37"/>
      <c r="NE39" s="37">
        <f>IFERROR(__xludf.DUMMYFUNCTION("""COMPUTED_VALUE"""),45336.64583333333)</f>
        <v>45336.64583</v>
      </c>
      <c r="NF39" s="45">
        <f>IFERROR(__xludf.DUMMYFUNCTION("""COMPUTED_VALUE"""),357.65)</f>
        <v>357.65</v>
      </c>
      <c r="NG39" s="46">
        <f t="shared" si="93"/>
        <v>-0.06606606607</v>
      </c>
      <c r="NH39" s="37"/>
      <c r="NI39" s="37">
        <f>IFERROR(__xludf.DUMMYFUNCTION("""COMPUTED_VALUE"""),45336.64583333333)</f>
        <v>45336.64583</v>
      </c>
      <c r="NJ39" s="45">
        <f>IFERROR(__xludf.DUMMYFUNCTION("""COMPUTED_VALUE"""),366.0)</f>
        <v>366</v>
      </c>
      <c r="NK39" s="46">
        <f t="shared" si="94"/>
        <v>0.372482844</v>
      </c>
      <c r="NL39" s="37"/>
      <c r="NM39" s="37">
        <f>IFERROR(__xludf.DUMMYFUNCTION("""COMPUTED_VALUE"""),45336.64583333333)</f>
        <v>45336.64583</v>
      </c>
      <c r="NN39" s="45">
        <f>IFERROR(__xludf.DUMMYFUNCTION("""COMPUTED_VALUE"""),123.7)</f>
        <v>123.7</v>
      </c>
      <c r="NO39" s="46">
        <f t="shared" si="95"/>
        <v>0.003244120032</v>
      </c>
      <c r="NP39" s="37"/>
      <c r="NQ39" s="37">
        <f>IFERROR(__xludf.DUMMYFUNCTION("""COMPUTED_VALUE"""),45336.64583333333)</f>
        <v>45336.64583</v>
      </c>
      <c r="NR39" s="45">
        <f>IFERROR(__xludf.DUMMYFUNCTION("""COMPUTED_VALUE"""),4825.0)</f>
        <v>4825</v>
      </c>
      <c r="NS39" s="46">
        <f t="shared" si="96"/>
        <v>0.1554118774</v>
      </c>
      <c r="NT39" s="37"/>
      <c r="NU39" s="37">
        <f>IFERROR(__xludf.DUMMYFUNCTION("""COMPUTED_VALUE"""),45336.64583333333)</f>
        <v>45336.64583</v>
      </c>
      <c r="NV39" s="45">
        <f>IFERROR(__xludf.DUMMYFUNCTION("""COMPUTED_VALUE"""),16.4)</f>
        <v>16.4</v>
      </c>
      <c r="NW39" s="46">
        <f t="shared" si="97"/>
        <v>0.2913385827</v>
      </c>
      <c r="NX39" s="37"/>
      <c r="NY39" s="37">
        <f>IFERROR(__xludf.DUMMYFUNCTION("""COMPUTED_VALUE"""),45336.64583333333)</f>
        <v>45336.64583</v>
      </c>
      <c r="NZ39" s="45">
        <f>IFERROR(__xludf.DUMMYFUNCTION("""COMPUTED_VALUE"""),238.25)</f>
        <v>238.25</v>
      </c>
      <c r="OA39" s="46">
        <f t="shared" si="98"/>
        <v>-0.03464343598</v>
      </c>
      <c r="OB39" s="37"/>
      <c r="OC39" s="37">
        <f>IFERROR(__xludf.DUMMYFUNCTION("""COMPUTED_VALUE"""),45336.64583333333)</f>
        <v>45336.64583</v>
      </c>
      <c r="OD39" s="45">
        <f>IFERROR(__xludf.DUMMYFUNCTION("""COMPUTED_VALUE"""),1139.85)</f>
        <v>1139.85</v>
      </c>
      <c r="OE39" s="46">
        <f t="shared" si="99"/>
        <v>0.0815029176</v>
      </c>
      <c r="OF39" s="37"/>
      <c r="OG39" s="37">
        <f>IFERROR(__xludf.DUMMYFUNCTION("""COMPUTED_VALUE"""),45336.64583333333)</f>
        <v>45336.64583</v>
      </c>
      <c r="OH39" s="45">
        <f>IFERROR(__xludf.DUMMYFUNCTION("""COMPUTED_VALUE"""),3034.5)</f>
        <v>3034.5</v>
      </c>
      <c r="OI39" s="46">
        <f t="shared" si="100"/>
        <v>0.2437494877</v>
      </c>
      <c r="OJ39" s="37"/>
      <c r="OK39" s="37"/>
      <c r="OL39" s="45"/>
      <c r="OM39" s="46" t="str">
        <f t="shared" si="101"/>
        <v>#DIV/0!</v>
      </c>
      <c r="ON39" s="37"/>
    </row>
    <row r="40" ht="12.0" customHeight="1">
      <c r="A40" s="37">
        <f>IFERROR(__xludf.DUMMYFUNCTION("""COMPUTED_VALUE"""),45335.64583333333)</f>
        <v>45335.64583</v>
      </c>
      <c r="B40" s="45">
        <f>IFERROR(__xludf.DUMMYFUNCTION("""COMPUTED_VALUE"""),394.25)</f>
        <v>394.25</v>
      </c>
      <c r="C40" s="46">
        <f t="shared" si="1"/>
        <v>-0.1014245014</v>
      </c>
      <c r="D40" s="37"/>
      <c r="E40" s="37">
        <f>IFERROR(__xludf.DUMMYFUNCTION("""COMPUTED_VALUE"""),45335.64583333333)</f>
        <v>45335.64583</v>
      </c>
      <c r="F40" s="45">
        <f>IFERROR(__xludf.DUMMYFUNCTION("""COMPUTED_VALUE"""),695.0)</f>
        <v>695</v>
      </c>
      <c r="G40" s="46">
        <f t="shared" si="2"/>
        <v>0.06106870229</v>
      </c>
      <c r="H40" s="37"/>
      <c r="I40" s="37">
        <f>IFERROR(__xludf.DUMMYFUNCTION("""COMPUTED_VALUE"""),45335.64583333333)</f>
        <v>45335.64583</v>
      </c>
      <c r="J40" s="45">
        <f>IFERROR(__xludf.DUMMYFUNCTION("""COMPUTED_VALUE"""),176.9)</f>
        <v>176.9</v>
      </c>
      <c r="K40" s="46">
        <f t="shared" si="3"/>
        <v>-0.03858695652</v>
      </c>
      <c r="L40" s="37"/>
      <c r="M40" s="37">
        <f>IFERROR(__xludf.DUMMYFUNCTION("""COMPUTED_VALUE"""),45335.64583333333)</f>
        <v>45335.64583</v>
      </c>
      <c r="N40" s="45">
        <f>IFERROR(__xludf.DUMMYFUNCTION("""COMPUTED_VALUE"""),97.35)</f>
        <v>97.35</v>
      </c>
      <c r="O40" s="46">
        <f t="shared" si="4"/>
        <v>0.1267361111</v>
      </c>
      <c r="P40" s="37"/>
      <c r="Q40" s="37">
        <f>IFERROR(__xludf.DUMMYFUNCTION("""COMPUTED_VALUE"""),45335.64583333333)</f>
        <v>45335.64583</v>
      </c>
      <c r="R40" s="45">
        <f>IFERROR(__xludf.DUMMYFUNCTION("""COMPUTED_VALUE"""),50.5)</f>
        <v>50.5</v>
      </c>
      <c r="S40" s="46">
        <f t="shared" si="5"/>
        <v>-0.0380952381</v>
      </c>
      <c r="T40" s="37"/>
      <c r="U40" s="37">
        <f>IFERROR(__xludf.DUMMYFUNCTION("""COMPUTED_VALUE"""),45335.64583333333)</f>
        <v>45335.64583</v>
      </c>
      <c r="V40" s="45">
        <f>IFERROR(__xludf.DUMMYFUNCTION("""COMPUTED_VALUE"""),647.1)</f>
        <v>647.1</v>
      </c>
      <c r="W40" s="46">
        <f t="shared" si="6"/>
        <v>-0.02309782609</v>
      </c>
      <c r="X40" s="37"/>
      <c r="Y40" s="37">
        <f>IFERROR(__xludf.DUMMYFUNCTION("""COMPUTED_VALUE"""),45335.64583333333)</f>
        <v>45335.64583</v>
      </c>
      <c r="Z40" s="45">
        <f>IFERROR(__xludf.DUMMYFUNCTION("""COMPUTED_VALUE"""),195.25)</f>
        <v>195.25</v>
      </c>
      <c r="AA40" s="46">
        <f t="shared" si="7"/>
        <v>0.05540540541</v>
      </c>
      <c r="AB40" s="37"/>
      <c r="AC40" s="37">
        <f>IFERROR(__xludf.DUMMYFUNCTION("""COMPUTED_VALUE"""),45335.64583333333)</f>
        <v>45335.64583</v>
      </c>
      <c r="AD40" s="45">
        <f>IFERROR(__xludf.DUMMYFUNCTION("""COMPUTED_VALUE"""),2949.5)</f>
        <v>2949.5</v>
      </c>
      <c r="AE40" s="46">
        <f t="shared" si="8"/>
        <v>0.2421562434</v>
      </c>
      <c r="AF40" s="37"/>
      <c r="AG40" s="37">
        <f>IFERROR(__xludf.DUMMYFUNCTION("""COMPUTED_VALUE"""),45335.64583333333)</f>
        <v>45335.64583</v>
      </c>
      <c r="AH40" s="45">
        <f>IFERROR(__xludf.DUMMYFUNCTION("""COMPUTED_VALUE"""),703.15)</f>
        <v>703.15</v>
      </c>
      <c r="AI40" s="46">
        <f t="shared" si="9"/>
        <v>-0.1629166667</v>
      </c>
      <c r="AJ40" s="37"/>
      <c r="AK40" s="37">
        <f>IFERROR(__xludf.DUMMYFUNCTION("""COMPUTED_VALUE"""),45335.64583333333)</f>
        <v>45335.64583</v>
      </c>
      <c r="AL40" s="45">
        <f>IFERROR(__xludf.DUMMYFUNCTION("""COMPUTED_VALUE"""),7132.95)</f>
        <v>7132.95</v>
      </c>
      <c r="AM40" s="46">
        <f t="shared" si="10"/>
        <v>0.3717211538</v>
      </c>
      <c r="AN40" s="37"/>
      <c r="AO40" s="37">
        <f>IFERROR(__xludf.DUMMYFUNCTION("""COMPUTED_VALUE"""),45335.64583333333)</f>
        <v>45335.64583</v>
      </c>
      <c r="AP40" s="45">
        <f>IFERROR(__xludf.DUMMYFUNCTION("""COMPUTED_VALUE"""),846.0)</f>
        <v>846</v>
      </c>
      <c r="AQ40" s="46">
        <f t="shared" si="11"/>
        <v>-0.07032967033</v>
      </c>
      <c r="AR40" s="37"/>
      <c r="AS40" s="37">
        <f>IFERROR(__xludf.DUMMYFUNCTION("""COMPUTED_VALUE"""),45335.64583333333)</f>
        <v>45335.64583</v>
      </c>
      <c r="AT40" s="45">
        <f>IFERROR(__xludf.DUMMYFUNCTION("""COMPUTED_VALUE"""),2238.3)</f>
        <v>2238.3</v>
      </c>
      <c r="AU40" s="46">
        <f t="shared" si="12"/>
        <v>-0.09887676638</v>
      </c>
      <c r="AV40" s="37"/>
      <c r="AW40" s="37">
        <f>IFERROR(__xludf.DUMMYFUNCTION("""COMPUTED_VALUE"""),45335.64583333333)</f>
        <v>45335.64583</v>
      </c>
      <c r="AX40" s="45">
        <f>IFERROR(__xludf.DUMMYFUNCTION("""COMPUTED_VALUE"""),5590.0)</f>
        <v>5590</v>
      </c>
      <c r="AY40" s="46">
        <f t="shared" si="13"/>
        <v>-0.009672961769</v>
      </c>
      <c r="AZ40" s="37"/>
      <c r="BA40" s="37">
        <f>IFERROR(__xludf.DUMMYFUNCTION("""COMPUTED_VALUE"""),45335.64583333333)</f>
        <v>45335.64583</v>
      </c>
      <c r="BB40" s="45">
        <f>IFERROR(__xludf.DUMMYFUNCTION("""COMPUTED_VALUE"""),513.0)</f>
        <v>513</v>
      </c>
      <c r="BC40" s="46">
        <f t="shared" si="14"/>
        <v>0.09498399146</v>
      </c>
      <c r="BD40" s="37"/>
      <c r="BE40" s="37">
        <f>IFERROR(__xludf.DUMMYFUNCTION("""COMPUTED_VALUE"""),45335.64583333333)</f>
        <v>45335.64583</v>
      </c>
      <c r="BF40" s="45">
        <f>IFERROR(__xludf.DUMMYFUNCTION("""COMPUTED_VALUE"""),310.0)</f>
        <v>310</v>
      </c>
      <c r="BG40" s="46">
        <f t="shared" si="15"/>
        <v>-0.2383292383</v>
      </c>
      <c r="BH40" s="37"/>
      <c r="BI40" s="37">
        <f>IFERROR(__xludf.DUMMYFUNCTION("""COMPUTED_VALUE"""),45335.64583333333)</f>
        <v>45335.64583</v>
      </c>
      <c r="BJ40" s="45">
        <f>IFERROR(__xludf.DUMMYFUNCTION("""COMPUTED_VALUE"""),68.5)</f>
        <v>68.5</v>
      </c>
      <c r="BK40" s="46">
        <f t="shared" si="16"/>
        <v>-0.01367890569</v>
      </c>
      <c r="BL40" s="37"/>
      <c r="BM40" s="37">
        <f>IFERROR(__xludf.DUMMYFUNCTION("""COMPUTED_VALUE"""),45335.64583333333)</f>
        <v>45335.64583</v>
      </c>
      <c r="BN40" s="45">
        <f>IFERROR(__xludf.DUMMYFUNCTION("""COMPUTED_VALUE"""),248.0)</f>
        <v>248</v>
      </c>
      <c r="BO40" s="46">
        <f t="shared" si="17"/>
        <v>-0.03125</v>
      </c>
      <c r="BP40" s="37"/>
      <c r="BQ40" s="37">
        <f>IFERROR(__xludf.DUMMYFUNCTION("""COMPUTED_VALUE"""),45335.64583333333)</f>
        <v>45335.64583</v>
      </c>
      <c r="BR40" s="45">
        <f>IFERROR(__xludf.DUMMYFUNCTION("""COMPUTED_VALUE"""),57.9)</f>
        <v>57.9</v>
      </c>
      <c r="BS40" s="46">
        <f t="shared" si="18"/>
        <v>-0.04926108374</v>
      </c>
      <c r="BT40" s="37"/>
      <c r="BU40" s="37">
        <f>IFERROR(__xludf.DUMMYFUNCTION("""COMPUTED_VALUE"""),45335.64583333333)</f>
        <v>45335.64583</v>
      </c>
      <c r="BV40" s="45">
        <f>IFERROR(__xludf.DUMMYFUNCTION("""COMPUTED_VALUE"""),323.5)</f>
        <v>323.5</v>
      </c>
      <c r="BW40" s="46">
        <f t="shared" si="19"/>
        <v>0.04557207498</v>
      </c>
      <c r="BX40" s="37"/>
      <c r="BY40" s="37">
        <f>IFERROR(__xludf.DUMMYFUNCTION("""COMPUTED_VALUE"""),45335.64583333333)</f>
        <v>45335.64583</v>
      </c>
      <c r="BZ40" s="45">
        <f>IFERROR(__xludf.DUMMYFUNCTION("""COMPUTED_VALUE"""),356.0)</f>
        <v>356</v>
      </c>
      <c r="CA40" s="46">
        <f t="shared" si="20"/>
        <v>-0.1306471306</v>
      </c>
      <c r="CB40" s="37"/>
      <c r="CC40" s="37">
        <f>IFERROR(__xludf.DUMMYFUNCTION("""COMPUTED_VALUE"""),45335.64583333333)</f>
        <v>45335.64583</v>
      </c>
      <c r="CD40" s="45">
        <f>IFERROR(__xludf.DUMMYFUNCTION("""COMPUTED_VALUE"""),248.95)</f>
        <v>248.95</v>
      </c>
      <c r="CE40" s="46">
        <f t="shared" si="21"/>
        <v>0.07444971946</v>
      </c>
      <c r="CF40" s="37"/>
      <c r="CG40" s="37">
        <f>IFERROR(__xludf.DUMMYFUNCTION("""COMPUTED_VALUE"""),45335.64583333333)</f>
        <v>45335.64583</v>
      </c>
      <c r="CH40" s="45">
        <f>IFERROR(__xludf.DUMMYFUNCTION("""COMPUTED_VALUE"""),675.0)</f>
        <v>675</v>
      </c>
      <c r="CI40" s="46">
        <f t="shared" si="22"/>
        <v>0.06132075472</v>
      </c>
      <c r="CJ40" s="37"/>
      <c r="CK40" s="37">
        <f>IFERROR(__xludf.DUMMYFUNCTION("""COMPUTED_VALUE"""),45335.64583333333)</f>
        <v>45335.64583</v>
      </c>
      <c r="CL40" s="45">
        <f>IFERROR(__xludf.DUMMYFUNCTION("""COMPUTED_VALUE"""),290.9)</f>
        <v>290.9</v>
      </c>
      <c r="CM40" s="46">
        <f t="shared" si="23"/>
        <v>-0.1367952522</v>
      </c>
      <c r="CN40" s="37"/>
      <c r="CO40" s="37">
        <f>IFERROR(__xludf.DUMMYFUNCTION("""COMPUTED_VALUE"""),45335.64583333333)</f>
        <v>45335.64583</v>
      </c>
      <c r="CP40" s="45">
        <f>IFERROR(__xludf.DUMMYFUNCTION("""COMPUTED_VALUE"""),15.6)</f>
        <v>15.6</v>
      </c>
      <c r="CQ40" s="46">
        <f t="shared" si="24"/>
        <v>0.05405405405</v>
      </c>
      <c r="CR40" s="37"/>
      <c r="CS40" s="37">
        <f>IFERROR(__xludf.DUMMYFUNCTION("""COMPUTED_VALUE"""),45335.64583333333)</f>
        <v>45335.64583</v>
      </c>
      <c r="CT40" s="45">
        <f>IFERROR(__xludf.DUMMYFUNCTION("""COMPUTED_VALUE"""),214.0)</f>
        <v>214</v>
      </c>
      <c r="CU40" s="46">
        <f t="shared" si="25"/>
        <v>0.08080808081</v>
      </c>
      <c r="CV40" s="37"/>
      <c r="CW40" s="37">
        <f>IFERROR(__xludf.DUMMYFUNCTION("""COMPUTED_VALUE"""),45335.64583333333)</f>
        <v>45335.64583</v>
      </c>
      <c r="CX40" s="45">
        <f>IFERROR(__xludf.DUMMYFUNCTION("""COMPUTED_VALUE"""),853.1)</f>
        <v>853.1</v>
      </c>
      <c r="CY40" s="46">
        <f t="shared" si="26"/>
        <v>0.2331955246</v>
      </c>
      <c r="CZ40" s="37"/>
      <c r="DA40" s="37">
        <f>IFERROR(__xludf.DUMMYFUNCTION("""COMPUTED_VALUE"""),45335.64583333333)</f>
        <v>45335.64583</v>
      </c>
      <c r="DB40" s="45">
        <f>IFERROR(__xludf.DUMMYFUNCTION("""COMPUTED_VALUE"""),31.8)</f>
        <v>31.8</v>
      </c>
      <c r="DC40" s="46">
        <f t="shared" si="27"/>
        <v>0.1397849462</v>
      </c>
      <c r="DD40" s="37"/>
      <c r="DE40" s="37">
        <f>IFERROR(__xludf.DUMMYFUNCTION("""COMPUTED_VALUE"""),45335.64583333333)</f>
        <v>45335.64583</v>
      </c>
      <c r="DF40" s="45">
        <f>IFERROR(__xludf.DUMMYFUNCTION("""COMPUTED_VALUE"""),87.8)</f>
        <v>87.8</v>
      </c>
      <c r="DG40" s="46">
        <f t="shared" si="28"/>
        <v>-0.2250661959</v>
      </c>
      <c r="DH40" s="37"/>
      <c r="DI40" s="37">
        <f>IFERROR(__xludf.DUMMYFUNCTION("""COMPUTED_VALUE"""),45335.64583333333)</f>
        <v>45335.64583</v>
      </c>
      <c r="DJ40" s="45">
        <f>IFERROR(__xludf.DUMMYFUNCTION("""COMPUTED_VALUE"""),1722.0)</f>
        <v>1722</v>
      </c>
      <c r="DK40" s="46">
        <f t="shared" si="29"/>
        <v>0.07303090728</v>
      </c>
      <c r="DL40" s="37"/>
      <c r="DM40" s="37">
        <f>IFERROR(__xludf.DUMMYFUNCTION("""COMPUTED_VALUE"""),45335.64583333333)</f>
        <v>45335.64583</v>
      </c>
      <c r="DN40" s="45">
        <f>IFERROR(__xludf.DUMMYFUNCTION("""COMPUTED_VALUE"""),593.8)</f>
        <v>593.8</v>
      </c>
      <c r="DO40" s="46">
        <f t="shared" si="30"/>
        <v>0.107525879</v>
      </c>
      <c r="DP40" s="37"/>
      <c r="DQ40" s="37">
        <f>IFERROR(__xludf.DUMMYFUNCTION("""COMPUTED_VALUE"""),45335.64583333333)</f>
        <v>45335.64583</v>
      </c>
      <c r="DR40" s="45">
        <f>IFERROR(__xludf.DUMMYFUNCTION("""COMPUTED_VALUE"""),206.9)</f>
        <v>206.9</v>
      </c>
      <c r="DS40" s="46">
        <f t="shared" si="31"/>
        <v>-0.05091743119</v>
      </c>
      <c r="DT40" s="37"/>
      <c r="DU40" s="37">
        <f>IFERROR(__xludf.DUMMYFUNCTION("""COMPUTED_VALUE"""),45335.64583333333)</f>
        <v>45335.64583</v>
      </c>
      <c r="DV40" s="45">
        <f>IFERROR(__xludf.DUMMYFUNCTION("""COMPUTED_VALUE"""),832.35)</f>
        <v>832.35</v>
      </c>
      <c r="DW40" s="46">
        <f t="shared" si="32"/>
        <v>-0.02134038801</v>
      </c>
      <c r="DX40" s="37"/>
      <c r="DY40" s="37">
        <f>IFERROR(__xludf.DUMMYFUNCTION("""COMPUTED_VALUE"""),45335.64583333333)</f>
        <v>45335.64583</v>
      </c>
      <c r="DZ40" s="45">
        <f>IFERROR(__xludf.DUMMYFUNCTION("""COMPUTED_VALUE"""),14.9)</f>
        <v>14.9</v>
      </c>
      <c r="EA40" s="46">
        <f t="shared" si="33"/>
        <v>0.3732718894</v>
      </c>
      <c r="EB40" s="37"/>
      <c r="EC40" s="37">
        <f>IFERROR(__xludf.DUMMYFUNCTION("""COMPUTED_VALUE"""),45335.64583333333)</f>
        <v>45335.64583</v>
      </c>
      <c r="ED40" s="45">
        <f>IFERROR(__xludf.DUMMYFUNCTION("""COMPUTED_VALUE"""),2196.75)</f>
        <v>2196.75</v>
      </c>
      <c r="EE40" s="46">
        <f t="shared" si="34"/>
        <v>-0.1694706994</v>
      </c>
      <c r="EF40" s="37"/>
      <c r="EG40" s="37">
        <f>IFERROR(__xludf.DUMMYFUNCTION("""COMPUTED_VALUE"""),45335.64583333333)</f>
        <v>45335.64583</v>
      </c>
      <c r="EH40" s="45">
        <f>IFERROR(__xludf.DUMMYFUNCTION("""COMPUTED_VALUE"""),936.85)</f>
        <v>936.85</v>
      </c>
      <c r="EI40" s="46">
        <f t="shared" si="35"/>
        <v>0.4444187481</v>
      </c>
      <c r="EJ40" s="37"/>
      <c r="EK40" s="37">
        <f>IFERROR(__xludf.DUMMYFUNCTION("""COMPUTED_VALUE"""),45335.64583333333)</f>
        <v>45335.64583</v>
      </c>
      <c r="EL40" s="45">
        <f>IFERROR(__xludf.DUMMYFUNCTION("""COMPUTED_VALUE"""),179.0)</f>
        <v>179</v>
      </c>
      <c r="EM40" s="46">
        <f t="shared" si="36"/>
        <v>-0.1138613861</v>
      </c>
      <c r="EN40" s="37"/>
      <c r="EO40" s="37">
        <f>IFERROR(__xludf.DUMMYFUNCTION("""COMPUTED_VALUE"""),45335.64583333333)</f>
        <v>45335.64583</v>
      </c>
      <c r="EP40" s="45">
        <f>IFERROR(__xludf.DUMMYFUNCTION("""COMPUTED_VALUE"""),172.3)</f>
        <v>172.3</v>
      </c>
      <c r="EQ40" s="46">
        <f t="shared" si="37"/>
        <v>0.1119716037</v>
      </c>
      <c r="ER40" s="37"/>
      <c r="ES40" s="37">
        <f>IFERROR(__xludf.DUMMYFUNCTION("""COMPUTED_VALUE"""),45335.64583333333)</f>
        <v>45335.64583</v>
      </c>
      <c r="ET40" s="45">
        <f>IFERROR(__xludf.DUMMYFUNCTION("""COMPUTED_VALUE"""),169.95)</f>
        <v>169.95</v>
      </c>
      <c r="EU40" s="46">
        <f t="shared" si="38"/>
        <v>-0.1255466941</v>
      </c>
      <c r="EV40" s="37"/>
      <c r="EW40" s="37">
        <f>IFERROR(__xludf.DUMMYFUNCTION("""COMPUTED_VALUE"""),45335.64583333333)</f>
        <v>45335.64583</v>
      </c>
      <c r="EX40" s="45">
        <f>IFERROR(__xludf.DUMMYFUNCTION("""COMPUTED_VALUE"""),771.0)</f>
        <v>771</v>
      </c>
      <c r="EY40" s="46">
        <f t="shared" si="39"/>
        <v>0.1898148148</v>
      </c>
      <c r="EZ40" s="37"/>
      <c r="FA40" s="37">
        <f>IFERROR(__xludf.DUMMYFUNCTION("""COMPUTED_VALUE"""),45335.64583333333)</f>
        <v>45335.64583</v>
      </c>
      <c r="FB40" s="45">
        <f>IFERROR(__xludf.DUMMYFUNCTION("""COMPUTED_VALUE"""),197.0)</f>
        <v>197</v>
      </c>
      <c r="FC40" s="46">
        <f t="shared" si="40"/>
        <v>0.129587156</v>
      </c>
      <c r="FD40" s="37"/>
      <c r="FE40" s="37">
        <f>IFERROR(__xludf.DUMMYFUNCTION("""COMPUTED_VALUE"""),45335.64583333333)</f>
        <v>45335.64583</v>
      </c>
      <c r="FF40" s="45">
        <f>IFERROR(__xludf.DUMMYFUNCTION("""COMPUTED_VALUE"""),389.15)</f>
        <v>389.15</v>
      </c>
      <c r="FG40" s="46">
        <f t="shared" si="41"/>
        <v>0.2767388451</v>
      </c>
      <c r="FH40" s="37"/>
      <c r="FI40" s="37">
        <f>IFERROR(__xludf.DUMMYFUNCTION("""COMPUTED_VALUE"""),45335.64583333333)</f>
        <v>45335.64583</v>
      </c>
      <c r="FJ40" s="45">
        <f>IFERROR(__xludf.DUMMYFUNCTION("""COMPUTED_VALUE"""),638.65)</f>
        <v>638.65</v>
      </c>
      <c r="FK40" s="46">
        <f t="shared" si="42"/>
        <v>0.05379094134</v>
      </c>
      <c r="FL40" s="37"/>
      <c r="FM40" s="37">
        <f>IFERROR(__xludf.DUMMYFUNCTION("""COMPUTED_VALUE"""),45335.64583333333)</f>
        <v>45335.64583</v>
      </c>
      <c r="FN40" s="45">
        <f>IFERROR(__xludf.DUMMYFUNCTION("""COMPUTED_VALUE"""),99.6)</f>
        <v>99.6</v>
      </c>
      <c r="FO40" s="46">
        <f t="shared" si="43"/>
        <v>0.04842105263</v>
      </c>
      <c r="FP40" s="37"/>
      <c r="FQ40" s="37">
        <f>IFERROR(__xludf.DUMMYFUNCTION("""COMPUTED_VALUE"""),45335.64583333333)</f>
        <v>45335.64583</v>
      </c>
      <c r="FR40" s="45">
        <f>IFERROR(__xludf.DUMMYFUNCTION("""COMPUTED_VALUE"""),3.7)</f>
        <v>3.7</v>
      </c>
      <c r="FS40" s="46">
        <f t="shared" si="44"/>
        <v>-0.3272727273</v>
      </c>
      <c r="FT40" s="37"/>
      <c r="FU40" s="37">
        <f>IFERROR(__xludf.DUMMYFUNCTION("""COMPUTED_VALUE"""),45335.64583333333)</f>
        <v>45335.64583</v>
      </c>
      <c r="FV40" s="45">
        <f>IFERROR(__xludf.DUMMYFUNCTION("""COMPUTED_VALUE"""),874.0)</f>
        <v>874</v>
      </c>
      <c r="FW40" s="46">
        <f t="shared" si="45"/>
        <v>0.3092652236</v>
      </c>
      <c r="FX40" s="37"/>
      <c r="FY40" s="37">
        <f>IFERROR(__xludf.DUMMYFUNCTION("""COMPUTED_VALUE"""),45335.64583333333)</f>
        <v>45335.64583</v>
      </c>
      <c r="FZ40" s="45">
        <f>IFERROR(__xludf.DUMMYFUNCTION("""COMPUTED_VALUE"""),128.9)</f>
        <v>128.9</v>
      </c>
      <c r="GA40" s="46">
        <f t="shared" si="46"/>
        <v>-0.2408716137</v>
      </c>
      <c r="GB40" s="37"/>
      <c r="GC40" s="37">
        <f>IFERROR(__xludf.DUMMYFUNCTION("""COMPUTED_VALUE"""),45335.64583333333)</f>
        <v>45335.64583</v>
      </c>
      <c r="GD40" s="45">
        <f>IFERROR(__xludf.DUMMYFUNCTION("""COMPUTED_VALUE"""),347.4)</f>
        <v>347.4</v>
      </c>
      <c r="GE40" s="46">
        <f t="shared" si="47"/>
        <v>-0.2478891535</v>
      </c>
      <c r="GF40" s="37"/>
      <c r="GG40" s="37">
        <f>IFERROR(__xludf.DUMMYFUNCTION("""COMPUTED_VALUE"""),45335.64583333333)</f>
        <v>45335.64583</v>
      </c>
      <c r="GH40" s="45">
        <f>IFERROR(__xludf.DUMMYFUNCTION("""COMPUTED_VALUE"""),5556.05)</f>
        <v>5556.05</v>
      </c>
      <c r="GI40" s="46">
        <f t="shared" si="48"/>
        <v>0.04850915267</v>
      </c>
      <c r="GJ40" s="37"/>
      <c r="GK40" s="37">
        <f>IFERROR(__xludf.DUMMYFUNCTION("""COMPUTED_VALUE"""),45335.64583333333)</f>
        <v>45335.64583</v>
      </c>
      <c r="GL40" s="45">
        <f>IFERROR(__xludf.DUMMYFUNCTION("""COMPUTED_VALUE"""),80.65)</f>
        <v>80.65</v>
      </c>
      <c r="GM40" s="46">
        <f t="shared" si="49"/>
        <v>-0.2888007055</v>
      </c>
      <c r="GN40" s="37"/>
      <c r="GO40" s="37">
        <f>IFERROR(__xludf.DUMMYFUNCTION("""COMPUTED_VALUE"""),45335.64583333333)</f>
        <v>45335.64583</v>
      </c>
      <c r="GP40" s="45">
        <f>IFERROR(__xludf.DUMMYFUNCTION("""COMPUTED_VALUE"""),1200.0)</f>
        <v>1200</v>
      </c>
      <c r="GQ40" s="46">
        <f t="shared" si="50"/>
        <v>0.09135555455</v>
      </c>
      <c r="GR40" s="37"/>
      <c r="GS40" s="37">
        <f>IFERROR(__xludf.DUMMYFUNCTION("""COMPUTED_VALUE"""),45335.64583333333)</f>
        <v>45335.64583</v>
      </c>
      <c r="GT40" s="45">
        <f>IFERROR(__xludf.DUMMYFUNCTION("""COMPUTED_VALUE"""),13.2)</f>
        <v>13.2</v>
      </c>
      <c r="GU40" s="46">
        <f t="shared" si="51"/>
        <v>0.01930501931</v>
      </c>
      <c r="GV40" s="37"/>
      <c r="GW40" s="37">
        <f>IFERROR(__xludf.DUMMYFUNCTION("""COMPUTED_VALUE"""),45336.64583333333)</f>
        <v>45336.64583</v>
      </c>
      <c r="GX40" s="45">
        <f>IFERROR(__xludf.DUMMYFUNCTION("""COMPUTED_VALUE"""),17.75)</f>
        <v>17.75</v>
      </c>
      <c r="GY40" s="46">
        <f t="shared" si="52"/>
        <v>0.07575757576</v>
      </c>
      <c r="GZ40" s="37"/>
      <c r="HA40" s="37">
        <f>IFERROR(__xludf.DUMMYFUNCTION("""COMPUTED_VALUE"""),45336.64583333333)</f>
        <v>45336.64583</v>
      </c>
      <c r="HB40" s="45">
        <f>IFERROR(__xludf.DUMMYFUNCTION("""COMPUTED_VALUE"""),516.9)</f>
        <v>516.9</v>
      </c>
      <c r="HC40" s="46">
        <f t="shared" si="53"/>
        <v>-0.1498355263</v>
      </c>
      <c r="HD40" s="37"/>
      <c r="HE40" s="43">
        <f>IFERROR(__xludf.DUMMYFUNCTION("""COMPUTED_VALUE"""),45336.64583333333)</f>
        <v>45336.64583</v>
      </c>
      <c r="HF40" s="45">
        <f>IFERROR(__xludf.DUMMYFUNCTION("""COMPUTED_VALUE"""),3034.5)</f>
        <v>3034.5</v>
      </c>
      <c r="HG40" s="46" t="str">
        <f t="shared" si="54"/>
        <v>#DIV/0!</v>
      </c>
      <c r="HH40" s="37"/>
      <c r="HI40" s="37">
        <f>IFERROR(__xludf.DUMMYFUNCTION("""COMPUTED_VALUE"""),45336.64583333333)</f>
        <v>45336.64583</v>
      </c>
      <c r="HJ40" s="45">
        <f>IFERROR(__xludf.DUMMYFUNCTION("""COMPUTED_VALUE"""),6850.0)</f>
        <v>6850</v>
      </c>
      <c r="HK40" s="46">
        <f t="shared" si="55"/>
        <v>0.3404956899</v>
      </c>
      <c r="HL40" s="37"/>
      <c r="HM40" s="37">
        <f>IFERROR(__xludf.DUMMYFUNCTION("""COMPUTED_VALUE"""),45336.64583333333)</f>
        <v>45336.64583</v>
      </c>
      <c r="HN40" s="45">
        <f>IFERROR(__xludf.DUMMYFUNCTION("""COMPUTED_VALUE"""),334.55)</f>
        <v>334.55</v>
      </c>
      <c r="HO40" s="46">
        <f t="shared" si="56"/>
        <v>-0.1770999877</v>
      </c>
      <c r="HP40" s="37"/>
      <c r="HQ40" s="37">
        <f>IFERROR(__xludf.DUMMYFUNCTION("""COMPUTED_VALUE"""),45336.64583333333)</f>
        <v>45336.64583</v>
      </c>
      <c r="HR40" s="45">
        <f>IFERROR(__xludf.DUMMYFUNCTION("""COMPUTED_VALUE"""),239.95)</f>
        <v>239.95</v>
      </c>
      <c r="HS40" s="46">
        <f t="shared" si="57"/>
        <v>-0.05642941408</v>
      </c>
      <c r="HT40" s="37"/>
      <c r="HU40" s="37">
        <f>IFERROR(__xludf.DUMMYFUNCTION("""COMPUTED_VALUE"""),45336.64583333333)</f>
        <v>45336.64583</v>
      </c>
      <c r="HV40" s="45">
        <f>IFERROR(__xludf.DUMMYFUNCTION("""COMPUTED_VALUE"""),55.25)</f>
        <v>55.25</v>
      </c>
      <c r="HW40" s="46">
        <f t="shared" si="58"/>
        <v>-0.1145833333</v>
      </c>
      <c r="HX40" s="37"/>
      <c r="HY40" s="37">
        <f>IFERROR(__xludf.DUMMYFUNCTION("""COMPUTED_VALUE"""),45336.64583333333)</f>
        <v>45336.64583</v>
      </c>
      <c r="HZ40" s="45">
        <f>IFERROR(__xludf.DUMMYFUNCTION("""COMPUTED_VALUE"""),339.0)</f>
        <v>339</v>
      </c>
      <c r="IA40" s="46">
        <f t="shared" si="59"/>
        <v>-0.2709677419</v>
      </c>
      <c r="IB40" s="37"/>
      <c r="IC40" s="37">
        <f>IFERROR(__xludf.DUMMYFUNCTION("""COMPUTED_VALUE"""),45336.64583333333)</f>
        <v>45336.64583</v>
      </c>
      <c r="ID40" s="45">
        <f>IFERROR(__xludf.DUMMYFUNCTION("""COMPUTED_VALUE"""),79.0)</f>
        <v>79</v>
      </c>
      <c r="IE40" s="46">
        <f t="shared" si="60"/>
        <v>-0.8199430199</v>
      </c>
      <c r="IF40" s="37"/>
      <c r="IG40" s="37">
        <f>IFERROR(__xludf.DUMMYFUNCTION("""COMPUTED_VALUE"""),45336.64583333333)</f>
        <v>45336.64583</v>
      </c>
      <c r="IH40" s="45">
        <f>IFERROR(__xludf.DUMMYFUNCTION("""COMPUTED_VALUE"""),511.5)</f>
        <v>511.5</v>
      </c>
      <c r="II40" s="46">
        <f t="shared" si="61"/>
        <v>-0.04033771107</v>
      </c>
      <c r="IJ40" s="37"/>
      <c r="IK40" s="37">
        <f>IFERROR(__xludf.DUMMYFUNCTION("""COMPUTED_VALUE"""),45336.64583333333)</f>
        <v>45336.64583</v>
      </c>
      <c r="IL40" s="45">
        <f>IFERROR(__xludf.DUMMYFUNCTION("""COMPUTED_VALUE"""),524.7)</f>
        <v>524.7</v>
      </c>
      <c r="IM40" s="46">
        <f t="shared" si="62"/>
        <v>-0.1509021766</v>
      </c>
      <c r="IN40" s="37"/>
      <c r="IO40" s="37">
        <f>IFERROR(__xludf.DUMMYFUNCTION("""COMPUTED_VALUE"""),45337.64583333333)</f>
        <v>45337.64583</v>
      </c>
      <c r="IP40" s="45">
        <f>IFERROR(__xludf.DUMMYFUNCTION("""COMPUTED_VALUE"""),241.15)</f>
        <v>241.15</v>
      </c>
      <c r="IQ40" s="46">
        <f t="shared" si="63"/>
        <v>0.9186092768</v>
      </c>
      <c r="IR40" s="37"/>
      <c r="IS40" s="37">
        <f>IFERROR(__xludf.DUMMYFUNCTION("""COMPUTED_VALUE"""),45336.64583333333)</f>
        <v>45336.64583</v>
      </c>
      <c r="IT40" s="45">
        <f>IFERROR(__xludf.DUMMYFUNCTION("""COMPUTED_VALUE"""),934.7)</f>
        <v>934.7</v>
      </c>
      <c r="IU40" s="46">
        <f t="shared" si="64"/>
        <v>-0.06902390438</v>
      </c>
      <c r="IV40" s="37"/>
      <c r="IW40" s="37">
        <f>IFERROR(__xludf.DUMMYFUNCTION("""COMPUTED_VALUE"""),45336.64583333333)</f>
        <v>45336.64583</v>
      </c>
      <c r="IX40" s="45">
        <f>IFERROR(__xludf.DUMMYFUNCTION("""COMPUTED_VALUE"""),280.1)</f>
        <v>280.1</v>
      </c>
      <c r="IY40" s="46">
        <f t="shared" si="65"/>
        <v>0.3600388444</v>
      </c>
      <c r="IZ40" s="37"/>
      <c r="JA40" s="37">
        <f>IFERROR(__xludf.DUMMYFUNCTION("""COMPUTED_VALUE"""),45336.64583333333)</f>
        <v>45336.64583</v>
      </c>
      <c r="JB40" s="45">
        <f>IFERROR(__xludf.DUMMYFUNCTION("""COMPUTED_VALUE"""),31599.95)</f>
        <v>31599.95</v>
      </c>
      <c r="JC40" s="46">
        <f t="shared" si="66"/>
        <v>-0.1074128632</v>
      </c>
      <c r="JD40" s="37"/>
      <c r="JE40" s="37">
        <f>IFERROR(__xludf.DUMMYFUNCTION("""COMPUTED_VALUE"""),45336.64583333333)</f>
        <v>45336.64583</v>
      </c>
      <c r="JF40" s="45">
        <f>IFERROR(__xludf.DUMMYFUNCTION("""COMPUTED_VALUE"""),670.0)</f>
        <v>670</v>
      </c>
      <c r="JG40" s="46">
        <f t="shared" si="67"/>
        <v>0.03875968992</v>
      </c>
      <c r="JH40" s="37"/>
      <c r="JI40" s="37">
        <f>IFERROR(__xludf.DUMMYFUNCTION("""COMPUTED_VALUE"""),45336.64583333333)</f>
        <v>45336.64583</v>
      </c>
      <c r="JJ40" s="45">
        <f>IFERROR(__xludf.DUMMYFUNCTION("""COMPUTED_VALUE"""),291.0)</f>
        <v>291</v>
      </c>
      <c r="JK40" s="46">
        <f t="shared" si="68"/>
        <v>-0.1286120677</v>
      </c>
      <c r="JL40" s="37"/>
      <c r="JM40" s="37">
        <f>IFERROR(__xludf.DUMMYFUNCTION("""COMPUTED_VALUE"""),45336.64583333333)</f>
        <v>45336.64583</v>
      </c>
      <c r="JN40" s="45">
        <f>IFERROR(__xludf.DUMMYFUNCTION("""COMPUTED_VALUE"""),15.6)</f>
        <v>15.6</v>
      </c>
      <c r="JO40" s="46">
        <f t="shared" si="69"/>
        <v>-0.9644444444</v>
      </c>
      <c r="JP40" s="37"/>
      <c r="JQ40" s="37">
        <f>IFERROR(__xludf.DUMMYFUNCTION("""COMPUTED_VALUE"""),45336.64583333333)</f>
        <v>45336.64583</v>
      </c>
      <c r="JR40" s="45">
        <f>IFERROR(__xludf.DUMMYFUNCTION("""COMPUTED_VALUE"""),88.9)</f>
        <v>88.9</v>
      </c>
      <c r="JS40" s="46">
        <f t="shared" si="70"/>
        <v>-0.3463235294</v>
      </c>
      <c r="JT40" s="37"/>
      <c r="JU40" s="37">
        <f>IFERROR(__xludf.DUMMYFUNCTION("""COMPUTED_VALUE"""),45336.64583333333)</f>
        <v>45336.64583</v>
      </c>
      <c r="JV40" s="45">
        <f>IFERROR(__xludf.DUMMYFUNCTION("""COMPUTED_VALUE"""),242.0)</f>
        <v>242</v>
      </c>
      <c r="JW40" s="46">
        <f t="shared" si="71"/>
        <v>-0.4484330484</v>
      </c>
      <c r="JX40" s="37"/>
      <c r="JY40" s="37">
        <f>IFERROR(__xludf.DUMMYFUNCTION("""COMPUTED_VALUE"""),45336.64583333333)</f>
        <v>45336.64583</v>
      </c>
      <c r="JZ40" s="45">
        <f>IFERROR(__xludf.DUMMYFUNCTION("""COMPUTED_VALUE"""),588.05)</f>
        <v>588.05</v>
      </c>
      <c r="KA40" s="46">
        <f t="shared" si="72"/>
        <v>0.06724137931</v>
      </c>
      <c r="KB40" s="37"/>
      <c r="KC40" s="37">
        <f>IFERROR(__xludf.DUMMYFUNCTION("""COMPUTED_VALUE"""),45336.64583333333)</f>
        <v>45336.64583</v>
      </c>
      <c r="KD40" s="45">
        <f>IFERROR(__xludf.DUMMYFUNCTION("""COMPUTED_VALUE"""),822.48)</f>
        <v>822.48</v>
      </c>
      <c r="KE40" s="46">
        <f t="shared" si="73"/>
        <v>-0.05846259516</v>
      </c>
      <c r="KF40" s="37"/>
      <c r="KG40" s="37">
        <f>IFERROR(__xludf.DUMMYFUNCTION("""COMPUTED_VALUE"""),45336.64583333333)</f>
        <v>45336.64583</v>
      </c>
      <c r="KH40" s="45">
        <f>IFERROR(__xludf.DUMMYFUNCTION("""COMPUTED_VALUE"""),445.0)</f>
        <v>445</v>
      </c>
      <c r="KI40" s="46">
        <f t="shared" si="74"/>
        <v>0.141025641</v>
      </c>
      <c r="KJ40" s="37"/>
      <c r="KK40" s="37">
        <f>IFERROR(__xludf.DUMMYFUNCTION("""COMPUTED_VALUE"""),45336.64583333333)</f>
        <v>45336.64583</v>
      </c>
      <c r="KL40" s="45">
        <f>IFERROR(__xludf.DUMMYFUNCTION("""COMPUTED_VALUE"""),13.3)</f>
        <v>13.3</v>
      </c>
      <c r="KM40" s="46">
        <f t="shared" si="75"/>
        <v>0.4301075269</v>
      </c>
      <c r="KN40" s="37"/>
      <c r="KO40" s="37">
        <f>IFERROR(__xludf.DUMMYFUNCTION("""COMPUTED_VALUE"""),45336.64583333333)</f>
        <v>45336.64583</v>
      </c>
      <c r="KP40" s="45">
        <f>IFERROR(__xludf.DUMMYFUNCTION("""COMPUTED_VALUE"""),249.95)</f>
        <v>249.95</v>
      </c>
      <c r="KQ40" s="46">
        <f t="shared" si="76"/>
        <v>0.2294638465</v>
      </c>
      <c r="KR40" s="37"/>
      <c r="KS40" s="37">
        <f>IFERROR(__xludf.DUMMYFUNCTION("""COMPUTED_VALUE"""),45336.64583333333)</f>
        <v>45336.64583</v>
      </c>
      <c r="KT40" s="45">
        <f>IFERROR(__xludf.DUMMYFUNCTION("""COMPUTED_VALUE"""),15.15)</f>
        <v>15.15</v>
      </c>
      <c r="KU40" s="46">
        <f t="shared" si="77"/>
        <v>0.371040724</v>
      </c>
      <c r="KV40" s="37"/>
      <c r="KW40" s="37">
        <f>IFERROR(__xludf.DUMMYFUNCTION("""COMPUTED_VALUE"""),45336.64583333333)</f>
        <v>45336.64583</v>
      </c>
      <c r="KX40" s="45">
        <f>IFERROR(__xludf.DUMMYFUNCTION("""COMPUTED_VALUE"""),2178.0)</f>
        <v>2178</v>
      </c>
      <c r="KY40" s="46">
        <f t="shared" si="78"/>
        <v>-0.1842543868</v>
      </c>
      <c r="KZ40" s="37"/>
      <c r="LA40" s="37">
        <f>IFERROR(__xludf.DUMMYFUNCTION("""COMPUTED_VALUE"""),45336.64583333333)</f>
        <v>45336.64583</v>
      </c>
      <c r="LB40" s="45">
        <f>IFERROR(__xludf.DUMMYFUNCTION("""COMPUTED_VALUE"""),18.6)</f>
        <v>18.6</v>
      </c>
      <c r="LC40" s="46">
        <f t="shared" si="79"/>
        <v>-0.01326259947</v>
      </c>
      <c r="LD40" s="37"/>
      <c r="LE40" s="37">
        <f>IFERROR(__xludf.DUMMYFUNCTION("""COMPUTED_VALUE"""),45336.64583333333)</f>
        <v>45336.64583</v>
      </c>
      <c r="LF40" s="45">
        <f>IFERROR(__xludf.DUMMYFUNCTION("""COMPUTED_VALUE"""),113.0)</f>
        <v>113</v>
      </c>
      <c r="LG40" s="46">
        <f t="shared" si="80"/>
        <v>-0.096</v>
      </c>
      <c r="LH40" s="37"/>
      <c r="LI40" s="37">
        <f>IFERROR(__xludf.DUMMYFUNCTION("""COMPUTED_VALUE"""),45336.64583333333)</f>
        <v>45336.64583</v>
      </c>
      <c r="LJ40" s="45">
        <f>IFERROR(__xludf.DUMMYFUNCTION("""COMPUTED_VALUE"""),683.45)</f>
        <v>683.45</v>
      </c>
      <c r="LK40" s="46">
        <f t="shared" si="81"/>
        <v>-0.06119505495</v>
      </c>
      <c r="LL40" s="37"/>
      <c r="LM40" s="37">
        <f>IFERROR(__xludf.DUMMYFUNCTION("""COMPUTED_VALUE"""),45336.64583333333)</f>
        <v>45336.64583</v>
      </c>
      <c r="LN40" s="45">
        <f>IFERROR(__xludf.DUMMYFUNCTION("""COMPUTED_VALUE"""),729.7)</f>
        <v>729.7</v>
      </c>
      <c r="LO40" s="46">
        <f t="shared" si="82"/>
        <v>-0.1465497076</v>
      </c>
      <c r="LP40" s="37"/>
      <c r="LQ40" s="37">
        <f>IFERROR(__xludf.DUMMYFUNCTION("""COMPUTED_VALUE"""),45336.64583333333)</f>
        <v>45336.64583</v>
      </c>
      <c r="LR40" s="45">
        <f>IFERROR(__xludf.DUMMYFUNCTION("""COMPUTED_VALUE"""),574.0)</f>
        <v>574</v>
      </c>
      <c r="LS40" s="46">
        <f t="shared" si="83"/>
        <v>0.5708812261</v>
      </c>
      <c r="LT40" s="37"/>
      <c r="LU40" s="37">
        <f>IFERROR(__xludf.DUMMYFUNCTION("""COMPUTED_VALUE"""),45336.64583333333)</f>
        <v>45336.64583</v>
      </c>
      <c r="LV40" s="45">
        <f>IFERROR(__xludf.DUMMYFUNCTION("""COMPUTED_VALUE"""),130.85)</f>
        <v>130.85</v>
      </c>
      <c r="LW40" s="46">
        <f t="shared" si="84"/>
        <v>-0.04349415205</v>
      </c>
      <c r="LX40" s="37"/>
      <c r="LY40" s="37">
        <f>IFERROR(__xludf.DUMMYFUNCTION("""COMPUTED_VALUE"""),45336.64583333333)</f>
        <v>45336.64583</v>
      </c>
      <c r="LZ40" s="45">
        <f>IFERROR(__xludf.DUMMYFUNCTION("""COMPUTED_VALUE"""),643.95)</f>
        <v>643.95</v>
      </c>
      <c r="MA40" s="46">
        <f t="shared" si="85"/>
        <v>0.03862903226</v>
      </c>
      <c r="MB40" s="37"/>
      <c r="MC40" s="37"/>
      <c r="MD40" s="45"/>
      <c r="ME40" s="46" t="str">
        <f t="shared" si="86"/>
        <v>#DIV/0!</v>
      </c>
      <c r="MF40" s="37"/>
      <c r="MG40" s="37">
        <f>IFERROR(__xludf.DUMMYFUNCTION("""COMPUTED_VALUE"""),45336.64583333333)</f>
        <v>45336.64583</v>
      </c>
      <c r="MH40" s="45">
        <f>IFERROR(__xludf.DUMMYFUNCTION("""COMPUTED_VALUE"""),1979.0)</f>
        <v>1979</v>
      </c>
      <c r="MI40" s="46">
        <f t="shared" si="87"/>
        <v>0.009204722201</v>
      </c>
      <c r="MJ40" s="37"/>
      <c r="MK40" s="37">
        <f>IFERROR(__xludf.DUMMYFUNCTION("""COMPUTED_VALUE"""),45336.64583333333)</f>
        <v>45336.64583</v>
      </c>
      <c r="ML40" s="45">
        <f>IFERROR(__xludf.DUMMYFUNCTION("""COMPUTED_VALUE"""),337.8)</f>
        <v>337.8</v>
      </c>
      <c r="MM40" s="46">
        <f t="shared" si="88"/>
        <v>-0.1553944243</v>
      </c>
      <c r="MN40" s="37"/>
      <c r="MO40" s="37">
        <f>IFERROR(__xludf.DUMMYFUNCTION("""COMPUTED_VALUE"""),45336.64583333333)</f>
        <v>45336.64583</v>
      </c>
      <c r="MP40" s="45">
        <f>IFERROR(__xludf.DUMMYFUNCTION("""COMPUTED_VALUE"""),864.9)</f>
        <v>864.9</v>
      </c>
      <c r="MQ40" s="46">
        <f t="shared" si="89"/>
        <v>0.1687837838</v>
      </c>
      <c r="MR40" s="37"/>
      <c r="MS40" s="37">
        <f>IFERROR(__xludf.DUMMYFUNCTION("""COMPUTED_VALUE"""),45336.64583333333)</f>
        <v>45336.64583</v>
      </c>
      <c r="MT40" s="45">
        <f>IFERROR(__xludf.DUMMYFUNCTION("""COMPUTED_VALUE"""),62.8)</f>
        <v>62.8</v>
      </c>
      <c r="MU40" s="46">
        <f t="shared" si="90"/>
        <v>-0.05064247921</v>
      </c>
      <c r="MV40" s="37"/>
      <c r="MW40" s="37">
        <f>IFERROR(__xludf.DUMMYFUNCTION("""COMPUTED_VALUE"""),45336.64583333333)</f>
        <v>45336.64583</v>
      </c>
      <c r="MX40" s="45">
        <f>IFERROR(__xludf.DUMMYFUNCTION("""COMPUTED_VALUE"""),3069.15)</f>
        <v>3069.15</v>
      </c>
      <c r="MY40" s="46">
        <f t="shared" si="91"/>
        <v>-0.02473784557</v>
      </c>
      <c r="MZ40" s="37"/>
      <c r="NA40" s="37">
        <f>IFERROR(__xludf.DUMMYFUNCTION("""COMPUTED_VALUE"""),45336.64583333333)</f>
        <v>45336.64583</v>
      </c>
      <c r="NB40" s="45">
        <f>IFERROR(__xludf.DUMMYFUNCTION("""COMPUTED_VALUE"""),13.5)</f>
        <v>13.5</v>
      </c>
      <c r="NC40" s="46">
        <f t="shared" si="92"/>
        <v>0.06719367589</v>
      </c>
      <c r="ND40" s="37"/>
      <c r="NE40" s="37">
        <f>IFERROR(__xludf.DUMMYFUNCTION("""COMPUTED_VALUE"""),45337.64583333333)</f>
        <v>45337.64583</v>
      </c>
      <c r="NF40" s="45">
        <f>IFERROR(__xludf.DUMMYFUNCTION("""COMPUTED_VALUE"""),366.75)</f>
        <v>366.75</v>
      </c>
      <c r="NG40" s="46">
        <f t="shared" si="93"/>
        <v>-0.04230317274</v>
      </c>
      <c r="NH40" s="37"/>
      <c r="NI40" s="37">
        <f>IFERROR(__xludf.DUMMYFUNCTION("""COMPUTED_VALUE"""),45337.64583333333)</f>
        <v>45337.64583</v>
      </c>
      <c r="NJ40" s="45">
        <f>IFERROR(__xludf.DUMMYFUNCTION("""COMPUTED_VALUE"""),386.47)</f>
        <v>386.47</v>
      </c>
      <c r="NK40" s="46">
        <f t="shared" si="94"/>
        <v>0.4492443844</v>
      </c>
      <c r="NL40" s="37"/>
      <c r="NM40" s="37">
        <f>IFERROR(__xludf.DUMMYFUNCTION("""COMPUTED_VALUE"""),45337.64583333333)</f>
        <v>45337.64583</v>
      </c>
      <c r="NN40" s="45">
        <f>IFERROR(__xludf.DUMMYFUNCTION("""COMPUTED_VALUE"""),126.9)</f>
        <v>126.9</v>
      </c>
      <c r="NO40" s="46">
        <f t="shared" si="95"/>
        <v>0.02919708029</v>
      </c>
      <c r="NP40" s="37"/>
      <c r="NQ40" s="37">
        <f>IFERROR(__xludf.DUMMYFUNCTION("""COMPUTED_VALUE"""),45337.64583333333)</f>
        <v>45337.64583</v>
      </c>
      <c r="NR40" s="45">
        <f>IFERROR(__xludf.DUMMYFUNCTION("""COMPUTED_VALUE"""),4854.8)</f>
        <v>4854.8</v>
      </c>
      <c r="NS40" s="46">
        <f t="shared" si="96"/>
        <v>0.1625478927</v>
      </c>
      <c r="NT40" s="37"/>
      <c r="NU40" s="37">
        <f>IFERROR(__xludf.DUMMYFUNCTION("""COMPUTED_VALUE"""),45337.64583333333)</f>
        <v>45337.64583</v>
      </c>
      <c r="NV40" s="45">
        <f>IFERROR(__xludf.DUMMYFUNCTION("""COMPUTED_VALUE"""),16.6)</f>
        <v>16.6</v>
      </c>
      <c r="NW40" s="46">
        <f t="shared" si="97"/>
        <v>0.3070866142</v>
      </c>
      <c r="NX40" s="37"/>
      <c r="NY40" s="37">
        <f>IFERROR(__xludf.DUMMYFUNCTION("""COMPUTED_VALUE"""),45337.64583333333)</f>
        <v>45337.64583</v>
      </c>
      <c r="NZ40" s="45">
        <f>IFERROR(__xludf.DUMMYFUNCTION("""COMPUTED_VALUE"""),245.05)</f>
        <v>245.05</v>
      </c>
      <c r="OA40" s="46">
        <f t="shared" si="98"/>
        <v>-0.00709076175</v>
      </c>
      <c r="OB40" s="37"/>
      <c r="OC40" s="37">
        <f>IFERROR(__xludf.DUMMYFUNCTION("""COMPUTED_VALUE"""),45337.64583333333)</f>
        <v>45337.64583</v>
      </c>
      <c r="OD40" s="45">
        <f>IFERROR(__xludf.DUMMYFUNCTION("""COMPUTED_VALUE"""),1146.75)</f>
        <v>1146.75</v>
      </c>
      <c r="OE40" s="46">
        <f t="shared" si="99"/>
        <v>0.08804971773</v>
      </c>
      <c r="OF40" s="37"/>
      <c r="OG40" s="37">
        <f>IFERROR(__xludf.DUMMYFUNCTION("""COMPUTED_VALUE"""),45337.64583333333)</f>
        <v>45337.64583</v>
      </c>
      <c r="OH40" s="45">
        <f>IFERROR(__xludf.DUMMYFUNCTION("""COMPUTED_VALUE"""),2945.8)</f>
        <v>2945.8</v>
      </c>
      <c r="OI40" s="46">
        <f t="shared" si="100"/>
        <v>0.2073940487</v>
      </c>
      <c r="OJ40" s="37"/>
      <c r="OK40" s="37"/>
      <c r="OL40" s="45"/>
      <c r="OM40" s="46" t="str">
        <f t="shared" si="101"/>
        <v>#DIV/0!</v>
      </c>
      <c r="ON40" s="37"/>
    </row>
    <row r="41" ht="12.0" customHeight="1">
      <c r="A41" s="37">
        <f>IFERROR(__xludf.DUMMYFUNCTION("""COMPUTED_VALUE"""),45336.64583333333)</f>
        <v>45336.64583</v>
      </c>
      <c r="B41" s="45">
        <f>IFERROR(__xludf.DUMMYFUNCTION("""COMPUTED_VALUE"""),394.5)</f>
        <v>394.5</v>
      </c>
      <c r="C41" s="46">
        <f t="shared" si="1"/>
        <v>-0.1008547009</v>
      </c>
      <c r="D41" s="37"/>
      <c r="E41" s="37">
        <f>IFERROR(__xludf.DUMMYFUNCTION("""COMPUTED_VALUE"""),45336.64583333333)</f>
        <v>45336.64583</v>
      </c>
      <c r="F41" s="45">
        <f>IFERROR(__xludf.DUMMYFUNCTION("""COMPUTED_VALUE"""),698.45)</f>
        <v>698.45</v>
      </c>
      <c r="G41" s="46">
        <f t="shared" si="2"/>
        <v>0.06633587786</v>
      </c>
      <c r="H41" s="37"/>
      <c r="I41" s="37">
        <f>IFERROR(__xludf.DUMMYFUNCTION("""COMPUTED_VALUE"""),45336.64583333333)</f>
        <v>45336.64583</v>
      </c>
      <c r="J41" s="45">
        <f>IFERROR(__xludf.DUMMYFUNCTION("""COMPUTED_VALUE"""),182.15)</f>
        <v>182.15</v>
      </c>
      <c r="K41" s="46">
        <f t="shared" si="3"/>
        <v>-0.01005434783</v>
      </c>
      <c r="L41" s="37"/>
      <c r="M41" s="37">
        <f>IFERROR(__xludf.DUMMYFUNCTION("""COMPUTED_VALUE"""),45336.64583333333)</f>
        <v>45336.64583</v>
      </c>
      <c r="N41" s="45">
        <f>IFERROR(__xludf.DUMMYFUNCTION("""COMPUTED_VALUE"""),100.65)</f>
        <v>100.65</v>
      </c>
      <c r="O41" s="46">
        <f t="shared" si="4"/>
        <v>0.1649305556</v>
      </c>
      <c r="P41" s="37"/>
      <c r="Q41" s="37">
        <f>IFERROR(__xludf.DUMMYFUNCTION("""COMPUTED_VALUE"""),45336.64583333333)</f>
        <v>45336.64583</v>
      </c>
      <c r="R41" s="45">
        <f>IFERROR(__xludf.DUMMYFUNCTION("""COMPUTED_VALUE"""),51.15)</f>
        <v>51.15</v>
      </c>
      <c r="S41" s="46">
        <f t="shared" si="5"/>
        <v>-0.02571428571</v>
      </c>
      <c r="T41" s="37"/>
      <c r="U41" s="37">
        <f>IFERROR(__xludf.DUMMYFUNCTION("""COMPUTED_VALUE"""),45336.64583333333)</f>
        <v>45336.64583</v>
      </c>
      <c r="V41" s="45">
        <f>IFERROR(__xludf.DUMMYFUNCTION("""COMPUTED_VALUE"""),652.55)</f>
        <v>652.55</v>
      </c>
      <c r="W41" s="46">
        <f t="shared" si="6"/>
        <v>-0.01487016908</v>
      </c>
      <c r="X41" s="37"/>
      <c r="Y41" s="37">
        <f>IFERROR(__xludf.DUMMYFUNCTION("""COMPUTED_VALUE"""),45336.64583333333)</f>
        <v>45336.64583</v>
      </c>
      <c r="Z41" s="45">
        <f>IFERROR(__xludf.DUMMYFUNCTION("""COMPUTED_VALUE"""),198.0)</f>
        <v>198</v>
      </c>
      <c r="AA41" s="46">
        <f t="shared" si="7"/>
        <v>0.07027027027</v>
      </c>
      <c r="AB41" s="37"/>
      <c r="AC41" s="37">
        <f>IFERROR(__xludf.DUMMYFUNCTION("""COMPUTED_VALUE"""),45336.64583333333)</f>
        <v>45336.64583</v>
      </c>
      <c r="AD41" s="45">
        <f>IFERROR(__xludf.DUMMYFUNCTION("""COMPUTED_VALUE"""),3034.5)</f>
        <v>3034.5</v>
      </c>
      <c r="AE41" s="46">
        <f t="shared" si="8"/>
        <v>0.2779532533</v>
      </c>
      <c r="AF41" s="37"/>
      <c r="AG41" s="37">
        <f>IFERROR(__xludf.DUMMYFUNCTION("""COMPUTED_VALUE"""),45336.64583333333)</f>
        <v>45336.64583</v>
      </c>
      <c r="AH41" s="45">
        <f>IFERROR(__xludf.DUMMYFUNCTION("""COMPUTED_VALUE"""),674.4)</f>
        <v>674.4</v>
      </c>
      <c r="AI41" s="46">
        <f t="shared" si="9"/>
        <v>-0.1971428571</v>
      </c>
      <c r="AJ41" s="37"/>
      <c r="AK41" s="37">
        <f>IFERROR(__xludf.DUMMYFUNCTION("""COMPUTED_VALUE"""),45336.64583333333)</f>
        <v>45336.64583</v>
      </c>
      <c r="AL41" s="45">
        <f>IFERROR(__xludf.DUMMYFUNCTION("""COMPUTED_VALUE"""),6850.0)</f>
        <v>6850</v>
      </c>
      <c r="AM41" s="46">
        <f t="shared" si="10"/>
        <v>0.3173076923</v>
      </c>
      <c r="AN41" s="37"/>
      <c r="AO41" s="37">
        <f>IFERROR(__xludf.DUMMYFUNCTION("""COMPUTED_VALUE"""),45336.64583333333)</f>
        <v>45336.64583</v>
      </c>
      <c r="AP41" s="45">
        <f>IFERROR(__xludf.DUMMYFUNCTION("""COMPUTED_VALUE"""),881.35)</f>
        <v>881.35</v>
      </c>
      <c r="AQ41" s="46">
        <f t="shared" si="11"/>
        <v>-0.03148351648</v>
      </c>
      <c r="AR41" s="37"/>
      <c r="AS41" s="37">
        <f>IFERROR(__xludf.DUMMYFUNCTION("""COMPUTED_VALUE"""),45336.64583333333)</f>
        <v>45336.64583</v>
      </c>
      <c r="AT41" s="45">
        <f>IFERROR(__xludf.DUMMYFUNCTION("""COMPUTED_VALUE"""),2270.55)</f>
        <v>2270.55</v>
      </c>
      <c r="AU41" s="46">
        <f t="shared" si="12"/>
        <v>-0.0858931519</v>
      </c>
      <c r="AV41" s="37"/>
      <c r="AW41" s="37">
        <f>IFERROR(__xludf.DUMMYFUNCTION("""COMPUTED_VALUE"""),45336.64583333333)</f>
        <v>45336.64583</v>
      </c>
      <c r="AX41" s="45">
        <f>IFERROR(__xludf.DUMMYFUNCTION("""COMPUTED_VALUE"""),5489.8)</f>
        <v>5489.8</v>
      </c>
      <c r="AY41" s="46">
        <f t="shared" si="13"/>
        <v>-0.02742444106</v>
      </c>
      <c r="AZ41" s="37"/>
      <c r="BA41" s="37">
        <f>IFERROR(__xludf.DUMMYFUNCTION("""COMPUTED_VALUE"""),45336.64583333333)</f>
        <v>45336.64583</v>
      </c>
      <c r="BB41" s="45">
        <f>IFERROR(__xludf.DUMMYFUNCTION("""COMPUTED_VALUE"""),517.0)</f>
        <v>517</v>
      </c>
      <c r="BC41" s="46">
        <f t="shared" si="14"/>
        <v>0.1035218783</v>
      </c>
      <c r="BD41" s="37"/>
      <c r="BE41" s="37">
        <f>IFERROR(__xludf.DUMMYFUNCTION("""COMPUTED_VALUE"""),45336.64583333333)</f>
        <v>45336.64583</v>
      </c>
      <c r="BF41" s="45">
        <f>IFERROR(__xludf.DUMMYFUNCTION("""COMPUTED_VALUE"""),323.4)</f>
        <v>323.4</v>
      </c>
      <c r="BG41" s="46">
        <f t="shared" si="15"/>
        <v>-0.2054054054</v>
      </c>
      <c r="BH41" s="37"/>
      <c r="BI41" s="37">
        <f>IFERROR(__xludf.DUMMYFUNCTION("""COMPUTED_VALUE"""),45336.64583333333)</f>
        <v>45336.64583</v>
      </c>
      <c r="BJ41" s="45">
        <f>IFERROR(__xludf.DUMMYFUNCTION("""COMPUTED_VALUE"""),65.9)</f>
        <v>65.9</v>
      </c>
      <c r="BK41" s="46">
        <f t="shared" si="16"/>
        <v>-0.05111591073</v>
      </c>
      <c r="BL41" s="37"/>
      <c r="BM41" s="37">
        <f>IFERROR(__xludf.DUMMYFUNCTION("""COMPUTED_VALUE"""),45336.64583333333)</f>
        <v>45336.64583</v>
      </c>
      <c r="BN41" s="45">
        <f>IFERROR(__xludf.DUMMYFUNCTION("""COMPUTED_VALUE"""),239.95)</f>
        <v>239.95</v>
      </c>
      <c r="BO41" s="46">
        <f t="shared" si="17"/>
        <v>-0.0626953125</v>
      </c>
      <c r="BP41" s="37"/>
      <c r="BQ41" s="37">
        <f>IFERROR(__xludf.DUMMYFUNCTION("""COMPUTED_VALUE"""),45336.64583333333)</f>
        <v>45336.64583</v>
      </c>
      <c r="BR41" s="45">
        <f>IFERROR(__xludf.DUMMYFUNCTION("""COMPUTED_VALUE"""),55.25)</f>
        <v>55.25</v>
      </c>
      <c r="BS41" s="46">
        <f t="shared" si="18"/>
        <v>-0.09277504105</v>
      </c>
      <c r="BT41" s="37"/>
      <c r="BU41" s="37">
        <f>IFERROR(__xludf.DUMMYFUNCTION("""COMPUTED_VALUE"""),45336.64583333333)</f>
        <v>45336.64583</v>
      </c>
      <c r="BV41" s="45">
        <f>IFERROR(__xludf.DUMMYFUNCTION("""COMPUTED_VALUE"""),321.65)</f>
        <v>321.65</v>
      </c>
      <c r="BW41" s="46">
        <f t="shared" si="19"/>
        <v>0.03959276018</v>
      </c>
      <c r="BX41" s="37"/>
      <c r="BY41" s="37">
        <f>IFERROR(__xludf.DUMMYFUNCTION("""COMPUTED_VALUE"""),45336.64583333333)</f>
        <v>45336.64583</v>
      </c>
      <c r="BZ41" s="45">
        <f>IFERROR(__xludf.DUMMYFUNCTION("""COMPUTED_VALUE"""),339.0)</f>
        <v>339</v>
      </c>
      <c r="CA41" s="46">
        <f t="shared" si="20"/>
        <v>-0.1721611722</v>
      </c>
      <c r="CB41" s="37"/>
      <c r="CC41" s="37">
        <f>IFERROR(__xludf.DUMMYFUNCTION("""COMPUTED_VALUE"""),45336.64583333333)</f>
        <v>45336.64583</v>
      </c>
      <c r="CD41" s="45">
        <f>IFERROR(__xludf.DUMMYFUNCTION("""COMPUTED_VALUE"""),257.95)</f>
        <v>257.95</v>
      </c>
      <c r="CE41" s="46">
        <f t="shared" si="21"/>
        <v>0.1132930514</v>
      </c>
      <c r="CF41" s="37"/>
      <c r="CG41" s="37">
        <f>IFERROR(__xludf.DUMMYFUNCTION("""COMPUTED_VALUE"""),45336.64583333333)</f>
        <v>45336.64583</v>
      </c>
      <c r="CH41" s="45">
        <f>IFERROR(__xludf.DUMMYFUNCTION("""COMPUTED_VALUE"""),670.0)</f>
        <v>670</v>
      </c>
      <c r="CI41" s="46">
        <f t="shared" si="22"/>
        <v>0.0534591195</v>
      </c>
      <c r="CJ41" s="37"/>
      <c r="CK41" s="37">
        <f>IFERROR(__xludf.DUMMYFUNCTION("""COMPUTED_VALUE"""),45336.64583333333)</f>
        <v>45336.64583</v>
      </c>
      <c r="CL41" s="45">
        <f>IFERROR(__xludf.DUMMYFUNCTION("""COMPUTED_VALUE"""),291.0)</f>
        <v>291</v>
      </c>
      <c r="CM41" s="46">
        <f t="shared" si="23"/>
        <v>-0.1364985163</v>
      </c>
      <c r="CN41" s="37"/>
      <c r="CO41" s="37">
        <f>IFERROR(__xludf.DUMMYFUNCTION("""COMPUTED_VALUE"""),45336.64583333333)</f>
        <v>45336.64583</v>
      </c>
      <c r="CP41" s="45">
        <f>IFERROR(__xludf.DUMMYFUNCTION("""COMPUTED_VALUE"""),15.6)</f>
        <v>15.6</v>
      </c>
      <c r="CQ41" s="46">
        <f t="shared" si="24"/>
        <v>0.05405405405</v>
      </c>
      <c r="CR41" s="37"/>
      <c r="CS41" s="37">
        <f>IFERROR(__xludf.DUMMYFUNCTION("""COMPUTED_VALUE"""),45336.64583333333)</f>
        <v>45336.64583</v>
      </c>
      <c r="CT41" s="45">
        <f>IFERROR(__xludf.DUMMYFUNCTION("""COMPUTED_VALUE"""),204.7)</f>
        <v>204.7</v>
      </c>
      <c r="CU41" s="46">
        <f t="shared" si="25"/>
        <v>0.03383838384</v>
      </c>
      <c r="CV41" s="37"/>
      <c r="CW41" s="37">
        <f>IFERROR(__xludf.DUMMYFUNCTION("""COMPUTED_VALUE"""),45336.64583333333)</f>
        <v>45336.64583</v>
      </c>
      <c r="CX41" s="45">
        <f>IFERROR(__xludf.DUMMYFUNCTION("""COMPUTED_VALUE"""),853.5)</f>
        <v>853.5</v>
      </c>
      <c r="CY41" s="46">
        <f t="shared" si="26"/>
        <v>0.2337737431</v>
      </c>
      <c r="CZ41" s="37"/>
      <c r="DA41" s="37">
        <f>IFERROR(__xludf.DUMMYFUNCTION("""COMPUTED_VALUE"""),45336.64583333333)</f>
        <v>45336.64583</v>
      </c>
      <c r="DB41" s="45">
        <f>IFERROR(__xludf.DUMMYFUNCTION("""COMPUTED_VALUE"""),29.85)</f>
        <v>29.85</v>
      </c>
      <c r="DC41" s="46">
        <f t="shared" si="27"/>
        <v>0.06989247312</v>
      </c>
      <c r="DD41" s="37"/>
      <c r="DE41" s="37">
        <f>IFERROR(__xludf.DUMMYFUNCTION("""COMPUTED_VALUE"""),45336.64583333333)</f>
        <v>45336.64583</v>
      </c>
      <c r="DF41" s="45">
        <f>IFERROR(__xludf.DUMMYFUNCTION("""COMPUTED_VALUE"""),88.9)</f>
        <v>88.9</v>
      </c>
      <c r="DG41" s="46">
        <f t="shared" si="28"/>
        <v>-0.2153574581</v>
      </c>
      <c r="DH41" s="37"/>
      <c r="DI41" s="37">
        <f>IFERROR(__xludf.DUMMYFUNCTION("""COMPUTED_VALUE"""),45336.64583333333)</f>
        <v>45336.64583</v>
      </c>
      <c r="DJ41" s="45">
        <f>IFERROR(__xludf.DUMMYFUNCTION("""COMPUTED_VALUE"""),1718.0)</f>
        <v>1718</v>
      </c>
      <c r="DK41" s="46">
        <f t="shared" si="29"/>
        <v>0.07053838485</v>
      </c>
      <c r="DL41" s="37"/>
      <c r="DM41" s="37">
        <f>IFERROR(__xludf.DUMMYFUNCTION("""COMPUTED_VALUE"""),45336.64583333333)</f>
        <v>45336.64583</v>
      </c>
      <c r="DN41" s="45">
        <f>IFERROR(__xludf.DUMMYFUNCTION("""COMPUTED_VALUE"""),591.9)</f>
        <v>591.9</v>
      </c>
      <c r="DO41" s="46">
        <f t="shared" si="30"/>
        <v>0.1039820946</v>
      </c>
      <c r="DP41" s="37"/>
      <c r="DQ41" s="37">
        <f>IFERROR(__xludf.DUMMYFUNCTION("""COMPUTED_VALUE"""),45336.64583333333)</f>
        <v>45336.64583</v>
      </c>
      <c r="DR41" s="45">
        <f>IFERROR(__xludf.DUMMYFUNCTION("""COMPUTED_VALUE"""),244.25)</f>
        <v>244.25</v>
      </c>
      <c r="DS41" s="46">
        <f t="shared" si="31"/>
        <v>0.120412844</v>
      </c>
      <c r="DT41" s="37"/>
      <c r="DU41" s="37">
        <f>IFERROR(__xludf.DUMMYFUNCTION("""COMPUTED_VALUE"""),45336.64583333333)</f>
        <v>45336.64583</v>
      </c>
      <c r="DV41" s="45">
        <f>IFERROR(__xludf.DUMMYFUNCTION("""COMPUTED_VALUE"""),822.48)</f>
        <v>822.48</v>
      </c>
      <c r="DW41" s="46">
        <f t="shared" si="32"/>
        <v>-0.03294532628</v>
      </c>
      <c r="DX41" s="37"/>
      <c r="DY41" s="37">
        <f>IFERROR(__xludf.DUMMYFUNCTION("""COMPUTED_VALUE"""),45336.64583333333)</f>
        <v>45336.64583</v>
      </c>
      <c r="DZ41" s="45">
        <f>IFERROR(__xludf.DUMMYFUNCTION("""COMPUTED_VALUE"""),15.15)</f>
        <v>15.15</v>
      </c>
      <c r="EA41" s="46">
        <f t="shared" si="33"/>
        <v>0.3963133641</v>
      </c>
      <c r="EB41" s="37"/>
      <c r="EC41" s="37">
        <f>IFERROR(__xludf.DUMMYFUNCTION("""COMPUTED_VALUE"""),45336.64583333333)</f>
        <v>45336.64583</v>
      </c>
      <c r="ED41" s="45">
        <f>IFERROR(__xludf.DUMMYFUNCTION("""COMPUTED_VALUE"""),2178.0)</f>
        <v>2178</v>
      </c>
      <c r="EE41" s="46">
        <f t="shared" si="34"/>
        <v>-0.1765595463</v>
      </c>
      <c r="EF41" s="37"/>
      <c r="EG41" s="37">
        <f>IFERROR(__xludf.DUMMYFUNCTION("""COMPUTED_VALUE"""),45336.64583333333)</f>
        <v>45336.64583</v>
      </c>
      <c r="EH41" s="45">
        <f>IFERROR(__xludf.DUMMYFUNCTION("""COMPUTED_VALUE"""),952.8)</f>
        <v>952.8</v>
      </c>
      <c r="EI41" s="46">
        <f t="shared" si="35"/>
        <v>0.4690101758</v>
      </c>
      <c r="EJ41" s="37"/>
      <c r="EK41" s="37">
        <f>IFERROR(__xludf.DUMMYFUNCTION("""COMPUTED_VALUE"""),45336.64583333333)</f>
        <v>45336.64583</v>
      </c>
      <c r="EL41" s="45">
        <f>IFERROR(__xludf.DUMMYFUNCTION("""COMPUTED_VALUE"""),181.9)</f>
        <v>181.9</v>
      </c>
      <c r="EM41" s="46">
        <f t="shared" si="36"/>
        <v>-0.0995049505</v>
      </c>
      <c r="EN41" s="37"/>
      <c r="EO41" s="37">
        <f>IFERROR(__xludf.DUMMYFUNCTION("""COMPUTED_VALUE"""),45336.64583333333)</f>
        <v>45336.64583</v>
      </c>
      <c r="EP41" s="45">
        <f>IFERROR(__xludf.DUMMYFUNCTION("""COMPUTED_VALUE"""),176.75)</f>
        <v>176.75</v>
      </c>
      <c r="EQ41" s="46">
        <f t="shared" si="37"/>
        <v>0.1406905453</v>
      </c>
      <c r="ER41" s="37"/>
      <c r="ES41" s="37">
        <f>IFERROR(__xludf.DUMMYFUNCTION("""COMPUTED_VALUE"""),45336.64583333333)</f>
        <v>45336.64583</v>
      </c>
      <c r="ET41" s="45">
        <f>IFERROR(__xludf.DUMMYFUNCTION("""COMPUTED_VALUE"""),170.2)</f>
        <v>170.2</v>
      </c>
      <c r="EU41" s="46">
        <f t="shared" si="38"/>
        <v>-0.124260355</v>
      </c>
      <c r="EV41" s="37"/>
      <c r="EW41" s="37">
        <f>IFERROR(__xludf.DUMMYFUNCTION("""COMPUTED_VALUE"""),45336.64583333333)</f>
        <v>45336.64583</v>
      </c>
      <c r="EX41" s="45">
        <f>IFERROR(__xludf.DUMMYFUNCTION("""COMPUTED_VALUE"""),811.8)</f>
        <v>811.8</v>
      </c>
      <c r="EY41" s="46">
        <f t="shared" si="39"/>
        <v>0.2527777778</v>
      </c>
      <c r="EZ41" s="37"/>
      <c r="FA41" s="37">
        <f>IFERROR(__xludf.DUMMYFUNCTION("""COMPUTED_VALUE"""),45336.64583333333)</f>
        <v>45336.64583</v>
      </c>
      <c r="FB41" s="45">
        <f>IFERROR(__xludf.DUMMYFUNCTION("""COMPUTED_VALUE"""),203.15)</f>
        <v>203.15</v>
      </c>
      <c r="FC41" s="46">
        <f t="shared" si="40"/>
        <v>0.1648509174</v>
      </c>
      <c r="FD41" s="37"/>
      <c r="FE41" s="37">
        <f>IFERROR(__xludf.DUMMYFUNCTION("""COMPUTED_VALUE"""),45336.64583333333)</f>
        <v>45336.64583</v>
      </c>
      <c r="FF41" s="45">
        <f>IFERROR(__xludf.DUMMYFUNCTION("""COMPUTED_VALUE"""),403.3)</f>
        <v>403.3</v>
      </c>
      <c r="FG41" s="46">
        <f t="shared" si="41"/>
        <v>0.3231627297</v>
      </c>
      <c r="FH41" s="37"/>
      <c r="FI41" s="37">
        <f>IFERROR(__xludf.DUMMYFUNCTION("""COMPUTED_VALUE"""),45336.64583333333)</f>
        <v>45336.64583</v>
      </c>
      <c r="FJ41" s="45">
        <f>IFERROR(__xludf.DUMMYFUNCTION("""COMPUTED_VALUE"""),643.95)</f>
        <v>643.95</v>
      </c>
      <c r="FK41" s="46">
        <f t="shared" si="42"/>
        <v>0.06253609438</v>
      </c>
      <c r="FL41" s="37"/>
      <c r="FM41" s="37">
        <f>IFERROR(__xludf.DUMMYFUNCTION("""COMPUTED_VALUE"""),45336.64583333333)</f>
        <v>45336.64583</v>
      </c>
      <c r="FN41" s="45">
        <f>IFERROR(__xludf.DUMMYFUNCTION("""COMPUTED_VALUE"""),105.5)</f>
        <v>105.5</v>
      </c>
      <c r="FO41" s="46">
        <f t="shared" si="43"/>
        <v>0.1105263158</v>
      </c>
      <c r="FP41" s="37"/>
      <c r="FQ41" s="37">
        <f>IFERROR(__xludf.DUMMYFUNCTION("""COMPUTED_VALUE"""),45336.64583333333)</f>
        <v>45336.64583</v>
      </c>
      <c r="FR41" s="45">
        <f>IFERROR(__xludf.DUMMYFUNCTION("""COMPUTED_VALUE"""),3.65)</f>
        <v>3.65</v>
      </c>
      <c r="FS41" s="46">
        <f t="shared" si="44"/>
        <v>-0.3363636364</v>
      </c>
      <c r="FT41" s="37"/>
      <c r="FU41" s="37">
        <f>IFERROR(__xludf.DUMMYFUNCTION("""COMPUTED_VALUE"""),45336.64583333333)</f>
        <v>45336.64583</v>
      </c>
      <c r="FV41" s="45">
        <f>IFERROR(__xludf.DUMMYFUNCTION("""COMPUTED_VALUE"""),868.0)</f>
        <v>868</v>
      </c>
      <c r="FW41" s="46">
        <f t="shared" si="45"/>
        <v>0.3002771328</v>
      </c>
      <c r="FX41" s="37"/>
      <c r="FY41" s="37">
        <f>IFERROR(__xludf.DUMMYFUNCTION("""COMPUTED_VALUE"""),45336.64583333333)</f>
        <v>45336.64583</v>
      </c>
      <c r="FZ41" s="45">
        <f>IFERROR(__xludf.DUMMYFUNCTION("""COMPUTED_VALUE"""),128.9)</f>
        <v>128.9</v>
      </c>
      <c r="GA41" s="46">
        <f t="shared" si="46"/>
        <v>-0.2408716137</v>
      </c>
      <c r="GB41" s="37"/>
      <c r="GC41" s="37">
        <f>IFERROR(__xludf.DUMMYFUNCTION("""COMPUTED_VALUE"""),45336.64583333333)</f>
        <v>45336.64583</v>
      </c>
      <c r="GD41" s="45">
        <f>IFERROR(__xludf.DUMMYFUNCTION("""COMPUTED_VALUE"""),354.8)</f>
        <v>354.8</v>
      </c>
      <c r="GE41" s="46">
        <f t="shared" si="47"/>
        <v>-0.2318683698</v>
      </c>
      <c r="GF41" s="37"/>
      <c r="GG41" s="37">
        <f>IFERROR(__xludf.DUMMYFUNCTION("""COMPUTED_VALUE"""),45336.64583333333)</f>
        <v>45336.64583</v>
      </c>
      <c r="GH41" s="45">
        <f>IFERROR(__xludf.DUMMYFUNCTION("""COMPUTED_VALUE"""),5756.0)</f>
        <v>5756</v>
      </c>
      <c r="GI41" s="46">
        <f t="shared" si="48"/>
        <v>0.0862426873</v>
      </c>
      <c r="GJ41" s="37"/>
      <c r="GK41" s="37">
        <f>IFERROR(__xludf.DUMMYFUNCTION("""COMPUTED_VALUE"""),45336.64583333333)</f>
        <v>45336.64583</v>
      </c>
      <c r="GL41" s="45">
        <f>IFERROR(__xludf.DUMMYFUNCTION("""COMPUTED_VALUE"""),78.9)</f>
        <v>78.9</v>
      </c>
      <c r="GM41" s="46">
        <f t="shared" si="49"/>
        <v>-0.3042328042</v>
      </c>
      <c r="GN41" s="37"/>
      <c r="GO41" s="37">
        <f>IFERROR(__xludf.DUMMYFUNCTION("""COMPUTED_VALUE"""),45336.64583333333)</f>
        <v>45336.64583</v>
      </c>
      <c r="GP41" s="45">
        <f>IFERROR(__xludf.DUMMYFUNCTION("""COMPUTED_VALUE"""),1252.4)</f>
        <v>1252.4</v>
      </c>
      <c r="GQ41" s="46">
        <f t="shared" si="50"/>
        <v>0.1390114138</v>
      </c>
      <c r="GR41" s="37"/>
      <c r="GS41" s="37">
        <f>IFERROR(__xludf.DUMMYFUNCTION("""COMPUTED_VALUE"""),45336.64583333333)</f>
        <v>45336.64583</v>
      </c>
      <c r="GT41" s="45">
        <f>IFERROR(__xludf.DUMMYFUNCTION("""COMPUTED_VALUE"""),13.5)</f>
        <v>13.5</v>
      </c>
      <c r="GU41" s="46">
        <f t="shared" si="51"/>
        <v>0.04247104247</v>
      </c>
      <c r="GV41" s="37"/>
      <c r="GW41" s="37">
        <f>IFERROR(__xludf.DUMMYFUNCTION("""COMPUTED_VALUE"""),45337.64583333333)</f>
        <v>45337.64583</v>
      </c>
      <c r="GX41" s="45">
        <f>IFERROR(__xludf.DUMMYFUNCTION("""COMPUTED_VALUE"""),17.9)</f>
        <v>17.9</v>
      </c>
      <c r="GY41" s="46">
        <f t="shared" si="52"/>
        <v>0.08484848485</v>
      </c>
      <c r="GZ41" s="37"/>
      <c r="HA41" s="37">
        <f>IFERROR(__xludf.DUMMYFUNCTION("""COMPUTED_VALUE"""),45337.64583333333)</f>
        <v>45337.64583</v>
      </c>
      <c r="HB41" s="45">
        <f>IFERROR(__xludf.DUMMYFUNCTION("""COMPUTED_VALUE"""),518.5)</f>
        <v>518.5</v>
      </c>
      <c r="HC41" s="46">
        <f t="shared" si="53"/>
        <v>-0.1472039474</v>
      </c>
      <c r="HD41" s="37"/>
      <c r="HE41" s="43">
        <f>IFERROR(__xludf.DUMMYFUNCTION("""COMPUTED_VALUE"""),45337.64583333333)</f>
        <v>45337.64583</v>
      </c>
      <c r="HF41" s="45">
        <f>IFERROR(__xludf.DUMMYFUNCTION("""COMPUTED_VALUE"""),2945.8)</f>
        <v>2945.8</v>
      </c>
      <c r="HG41" s="46" t="str">
        <f t="shared" si="54"/>
        <v>#DIV/0!</v>
      </c>
      <c r="HH41" s="37"/>
      <c r="HI41" s="37">
        <f>IFERROR(__xludf.DUMMYFUNCTION("""COMPUTED_VALUE"""),45337.64583333333)</f>
        <v>45337.64583</v>
      </c>
      <c r="HJ41" s="45">
        <f>IFERROR(__xludf.DUMMYFUNCTION("""COMPUTED_VALUE"""),6949.2)</f>
        <v>6949.2</v>
      </c>
      <c r="HK41" s="46">
        <f t="shared" si="55"/>
        <v>0.3599084158</v>
      </c>
      <c r="HL41" s="37"/>
      <c r="HM41" s="37">
        <f>IFERROR(__xludf.DUMMYFUNCTION("""COMPUTED_VALUE"""),45337.64583333333)</f>
        <v>45337.64583</v>
      </c>
      <c r="HN41" s="45">
        <f>IFERROR(__xludf.DUMMYFUNCTION("""COMPUTED_VALUE"""),343.55)</f>
        <v>343.55</v>
      </c>
      <c r="HO41" s="46">
        <f t="shared" si="56"/>
        <v>-0.1549624892</v>
      </c>
      <c r="HP41" s="37"/>
      <c r="HQ41" s="37">
        <f>IFERROR(__xludf.DUMMYFUNCTION("""COMPUTED_VALUE"""),45337.64583333333)</f>
        <v>45337.64583</v>
      </c>
      <c r="HR41" s="45">
        <f>IFERROR(__xludf.DUMMYFUNCTION("""COMPUTED_VALUE"""),259.8)</f>
        <v>259.8</v>
      </c>
      <c r="HS41" s="46">
        <f t="shared" si="57"/>
        <v>0.02162799843</v>
      </c>
      <c r="HT41" s="37"/>
      <c r="HU41" s="37">
        <f>IFERROR(__xludf.DUMMYFUNCTION("""COMPUTED_VALUE"""),45337.64583333333)</f>
        <v>45337.64583</v>
      </c>
      <c r="HV41" s="45">
        <f>IFERROR(__xludf.DUMMYFUNCTION("""COMPUTED_VALUE"""),56.8)</f>
        <v>56.8</v>
      </c>
      <c r="HW41" s="46">
        <f t="shared" si="58"/>
        <v>-0.08974358974</v>
      </c>
      <c r="HX41" s="37"/>
      <c r="HY41" s="37">
        <f>IFERROR(__xludf.DUMMYFUNCTION("""COMPUTED_VALUE"""),45337.64583333333)</f>
        <v>45337.64583</v>
      </c>
      <c r="HZ41" s="45">
        <f>IFERROR(__xludf.DUMMYFUNCTION("""COMPUTED_VALUE"""),355.0)</f>
        <v>355</v>
      </c>
      <c r="IA41" s="46">
        <f t="shared" si="59"/>
        <v>-0.2365591398</v>
      </c>
      <c r="IB41" s="37"/>
      <c r="IC41" s="37">
        <f>IFERROR(__xludf.DUMMYFUNCTION("""COMPUTED_VALUE"""),45337.64583333333)</f>
        <v>45337.64583</v>
      </c>
      <c r="ID41" s="45">
        <f>IFERROR(__xludf.DUMMYFUNCTION("""COMPUTED_VALUE"""),84.95)</f>
        <v>84.95</v>
      </c>
      <c r="IE41" s="46">
        <f t="shared" si="60"/>
        <v>-0.8063817664</v>
      </c>
      <c r="IF41" s="37"/>
      <c r="IG41" s="37">
        <f>IFERROR(__xludf.DUMMYFUNCTION("""COMPUTED_VALUE"""),45337.64583333333)</f>
        <v>45337.64583</v>
      </c>
      <c r="IH41" s="45">
        <f>IFERROR(__xludf.DUMMYFUNCTION("""COMPUTED_VALUE"""),522.0)</f>
        <v>522</v>
      </c>
      <c r="II41" s="46">
        <f t="shared" si="61"/>
        <v>-0.02063789869</v>
      </c>
      <c r="IJ41" s="37"/>
      <c r="IK41" s="37">
        <f>IFERROR(__xludf.DUMMYFUNCTION("""COMPUTED_VALUE"""),45337.64583333333)</f>
        <v>45337.64583</v>
      </c>
      <c r="IL41" s="45">
        <f>IFERROR(__xludf.DUMMYFUNCTION("""COMPUTED_VALUE"""),524.9)</f>
        <v>524.9</v>
      </c>
      <c r="IM41" s="46">
        <f t="shared" si="62"/>
        <v>-0.1505785258</v>
      </c>
      <c r="IN41" s="37"/>
      <c r="IO41" s="37">
        <f>IFERROR(__xludf.DUMMYFUNCTION("""COMPUTED_VALUE"""),45338.64583333333)</f>
        <v>45338.64583</v>
      </c>
      <c r="IP41" s="45">
        <f>IFERROR(__xludf.DUMMYFUNCTION("""COMPUTED_VALUE"""),245.95)</f>
        <v>245.95</v>
      </c>
      <c r="IQ41" s="46">
        <f t="shared" si="63"/>
        <v>0.9567984724</v>
      </c>
      <c r="IR41" s="37"/>
      <c r="IS41" s="37">
        <f>IFERROR(__xludf.DUMMYFUNCTION("""COMPUTED_VALUE"""),45337.64583333333)</f>
        <v>45337.64583</v>
      </c>
      <c r="IT41" s="45">
        <f>IFERROR(__xludf.DUMMYFUNCTION("""COMPUTED_VALUE"""),936.0)</f>
        <v>936</v>
      </c>
      <c r="IU41" s="46">
        <f t="shared" si="64"/>
        <v>-0.06772908367</v>
      </c>
      <c r="IV41" s="37"/>
      <c r="IW41" s="37">
        <f>IFERROR(__xludf.DUMMYFUNCTION("""COMPUTED_VALUE"""),45337.64583333333)</f>
        <v>45337.64583</v>
      </c>
      <c r="IX41" s="45">
        <f>IFERROR(__xludf.DUMMYFUNCTION("""COMPUTED_VALUE"""),294.1)</f>
        <v>294.1</v>
      </c>
      <c r="IY41" s="46">
        <f t="shared" si="65"/>
        <v>0.4280165089</v>
      </c>
      <c r="IZ41" s="37"/>
      <c r="JA41" s="37">
        <f>IFERROR(__xludf.DUMMYFUNCTION("""COMPUTED_VALUE"""),45337.64583333333)</f>
        <v>45337.64583</v>
      </c>
      <c r="JB41" s="45">
        <f>IFERROR(__xludf.DUMMYFUNCTION("""COMPUTED_VALUE"""),31174.4)</f>
        <v>31174.4</v>
      </c>
      <c r="JC41" s="46">
        <f t="shared" si="66"/>
        <v>-0.1194331498</v>
      </c>
      <c r="JD41" s="37"/>
      <c r="JE41" s="37">
        <f>IFERROR(__xludf.DUMMYFUNCTION("""COMPUTED_VALUE"""),45337.64583333333)</f>
        <v>45337.64583</v>
      </c>
      <c r="JF41" s="45">
        <f>IFERROR(__xludf.DUMMYFUNCTION("""COMPUTED_VALUE"""),688.0)</f>
        <v>688</v>
      </c>
      <c r="JG41" s="46">
        <f t="shared" si="67"/>
        <v>0.06666666667</v>
      </c>
      <c r="JH41" s="37"/>
      <c r="JI41" s="37">
        <f>IFERROR(__xludf.DUMMYFUNCTION("""COMPUTED_VALUE"""),45337.64583333333)</f>
        <v>45337.64583</v>
      </c>
      <c r="JJ41" s="45">
        <f>IFERROR(__xludf.DUMMYFUNCTION("""COMPUTED_VALUE"""),297.95)</f>
        <v>297.95</v>
      </c>
      <c r="JK41" s="46">
        <f t="shared" si="68"/>
        <v>-0.1078005689</v>
      </c>
      <c r="JL41" s="37"/>
      <c r="JM41" s="37">
        <f>IFERROR(__xludf.DUMMYFUNCTION("""COMPUTED_VALUE"""),45337.64583333333)</f>
        <v>45337.64583</v>
      </c>
      <c r="JN41" s="45">
        <f>IFERROR(__xludf.DUMMYFUNCTION("""COMPUTED_VALUE"""),16.0)</f>
        <v>16</v>
      </c>
      <c r="JO41" s="46">
        <f t="shared" si="69"/>
        <v>-0.9635327635</v>
      </c>
      <c r="JP41" s="37"/>
      <c r="JQ41" s="37">
        <f>IFERROR(__xludf.DUMMYFUNCTION("""COMPUTED_VALUE"""),45337.64583333333)</f>
        <v>45337.64583</v>
      </c>
      <c r="JR41" s="45">
        <f>IFERROR(__xludf.DUMMYFUNCTION("""COMPUTED_VALUE"""),93.3)</f>
        <v>93.3</v>
      </c>
      <c r="JS41" s="46">
        <f t="shared" si="70"/>
        <v>-0.3139705882</v>
      </c>
      <c r="JT41" s="37"/>
      <c r="JU41" s="37">
        <f>IFERROR(__xludf.DUMMYFUNCTION("""COMPUTED_VALUE"""),45337.64583333333)</f>
        <v>45337.64583</v>
      </c>
      <c r="JV41" s="45">
        <f>IFERROR(__xludf.DUMMYFUNCTION("""COMPUTED_VALUE"""),249.0)</f>
        <v>249</v>
      </c>
      <c r="JW41" s="46">
        <f t="shared" si="71"/>
        <v>-0.4324786325</v>
      </c>
      <c r="JX41" s="37"/>
      <c r="JY41" s="37">
        <f>IFERROR(__xludf.DUMMYFUNCTION("""COMPUTED_VALUE"""),45337.64583333333)</f>
        <v>45337.64583</v>
      </c>
      <c r="JZ41" s="45">
        <f>IFERROR(__xludf.DUMMYFUNCTION("""COMPUTED_VALUE"""),579.0)</f>
        <v>579</v>
      </c>
      <c r="KA41" s="46">
        <f t="shared" si="72"/>
        <v>0.05081669691</v>
      </c>
      <c r="KB41" s="37"/>
      <c r="KC41" s="37">
        <f>IFERROR(__xludf.DUMMYFUNCTION("""COMPUTED_VALUE"""),45337.64583333333)</f>
        <v>45337.64583</v>
      </c>
      <c r="KD41" s="45">
        <f>IFERROR(__xludf.DUMMYFUNCTION("""COMPUTED_VALUE"""),840.0)</f>
        <v>840</v>
      </c>
      <c r="KE41" s="46">
        <f t="shared" si="73"/>
        <v>-0.0384065022</v>
      </c>
      <c r="KF41" s="37"/>
      <c r="KG41" s="37">
        <f>IFERROR(__xludf.DUMMYFUNCTION("""COMPUTED_VALUE"""),45337.64583333333)</f>
        <v>45337.64583</v>
      </c>
      <c r="KH41" s="45">
        <f>IFERROR(__xludf.DUMMYFUNCTION("""COMPUTED_VALUE"""),477.55)</f>
        <v>477.55</v>
      </c>
      <c r="KI41" s="46">
        <f t="shared" si="74"/>
        <v>0.2244871795</v>
      </c>
      <c r="KJ41" s="37"/>
      <c r="KK41" s="37">
        <f>IFERROR(__xludf.DUMMYFUNCTION("""COMPUTED_VALUE"""),45337.64583333333)</f>
        <v>45337.64583</v>
      </c>
      <c r="KL41" s="45">
        <f>IFERROR(__xludf.DUMMYFUNCTION("""COMPUTED_VALUE"""),12.85)</f>
        <v>12.85</v>
      </c>
      <c r="KM41" s="46">
        <f t="shared" si="75"/>
        <v>0.3817204301</v>
      </c>
      <c r="KN41" s="37"/>
      <c r="KO41" s="37">
        <f>IFERROR(__xludf.DUMMYFUNCTION("""COMPUTED_VALUE"""),45337.64583333333)</f>
        <v>45337.64583</v>
      </c>
      <c r="KP41" s="45">
        <f>IFERROR(__xludf.DUMMYFUNCTION("""COMPUTED_VALUE"""),262.4)</f>
        <v>262.4</v>
      </c>
      <c r="KQ41" s="46">
        <f t="shared" si="76"/>
        <v>0.290703394</v>
      </c>
      <c r="KR41" s="37"/>
      <c r="KS41" s="37">
        <f>IFERROR(__xludf.DUMMYFUNCTION("""COMPUTED_VALUE"""),45337.64583333333)</f>
        <v>45337.64583</v>
      </c>
      <c r="KT41" s="45">
        <f>IFERROR(__xludf.DUMMYFUNCTION("""COMPUTED_VALUE"""),15.45)</f>
        <v>15.45</v>
      </c>
      <c r="KU41" s="46">
        <f t="shared" si="77"/>
        <v>0.3981900452</v>
      </c>
      <c r="KV41" s="37"/>
      <c r="KW41" s="37">
        <f>IFERROR(__xludf.DUMMYFUNCTION("""COMPUTED_VALUE"""),45337.64583333333)</f>
        <v>45337.64583</v>
      </c>
      <c r="KX41" s="45">
        <f>IFERROR(__xludf.DUMMYFUNCTION("""COMPUTED_VALUE"""),2278.95)</f>
        <v>2278.95</v>
      </c>
      <c r="KY41" s="46">
        <f t="shared" si="78"/>
        <v>-0.14644469</v>
      </c>
      <c r="KZ41" s="37"/>
      <c r="LA41" s="37">
        <f>IFERROR(__xludf.DUMMYFUNCTION("""COMPUTED_VALUE"""),45337.64583333333)</f>
        <v>45337.64583</v>
      </c>
      <c r="LB41" s="45">
        <f>IFERROR(__xludf.DUMMYFUNCTION("""COMPUTED_VALUE"""),18.6)</f>
        <v>18.6</v>
      </c>
      <c r="LC41" s="46">
        <f t="shared" si="79"/>
        <v>-0.01326259947</v>
      </c>
      <c r="LD41" s="37"/>
      <c r="LE41" s="37">
        <f>IFERROR(__xludf.DUMMYFUNCTION("""COMPUTED_VALUE"""),45337.64583333333)</f>
        <v>45337.64583</v>
      </c>
      <c r="LF41" s="45">
        <f>IFERROR(__xludf.DUMMYFUNCTION("""COMPUTED_VALUE"""),115.65)</f>
        <v>115.65</v>
      </c>
      <c r="LG41" s="46">
        <f t="shared" si="80"/>
        <v>-0.0748</v>
      </c>
      <c r="LH41" s="37"/>
      <c r="LI41" s="37">
        <f>IFERROR(__xludf.DUMMYFUNCTION("""COMPUTED_VALUE"""),45337.64583333333)</f>
        <v>45337.64583</v>
      </c>
      <c r="LJ41" s="45">
        <f>IFERROR(__xludf.DUMMYFUNCTION("""COMPUTED_VALUE"""),696.45)</f>
        <v>696.45</v>
      </c>
      <c r="LK41" s="46">
        <f t="shared" si="81"/>
        <v>-0.04333791209</v>
      </c>
      <c r="LL41" s="37"/>
      <c r="LM41" s="37">
        <f>IFERROR(__xludf.DUMMYFUNCTION("""COMPUTED_VALUE"""),45337.64583333333)</f>
        <v>45337.64583</v>
      </c>
      <c r="LN41" s="45">
        <f>IFERROR(__xludf.DUMMYFUNCTION("""COMPUTED_VALUE"""),747.8)</f>
        <v>747.8</v>
      </c>
      <c r="LO41" s="46">
        <f t="shared" si="82"/>
        <v>-0.125380117</v>
      </c>
      <c r="LP41" s="37"/>
      <c r="LQ41" s="37">
        <f>IFERROR(__xludf.DUMMYFUNCTION("""COMPUTED_VALUE"""),45337.64583333333)</f>
        <v>45337.64583</v>
      </c>
      <c r="LR41" s="45">
        <f>IFERROR(__xludf.DUMMYFUNCTION("""COMPUTED_VALUE"""),571.95)</f>
        <v>571.95</v>
      </c>
      <c r="LS41" s="46">
        <f t="shared" si="83"/>
        <v>0.565270936</v>
      </c>
      <c r="LT41" s="37"/>
      <c r="LU41" s="37">
        <f>IFERROR(__xludf.DUMMYFUNCTION("""COMPUTED_VALUE"""),45337.64583333333)</f>
        <v>45337.64583</v>
      </c>
      <c r="LV41" s="45">
        <f>IFERROR(__xludf.DUMMYFUNCTION("""COMPUTED_VALUE"""),127.9)</f>
        <v>127.9</v>
      </c>
      <c r="LW41" s="46">
        <f t="shared" si="84"/>
        <v>-0.06505847953</v>
      </c>
      <c r="LX41" s="37"/>
      <c r="LY41" s="37">
        <f>IFERROR(__xludf.DUMMYFUNCTION("""COMPUTED_VALUE"""),45337.64583333333)</f>
        <v>45337.64583</v>
      </c>
      <c r="LZ41" s="45">
        <f>IFERROR(__xludf.DUMMYFUNCTION("""COMPUTED_VALUE"""),648.35)</f>
        <v>648.35</v>
      </c>
      <c r="MA41" s="46">
        <f t="shared" si="85"/>
        <v>0.04572580645</v>
      </c>
      <c r="MB41" s="37"/>
      <c r="MC41" s="37"/>
      <c r="MD41" s="45"/>
      <c r="ME41" s="46" t="str">
        <f t="shared" si="86"/>
        <v>#DIV/0!</v>
      </c>
      <c r="MF41" s="37"/>
      <c r="MG41" s="37">
        <f>IFERROR(__xludf.DUMMYFUNCTION("""COMPUTED_VALUE"""),45337.64583333333)</f>
        <v>45337.64583</v>
      </c>
      <c r="MH41" s="45">
        <f>IFERROR(__xludf.DUMMYFUNCTION("""COMPUTED_VALUE"""),2031.0)</f>
        <v>2031</v>
      </c>
      <c r="MI41" s="46">
        <f t="shared" si="87"/>
        <v>0.03572248145</v>
      </c>
      <c r="MJ41" s="37"/>
      <c r="MK41" s="37">
        <f>IFERROR(__xludf.DUMMYFUNCTION("""COMPUTED_VALUE"""),45337.64583333333)</f>
        <v>45337.64583</v>
      </c>
      <c r="ML41" s="45">
        <f>IFERROR(__xludf.DUMMYFUNCTION("""COMPUTED_VALUE"""),341.9)</f>
        <v>341.9</v>
      </c>
      <c r="MM41" s="46">
        <f t="shared" si="88"/>
        <v>-0.1451431429</v>
      </c>
      <c r="MN41" s="37"/>
      <c r="MO41" s="37">
        <f>IFERROR(__xludf.DUMMYFUNCTION("""COMPUTED_VALUE"""),45337.64583333333)</f>
        <v>45337.64583</v>
      </c>
      <c r="MP41" s="45">
        <f>IFERROR(__xludf.DUMMYFUNCTION("""COMPUTED_VALUE"""),916.9)</f>
        <v>916.9</v>
      </c>
      <c r="MQ41" s="46">
        <f t="shared" si="89"/>
        <v>0.2390540541</v>
      </c>
      <c r="MR41" s="37"/>
      <c r="MS41" s="37">
        <f>IFERROR(__xludf.DUMMYFUNCTION("""COMPUTED_VALUE"""),45337.64583333333)</f>
        <v>45337.64583</v>
      </c>
      <c r="MT41" s="45">
        <f>IFERROR(__xludf.DUMMYFUNCTION("""COMPUTED_VALUE"""),66.5)</f>
        <v>66.5</v>
      </c>
      <c r="MU41" s="46">
        <f t="shared" si="90"/>
        <v>0.005291005291</v>
      </c>
      <c r="MV41" s="37"/>
      <c r="MW41" s="37">
        <f>IFERROR(__xludf.DUMMYFUNCTION("""COMPUTED_VALUE"""),45337.64583333333)</f>
        <v>45337.64583</v>
      </c>
      <c r="MX41" s="45">
        <f>IFERROR(__xludf.DUMMYFUNCTION("""COMPUTED_VALUE"""),3160.0)</f>
        <v>3160</v>
      </c>
      <c r="MY41" s="46">
        <f t="shared" si="91"/>
        <v>0.004130918335</v>
      </c>
      <c r="MZ41" s="37"/>
      <c r="NA41" s="37">
        <f>IFERROR(__xludf.DUMMYFUNCTION("""COMPUTED_VALUE"""),45337.64583333333)</f>
        <v>45337.64583</v>
      </c>
      <c r="NB41" s="45">
        <f>IFERROR(__xludf.DUMMYFUNCTION("""COMPUTED_VALUE"""),14.1)</f>
        <v>14.1</v>
      </c>
      <c r="NC41" s="46">
        <f t="shared" si="92"/>
        <v>0.1146245059</v>
      </c>
      <c r="ND41" s="37"/>
      <c r="NE41" s="37">
        <f>IFERROR(__xludf.DUMMYFUNCTION("""COMPUTED_VALUE"""),45338.64583333333)</f>
        <v>45338.64583</v>
      </c>
      <c r="NF41" s="45">
        <f>IFERROR(__xludf.DUMMYFUNCTION("""COMPUTED_VALUE"""),372.65)</f>
        <v>372.65</v>
      </c>
      <c r="NG41" s="46">
        <f t="shared" si="93"/>
        <v>-0.02689646168</v>
      </c>
      <c r="NH41" s="37"/>
      <c r="NI41" s="37">
        <f>IFERROR(__xludf.DUMMYFUNCTION("""COMPUTED_VALUE"""),45338.64583333333)</f>
        <v>45338.64583</v>
      </c>
      <c r="NJ41" s="45">
        <f>IFERROR(__xludf.DUMMYFUNCTION("""COMPUTED_VALUE"""),396.53)</f>
        <v>396.53</v>
      </c>
      <c r="NK41" s="46">
        <f t="shared" si="94"/>
        <v>0.4869689129</v>
      </c>
      <c r="NL41" s="37"/>
      <c r="NM41" s="37">
        <f>IFERROR(__xludf.DUMMYFUNCTION("""COMPUTED_VALUE"""),45338.64583333333)</f>
        <v>45338.64583</v>
      </c>
      <c r="NN41" s="45">
        <f>IFERROR(__xludf.DUMMYFUNCTION("""COMPUTED_VALUE"""),131.4)</f>
        <v>131.4</v>
      </c>
      <c r="NO41" s="46">
        <f t="shared" si="95"/>
        <v>0.06569343066</v>
      </c>
      <c r="NP41" s="37"/>
      <c r="NQ41" s="37">
        <f>IFERROR(__xludf.DUMMYFUNCTION("""COMPUTED_VALUE"""),45338.64583333333)</f>
        <v>45338.64583</v>
      </c>
      <c r="NR41" s="45">
        <f>IFERROR(__xludf.DUMMYFUNCTION("""COMPUTED_VALUE"""),4920.0)</f>
        <v>4920</v>
      </c>
      <c r="NS41" s="46">
        <f t="shared" si="96"/>
        <v>0.1781609195</v>
      </c>
      <c r="NT41" s="37"/>
      <c r="NU41" s="37">
        <f>IFERROR(__xludf.DUMMYFUNCTION("""COMPUTED_VALUE"""),45338.64583333333)</f>
        <v>45338.64583</v>
      </c>
      <c r="NV41" s="45">
        <f>IFERROR(__xludf.DUMMYFUNCTION("""COMPUTED_VALUE"""),16.45)</f>
        <v>16.45</v>
      </c>
      <c r="NW41" s="46">
        <f t="shared" si="97"/>
        <v>0.2952755906</v>
      </c>
      <c r="NX41" s="37"/>
      <c r="NY41" s="37">
        <f>IFERROR(__xludf.DUMMYFUNCTION("""COMPUTED_VALUE"""),45338.64583333333)</f>
        <v>45338.64583</v>
      </c>
      <c r="NZ41" s="45">
        <f>IFERROR(__xludf.DUMMYFUNCTION("""COMPUTED_VALUE"""),248.15)</f>
        <v>248.15</v>
      </c>
      <c r="OA41" s="46">
        <f t="shared" si="98"/>
        <v>0.005470016207</v>
      </c>
      <c r="OB41" s="37"/>
      <c r="OC41" s="37">
        <f>IFERROR(__xludf.DUMMYFUNCTION("""COMPUTED_VALUE"""),45338.64583333333)</f>
        <v>45338.64583</v>
      </c>
      <c r="OD41" s="45">
        <f>IFERROR(__xludf.DUMMYFUNCTION("""COMPUTED_VALUE"""),1149.4)</f>
        <v>1149.4</v>
      </c>
      <c r="OE41" s="46">
        <f t="shared" si="99"/>
        <v>0.0905640685</v>
      </c>
      <c r="OF41" s="37"/>
      <c r="OG41" s="37">
        <f>IFERROR(__xludf.DUMMYFUNCTION("""COMPUTED_VALUE"""),45338.64583333333)</f>
        <v>45338.64583</v>
      </c>
      <c r="OH41" s="45">
        <f>IFERROR(__xludf.DUMMYFUNCTION("""COMPUTED_VALUE"""),2968.43)</f>
        <v>2968.43</v>
      </c>
      <c r="OI41" s="46">
        <f t="shared" si="100"/>
        <v>0.2166693991</v>
      </c>
      <c r="OJ41" s="37"/>
      <c r="OK41" s="37"/>
      <c r="OL41" s="45"/>
      <c r="OM41" s="46" t="str">
        <f t="shared" si="101"/>
        <v>#DIV/0!</v>
      </c>
      <c r="ON41" s="37"/>
    </row>
    <row r="42" ht="12.0" customHeight="1">
      <c r="A42" s="37">
        <f>IFERROR(__xludf.DUMMYFUNCTION("""COMPUTED_VALUE"""),45337.64583333333)</f>
        <v>45337.64583</v>
      </c>
      <c r="B42" s="45">
        <f>IFERROR(__xludf.DUMMYFUNCTION("""COMPUTED_VALUE"""),398.65)</f>
        <v>398.65</v>
      </c>
      <c r="C42" s="46">
        <f t="shared" si="1"/>
        <v>-0.0913960114</v>
      </c>
      <c r="D42" s="37"/>
      <c r="E42" s="37">
        <f>IFERROR(__xludf.DUMMYFUNCTION("""COMPUTED_VALUE"""),45337.64583333333)</f>
        <v>45337.64583</v>
      </c>
      <c r="F42" s="45">
        <f>IFERROR(__xludf.DUMMYFUNCTION("""COMPUTED_VALUE"""),707.7)</f>
        <v>707.7</v>
      </c>
      <c r="G42" s="46">
        <f t="shared" si="2"/>
        <v>0.08045801527</v>
      </c>
      <c r="H42" s="37"/>
      <c r="I42" s="37">
        <f>IFERROR(__xludf.DUMMYFUNCTION("""COMPUTED_VALUE"""),45337.64583333333)</f>
        <v>45337.64583</v>
      </c>
      <c r="J42" s="45">
        <f>IFERROR(__xludf.DUMMYFUNCTION("""COMPUTED_VALUE"""),186.3)</f>
        <v>186.3</v>
      </c>
      <c r="K42" s="46">
        <f t="shared" si="3"/>
        <v>0.0125</v>
      </c>
      <c r="L42" s="37"/>
      <c r="M42" s="37">
        <f>IFERROR(__xludf.DUMMYFUNCTION("""COMPUTED_VALUE"""),45337.64583333333)</f>
        <v>45337.64583</v>
      </c>
      <c r="N42" s="45">
        <f>IFERROR(__xludf.DUMMYFUNCTION("""COMPUTED_VALUE"""),102.5)</f>
        <v>102.5</v>
      </c>
      <c r="O42" s="46">
        <f t="shared" si="4"/>
        <v>0.1863425926</v>
      </c>
      <c r="P42" s="37"/>
      <c r="Q42" s="37">
        <f>IFERROR(__xludf.DUMMYFUNCTION("""COMPUTED_VALUE"""),45337.64583333333)</f>
        <v>45337.64583</v>
      </c>
      <c r="R42" s="45">
        <f>IFERROR(__xludf.DUMMYFUNCTION("""COMPUTED_VALUE"""),51.7)</f>
        <v>51.7</v>
      </c>
      <c r="S42" s="46">
        <f t="shared" si="5"/>
        <v>-0.01523809524</v>
      </c>
      <c r="T42" s="37"/>
      <c r="U42" s="37">
        <f>IFERROR(__xludf.DUMMYFUNCTION("""COMPUTED_VALUE"""),45337.64583333333)</f>
        <v>45337.64583</v>
      </c>
      <c r="V42" s="45">
        <f>IFERROR(__xludf.DUMMYFUNCTION("""COMPUTED_VALUE"""),655.0)</f>
        <v>655</v>
      </c>
      <c r="W42" s="46">
        <f t="shared" si="6"/>
        <v>-0.01117149758</v>
      </c>
      <c r="X42" s="37"/>
      <c r="Y42" s="37">
        <f>IFERROR(__xludf.DUMMYFUNCTION("""COMPUTED_VALUE"""),45337.64583333333)</f>
        <v>45337.64583</v>
      </c>
      <c r="Z42" s="45">
        <f>IFERROR(__xludf.DUMMYFUNCTION("""COMPUTED_VALUE"""),203.8)</f>
        <v>203.8</v>
      </c>
      <c r="AA42" s="46">
        <f t="shared" si="7"/>
        <v>0.1016216216</v>
      </c>
      <c r="AB42" s="37"/>
      <c r="AC42" s="37">
        <f>IFERROR(__xludf.DUMMYFUNCTION("""COMPUTED_VALUE"""),45337.64583333333)</f>
        <v>45337.64583</v>
      </c>
      <c r="AD42" s="45">
        <f>IFERROR(__xludf.DUMMYFUNCTION("""COMPUTED_VALUE"""),2945.8)</f>
        <v>2945.8</v>
      </c>
      <c r="AE42" s="46">
        <f t="shared" si="8"/>
        <v>0.2405980206</v>
      </c>
      <c r="AF42" s="37"/>
      <c r="AG42" s="37">
        <f>IFERROR(__xludf.DUMMYFUNCTION("""COMPUTED_VALUE"""),45337.64583333333)</f>
        <v>45337.64583</v>
      </c>
      <c r="AH42" s="45">
        <f>IFERROR(__xludf.DUMMYFUNCTION("""COMPUTED_VALUE"""),666.0)</f>
        <v>666</v>
      </c>
      <c r="AI42" s="46">
        <f t="shared" si="9"/>
        <v>-0.2071428571</v>
      </c>
      <c r="AJ42" s="37"/>
      <c r="AK42" s="37">
        <f>IFERROR(__xludf.DUMMYFUNCTION("""COMPUTED_VALUE"""),45337.64583333333)</f>
        <v>45337.64583</v>
      </c>
      <c r="AL42" s="45">
        <f>IFERROR(__xludf.DUMMYFUNCTION("""COMPUTED_VALUE"""),6949.2)</f>
        <v>6949.2</v>
      </c>
      <c r="AM42" s="46">
        <f t="shared" si="10"/>
        <v>0.3363846154</v>
      </c>
      <c r="AN42" s="37"/>
      <c r="AO42" s="37">
        <f>IFERROR(__xludf.DUMMYFUNCTION("""COMPUTED_VALUE"""),45337.64583333333)</f>
        <v>45337.64583</v>
      </c>
      <c r="AP42" s="45">
        <f>IFERROR(__xludf.DUMMYFUNCTION("""COMPUTED_VALUE"""),887.8)</f>
        <v>887.8</v>
      </c>
      <c r="AQ42" s="46">
        <f t="shared" si="11"/>
        <v>-0.0243956044</v>
      </c>
      <c r="AR42" s="37"/>
      <c r="AS42" s="37">
        <f>IFERROR(__xludf.DUMMYFUNCTION("""COMPUTED_VALUE"""),45337.64583333333)</f>
        <v>45337.64583</v>
      </c>
      <c r="AT42" s="45">
        <f>IFERROR(__xludf.DUMMYFUNCTION("""COMPUTED_VALUE"""),2334.0)</f>
        <v>2334</v>
      </c>
      <c r="AU42" s="46">
        <f t="shared" si="12"/>
        <v>-0.06034864528</v>
      </c>
      <c r="AV42" s="37"/>
      <c r="AW42" s="37">
        <f>IFERROR(__xludf.DUMMYFUNCTION("""COMPUTED_VALUE"""),45337.64583333333)</f>
        <v>45337.64583</v>
      </c>
      <c r="AX42" s="45">
        <f>IFERROR(__xludf.DUMMYFUNCTION("""COMPUTED_VALUE"""),5538.0)</f>
        <v>5538</v>
      </c>
      <c r="AY42" s="46">
        <f t="shared" si="13"/>
        <v>-0.01888530631</v>
      </c>
      <c r="AZ42" s="37"/>
      <c r="BA42" s="37">
        <f>IFERROR(__xludf.DUMMYFUNCTION("""COMPUTED_VALUE"""),45337.64583333333)</f>
        <v>45337.64583</v>
      </c>
      <c r="BB42" s="45">
        <f>IFERROR(__xludf.DUMMYFUNCTION("""COMPUTED_VALUE"""),522.85)</f>
        <v>522.85</v>
      </c>
      <c r="BC42" s="46">
        <f t="shared" si="14"/>
        <v>0.1160085379</v>
      </c>
      <c r="BD42" s="37"/>
      <c r="BE42" s="37">
        <f>IFERROR(__xludf.DUMMYFUNCTION("""COMPUTED_VALUE"""),45337.64583333333)</f>
        <v>45337.64583</v>
      </c>
      <c r="BF42" s="45">
        <f>IFERROR(__xludf.DUMMYFUNCTION("""COMPUTED_VALUE"""),318.3)</f>
        <v>318.3</v>
      </c>
      <c r="BG42" s="46">
        <f t="shared" si="15"/>
        <v>-0.2179361179</v>
      </c>
      <c r="BH42" s="37"/>
      <c r="BI42" s="37">
        <f>IFERROR(__xludf.DUMMYFUNCTION("""COMPUTED_VALUE"""),45337.64583333333)</f>
        <v>45337.64583</v>
      </c>
      <c r="BJ42" s="45">
        <f>IFERROR(__xludf.DUMMYFUNCTION("""COMPUTED_VALUE"""),66.45)</f>
        <v>66.45</v>
      </c>
      <c r="BK42" s="46">
        <f t="shared" si="16"/>
        <v>-0.04319654428</v>
      </c>
      <c r="BL42" s="37"/>
      <c r="BM42" s="37">
        <f>IFERROR(__xludf.DUMMYFUNCTION("""COMPUTED_VALUE"""),45337.64583333333)</f>
        <v>45337.64583</v>
      </c>
      <c r="BN42" s="45">
        <f>IFERROR(__xludf.DUMMYFUNCTION("""COMPUTED_VALUE"""),259.8)</f>
        <v>259.8</v>
      </c>
      <c r="BO42" s="46">
        <f t="shared" si="17"/>
        <v>0.01484375</v>
      </c>
      <c r="BP42" s="37"/>
      <c r="BQ42" s="37">
        <f>IFERROR(__xludf.DUMMYFUNCTION("""COMPUTED_VALUE"""),45337.64583333333)</f>
        <v>45337.64583</v>
      </c>
      <c r="BR42" s="45">
        <f>IFERROR(__xludf.DUMMYFUNCTION("""COMPUTED_VALUE"""),56.8)</f>
        <v>56.8</v>
      </c>
      <c r="BS42" s="46">
        <f t="shared" si="18"/>
        <v>-0.06732348112</v>
      </c>
      <c r="BT42" s="37"/>
      <c r="BU42" s="37">
        <f>IFERROR(__xludf.DUMMYFUNCTION("""COMPUTED_VALUE"""),45337.64583333333)</f>
        <v>45337.64583</v>
      </c>
      <c r="BV42" s="45">
        <f>IFERROR(__xludf.DUMMYFUNCTION("""COMPUTED_VALUE"""),328.0)</f>
        <v>328</v>
      </c>
      <c r="BW42" s="46">
        <f t="shared" si="19"/>
        <v>0.06011635423</v>
      </c>
      <c r="BX42" s="37"/>
      <c r="BY42" s="37">
        <f>IFERROR(__xludf.DUMMYFUNCTION("""COMPUTED_VALUE"""),45337.64583333333)</f>
        <v>45337.64583</v>
      </c>
      <c r="BZ42" s="45">
        <f>IFERROR(__xludf.DUMMYFUNCTION("""COMPUTED_VALUE"""),355.0)</f>
        <v>355</v>
      </c>
      <c r="CA42" s="46">
        <f t="shared" si="20"/>
        <v>-0.1330891331</v>
      </c>
      <c r="CB42" s="37"/>
      <c r="CC42" s="37">
        <f>IFERROR(__xludf.DUMMYFUNCTION("""COMPUTED_VALUE"""),45337.64583333333)</f>
        <v>45337.64583</v>
      </c>
      <c r="CD42" s="45">
        <f>IFERROR(__xludf.DUMMYFUNCTION("""COMPUTED_VALUE"""),262.85)</f>
        <v>262.85</v>
      </c>
      <c r="CE42" s="46">
        <f t="shared" si="21"/>
        <v>0.1344410876</v>
      </c>
      <c r="CF42" s="37"/>
      <c r="CG42" s="37">
        <f>IFERROR(__xludf.DUMMYFUNCTION("""COMPUTED_VALUE"""),45337.64583333333)</f>
        <v>45337.64583</v>
      </c>
      <c r="CH42" s="45">
        <f>IFERROR(__xludf.DUMMYFUNCTION("""COMPUTED_VALUE"""),688.0)</f>
        <v>688</v>
      </c>
      <c r="CI42" s="46">
        <f t="shared" si="22"/>
        <v>0.08176100629</v>
      </c>
      <c r="CJ42" s="37"/>
      <c r="CK42" s="37">
        <f>IFERROR(__xludf.DUMMYFUNCTION("""COMPUTED_VALUE"""),45337.64583333333)</f>
        <v>45337.64583</v>
      </c>
      <c r="CL42" s="45">
        <f>IFERROR(__xludf.DUMMYFUNCTION("""COMPUTED_VALUE"""),297.95)</f>
        <v>297.95</v>
      </c>
      <c r="CM42" s="46">
        <f t="shared" si="23"/>
        <v>-0.1158753709</v>
      </c>
      <c r="CN42" s="37"/>
      <c r="CO42" s="37">
        <f>IFERROR(__xludf.DUMMYFUNCTION("""COMPUTED_VALUE"""),45337.64583333333)</f>
        <v>45337.64583</v>
      </c>
      <c r="CP42" s="45">
        <f>IFERROR(__xludf.DUMMYFUNCTION("""COMPUTED_VALUE"""),16.0)</f>
        <v>16</v>
      </c>
      <c r="CQ42" s="46">
        <f t="shared" si="24"/>
        <v>0.08108108108</v>
      </c>
      <c r="CR42" s="37"/>
      <c r="CS42" s="37">
        <f>IFERROR(__xludf.DUMMYFUNCTION("""COMPUTED_VALUE"""),45337.64583333333)</f>
        <v>45337.64583</v>
      </c>
      <c r="CT42" s="45">
        <f>IFERROR(__xludf.DUMMYFUNCTION("""COMPUTED_VALUE"""),210.0)</f>
        <v>210</v>
      </c>
      <c r="CU42" s="46">
        <f t="shared" si="25"/>
        <v>0.06060606061</v>
      </c>
      <c r="CV42" s="37"/>
      <c r="CW42" s="37">
        <f>IFERROR(__xludf.DUMMYFUNCTION("""COMPUTED_VALUE"""),45337.64583333333)</f>
        <v>45337.64583</v>
      </c>
      <c r="CX42" s="45">
        <f>IFERROR(__xludf.DUMMYFUNCTION("""COMPUTED_VALUE"""),864.9)</f>
        <v>864.9</v>
      </c>
      <c r="CY42" s="46">
        <f t="shared" si="26"/>
        <v>0.2502529706</v>
      </c>
      <c r="CZ42" s="37"/>
      <c r="DA42" s="37">
        <f>IFERROR(__xludf.DUMMYFUNCTION("""COMPUTED_VALUE"""),45337.64583333333)</f>
        <v>45337.64583</v>
      </c>
      <c r="DB42" s="45">
        <f>IFERROR(__xludf.DUMMYFUNCTION("""COMPUTED_VALUE"""),32.0)</f>
        <v>32</v>
      </c>
      <c r="DC42" s="46">
        <f t="shared" si="27"/>
        <v>0.146953405</v>
      </c>
      <c r="DD42" s="37"/>
      <c r="DE42" s="37">
        <f>IFERROR(__xludf.DUMMYFUNCTION("""COMPUTED_VALUE"""),45337.64583333333)</f>
        <v>45337.64583</v>
      </c>
      <c r="DF42" s="45">
        <f>IFERROR(__xludf.DUMMYFUNCTION("""COMPUTED_VALUE"""),93.3)</f>
        <v>93.3</v>
      </c>
      <c r="DG42" s="46">
        <f t="shared" si="28"/>
        <v>-0.1765225066</v>
      </c>
      <c r="DH42" s="37"/>
      <c r="DI42" s="37">
        <f>IFERROR(__xludf.DUMMYFUNCTION("""COMPUTED_VALUE"""),45337.64583333333)</f>
        <v>45337.64583</v>
      </c>
      <c r="DJ42" s="45">
        <f>IFERROR(__xludf.DUMMYFUNCTION("""COMPUTED_VALUE"""),1810.0)</f>
        <v>1810</v>
      </c>
      <c r="DK42" s="46">
        <f t="shared" si="29"/>
        <v>0.1278664008</v>
      </c>
      <c r="DL42" s="37"/>
      <c r="DM42" s="37">
        <f>IFERROR(__xludf.DUMMYFUNCTION("""COMPUTED_VALUE"""),45337.64583333333)</f>
        <v>45337.64583</v>
      </c>
      <c r="DN42" s="45">
        <f>IFERROR(__xludf.DUMMYFUNCTION("""COMPUTED_VALUE"""),624.25)</f>
        <v>624.25</v>
      </c>
      <c r="DO42" s="46">
        <f t="shared" si="30"/>
        <v>0.1643196867</v>
      </c>
      <c r="DP42" s="37"/>
      <c r="DQ42" s="37">
        <f>IFERROR(__xludf.DUMMYFUNCTION("""COMPUTED_VALUE"""),45337.64583333333)</f>
        <v>45337.64583</v>
      </c>
      <c r="DR42" s="45">
        <f>IFERROR(__xludf.DUMMYFUNCTION("""COMPUTED_VALUE"""),239.25)</f>
        <v>239.25</v>
      </c>
      <c r="DS42" s="46">
        <f t="shared" si="31"/>
        <v>0.09747706422</v>
      </c>
      <c r="DT42" s="37"/>
      <c r="DU42" s="37">
        <f>IFERROR(__xludf.DUMMYFUNCTION("""COMPUTED_VALUE"""),45337.64583333333)</f>
        <v>45337.64583</v>
      </c>
      <c r="DV42" s="45">
        <f>IFERROR(__xludf.DUMMYFUNCTION("""COMPUTED_VALUE"""),840.0)</f>
        <v>840</v>
      </c>
      <c r="DW42" s="46">
        <f t="shared" si="32"/>
        <v>-0.01234567901</v>
      </c>
      <c r="DX42" s="37"/>
      <c r="DY42" s="37">
        <f>IFERROR(__xludf.DUMMYFUNCTION("""COMPUTED_VALUE"""),45337.64583333333)</f>
        <v>45337.64583</v>
      </c>
      <c r="DZ42" s="45">
        <f>IFERROR(__xludf.DUMMYFUNCTION("""COMPUTED_VALUE"""),15.45)</f>
        <v>15.45</v>
      </c>
      <c r="EA42" s="46">
        <f t="shared" si="33"/>
        <v>0.4239631336</v>
      </c>
      <c r="EB42" s="37"/>
      <c r="EC42" s="37">
        <f>IFERROR(__xludf.DUMMYFUNCTION("""COMPUTED_VALUE"""),45337.64583333333)</f>
        <v>45337.64583</v>
      </c>
      <c r="ED42" s="45">
        <f>IFERROR(__xludf.DUMMYFUNCTION("""COMPUTED_VALUE"""),2278.95)</f>
        <v>2278.95</v>
      </c>
      <c r="EE42" s="46">
        <f t="shared" si="34"/>
        <v>-0.1383931947</v>
      </c>
      <c r="EF42" s="37"/>
      <c r="EG42" s="37">
        <f>IFERROR(__xludf.DUMMYFUNCTION("""COMPUTED_VALUE"""),45337.64583333333)</f>
        <v>45337.64583</v>
      </c>
      <c r="EH42" s="45">
        <f>IFERROR(__xludf.DUMMYFUNCTION("""COMPUTED_VALUE"""),967.95)</f>
        <v>967.95</v>
      </c>
      <c r="EI42" s="46">
        <f t="shared" si="35"/>
        <v>0.4923681776</v>
      </c>
      <c r="EJ42" s="37"/>
      <c r="EK42" s="37">
        <f>IFERROR(__xludf.DUMMYFUNCTION("""COMPUTED_VALUE"""),45337.64583333333)</f>
        <v>45337.64583</v>
      </c>
      <c r="EL42" s="45">
        <f>IFERROR(__xludf.DUMMYFUNCTION("""COMPUTED_VALUE"""),184.3)</f>
        <v>184.3</v>
      </c>
      <c r="EM42" s="46">
        <f t="shared" si="36"/>
        <v>-0.08762376238</v>
      </c>
      <c r="EN42" s="37"/>
      <c r="EO42" s="37">
        <f>IFERROR(__xludf.DUMMYFUNCTION("""COMPUTED_VALUE"""),45337.64583333333)</f>
        <v>45337.64583</v>
      </c>
      <c r="EP42" s="45">
        <f>IFERROR(__xludf.DUMMYFUNCTION("""COMPUTED_VALUE"""),186.5)</f>
        <v>186.5</v>
      </c>
      <c r="EQ42" s="46">
        <f t="shared" si="37"/>
        <v>0.2036140691</v>
      </c>
      <c r="ER42" s="37"/>
      <c r="ES42" s="37">
        <f>IFERROR(__xludf.DUMMYFUNCTION("""COMPUTED_VALUE"""),45337.64583333333)</f>
        <v>45337.64583</v>
      </c>
      <c r="ET42" s="45">
        <f>IFERROR(__xludf.DUMMYFUNCTION("""COMPUTED_VALUE"""),173.4)</f>
        <v>173.4</v>
      </c>
      <c r="EU42" s="46">
        <f t="shared" si="38"/>
        <v>-0.1077952148</v>
      </c>
      <c r="EV42" s="37"/>
      <c r="EW42" s="37">
        <f>IFERROR(__xludf.DUMMYFUNCTION("""COMPUTED_VALUE"""),45337.64583333333)</f>
        <v>45337.64583</v>
      </c>
      <c r="EX42" s="45">
        <f>IFERROR(__xludf.DUMMYFUNCTION("""COMPUTED_VALUE"""),822.0)</f>
        <v>822</v>
      </c>
      <c r="EY42" s="46">
        <f t="shared" si="39"/>
        <v>0.2685185185</v>
      </c>
      <c r="EZ42" s="37"/>
      <c r="FA42" s="37">
        <f>IFERROR(__xludf.DUMMYFUNCTION("""COMPUTED_VALUE"""),45337.64583333333)</f>
        <v>45337.64583</v>
      </c>
      <c r="FB42" s="45">
        <f>IFERROR(__xludf.DUMMYFUNCTION("""COMPUTED_VALUE"""),213.3)</f>
        <v>213.3</v>
      </c>
      <c r="FC42" s="46">
        <f t="shared" si="40"/>
        <v>0.2230504587</v>
      </c>
      <c r="FD42" s="37"/>
      <c r="FE42" s="37">
        <f>IFERROR(__xludf.DUMMYFUNCTION("""COMPUTED_VALUE"""),45337.64583333333)</f>
        <v>45337.64583</v>
      </c>
      <c r="FF42" s="45">
        <f>IFERROR(__xludf.DUMMYFUNCTION("""COMPUTED_VALUE"""),413.45)</f>
        <v>413.45</v>
      </c>
      <c r="FG42" s="46">
        <f t="shared" si="41"/>
        <v>0.3564632546</v>
      </c>
      <c r="FH42" s="37"/>
      <c r="FI42" s="37">
        <f>IFERROR(__xludf.DUMMYFUNCTION("""COMPUTED_VALUE"""),45337.64583333333)</f>
        <v>45337.64583</v>
      </c>
      <c r="FJ42" s="45">
        <f>IFERROR(__xludf.DUMMYFUNCTION("""COMPUTED_VALUE"""),648.35)</f>
        <v>648.35</v>
      </c>
      <c r="FK42" s="46">
        <f t="shared" si="42"/>
        <v>0.06979622143</v>
      </c>
      <c r="FL42" s="37"/>
      <c r="FM42" s="37">
        <f>IFERROR(__xludf.DUMMYFUNCTION("""COMPUTED_VALUE"""),45337.64583333333)</f>
        <v>45337.64583</v>
      </c>
      <c r="FN42" s="45">
        <f>IFERROR(__xludf.DUMMYFUNCTION("""COMPUTED_VALUE"""),102.45)</f>
        <v>102.45</v>
      </c>
      <c r="FO42" s="46">
        <f t="shared" si="43"/>
        <v>0.07842105263</v>
      </c>
      <c r="FP42" s="37"/>
      <c r="FQ42" s="37">
        <f>IFERROR(__xludf.DUMMYFUNCTION("""COMPUTED_VALUE"""),45337.64583333333)</f>
        <v>45337.64583</v>
      </c>
      <c r="FR42" s="45">
        <f>IFERROR(__xludf.DUMMYFUNCTION("""COMPUTED_VALUE"""),3.6)</f>
        <v>3.6</v>
      </c>
      <c r="FS42" s="46">
        <f t="shared" si="44"/>
        <v>-0.3454545455</v>
      </c>
      <c r="FT42" s="37"/>
      <c r="FU42" s="37">
        <f>IFERROR(__xludf.DUMMYFUNCTION("""COMPUTED_VALUE"""),45337.64583333333)</f>
        <v>45337.64583</v>
      </c>
      <c r="FV42" s="45">
        <f>IFERROR(__xludf.DUMMYFUNCTION("""COMPUTED_VALUE"""),897.15)</f>
        <v>897.15</v>
      </c>
      <c r="FW42" s="46">
        <f t="shared" si="45"/>
        <v>0.3439442738</v>
      </c>
      <c r="FX42" s="37"/>
      <c r="FY42" s="37">
        <f>IFERROR(__xludf.DUMMYFUNCTION("""COMPUTED_VALUE"""),45337.64583333333)</f>
        <v>45337.64583</v>
      </c>
      <c r="FZ42" s="45">
        <f>IFERROR(__xludf.DUMMYFUNCTION("""COMPUTED_VALUE"""),135.15)</f>
        <v>135.15</v>
      </c>
      <c r="GA42" s="46">
        <f t="shared" si="46"/>
        <v>-0.2040636042</v>
      </c>
      <c r="GB42" s="37"/>
      <c r="GC42" s="37">
        <f>IFERROR(__xludf.DUMMYFUNCTION("""COMPUTED_VALUE"""),45337.64583333333)</f>
        <v>45337.64583</v>
      </c>
      <c r="GD42" s="45">
        <f>IFERROR(__xludf.DUMMYFUNCTION("""COMPUTED_VALUE"""),353.8)</f>
        <v>353.8</v>
      </c>
      <c r="GE42" s="46">
        <f t="shared" si="47"/>
        <v>-0.2340333405</v>
      </c>
      <c r="GF42" s="37"/>
      <c r="GG42" s="37">
        <f>IFERROR(__xludf.DUMMYFUNCTION("""COMPUTED_VALUE"""),45337.64583333333)</f>
        <v>45337.64583</v>
      </c>
      <c r="GH42" s="45">
        <f>IFERROR(__xludf.DUMMYFUNCTION("""COMPUTED_VALUE"""),6026.6)</f>
        <v>6026.6</v>
      </c>
      <c r="GI42" s="46">
        <f t="shared" si="48"/>
        <v>0.1373089262</v>
      </c>
      <c r="GJ42" s="37"/>
      <c r="GK42" s="37">
        <f>IFERROR(__xludf.DUMMYFUNCTION("""COMPUTED_VALUE"""),45337.64583333333)</f>
        <v>45337.64583</v>
      </c>
      <c r="GL42" s="45">
        <f>IFERROR(__xludf.DUMMYFUNCTION("""COMPUTED_VALUE"""),79.85)</f>
        <v>79.85</v>
      </c>
      <c r="GM42" s="46">
        <f t="shared" si="49"/>
        <v>-0.2958553792</v>
      </c>
      <c r="GN42" s="37"/>
      <c r="GO42" s="37">
        <f>IFERROR(__xludf.DUMMYFUNCTION("""COMPUTED_VALUE"""),45337.64583333333)</f>
        <v>45337.64583</v>
      </c>
      <c r="GP42" s="45">
        <f>IFERROR(__xludf.DUMMYFUNCTION("""COMPUTED_VALUE"""),1380.0)</f>
        <v>1380</v>
      </c>
      <c r="GQ42" s="46">
        <f t="shared" si="50"/>
        <v>0.2550588877</v>
      </c>
      <c r="GR42" s="37"/>
      <c r="GS42" s="37">
        <f>IFERROR(__xludf.DUMMYFUNCTION("""COMPUTED_VALUE"""),45337.64583333333)</f>
        <v>45337.64583</v>
      </c>
      <c r="GT42" s="45">
        <f>IFERROR(__xludf.DUMMYFUNCTION("""COMPUTED_VALUE"""),14.1)</f>
        <v>14.1</v>
      </c>
      <c r="GU42" s="46">
        <f t="shared" si="51"/>
        <v>0.0888030888</v>
      </c>
      <c r="GV42" s="37"/>
      <c r="GW42" s="37">
        <f>IFERROR(__xludf.DUMMYFUNCTION("""COMPUTED_VALUE"""),45338.64583333333)</f>
        <v>45338.64583</v>
      </c>
      <c r="GX42" s="45">
        <f>IFERROR(__xludf.DUMMYFUNCTION("""COMPUTED_VALUE"""),18.0)</f>
        <v>18</v>
      </c>
      <c r="GY42" s="46">
        <f t="shared" si="52"/>
        <v>0.09090909091</v>
      </c>
      <c r="GZ42" s="37"/>
      <c r="HA42" s="37">
        <f>IFERROR(__xludf.DUMMYFUNCTION("""COMPUTED_VALUE"""),45338.64583333333)</f>
        <v>45338.64583</v>
      </c>
      <c r="HB42" s="45">
        <f>IFERROR(__xludf.DUMMYFUNCTION("""COMPUTED_VALUE"""),519.95)</f>
        <v>519.95</v>
      </c>
      <c r="HC42" s="46">
        <f t="shared" si="53"/>
        <v>-0.1448190789</v>
      </c>
      <c r="HD42" s="37"/>
      <c r="HE42" s="43">
        <f>IFERROR(__xludf.DUMMYFUNCTION("""COMPUTED_VALUE"""),45338.64583333333)</f>
        <v>45338.64583</v>
      </c>
      <c r="HF42" s="45">
        <f>IFERROR(__xludf.DUMMYFUNCTION("""COMPUTED_VALUE"""),2968.43)</f>
        <v>2968.43</v>
      </c>
      <c r="HG42" s="46" t="str">
        <f t="shared" si="54"/>
        <v>#DIV/0!</v>
      </c>
      <c r="HH42" s="37"/>
      <c r="HI42" s="37">
        <f>IFERROR(__xludf.DUMMYFUNCTION("""COMPUTED_VALUE"""),45338.64583333333)</f>
        <v>45338.64583</v>
      </c>
      <c r="HJ42" s="45">
        <f>IFERROR(__xludf.DUMMYFUNCTION("""COMPUTED_VALUE"""),6982.0)</f>
        <v>6982</v>
      </c>
      <c r="HK42" s="46">
        <f t="shared" si="55"/>
        <v>0.3663271397</v>
      </c>
      <c r="HL42" s="37"/>
      <c r="HM42" s="37">
        <f>IFERROR(__xludf.DUMMYFUNCTION("""COMPUTED_VALUE"""),45338.64583333333)</f>
        <v>45338.64583</v>
      </c>
      <c r="HN42" s="45">
        <f>IFERROR(__xludf.DUMMYFUNCTION("""COMPUTED_VALUE"""),349.2)</f>
        <v>349.2</v>
      </c>
      <c r="HO42" s="46">
        <f t="shared" si="56"/>
        <v>-0.1410650596</v>
      </c>
      <c r="HP42" s="37"/>
      <c r="HQ42" s="37">
        <f>IFERROR(__xludf.DUMMYFUNCTION("""COMPUTED_VALUE"""),45338.64583333333)</f>
        <v>45338.64583</v>
      </c>
      <c r="HR42" s="45">
        <f>IFERROR(__xludf.DUMMYFUNCTION("""COMPUTED_VALUE"""),262.8)</f>
        <v>262.8</v>
      </c>
      <c r="HS42" s="46">
        <f t="shared" si="57"/>
        <v>0.03342508848</v>
      </c>
      <c r="HT42" s="37"/>
      <c r="HU42" s="37">
        <f>IFERROR(__xludf.DUMMYFUNCTION("""COMPUTED_VALUE"""),45338.64583333333)</f>
        <v>45338.64583</v>
      </c>
      <c r="HV42" s="45">
        <f>IFERROR(__xludf.DUMMYFUNCTION("""COMPUTED_VALUE"""),58.55)</f>
        <v>58.55</v>
      </c>
      <c r="HW42" s="46">
        <f t="shared" si="58"/>
        <v>-0.06169871795</v>
      </c>
      <c r="HX42" s="37"/>
      <c r="HY42" s="37">
        <f>IFERROR(__xludf.DUMMYFUNCTION("""COMPUTED_VALUE"""),45338.64583333333)</f>
        <v>45338.64583</v>
      </c>
      <c r="HZ42" s="45">
        <f>IFERROR(__xludf.DUMMYFUNCTION("""COMPUTED_VALUE"""),347.75)</f>
        <v>347.75</v>
      </c>
      <c r="IA42" s="46">
        <f t="shared" si="59"/>
        <v>-0.2521505376</v>
      </c>
      <c r="IB42" s="37"/>
      <c r="IC42" s="37">
        <f>IFERROR(__xludf.DUMMYFUNCTION("""COMPUTED_VALUE"""),45338.64583333333)</f>
        <v>45338.64583</v>
      </c>
      <c r="ID42" s="45">
        <f>IFERROR(__xludf.DUMMYFUNCTION("""COMPUTED_VALUE"""),80.3)</f>
        <v>80.3</v>
      </c>
      <c r="IE42" s="46">
        <f t="shared" si="60"/>
        <v>-0.816980057</v>
      </c>
      <c r="IF42" s="37"/>
      <c r="IG42" s="37">
        <f>IFERROR(__xludf.DUMMYFUNCTION("""COMPUTED_VALUE"""),45338.64583333333)</f>
        <v>45338.64583</v>
      </c>
      <c r="IH42" s="45">
        <f>IFERROR(__xludf.DUMMYFUNCTION("""COMPUTED_VALUE"""),557.95)</f>
        <v>557.95</v>
      </c>
      <c r="II42" s="46">
        <f t="shared" si="61"/>
        <v>0.04681050657</v>
      </c>
      <c r="IJ42" s="37"/>
      <c r="IK42" s="37">
        <f>IFERROR(__xludf.DUMMYFUNCTION("""COMPUTED_VALUE"""),45338.64583333333)</f>
        <v>45338.64583</v>
      </c>
      <c r="IL42" s="45">
        <f>IFERROR(__xludf.DUMMYFUNCTION("""COMPUTED_VALUE"""),528.3)</f>
        <v>528.3</v>
      </c>
      <c r="IM42" s="46">
        <f t="shared" si="62"/>
        <v>-0.1450764625</v>
      </c>
      <c r="IN42" s="37"/>
      <c r="IO42" s="37">
        <f>IFERROR(__xludf.DUMMYFUNCTION("""COMPUTED_VALUE"""),45341.64583333333)</f>
        <v>45341.64583</v>
      </c>
      <c r="IP42" s="45">
        <f>IFERROR(__xludf.DUMMYFUNCTION("""COMPUTED_VALUE"""),250.85)</f>
        <v>250.85</v>
      </c>
      <c r="IQ42" s="46">
        <f t="shared" si="63"/>
        <v>0.9957832763</v>
      </c>
      <c r="IR42" s="37"/>
      <c r="IS42" s="37">
        <f>IFERROR(__xludf.DUMMYFUNCTION("""COMPUTED_VALUE"""),45338.64583333333)</f>
        <v>45338.64583</v>
      </c>
      <c r="IT42" s="45">
        <f>IFERROR(__xludf.DUMMYFUNCTION("""COMPUTED_VALUE"""),923.95)</f>
        <v>923.95</v>
      </c>
      <c r="IU42" s="46">
        <f t="shared" si="64"/>
        <v>-0.0797310757</v>
      </c>
      <c r="IV42" s="37"/>
      <c r="IW42" s="37">
        <f>IFERROR(__xludf.DUMMYFUNCTION("""COMPUTED_VALUE"""),45338.64583333333)</f>
        <v>45338.64583</v>
      </c>
      <c r="IX42" s="45">
        <f>IFERROR(__xludf.DUMMYFUNCTION("""COMPUTED_VALUE"""),308.8)</f>
        <v>308.8</v>
      </c>
      <c r="IY42" s="46">
        <f t="shared" si="65"/>
        <v>0.4993930566</v>
      </c>
      <c r="IZ42" s="37"/>
      <c r="JA42" s="37">
        <f>IFERROR(__xludf.DUMMYFUNCTION("""COMPUTED_VALUE"""),45338.64583333333)</f>
        <v>45338.64583</v>
      </c>
      <c r="JB42" s="45">
        <f>IFERROR(__xludf.DUMMYFUNCTION("""COMPUTED_VALUE"""),31200.0)</f>
        <v>31200</v>
      </c>
      <c r="JC42" s="46">
        <f t="shared" si="66"/>
        <v>-0.1187100401</v>
      </c>
      <c r="JD42" s="37"/>
      <c r="JE42" s="37">
        <f>IFERROR(__xludf.DUMMYFUNCTION("""COMPUTED_VALUE"""),45338.64583333333)</f>
        <v>45338.64583</v>
      </c>
      <c r="JF42" s="45">
        <f>IFERROR(__xludf.DUMMYFUNCTION("""COMPUTED_VALUE"""),710.5)</f>
        <v>710.5</v>
      </c>
      <c r="JG42" s="46">
        <f t="shared" si="67"/>
        <v>0.1015503876</v>
      </c>
      <c r="JH42" s="37"/>
      <c r="JI42" s="37">
        <f>IFERROR(__xludf.DUMMYFUNCTION("""COMPUTED_VALUE"""),45338.64583333333)</f>
        <v>45338.64583</v>
      </c>
      <c r="JJ42" s="45">
        <f>IFERROR(__xludf.DUMMYFUNCTION("""COMPUTED_VALUE"""),304.0)</f>
        <v>304</v>
      </c>
      <c r="JK42" s="46">
        <f t="shared" si="68"/>
        <v>-0.08968408444</v>
      </c>
      <c r="JL42" s="37"/>
      <c r="JM42" s="37">
        <f>IFERROR(__xludf.DUMMYFUNCTION("""COMPUTED_VALUE"""),45338.64583333333)</f>
        <v>45338.64583</v>
      </c>
      <c r="JN42" s="45">
        <f>IFERROR(__xludf.DUMMYFUNCTION("""COMPUTED_VALUE"""),15.6)</f>
        <v>15.6</v>
      </c>
      <c r="JO42" s="46">
        <f t="shared" si="69"/>
        <v>-0.9644444444</v>
      </c>
      <c r="JP42" s="37"/>
      <c r="JQ42" s="37">
        <f>IFERROR(__xludf.DUMMYFUNCTION("""COMPUTED_VALUE"""),45338.64583333333)</f>
        <v>45338.64583</v>
      </c>
      <c r="JR42" s="45">
        <f>IFERROR(__xludf.DUMMYFUNCTION("""COMPUTED_VALUE"""),96.5)</f>
        <v>96.5</v>
      </c>
      <c r="JS42" s="46">
        <f t="shared" si="70"/>
        <v>-0.2904411765</v>
      </c>
      <c r="JT42" s="37"/>
      <c r="JU42" s="37">
        <f>IFERROR(__xludf.DUMMYFUNCTION("""COMPUTED_VALUE"""),45338.64583333333)</f>
        <v>45338.64583</v>
      </c>
      <c r="JV42" s="45">
        <f>IFERROR(__xludf.DUMMYFUNCTION("""COMPUTED_VALUE"""),241.0)</f>
        <v>241</v>
      </c>
      <c r="JW42" s="46">
        <f t="shared" si="71"/>
        <v>-0.4507122507</v>
      </c>
      <c r="JX42" s="37"/>
      <c r="JY42" s="37">
        <f>IFERROR(__xludf.DUMMYFUNCTION("""COMPUTED_VALUE"""),45338.64583333333)</f>
        <v>45338.64583</v>
      </c>
      <c r="JZ42" s="45">
        <f>IFERROR(__xludf.DUMMYFUNCTION("""COMPUTED_VALUE"""),587.7)</f>
        <v>587.7</v>
      </c>
      <c r="KA42" s="46">
        <f t="shared" si="72"/>
        <v>0.0666061706</v>
      </c>
      <c r="KB42" s="37"/>
      <c r="KC42" s="37">
        <f>IFERROR(__xludf.DUMMYFUNCTION("""COMPUTED_VALUE"""),45338.64583333333)</f>
        <v>45338.64583</v>
      </c>
      <c r="KD42" s="45">
        <f>IFERROR(__xludf.DUMMYFUNCTION("""COMPUTED_VALUE"""),897.0)</f>
        <v>897</v>
      </c>
      <c r="KE42" s="46">
        <f t="shared" si="73"/>
        <v>0.02684448515</v>
      </c>
      <c r="KF42" s="37"/>
      <c r="KG42" s="37">
        <f>IFERROR(__xludf.DUMMYFUNCTION("""COMPUTED_VALUE"""),45338.64583333333)</f>
        <v>45338.64583</v>
      </c>
      <c r="KH42" s="45">
        <f>IFERROR(__xludf.DUMMYFUNCTION("""COMPUTED_VALUE"""),459.5)</f>
        <v>459.5</v>
      </c>
      <c r="KI42" s="46">
        <f t="shared" si="74"/>
        <v>0.1782051282</v>
      </c>
      <c r="KJ42" s="37"/>
      <c r="KK42" s="37">
        <f>IFERROR(__xludf.DUMMYFUNCTION("""COMPUTED_VALUE"""),45338.64583333333)</f>
        <v>45338.64583</v>
      </c>
      <c r="KL42" s="45">
        <f>IFERROR(__xludf.DUMMYFUNCTION("""COMPUTED_VALUE"""),12.8)</f>
        <v>12.8</v>
      </c>
      <c r="KM42" s="46">
        <f t="shared" si="75"/>
        <v>0.376344086</v>
      </c>
      <c r="KN42" s="37"/>
      <c r="KO42" s="37">
        <f>IFERROR(__xludf.DUMMYFUNCTION("""COMPUTED_VALUE"""),45338.64583333333)</f>
        <v>45338.64583</v>
      </c>
      <c r="KP42" s="45">
        <f>IFERROR(__xludf.DUMMYFUNCTION("""COMPUTED_VALUE"""),250.0)</f>
        <v>250</v>
      </c>
      <c r="KQ42" s="46">
        <f t="shared" si="76"/>
        <v>0.2297097885</v>
      </c>
      <c r="KR42" s="37"/>
      <c r="KS42" s="37">
        <f>IFERROR(__xludf.DUMMYFUNCTION("""COMPUTED_VALUE"""),45338.64583333333)</f>
        <v>45338.64583</v>
      </c>
      <c r="KT42" s="45">
        <f>IFERROR(__xludf.DUMMYFUNCTION("""COMPUTED_VALUE"""),15.75)</f>
        <v>15.75</v>
      </c>
      <c r="KU42" s="46">
        <f t="shared" si="77"/>
        <v>0.4253393665</v>
      </c>
      <c r="KV42" s="37"/>
      <c r="KW42" s="37">
        <f>IFERROR(__xludf.DUMMYFUNCTION("""COMPUTED_VALUE"""),45338.64583333333)</f>
        <v>45338.64583</v>
      </c>
      <c r="KX42" s="45">
        <f>IFERROR(__xludf.DUMMYFUNCTION("""COMPUTED_VALUE"""),2336.95)</f>
        <v>2336.95</v>
      </c>
      <c r="KY42" s="46">
        <f t="shared" si="78"/>
        <v>-0.1247214367</v>
      </c>
      <c r="KZ42" s="37"/>
      <c r="LA42" s="37">
        <f>IFERROR(__xludf.DUMMYFUNCTION("""COMPUTED_VALUE"""),45338.64583333333)</f>
        <v>45338.64583</v>
      </c>
      <c r="LB42" s="45">
        <f>IFERROR(__xludf.DUMMYFUNCTION("""COMPUTED_VALUE"""),18.1)</f>
        <v>18.1</v>
      </c>
      <c r="LC42" s="46">
        <f t="shared" si="79"/>
        <v>-0.03978779841</v>
      </c>
      <c r="LD42" s="37"/>
      <c r="LE42" s="37">
        <f>IFERROR(__xludf.DUMMYFUNCTION("""COMPUTED_VALUE"""),45338.64583333333)</f>
        <v>45338.64583</v>
      </c>
      <c r="LF42" s="45">
        <f>IFERROR(__xludf.DUMMYFUNCTION("""COMPUTED_VALUE"""),121.4)</f>
        <v>121.4</v>
      </c>
      <c r="LG42" s="46">
        <f t="shared" si="80"/>
        <v>-0.0288</v>
      </c>
      <c r="LH42" s="37"/>
      <c r="LI42" s="37">
        <f>IFERROR(__xludf.DUMMYFUNCTION("""COMPUTED_VALUE"""),45338.64583333333)</f>
        <v>45338.64583</v>
      </c>
      <c r="LJ42" s="45">
        <f>IFERROR(__xludf.DUMMYFUNCTION("""COMPUTED_VALUE"""),688.0)</f>
        <v>688</v>
      </c>
      <c r="LK42" s="46">
        <f t="shared" si="81"/>
        <v>-0.05494505495</v>
      </c>
      <c r="LL42" s="37"/>
      <c r="LM42" s="37">
        <f>IFERROR(__xludf.DUMMYFUNCTION("""COMPUTED_VALUE"""),45338.64583333333)</f>
        <v>45338.64583</v>
      </c>
      <c r="LN42" s="45">
        <f>IFERROR(__xludf.DUMMYFUNCTION("""COMPUTED_VALUE"""),777.6)</f>
        <v>777.6</v>
      </c>
      <c r="LO42" s="46">
        <f t="shared" si="82"/>
        <v>-0.09052631579</v>
      </c>
      <c r="LP42" s="37"/>
      <c r="LQ42" s="37">
        <f>IFERROR(__xludf.DUMMYFUNCTION("""COMPUTED_VALUE"""),45338.64583333333)</f>
        <v>45338.64583</v>
      </c>
      <c r="LR42" s="45">
        <f>IFERROR(__xludf.DUMMYFUNCTION("""COMPUTED_VALUE"""),575.1)</f>
        <v>575.1</v>
      </c>
      <c r="LS42" s="46">
        <f t="shared" si="83"/>
        <v>0.5738916256</v>
      </c>
      <c r="LT42" s="37"/>
      <c r="LU42" s="37">
        <f>IFERROR(__xludf.DUMMYFUNCTION("""COMPUTED_VALUE"""),45338.64583333333)</f>
        <v>45338.64583</v>
      </c>
      <c r="LV42" s="45">
        <f>IFERROR(__xludf.DUMMYFUNCTION("""COMPUTED_VALUE"""),128.8)</f>
        <v>128.8</v>
      </c>
      <c r="LW42" s="46">
        <f t="shared" si="84"/>
        <v>-0.05847953216</v>
      </c>
      <c r="LX42" s="37"/>
      <c r="LY42" s="37">
        <f>IFERROR(__xludf.DUMMYFUNCTION("""COMPUTED_VALUE"""),45338.64583333333)</f>
        <v>45338.64583</v>
      </c>
      <c r="LZ42" s="45">
        <f>IFERROR(__xludf.DUMMYFUNCTION("""COMPUTED_VALUE"""),663.25)</f>
        <v>663.25</v>
      </c>
      <c r="MA42" s="46">
        <f t="shared" si="85"/>
        <v>0.06975806452</v>
      </c>
      <c r="MB42" s="37"/>
      <c r="MC42" s="37"/>
      <c r="MD42" s="45"/>
      <c r="ME42" s="46" t="str">
        <f t="shared" si="86"/>
        <v>#DIV/0!</v>
      </c>
      <c r="MF42" s="37"/>
      <c r="MG42" s="37">
        <f>IFERROR(__xludf.DUMMYFUNCTION("""COMPUTED_VALUE"""),45338.64583333333)</f>
        <v>45338.64583</v>
      </c>
      <c r="MH42" s="45">
        <f>IFERROR(__xludf.DUMMYFUNCTION("""COMPUTED_VALUE"""),2060.0)</f>
        <v>2060</v>
      </c>
      <c r="MI42" s="46">
        <f t="shared" si="87"/>
        <v>0.0505112318</v>
      </c>
      <c r="MJ42" s="37"/>
      <c r="MK42" s="37">
        <f>IFERROR(__xludf.DUMMYFUNCTION("""COMPUTED_VALUE"""),45338.64583333333)</f>
        <v>45338.64583</v>
      </c>
      <c r="ML42" s="45">
        <f>IFERROR(__xludf.DUMMYFUNCTION("""COMPUTED_VALUE"""),339.8)</f>
        <v>339.8</v>
      </c>
      <c r="MM42" s="46">
        <f t="shared" si="88"/>
        <v>-0.1503937992</v>
      </c>
      <c r="MN42" s="37"/>
      <c r="MO42" s="37">
        <f>IFERROR(__xludf.DUMMYFUNCTION("""COMPUTED_VALUE"""),45338.64583333333)</f>
        <v>45338.64583</v>
      </c>
      <c r="MP42" s="45">
        <f>IFERROR(__xludf.DUMMYFUNCTION("""COMPUTED_VALUE"""),901.65)</f>
        <v>901.65</v>
      </c>
      <c r="MQ42" s="46">
        <f t="shared" si="89"/>
        <v>0.2184459459</v>
      </c>
      <c r="MR42" s="37"/>
      <c r="MS42" s="37">
        <f>IFERROR(__xludf.DUMMYFUNCTION("""COMPUTED_VALUE"""),45338.64583333333)</f>
        <v>45338.64583</v>
      </c>
      <c r="MT42" s="45">
        <f>IFERROR(__xludf.DUMMYFUNCTION("""COMPUTED_VALUE"""),74.25)</f>
        <v>74.25</v>
      </c>
      <c r="MU42" s="46">
        <f t="shared" si="90"/>
        <v>0.1224489796</v>
      </c>
      <c r="MV42" s="37"/>
      <c r="MW42" s="37">
        <f>IFERROR(__xludf.DUMMYFUNCTION("""COMPUTED_VALUE"""),45338.64583333333)</f>
        <v>45338.64583</v>
      </c>
      <c r="MX42" s="45">
        <f>IFERROR(__xludf.DUMMYFUNCTION("""COMPUTED_VALUE"""),3214.0)</f>
        <v>3214</v>
      </c>
      <c r="MY42" s="46">
        <f t="shared" si="91"/>
        <v>0.02129011757</v>
      </c>
      <c r="MZ42" s="37"/>
      <c r="NA42" s="37">
        <f>IFERROR(__xludf.DUMMYFUNCTION("""COMPUTED_VALUE"""),45338.64583333333)</f>
        <v>45338.64583</v>
      </c>
      <c r="NB42" s="45">
        <f>IFERROR(__xludf.DUMMYFUNCTION("""COMPUTED_VALUE"""),13.95)</f>
        <v>13.95</v>
      </c>
      <c r="NC42" s="46">
        <f t="shared" si="92"/>
        <v>0.1027667984</v>
      </c>
      <c r="ND42" s="37"/>
      <c r="NE42" s="37">
        <f>IFERROR(__xludf.DUMMYFUNCTION("""COMPUTED_VALUE"""),45341.64583333333)</f>
        <v>45341.64583</v>
      </c>
      <c r="NF42" s="45">
        <f>IFERROR(__xludf.DUMMYFUNCTION("""COMPUTED_VALUE"""),370.95)</f>
        <v>370.95</v>
      </c>
      <c r="NG42" s="46">
        <f t="shared" si="93"/>
        <v>-0.03133568351</v>
      </c>
      <c r="NH42" s="37"/>
      <c r="NI42" s="37">
        <f>IFERROR(__xludf.DUMMYFUNCTION("""COMPUTED_VALUE"""),45341.64583333333)</f>
        <v>45341.64583</v>
      </c>
      <c r="NJ42" s="45">
        <f>IFERROR(__xludf.DUMMYFUNCTION("""COMPUTED_VALUE"""),379.73)</f>
        <v>379.73</v>
      </c>
      <c r="NK42" s="46">
        <f t="shared" si="94"/>
        <v>0.4239697004</v>
      </c>
      <c r="NL42" s="37"/>
      <c r="NM42" s="37">
        <f>IFERROR(__xludf.DUMMYFUNCTION("""COMPUTED_VALUE"""),45341.64583333333)</f>
        <v>45341.64583</v>
      </c>
      <c r="NN42" s="45">
        <f>IFERROR(__xludf.DUMMYFUNCTION("""COMPUTED_VALUE"""),130.4)</f>
        <v>130.4</v>
      </c>
      <c r="NO42" s="46">
        <f t="shared" si="95"/>
        <v>0.05758313058</v>
      </c>
      <c r="NP42" s="37"/>
      <c r="NQ42" s="37">
        <f>IFERROR(__xludf.DUMMYFUNCTION("""COMPUTED_VALUE"""),45341.64583333333)</f>
        <v>45341.64583</v>
      </c>
      <c r="NR42" s="45">
        <f>IFERROR(__xludf.DUMMYFUNCTION("""COMPUTED_VALUE"""),4944.0)</f>
        <v>4944</v>
      </c>
      <c r="NS42" s="46">
        <f t="shared" si="96"/>
        <v>0.183908046</v>
      </c>
      <c r="NT42" s="37"/>
      <c r="NU42" s="37">
        <f>IFERROR(__xludf.DUMMYFUNCTION("""COMPUTED_VALUE"""),45341.64583333333)</f>
        <v>45341.64583</v>
      </c>
      <c r="NV42" s="45">
        <f>IFERROR(__xludf.DUMMYFUNCTION("""COMPUTED_VALUE"""),16.4)</f>
        <v>16.4</v>
      </c>
      <c r="NW42" s="46">
        <f t="shared" si="97"/>
        <v>0.2913385827</v>
      </c>
      <c r="NX42" s="37"/>
      <c r="NY42" s="37">
        <f>IFERROR(__xludf.DUMMYFUNCTION("""COMPUTED_VALUE"""),45341.64583333333)</f>
        <v>45341.64583</v>
      </c>
      <c r="NZ42" s="45">
        <f>IFERROR(__xludf.DUMMYFUNCTION("""COMPUTED_VALUE"""),244.9)</f>
        <v>244.9</v>
      </c>
      <c r="OA42" s="46">
        <f t="shared" si="98"/>
        <v>-0.007698541329</v>
      </c>
      <c r="OB42" s="37"/>
      <c r="OC42" s="37">
        <f>IFERROR(__xludf.DUMMYFUNCTION("""COMPUTED_VALUE"""),45341.64583333333)</f>
        <v>45341.64583</v>
      </c>
      <c r="OD42" s="45">
        <f>IFERROR(__xludf.DUMMYFUNCTION("""COMPUTED_VALUE"""),1164.25)</f>
        <v>1164.25</v>
      </c>
      <c r="OE42" s="46">
        <f t="shared" si="99"/>
        <v>0.104653921</v>
      </c>
      <c r="OF42" s="37"/>
      <c r="OG42" s="37">
        <f>IFERROR(__xludf.DUMMYFUNCTION("""COMPUTED_VALUE"""),45341.64583333333)</f>
        <v>45341.64583</v>
      </c>
      <c r="OH42" s="45">
        <f>IFERROR(__xludf.DUMMYFUNCTION("""COMPUTED_VALUE"""),2961.98)</f>
        <v>2961.98</v>
      </c>
      <c r="OI42" s="46">
        <f t="shared" si="100"/>
        <v>0.2140257398</v>
      </c>
      <c r="OJ42" s="37"/>
      <c r="OK42" s="37"/>
      <c r="OL42" s="45"/>
      <c r="OM42" s="46" t="str">
        <f t="shared" si="101"/>
        <v>#DIV/0!</v>
      </c>
      <c r="ON42" s="37"/>
    </row>
    <row r="43" ht="12.0" customHeight="1">
      <c r="A43" s="37">
        <f>IFERROR(__xludf.DUMMYFUNCTION("""COMPUTED_VALUE"""),45338.64583333333)</f>
        <v>45338.64583</v>
      </c>
      <c r="B43" s="45">
        <f>IFERROR(__xludf.DUMMYFUNCTION("""COMPUTED_VALUE"""),403.25)</f>
        <v>403.25</v>
      </c>
      <c r="C43" s="46">
        <f t="shared" si="1"/>
        <v>-0.08091168091</v>
      </c>
      <c r="D43" s="37"/>
      <c r="E43" s="37">
        <f>IFERROR(__xludf.DUMMYFUNCTION("""COMPUTED_VALUE"""),45338.64583333333)</f>
        <v>45338.64583</v>
      </c>
      <c r="F43" s="45">
        <f>IFERROR(__xludf.DUMMYFUNCTION("""COMPUTED_VALUE"""),705.0)</f>
        <v>705</v>
      </c>
      <c r="G43" s="46">
        <f t="shared" si="2"/>
        <v>0.07633587786</v>
      </c>
      <c r="H43" s="37"/>
      <c r="I43" s="37">
        <f>IFERROR(__xludf.DUMMYFUNCTION("""COMPUTED_VALUE"""),45338.64583333333)</f>
        <v>45338.64583</v>
      </c>
      <c r="J43" s="45">
        <f>IFERROR(__xludf.DUMMYFUNCTION("""COMPUTED_VALUE"""),190.4)</f>
        <v>190.4</v>
      </c>
      <c r="K43" s="46">
        <f t="shared" si="3"/>
        <v>0.0347826087</v>
      </c>
      <c r="L43" s="37"/>
      <c r="M43" s="37">
        <f>IFERROR(__xludf.DUMMYFUNCTION("""COMPUTED_VALUE"""),45338.64583333333)</f>
        <v>45338.64583</v>
      </c>
      <c r="N43" s="45">
        <f>IFERROR(__xludf.DUMMYFUNCTION("""COMPUTED_VALUE"""),103.05)</f>
        <v>103.05</v>
      </c>
      <c r="O43" s="46">
        <f t="shared" si="4"/>
        <v>0.1927083333</v>
      </c>
      <c r="P43" s="37"/>
      <c r="Q43" s="37">
        <f>IFERROR(__xludf.DUMMYFUNCTION("""COMPUTED_VALUE"""),45338.64583333333)</f>
        <v>45338.64583</v>
      </c>
      <c r="R43" s="45">
        <f>IFERROR(__xludf.DUMMYFUNCTION("""COMPUTED_VALUE"""),53.9)</f>
        <v>53.9</v>
      </c>
      <c r="S43" s="46">
        <f t="shared" si="5"/>
        <v>0.02666666667</v>
      </c>
      <c r="T43" s="37"/>
      <c r="U43" s="37">
        <f>IFERROR(__xludf.DUMMYFUNCTION("""COMPUTED_VALUE"""),45338.64583333333)</f>
        <v>45338.64583</v>
      </c>
      <c r="V43" s="45">
        <f>IFERROR(__xludf.DUMMYFUNCTION("""COMPUTED_VALUE"""),658.0)</f>
        <v>658</v>
      </c>
      <c r="W43" s="46">
        <f t="shared" si="6"/>
        <v>-0.006642512077</v>
      </c>
      <c r="X43" s="37"/>
      <c r="Y43" s="37">
        <f>IFERROR(__xludf.DUMMYFUNCTION("""COMPUTED_VALUE"""),45338.64583333333)</f>
        <v>45338.64583</v>
      </c>
      <c r="Z43" s="45">
        <f>IFERROR(__xludf.DUMMYFUNCTION("""COMPUTED_VALUE"""),213.5)</f>
        <v>213.5</v>
      </c>
      <c r="AA43" s="46">
        <f t="shared" si="7"/>
        <v>0.1540540541</v>
      </c>
      <c r="AB43" s="37"/>
      <c r="AC43" s="37">
        <f>IFERROR(__xludf.DUMMYFUNCTION("""COMPUTED_VALUE"""),45338.64583333333)</f>
        <v>45338.64583</v>
      </c>
      <c r="AD43" s="45">
        <f>IFERROR(__xludf.DUMMYFUNCTION("""COMPUTED_VALUE"""),2968.43)</f>
        <v>2968.43</v>
      </c>
      <c r="AE43" s="46">
        <f t="shared" si="8"/>
        <v>0.2501284481</v>
      </c>
      <c r="AF43" s="37"/>
      <c r="AG43" s="37">
        <f>IFERROR(__xludf.DUMMYFUNCTION("""COMPUTED_VALUE"""),45338.64583333333)</f>
        <v>45338.64583</v>
      </c>
      <c r="AH43" s="45">
        <f>IFERROR(__xludf.DUMMYFUNCTION("""COMPUTED_VALUE"""),668.05)</f>
        <v>668.05</v>
      </c>
      <c r="AI43" s="46">
        <f t="shared" si="9"/>
        <v>-0.204702381</v>
      </c>
      <c r="AJ43" s="37"/>
      <c r="AK43" s="37">
        <f>IFERROR(__xludf.DUMMYFUNCTION("""COMPUTED_VALUE"""),45338.64583333333)</f>
        <v>45338.64583</v>
      </c>
      <c r="AL43" s="45">
        <f>IFERROR(__xludf.DUMMYFUNCTION("""COMPUTED_VALUE"""),6982.0)</f>
        <v>6982</v>
      </c>
      <c r="AM43" s="46">
        <f t="shared" si="10"/>
        <v>0.3426923077</v>
      </c>
      <c r="AN43" s="37"/>
      <c r="AO43" s="37">
        <f>IFERROR(__xludf.DUMMYFUNCTION("""COMPUTED_VALUE"""),45338.64583333333)</f>
        <v>45338.64583</v>
      </c>
      <c r="AP43" s="45">
        <f>IFERROR(__xludf.DUMMYFUNCTION("""COMPUTED_VALUE"""),934.0)</f>
        <v>934</v>
      </c>
      <c r="AQ43" s="46">
        <f t="shared" si="11"/>
        <v>0.02637362637</v>
      </c>
      <c r="AR43" s="37"/>
      <c r="AS43" s="37">
        <f>IFERROR(__xludf.DUMMYFUNCTION("""COMPUTED_VALUE"""),45338.64583333333)</f>
        <v>45338.64583</v>
      </c>
      <c r="AT43" s="45">
        <f>IFERROR(__xludf.DUMMYFUNCTION("""COMPUTED_VALUE"""),2323.25)</f>
        <v>2323.25</v>
      </c>
      <c r="AU43" s="46">
        <f t="shared" si="12"/>
        <v>-0.06467651677</v>
      </c>
      <c r="AV43" s="37"/>
      <c r="AW43" s="37">
        <f>IFERROR(__xludf.DUMMYFUNCTION("""COMPUTED_VALUE"""),45338.64583333333)</f>
        <v>45338.64583</v>
      </c>
      <c r="AX43" s="45">
        <f>IFERROR(__xludf.DUMMYFUNCTION("""COMPUTED_VALUE"""),5565.45)</f>
        <v>5565.45</v>
      </c>
      <c r="AY43" s="46">
        <f t="shared" si="13"/>
        <v>-0.01402225136</v>
      </c>
      <c r="AZ43" s="37"/>
      <c r="BA43" s="37">
        <f>IFERROR(__xludf.DUMMYFUNCTION("""COMPUTED_VALUE"""),45338.64583333333)</f>
        <v>45338.64583</v>
      </c>
      <c r="BB43" s="45">
        <f>IFERROR(__xludf.DUMMYFUNCTION("""COMPUTED_VALUE"""),545.0)</f>
        <v>545</v>
      </c>
      <c r="BC43" s="46">
        <f t="shared" si="14"/>
        <v>0.1632870864</v>
      </c>
      <c r="BD43" s="37"/>
      <c r="BE43" s="37">
        <f>IFERROR(__xludf.DUMMYFUNCTION("""COMPUTED_VALUE"""),45338.64583333333)</f>
        <v>45338.64583</v>
      </c>
      <c r="BF43" s="45">
        <f>IFERROR(__xludf.DUMMYFUNCTION("""COMPUTED_VALUE"""),308.9)</f>
        <v>308.9</v>
      </c>
      <c r="BG43" s="46">
        <f t="shared" si="15"/>
        <v>-0.241031941</v>
      </c>
      <c r="BH43" s="37"/>
      <c r="BI43" s="37">
        <f>IFERROR(__xludf.DUMMYFUNCTION("""COMPUTED_VALUE"""),45338.64583333333)</f>
        <v>45338.64583</v>
      </c>
      <c r="BJ43" s="45">
        <f>IFERROR(__xludf.DUMMYFUNCTION("""COMPUTED_VALUE"""),69.75)</f>
        <v>69.75</v>
      </c>
      <c r="BK43" s="46">
        <f t="shared" si="16"/>
        <v>0.004319654428</v>
      </c>
      <c r="BL43" s="37"/>
      <c r="BM43" s="37">
        <f>IFERROR(__xludf.DUMMYFUNCTION("""COMPUTED_VALUE"""),45338.64583333333)</f>
        <v>45338.64583</v>
      </c>
      <c r="BN43" s="45">
        <f>IFERROR(__xludf.DUMMYFUNCTION("""COMPUTED_VALUE"""),262.8)</f>
        <v>262.8</v>
      </c>
      <c r="BO43" s="46">
        <f t="shared" si="17"/>
        <v>0.0265625</v>
      </c>
      <c r="BP43" s="37"/>
      <c r="BQ43" s="37">
        <f>IFERROR(__xludf.DUMMYFUNCTION("""COMPUTED_VALUE"""),45338.64583333333)</f>
        <v>45338.64583</v>
      </c>
      <c r="BR43" s="45">
        <f>IFERROR(__xludf.DUMMYFUNCTION("""COMPUTED_VALUE"""),58.55)</f>
        <v>58.55</v>
      </c>
      <c r="BS43" s="46">
        <f t="shared" si="18"/>
        <v>-0.03858784893</v>
      </c>
      <c r="BT43" s="37"/>
      <c r="BU43" s="37">
        <f>IFERROR(__xludf.DUMMYFUNCTION("""COMPUTED_VALUE"""),45338.64583333333)</f>
        <v>45338.64583</v>
      </c>
      <c r="BV43" s="45">
        <f>IFERROR(__xludf.DUMMYFUNCTION("""COMPUTED_VALUE"""),325.7)</f>
        <v>325.7</v>
      </c>
      <c r="BW43" s="46">
        <f t="shared" si="19"/>
        <v>0.05268261151</v>
      </c>
      <c r="BX43" s="37"/>
      <c r="BY43" s="37">
        <f>IFERROR(__xludf.DUMMYFUNCTION("""COMPUTED_VALUE"""),45338.64583333333)</f>
        <v>45338.64583</v>
      </c>
      <c r="BZ43" s="45">
        <f>IFERROR(__xludf.DUMMYFUNCTION("""COMPUTED_VALUE"""),347.75)</f>
        <v>347.75</v>
      </c>
      <c r="CA43" s="46">
        <f t="shared" si="20"/>
        <v>-0.1507936508</v>
      </c>
      <c r="CB43" s="37"/>
      <c r="CC43" s="37">
        <f>IFERROR(__xludf.DUMMYFUNCTION("""COMPUTED_VALUE"""),45338.64583333333)</f>
        <v>45338.64583</v>
      </c>
      <c r="CD43" s="45">
        <f>IFERROR(__xludf.DUMMYFUNCTION("""COMPUTED_VALUE"""),264.75)</f>
        <v>264.75</v>
      </c>
      <c r="CE43" s="46">
        <f t="shared" si="21"/>
        <v>0.1426413466</v>
      </c>
      <c r="CF43" s="37"/>
      <c r="CG43" s="37">
        <f>IFERROR(__xludf.DUMMYFUNCTION("""COMPUTED_VALUE"""),45338.64583333333)</f>
        <v>45338.64583</v>
      </c>
      <c r="CH43" s="45">
        <f>IFERROR(__xludf.DUMMYFUNCTION("""COMPUTED_VALUE"""),710.5)</f>
        <v>710.5</v>
      </c>
      <c r="CI43" s="46">
        <f t="shared" si="22"/>
        <v>0.1171383648</v>
      </c>
      <c r="CJ43" s="37"/>
      <c r="CK43" s="37">
        <f>IFERROR(__xludf.DUMMYFUNCTION("""COMPUTED_VALUE"""),45338.64583333333)</f>
        <v>45338.64583</v>
      </c>
      <c r="CL43" s="45">
        <f>IFERROR(__xludf.DUMMYFUNCTION("""COMPUTED_VALUE"""),304.0)</f>
        <v>304</v>
      </c>
      <c r="CM43" s="46">
        <f t="shared" si="23"/>
        <v>-0.09792284866</v>
      </c>
      <c r="CN43" s="37"/>
      <c r="CO43" s="37">
        <f>IFERROR(__xludf.DUMMYFUNCTION("""COMPUTED_VALUE"""),45338.64583333333)</f>
        <v>45338.64583</v>
      </c>
      <c r="CP43" s="45">
        <f>IFERROR(__xludf.DUMMYFUNCTION("""COMPUTED_VALUE"""),15.6)</f>
        <v>15.6</v>
      </c>
      <c r="CQ43" s="46">
        <f t="shared" si="24"/>
        <v>0.05405405405</v>
      </c>
      <c r="CR43" s="37"/>
      <c r="CS43" s="37">
        <f>IFERROR(__xludf.DUMMYFUNCTION("""COMPUTED_VALUE"""),45338.64583333333)</f>
        <v>45338.64583</v>
      </c>
      <c r="CT43" s="45">
        <f>IFERROR(__xludf.DUMMYFUNCTION("""COMPUTED_VALUE"""),212.5)</f>
        <v>212.5</v>
      </c>
      <c r="CU43" s="46">
        <f t="shared" si="25"/>
        <v>0.07323232323</v>
      </c>
      <c r="CV43" s="37"/>
      <c r="CW43" s="37">
        <f>IFERROR(__xludf.DUMMYFUNCTION("""COMPUTED_VALUE"""),45338.64583333333)</f>
        <v>45338.64583</v>
      </c>
      <c r="CX43" s="45">
        <f>IFERROR(__xludf.DUMMYFUNCTION("""COMPUTED_VALUE"""),884.75)</f>
        <v>884.75</v>
      </c>
      <c r="CY43" s="46">
        <f t="shared" si="26"/>
        <v>0.2789470641</v>
      </c>
      <c r="CZ43" s="37"/>
      <c r="DA43" s="37">
        <f>IFERROR(__xludf.DUMMYFUNCTION("""COMPUTED_VALUE"""),45338.64583333333)</f>
        <v>45338.64583</v>
      </c>
      <c r="DB43" s="45">
        <f>IFERROR(__xludf.DUMMYFUNCTION("""COMPUTED_VALUE"""),35.7)</f>
        <v>35.7</v>
      </c>
      <c r="DC43" s="46">
        <f t="shared" si="27"/>
        <v>0.2795698925</v>
      </c>
      <c r="DD43" s="37"/>
      <c r="DE43" s="37">
        <f>IFERROR(__xludf.DUMMYFUNCTION("""COMPUTED_VALUE"""),45338.64583333333)</f>
        <v>45338.64583</v>
      </c>
      <c r="DF43" s="45">
        <f>IFERROR(__xludf.DUMMYFUNCTION("""COMPUTED_VALUE"""),96.5)</f>
        <v>96.5</v>
      </c>
      <c r="DG43" s="46">
        <f t="shared" si="28"/>
        <v>-0.1482789056</v>
      </c>
      <c r="DH43" s="37"/>
      <c r="DI43" s="37">
        <f>IFERROR(__xludf.DUMMYFUNCTION("""COMPUTED_VALUE"""),45338.64583333333)</f>
        <v>45338.64583</v>
      </c>
      <c r="DJ43" s="45">
        <f>IFERROR(__xludf.DUMMYFUNCTION("""COMPUTED_VALUE"""),1825.2)</f>
        <v>1825.2</v>
      </c>
      <c r="DK43" s="46">
        <f t="shared" si="29"/>
        <v>0.137337986</v>
      </c>
      <c r="DL43" s="37"/>
      <c r="DM43" s="37">
        <f>IFERROR(__xludf.DUMMYFUNCTION("""COMPUTED_VALUE"""),45338.64583333333)</f>
        <v>45338.64583</v>
      </c>
      <c r="DN43" s="45">
        <f>IFERROR(__xludf.DUMMYFUNCTION("""COMPUTED_VALUE"""),627.45)</f>
        <v>627.45</v>
      </c>
      <c r="DO43" s="46">
        <f t="shared" si="30"/>
        <v>0.1702881656</v>
      </c>
      <c r="DP43" s="37"/>
      <c r="DQ43" s="37">
        <f>IFERROR(__xludf.DUMMYFUNCTION("""COMPUTED_VALUE"""),45338.64583333333)</f>
        <v>45338.64583</v>
      </c>
      <c r="DR43" s="45">
        <f>IFERROR(__xludf.DUMMYFUNCTION("""COMPUTED_VALUE"""),244.0)</f>
        <v>244</v>
      </c>
      <c r="DS43" s="46">
        <f t="shared" si="31"/>
        <v>0.119266055</v>
      </c>
      <c r="DT43" s="37"/>
      <c r="DU43" s="37">
        <f>IFERROR(__xludf.DUMMYFUNCTION("""COMPUTED_VALUE"""),45338.64583333333)</f>
        <v>45338.64583</v>
      </c>
      <c r="DV43" s="45">
        <f>IFERROR(__xludf.DUMMYFUNCTION("""COMPUTED_VALUE"""),897.0)</f>
        <v>897</v>
      </c>
      <c r="DW43" s="46">
        <f t="shared" si="32"/>
        <v>0.05467372134</v>
      </c>
      <c r="DX43" s="37"/>
      <c r="DY43" s="37">
        <f>IFERROR(__xludf.DUMMYFUNCTION("""COMPUTED_VALUE"""),45338.64583333333)</f>
        <v>45338.64583</v>
      </c>
      <c r="DZ43" s="45">
        <f>IFERROR(__xludf.DUMMYFUNCTION("""COMPUTED_VALUE"""),15.75)</f>
        <v>15.75</v>
      </c>
      <c r="EA43" s="46">
        <f t="shared" si="33"/>
        <v>0.4516129032</v>
      </c>
      <c r="EB43" s="37"/>
      <c r="EC43" s="37">
        <f>IFERROR(__xludf.DUMMYFUNCTION("""COMPUTED_VALUE"""),45338.64583333333)</f>
        <v>45338.64583</v>
      </c>
      <c r="ED43" s="45">
        <f>IFERROR(__xludf.DUMMYFUNCTION("""COMPUTED_VALUE"""),2336.95)</f>
        <v>2336.95</v>
      </c>
      <c r="EE43" s="46">
        <f t="shared" si="34"/>
        <v>-0.1164650284</v>
      </c>
      <c r="EF43" s="37"/>
      <c r="EG43" s="37">
        <f>IFERROR(__xludf.DUMMYFUNCTION("""COMPUTED_VALUE"""),45338.64583333333)</f>
        <v>45338.64583</v>
      </c>
      <c r="EH43" s="45">
        <f>IFERROR(__xludf.DUMMYFUNCTION("""COMPUTED_VALUE"""),982.05)</f>
        <v>982.05</v>
      </c>
      <c r="EI43" s="46">
        <f t="shared" si="35"/>
        <v>0.514107308</v>
      </c>
      <c r="EJ43" s="37"/>
      <c r="EK43" s="37">
        <f>IFERROR(__xludf.DUMMYFUNCTION("""COMPUTED_VALUE"""),45338.64583333333)</f>
        <v>45338.64583</v>
      </c>
      <c r="EL43" s="45">
        <f>IFERROR(__xludf.DUMMYFUNCTION("""COMPUTED_VALUE"""),181.9)</f>
        <v>181.9</v>
      </c>
      <c r="EM43" s="46">
        <f t="shared" si="36"/>
        <v>-0.0995049505</v>
      </c>
      <c r="EN43" s="37"/>
      <c r="EO43" s="37">
        <f>IFERROR(__xludf.DUMMYFUNCTION("""COMPUTED_VALUE"""),45338.64583333333)</f>
        <v>45338.64583</v>
      </c>
      <c r="EP43" s="45">
        <f>IFERROR(__xludf.DUMMYFUNCTION("""COMPUTED_VALUE"""),185.65)</f>
        <v>185.65</v>
      </c>
      <c r="EQ43" s="46">
        <f t="shared" si="37"/>
        <v>0.1981284285</v>
      </c>
      <c r="ER43" s="37"/>
      <c r="ES43" s="37">
        <f>IFERROR(__xludf.DUMMYFUNCTION("""COMPUTED_VALUE"""),45338.64583333333)</f>
        <v>45338.64583</v>
      </c>
      <c r="ET43" s="45">
        <f>IFERROR(__xludf.DUMMYFUNCTION("""COMPUTED_VALUE"""),173.45)</f>
        <v>173.45</v>
      </c>
      <c r="EU43" s="46">
        <f t="shared" si="38"/>
        <v>-0.107537947</v>
      </c>
      <c r="EV43" s="37"/>
      <c r="EW43" s="37">
        <f>IFERROR(__xludf.DUMMYFUNCTION("""COMPUTED_VALUE"""),45338.64583333333)</f>
        <v>45338.64583</v>
      </c>
      <c r="EX43" s="45">
        <f>IFERROR(__xludf.DUMMYFUNCTION("""COMPUTED_VALUE"""),823.0)</f>
        <v>823</v>
      </c>
      <c r="EY43" s="46">
        <f t="shared" si="39"/>
        <v>0.2700617284</v>
      </c>
      <c r="EZ43" s="37"/>
      <c r="FA43" s="37">
        <f>IFERROR(__xludf.DUMMYFUNCTION("""COMPUTED_VALUE"""),45338.64583333333)</f>
        <v>45338.64583</v>
      </c>
      <c r="FB43" s="45">
        <f>IFERROR(__xludf.DUMMYFUNCTION("""COMPUTED_VALUE"""),223.95)</f>
        <v>223.95</v>
      </c>
      <c r="FC43" s="46">
        <f t="shared" si="40"/>
        <v>0.2841169725</v>
      </c>
      <c r="FD43" s="37"/>
      <c r="FE43" s="37">
        <f>IFERROR(__xludf.DUMMYFUNCTION("""COMPUTED_VALUE"""),45338.64583333333)</f>
        <v>45338.64583</v>
      </c>
      <c r="FF43" s="45">
        <f>IFERROR(__xludf.DUMMYFUNCTION("""COMPUTED_VALUE"""),396.0)</f>
        <v>396</v>
      </c>
      <c r="FG43" s="46">
        <f t="shared" si="41"/>
        <v>0.2992125984</v>
      </c>
      <c r="FH43" s="37"/>
      <c r="FI43" s="37">
        <f>IFERROR(__xludf.DUMMYFUNCTION("""COMPUTED_VALUE"""),45338.64583333333)</f>
        <v>45338.64583</v>
      </c>
      <c r="FJ43" s="45">
        <f>IFERROR(__xludf.DUMMYFUNCTION("""COMPUTED_VALUE"""),663.25)</f>
        <v>663.25</v>
      </c>
      <c r="FK43" s="46">
        <f t="shared" si="42"/>
        <v>0.09438165168</v>
      </c>
      <c r="FL43" s="37"/>
      <c r="FM43" s="37">
        <f>IFERROR(__xludf.DUMMYFUNCTION("""COMPUTED_VALUE"""),45338.64583333333)</f>
        <v>45338.64583</v>
      </c>
      <c r="FN43" s="45">
        <f>IFERROR(__xludf.DUMMYFUNCTION("""COMPUTED_VALUE"""),109.5)</f>
        <v>109.5</v>
      </c>
      <c r="FO43" s="46">
        <f t="shared" si="43"/>
        <v>0.1526315789</v>
      </c>
      <c r="FP43" s="37"/>
      <c r="FQ43" s="37">
        <f>IFERROR(__xludf.DUMMYFUNCTION("""COMPUTED_VALUE"""),45338.64583333333)</f>
        <v>45338.64583</v>
      </c>
      <c r="FR43" s="45">
        <f>IFERROR(__xludf.DUMMYFUNCTION("""COMPUTED_VALUE"""),3.55)</f>
        <v>3.55</v>
      </c>
      <c r="FS43" s="46">
        <f t="shared" si="44"/>
        <v>-0.3545454545</v>
      </c>
      <c r="FT43" s="37"/>
      <c r="FU43" s="37">
        <f>IFERROR(__xludf.DUMMYFUNCTION("""COMPUTED_VALUE"""),45338.64583333333)</f>
        <v>45338.64583</v>
      </c>
      <c r="FV43" s="45">
        <f>IFERROR(__xludf.DUMMYFUNCTION("""COMPUTED_VALUE"""),898.0)</f>
        <v>898</v>
      </c>
      <c r="FW43" s="46">
        <f t="shared" si="45"/>
        <v>0.3452175867</v>
      </c>
      <c r="FX43" s="37"/>
      <c r="FY43" s="37">
        <f>IFERROR(__xludf.DUMMYFUNCTION("""COMPUTED_VALUE"""),45338.64583333333)</f>
        <v>45338.64583</v>
      </c>
      <c r="FZ43" s="45">
        <f>IFERROR(__xludf.DUMMYFUNCTION("""COMPUTED_VALUE"""),139.3)</f>
        <v>139.3</v>
      </c>
      <c r="GA43" s="46">
        <f t="shared" si="46"/>
        <v>-0.179623086</v>
      </c>
      <c r="GB43" s="37"/>
      <c r="GC43" s="37">
        <f>IFERROR(__xludf.DUMMYFUNCTION("""COMPUTED_VALUE"""),45338.64583333333)</f>
        <v>45338.64583</v>
      </c>
      <c r="GD43" s="45">
        <f>IFERROR(__xludf.DUMMYFUNCTION("""COMPUTED_VALUE"""),359.95)</f>
        <v>359.95</v>
      </c>
      <c r="GE43" s="46">
        <f t="shared" si="47"/>
        <v>-0.2207187703</v>
      </c>
      <c r="GF43" s="37"/>
      <c r="GG43" s="37">
        <f>IFERROR(__xludf.DUMMYFUNCTION("""COMPUTED_VALUE"""),45338.64583333333)</f>
        <v>45338.64583</v>
      </c>
      <c r="GH43" s="45">
        <f>IFERROR(__xludf.DUMMYFUNCTION("""COMPUTED_VALUE"""),6327.85)</f>
        <v>6327.85</v>
      </c>
      <c r="GI43" s="46">
        <f t="shared" si="48"/>
        <v>0.1941592753</v>
      </c>
      <c r="GJ43" s="37"/>
      <c r="GK43" s="37">
        <f>IFERROR(__xludf.DUMMYFUNCTION("""COMPUTED_VALUE"""),45338.64583333333)</f>
        <v>45338.64583</v>
      </c>
      <c r="GL43" s="45">
        <f>IFERROR(__xludf.DUMMYFUNCTION("""COMPUTED_VALUE"""),79.95)</f>
        <v>79.95</v>
      </c>
      <c r="GM43" s="46">
        <f t="shared" si="49"/>
        <v>-0.294973545</v>
      </c>
      <c r="GN43" s="37"/>
      <c r="GO43" s="37">
        <f>IFERROR(__xludf.DUMMYFUNCTION("""COMPUTED_VALUE"""),45338.64583333333)</f>
        <v>45338.64583</v>
      </c>
      <c r="GP43" s="45">
        <f>IFERROR(__xludf.DUMMYFUNCTION("""COMPUTED_VALUE"""),1330.0)</f>
        <v>1330</v>
      </c>
      <c r="GQ43" s="46">
        <f t="shared" si="50"/>
        <v>0.2095857396</v>
      </c>
      <c r="GR43" s="37"/>
      <c r="GS43" s="37">
        <f>IFERROR(__xludf.DUMMYFUNCTION("""COMPUTED_VALUE"""),45338.64583333333)</f>
        <v>45338.64583</v>
      </c>
      <c r="GT43" s="45">
        <f>IFERROR(__xludf.DUMMYFUNCTION("""COMPUTED_VALUE"""),13.95)</f>
        <v>13.95</v>
      </c>
      <c r="GU43" s="46">
        <f t="shared" si="51"/>
        <v>0.07722007722</v>
      </c>
      <c r="GV43" s="37"/>
      <c r="GW43" s="37">
        <f>IFERROR(__xludf.DUMMYFUNCTION("""COMPUTED_VALUE"""),45341.64583333333)</f>
        <v>45341.64583</v>
      </c>
      <c r="GX43" s="45">
        <f>IFERROR(__xludf.DUMMYFUNCTION("""COMPUTED_VALUE"""),17.85)</f>
        <v>17.85</v>
      </c>
      <c r="GY43" s="46">
        <f t="shared" si="52"/>
        <v>0.08181818182</v>
      </c>
      <c r="GZ43" s="37"/>
      <c r="HA43" s="37">
        <f>IFERROR(__xludf.DUMMYFUNCTION("""COMPUTED_VALUE"""),45341.64583333333)</f>
        <v>45341.64583</v>
      </c>
      <c r="HB43" s="45">
        <f>IFERROR(__xludf.DUMMYFUNCTION("""COMPUTED_VALUE"""),518.9)</f>
        <v>518.9</v>
      </c>
      <c r="HC43" s="46">
        <f t="shared" si="53"/>
        <v>-0.1465460526</v>
      </c>
      <c r="HD43" s="37"/>
      <c r="HE43" s="43">
        <f>IFERROR(__xludf.DUMMYFUNCTION("""COMPUTED_VALUE"""),45341.64583333333)</f>
        <v>45341.64583</v>
      </c>
      <c r="HF43" s="45">
        <f>IFERROR(__xludf.DUMMYFUNCTION("""COMPUTED_VALUE"""),2961.98)</f>
        <v>2961.98</v>
      </c>
      <c r="HG43" s="46" t="str">
        <f t="shared" si="54"/>
        <v>#DIV/0!</v>
      </c>
      <c r="HH43" s="37"/>
      <c r="HI43" s="37">
        <f>IFERROR(__xludf.DUMMYFUNCTION("""COMPUTED_VALUE"""),45341.64583333333)</f>
        <v>45341.64583</v>
      </c>
      <c r="HJ43" s="45">
        <f>IFERROR(__xludf.DUMMYFUNCTION("""COMPUTED_VALUE"""),7000.0)</f>
        <v>7000</v>
      </c>
      <c r="HK43" s="46">
        <f t="shared" si="55"/>
        <v>0.3698496101</v>
      </c>
      <c r="HL43" s="37"/>
      <c r="HM43" s="37">
        <f>IFERROR(__xludf.DUMMYFUNCTION("""COMPUTED_VALUE"""),45341.64583333333)</f>
        <v>45341.64583</v>
      </c>
      <c r="HN43" s="45">
        <f>IFERROR(__xludf.DUMMYFUNCTION("""COMPUTED_VALUE"""),345.8)</f>
        <v>345.8</v>
      </c>
      <c r="HO43" s="46">
        <f t="shared" si="56"/>
        <v>-0.1494281146</v>
      </c>
      <c r="HP43" s="37"/>
      <c r="HQ43" s="37">
        <f>IFERROR(__xludf.DUMMYFUNCTION("""COMPUTED_VALUE"""),45341.64583333333)</f>
        <v>45341.64583</v>
      </c>
      <c r="HR43" s="45">
        <f>IFERROR(__xludf.DUMMYFUNCTION("""COMPUTED_VALUE"""),259.05)</f>
        <v>259.05</v>
      </c>
      <c r="HS43" s="46">
        <f t="shared" si="57"/>
        <v>0.01867872591</v>
      </c>
      <c r="HT43" s="37"/>
      <c r="HU43" s="37">
        <f>IFERROR(__xludf.DUMMYFUNCTION("""COMPUTED_VALUE"""),45341.64583333333)</f>
        <v>45341.64583</v>
      </c>
      <c r="HV43" s="45">
        <f>IFERROR(__xludf.DUMMYFUNCTION("""COMPUTED_VALUE"""),59.95)</f>
        <v>59.95</v>
      </c>
      <c r="HW43" s="46">
        <f t="shared" si="58"/>
        <v>-0.03926282051</v>
      </c>
      <c r="HX43" s="37"/>
      <c r="HY43" s="37">
        <f>IFERROR(__xludf.DUMMYFUNCTION("""COMPUTED_VALUE"""),45341.64583333333)</f>
        <v>45341.64583</v>
      </c>
      <c r="HZ43" s="45">
        <f>IFERROR(__xludf.DUMMYFUNCTION("""COMPUTED_VALUE"""),358.9)</f>
        <v>358.9</v>
      </c>
      <c r="IA43" s="46">
        <f t="shared" si="59"/>
        <v>-0.228172043</v>
      </c>
      <c r="IB43" s="37"/>
      <c r="IC43" s="37">
        <f>IFERROR(__xludf.DUMMYFUNCTION("""COMPUTED_VALUE"""),45341.64583333333)</f>
        <v>45341.64583</v>
      </c>
      <c r="ID43" s="45">
        <f>IFERROR(__xludf.DUMMYFUNCTION("""COMPUTED_VALUE"""),80.15)</f>
        <v>80.15</v>
      </c>
      <c r="IE43" s="46">
        <f t="shared" si="60"/>
        <v>-0.8173219373</v>
      </c>
      <c r="IF43" s="37"/>
      <c r="IG43" s="37">
        <f>IFERROR(__xludf.DUMMYFUNCTION("""COMPUTED_VALUE"""),45341.64583333333)</f>
        <v>45341.64583</v>
      </c>
      <c r="IH43" s="45">
        <f>IFERROR(__xludf.DUMMYFUNCTION("""COMPUTED_VALUE"""),545.0)</f>
        <v>545</v>
      </c>
      <c r="II43" s="46">
        <f t="shared" si="61"/>
        <v>0.02251407129</v>
      </c>
      <c r="IJ43" s="37"/>
      <c r="IK43" s="37">
        <f>IFERROR(__xludf.DUMMYFUNCTION("""COMPUTED_VALUE"""),45341.64583333333)</f>
        <v>45341.64583</v>
      </c>
      <c r="IL43" s="45">
        <f>IFERROR(__xludf.DUMMYFUNCTION("""COMPUTED_VALUE"""),537.0)</f>
        <v>537</v>
      </c>
      <c r="IM43" s="46">
        <f t="shared" si="62"/>
        <v>-0.1309976535</v>
      </c>
      <c r="IN43" s="37"/>
      <c r="IO43" s="37">
        <f>IFERROR(__xludf.DUMMYFUNCTION("""COMPUTED_VALUE"""),45342.64583333333)</f>
        <v>45342.64583</v>
      </c>
      <c r="IP43" s="45">
        <f>IFERROR(__xludf.DUMMYFUNCTION("""COMPUTED_VALUE"""),255.85)</f>
        <v>255.85</v>
      </c>
      <c r="IQ43" s="46">
        <f t="shared" si="63"/>
        <v>1.035563688</v>
      </c>
      <c r="IR43" s="37"/>
      <c r="IS43" s="37">
        <f>IFERROR(__xludf.DUMMYFUNCTION("""COMPUTED_VALUE"""),45341.64583333333)</f>
        <v>45341.64583</v>
      </c>
      <c r="IT43" s="45">
        <f>IFERROR(__xludf.DUMMYFUNCTION("""COMPUTED_VALUE"""),960.4)</f>
        <v>960.4</v>
      </c>
      <c r="IU43" s="46">
        <f t="shared" si="64"/>
        <v>-0.04342629482</v>
      </c>
      <c r="IV43" s="37"/>
      <c r="IW43" s="37">
        <f>IFERROR(__xludf.DUMMYFUNCTION("""COMPUTED_VALUE"""),45341.64583333333)</f>
        <v>45341.64583</v>
      </c>
      <c r="IX43" s="45">
        <f>IFERROR(__xludf.DUMMYFUNCTION("""COMPUTED_VALUE"""),289.95)</f>
        <v>289.95</v>
      </c>
      <c r="IY43" s="46">
        <f t="shared" si="65"/>
        <v>0.4078659869</v>
      </c>
      <c r="IZ43" s="37"/>
      <c r="JA43" s="37">
        <f>IFERROR(__xludf.DUMMYFUNCTION("""COMPUTED_VALUE"""),45341.64583333333)</f>
        <v>45341.64583</v>
      </c>
      <c r="JB43" s="45">
        <f>IFERROR(__xludf.DUMMYFUNCTION("""COMPUTED_VALUE"""),31666.2)</f>
        <v>31666.2</v>
      </c>
      <c r="JC43" s="46">
        <f t="shared" si="66"/>
        <v>-0.1055415343</v>
      </c>
      <c r="JD43" s="37"/>
      <c r="JE43" s="37">
        <f>IFERROR(__xludf.DUMMYFUNCTION("""COMPUTED_VALUE"""),45341.64583333333)</f>
        <v>45341.64583</v>
      </c>
      <c r="JF43" s="45">
        <f>IFERROR(__xludf.DUMMYFUNCTION("""COMPUTED_VALUE"""),697.25)</f>
        <v>697.25</v>
      </c>
      <c r="JG43" s="46">
        <f t="shared" si="67"/>
        <v>0.08100775194</v>
      </c>
      <c r="JH43" s="37"/>
      <c r="JI43" s="37">
        <f>IFERROR(__xludf.DUMMYFUNCTION("""COMPUTED_VALUE"""),45341.64583333333)</f>
        <v>45341.64583</v>
      </c>
      <c r="JJ43" s="45">
        <f>IFERROR(__xludf.DUMMYFUNCTION("""COMPUTED_VALUE"""),312.0)</f>
        <v>312</v>
      </c>
      <c r="JK43" s="46">
        <f t="shared" si="68"/>
        <v>-0.06572840246</v>
      </c>
      <c r="JL43" s="37"/>
      <c r="JM43" s="37">
        <f>IFERROR(__xludf.DUMMYFUNCTION("""COMPUTED_VALUE"""),45341.64583333333)</f>
        <v>45341.64583</v>
      </c>
      <c r="JN43" s="45">
        <f>IFERROR(__xludf.DUMMYFUNCTION("""COMPUTED_VALUE"""),16.05)</f>
        <v>16.05</v>
      </c>
      <c r="JO43" s="46">
        <f t="shared" si="69"/>
        <v>-0.9634188034</v>
      </c>
      <c r="JP43" s="37"/>
      <c r="JQ43" s="37">
        <f>IFERROR(__xludf.DUMMYFUNCTION("""COMPUTED_VALUE"""),45341.64583333333)</f>
        <v>45341.64583</v>
      </c>
      <c r="JR43" s="45">
        <f>IFERROR(__xludf.DUMMYFUNCTION("""COMPUTED_VALUE"""),95.45)</f>
        <v>95.45</v>
      </c>
      <c r="JS43" s="46">
        <f t="shared" si="70"/>
        <v>-0.2981617647</v>
      </c>
      <c r="JT43" s="37"/>
      <c r="JU43" s="37">
        <f>IFERROR(__xludf.DUMMYFUNCTION("""COMPUTED_VALUE"""),45341.64583333333)</f>
        <v>45341.64583</v>
      </c>
      <c r="JV43" s="45">
        <f>IFERROR(__xludf.DUMMYFUNCTION("""COMPUTED_VALUE"""),247.6)</f>
        <v>247.6</v>
      </c>
      <c r="JW43" s="46">
        <f t="shared" si="71"/>
        <v>-0.4356695157</v>
      </c>
      <c r="JX43" s="37"/>
      <c r="JY43" s="37">
        <f>IFERROR(__xludf.DUMMYFUNCTION("""COMPUTED_VALUE"""),45341.64583333333)</f>
        <v>45341.64583</v>
      </c>
      <c r="JZ43" s="45">
        <f>IFERROR(__xludf.DUMMYFUNCTION("""COMPUTED_VALUE"""),595.75)</f>
        <v>595.75</v>
      </c>
      <c r="KA43" s="46">
        <f t="shared" si="72"/>
        <v>0.08121597096</v>
      </c>
      <c r="KB43" s="37"/>
      <c r="KC43" s="37">
        <f>IFERROR(__xludf.DUMMYFUNCTION("""COMPUTED_VALUE"""),45341.64583333333)</f>
        <v>45341.64583</v>
      </c>
      <c r="KD43" s="45">
        <f>IFERROR(__xludf.DUMMYFUNCTION("""COMPUTED_VALUE"""),890.0)</f>
        <v>890</v>
      </c>
      <c r="KE43" s="46">
        <f t="shared" si="73"/>
        <v>0.018831206</v>
      </c>
      <c r="KF43" s="37"/>
      <c r="KG43" s="37">
        <f>IFERROR(__xludf.DUMMYFUNCTION("""COMPUTED_VALUE"""),45341.64583333333)</f>
        <v>45341.64583</v>
      </c>
      <c r="KH43" s="45">
        <f>IFERROR(__xludf.DUMMYFUNCTION("""COMPUTED_VALUE"""),491.0)</f>
        <v>491</v>
      </c>
      <c r="KI43" s="46">
        <f t="shared" si="74"/>
        <v>0.258974359</v>
      </c>
      <c r="KJ43" s="37"/>
      <c r="KK43" s="37">
        <f>IFERROR(__xludf.DUMMYFUNCTION("""COMPUTED_VALUE"""),45341.64583333333)</f>
        <v>45341.64583</v>
      </c>
      <c r="KL43" s="45">
        <f>IFERROR(__xludf.DUMMYFUNCTION("""COMPUTED_VALUE"""),12.2)</f>
        <v>12.2</v>
      </c>
      <c r="KM43" s="46">
        <f t="shared" si="75"/>
        <v>0.311827957</v>
      </c>
      <c r="KN43" s="37"/>
      <c r="KO43" s="37">
        <f>IFERROR(__xludf.DUMMYFUNCTION("""COMPUTED_VALUE"""),45341.64583333333)</f>
        <v>45341.64583</v>
      </c>
      <c r="KP43" s="45">
        <f>IFERROR(__xludf.DUMMYFUNCTION("""COMPUTED_VALUE"""),249.7)</f>
        <v>249.7</v>
      </c>
      <c r="KQ43" s="46">
        <f t="shared" si="76"/>
        <v>0.2282341367</v>
      </c>
      <c r="KR43" s="37"/>
      <c r="KS43" s="37">
        <f>IFERROR(__xludf.DUMMYFUNCTION("""COMPUTED_VALUE"""),45341.64583333333)</f>
        <v>45341.64583</v>
      </c>
      <c r="KT43" s="45">
        <f>IFERROR(__xludf.DUMMYFUNCTION("""COMPUTED_VALUE"""),16.05)</f>
        <v>16.05</v>
      </c>
      <c r="KU43" s="46">
        <f t="shared" si="77"/>
        <v>0.4524886878</v>
      </c>
      <c r="KV43" s="37"/>
      <c r="KW43" s="37">
        <f>IFERROR(__xludf.DUMMYFUNCTION("""COMPUTED_VALUE"""),45341.64583333333)</f>
        <v>45341.64583</v>
      </c>
      <c r="KX43" s="45">
        <f>IFERROR(__xludf.DUMMYFUNCTION("""COMPUTED_VALUE"""),2324.75)</f>
        <v>2324.75</v>
      </c>
      <c r="KY43" s="46">
        <f t="shared" si="78"/>
        <v>-0.1292908107</v>
      </c>
      <c r="KZ43" s="37"/>
      <c r="LA43" s="37">
        <f>IFERROR(__xludf.DUMMYFUNCTION("""COMPUTED_VALUE"""),45341.64583333333)</f>
        <v>45341.64583</v>
      </c>
      <c r="LB43" s="45">
        <f>IFERROR(__xludf.DUMMYFUNCTION("""COMPUTED_VALUE"""),18.75)</f>
        <v>18.75</v>
      </c>
      <c r="LC43" s="46">
        <f t="shared" si="79"/>
        <v>-0.005305039788</v>
      </c>
      <c r="LD43" s="37"/>
      <c r="LE43" s="37">
        <f>IFERROR(__xludf.DUMMYFUNCTION("""COMPUTED_VALUE"""),45341.64583333333)</f>
        <v>45341.64583</v>
      </c>
      <c r="LF43" s="45">
        <f>IFERROR(__xludf.DUMMYFUNCTION("""COMPUTED_VALUE"""),127.45)</f>
        <v>127.45</v>
      </c>
      <c r="LG43" s="46">
        <f t="shared" si="80"/>
        <v>0.0196</v>
      </c>
      <c r="LH43" s="37"/>
      <c r="LI43" s="37">
        <f>IFERROR(__xludf.DUMMYFUNCTION("""COMPUTED_VALUE"""),45341.64583333333)</f>
        <v>45341.64583</v>
      </c>
      <c r="LJ43" s="45">
        <f>IFERROR(__xludf.DUMMYFUNCTION("""COMPUTED_VALUE"""),699.0)</f>
        <v>699</v>
      </c>
      <c r="LK43" s="46">
        <f t="shared" si="81"/>
        <v>-0.03983516484</v>
      </c>
      <c r="LL43" s="37"/>
      <c r="LM43" s="37">
        <f>IFERROR(__xludf.DUMMYFUNCTION("""COMPUTED_VALUE"""),45341.64583333333)</f>
        <v>45341.64583</v>
      </c>
      <c r="LN43" s="45">
        <f>IFERROR(__xludf.DUMMYFUNCTION("""COMPUTED_VALUE"""),865.0)</f>
        <v>865</v>
      </c>
      <c r="LO43" s="46">
        <f t="shared" si="82"/>
        <v>0.01169590643</v>
      </c>
      <c r="LP43" s="37"/>
      <c r="LQ43" s="37">
        <f>IFERROR(__xludf.DUMMYFUNCTION("""COMPUTED_VALUE"""),45341.64583333333)</f>
        <v>45341.64583</v>
      </c>
      <c r="LR43" s="45">
        <f>IFERROR(__xludf.DUMMYFUNCTION("""COMPUTED_VALUE"""),599.5)</f>
        <v>599.5</v>
      </c>
      <c r="LS43" s="46">
        <f t="shared" si="83"/>
        <v>0.6406677614</v>
      </c>
      <c r="LT43" s="37"/>
      <c r="LU43" s="37">
        <f>IFERROR(__xludf.DUMMYFUNCTION("""COMPUTED_VALUE"""),45341.64583333333)</f>
        <v>45341.64583</v>
      </c>
      <c r="LV43" s="45">
        <f>IFERROR(__xludf.DUMMYFUNCTION("""COMPUTED_VALUE"""),132.0)</f>
        <v>132</v>
      </c>
      <c r="LW43" s="46">
        <f t="shared" si="84"/>
        <v>-0.0350877193</v>
      </c>
      <c r="LX43" s="37"/>
      <c r="LY43" s="37">
        <f>IFERROR(__xludf.DUMMYFUNCTION("""COMPUTED_VALUE"""),45341.64583333333)</f>
        <v>45341.64583</v>
      </c>
      <c r="LZ43" s="45">
        <f>IFERROR(__xludf.DUMMYFUNCTION("""COMPUTED_VALUE"""),656.0)</f>
        <v>656</v>
      </c>
      <c r="MA43" s="46">
        <f t="shared" si="85"/>
        <v>0.05806451613</v>
      </c>
      <c r="MB43" s="37"/>
      <c r="MC43" s="37"/>
      <c r="MD43" s="45"/>
      <c r="ME43" s="46" t="str">
        <f t="shared" si="86"/>
        <v>#DIV/0!</v>
      </c>
      <c r="MF43" s="37"/>
      <c r="MG43" s="37">
        <f>IFERROR(__xludf.DUMMYFUNCTION("""COMPUTED_VALUE"""),45341.64583333333)</f>
        <v>45341.64583</v>
      </c>
      <c r="MH43" s="45">
        <f>IFERROR(__xludf.DUMMYFUNCTION("""COMPUTED_VALUE"""),2026.6)</f>
        <v>2026.6</v>
      </c>
      <c r="MI43" s="46">
        <f t="shared" si="87"/>
        <v>0.03347867105</v>
      </c>
      <c r="MJ43" s="37"/>
      <c r="MK43" s="37">
        <f>IFERROR(__xludf.DUMMYFUNCTION("""COMPUTED_VALUE"""),45341.64583333333)</f>
        <v>45341.64583</v>
      </c>
      <c r="ML43" s="45">
        <f>IFERROR(__xludf.DUMMYFUNCTION("""COMPUTED_VALUE"""),335.0)</f>
        <v>335</v>
      </c>
      <c r="MM43" s="46">
        <f t="shared" si="88"/>
        <v>-0.1623952994</v>
      </c>
      <c r="MN43" s="37"/>
      <c r="MO43" s="37">
        <f>IFERROR(__xludf.DUMMYFUNCTION("""COMPUTED_VALUE"""),45341.64583333333)</f>
        <v>45341.64583</v>
      </c>
      <c r="MP43" s="45">
        <f>IFERROR(__xludf.DUMMYFUNCTION("""COMPUTED_VALUE"""),890.0)</f>
        <v>890</v>
      </c>
      <c r="MQ43" s="46">
        <f t="shared" si="89"/>
        <v>0.2027027027</v>
      </c>
      <c r="MR43" s="37"/>
      <c r="MS43" s="37">
        <f>IFERROR(__xludf.DUMMYFUNCTION("""COMPUTED_VALUE"""),45341.64583333333)</f>
        <v>45341.64583</v>
      </c>
      <c r="MT43" s="45">
        <f>IFERROR(__xludf.DUMMYFUNCTION("""COMPUTED_VALUE"""),71.95)</f>
        <v>71.95</v>
      </c>
      <c r="MU43" s="46">
        <f t="shared" si="90"/>
        <v>0.08767951625</v>
      </c>
      <c r="MV43" s="37"/>
      <c r="MW43" s="37">
        <f>IFERROR(__xludf.DUMMYFUNCTION("""COMPUTED_VALUE"""),45341.64583333333)</f>
        <v>45341.64583</v>
      </c>
      <c r="MX43" s="45">
        <f>IFERROR(__xludf.DUMMYFUNCTION("""COMPUTED_VALUE"""),3232.9)</f>
        <v>3232.9</v>
      </c>
      <c r="MY43" s="46">
        <f t="shared" si="91"/>
        <v>0.02729583731</v>
      </c>
      <c r="MZ43" s="37"/>
      <c r="NA43" s="37">
        <f>IFERROR(__xludf.DUMMYFUNCTION("""COMPUTED_VALUE"""),45341.64583333333)</f>
        <v>45341.64583</v>
      </c>
      <c r="NB43" s="45">
        <f>IFERROR(__xludf.DUMMYFUNCTION("""COMPUTED_VALUE"""),13.65)</f>
        <v>13.65</v>
      </c>
      <c r="NC43" s="46">
        <f t="shared" si="92"/>
        <v>0.0790513834</v>
      </c>
      <c r="ND43" s="37"/>
      <c r="NE43" s="37">
        <f>IFERROR(__xludf.DUMMYFUNCTION("""COMPUTED_VALUE"""),45342.64583333333)</f>
        <v>45342.64583</v>
      </c>
      <c r="NF43" s="45">
        <f>IFERROR(__xludf.DUMMYFUNCTION("""COMPUTED_VALUE"""),372.5)</f>
        <v>372.5</v>
      </c>
      <c r="NG43" s="46">
        <f t="shared" si="93"/>
        <v>-0.02728815772</v>
      </c>
      <c r="NH43" s="37"/>
      <c r="NI43" s="37">
        <f>IFERROR(__xludf.DUMMYFUNCTION("""COMPUTED_VALUE"""),45342.64583333333)</f>
        <v>45342.64583</v>
      </c>
      <c r="NJ43" s="45">
        <f>IFERROR(__xludf.DUMMYFUNCTION("""COMPUTED_VALUE"""),378.33)</f>
        <v>378.33</v>
      </c>
      <c r="NK43" s="46">
        <f t="shared" si="94"/>
        <v>0.418719766</v>
      </c>
      <c r="NL43" s="37"/>
      <c r="NM43" s="37">
        <f>IFERROR(__xludf.DUMMYFUNCTION("""COMPUTED_VALUE"""),45342.64583333333)</f>
        <v>45342.64583</v>
      </c>
      <c r="NN43" s="45">
        <f>IFERROR(__xludf.DUMMYFUNCTION("""COMPUTED_VALUE"""),131.4)</f>
        <v>131.4</v>
      </c>
      <c r="NO43" s="46">
        <f t="shared" si="95"/>
        <v>0.06569343066</v>
      </c>
      <c r="NP43" s="37"/>
      <c r="NQ43" s="37">
        <f>IFERROR(__xludf.DUMMYFUNCTION("""COMPUTED_VALUE"""),45342.64583333333)</f>
        <v>45342.64583</v>
      </c>
      <c r="NR43" s="45">
        <f>IFERROR(__xludf.DUMMYFUNCTION("""COMPUTED_VALUE"""),4882.0)</f>
        <v>4882</v>
      </c>
      <c r="NS43" s="46">
        <f t="shared" si="96"/>
        <v>0.1690613027</v>
      </c>
      <c r="NT43" s="37"/>
      <c r="NU43" s="37">
        <f>IFERROR(__xludf.DUMMYFUNCTION("""COMPUTED_VALUE"""),45342.64583333333)</f>
        <v>45342.64583</v>
      </c>
      <c r="NV43" s="45">
        <f>IFERROR(__xludf.DUMMYFUNCTION("""COMPUTED_VALUE"""),16.3)</f>
        <v>16.3</v>
      </c>
      <c r="NW43" s="46">
        <f t="shared" si="97"/>
        <v>0.2834645669</v>
      </c>
      <c r="NX43" s="37"/>
      <c r="NY43" s="37">
        <f>IFERROR(__xludf.DUMMYFUNCTION("""COMPUTED_VALUE"""),45342.64583333333)</f>
        <v>45342.64583</v>
      </c>
      <c r="NZ43" s="45">
        <f>IFERROR(__xludf.DUMMYFUNCTION("""COMPUTED_VALUE"""),245.65)</f>
        <v>245.65</v>
      </c>
      <c r="OA43" s="46">
        <f t="shared" si="98"/>
        <v>-0.004659643436</v>
      </c>
      <c r="OB43" s="37"/>
      <c r="OC43" s="37">
        <f>IFERROR(__xludf.DUMMYFUNCTION("""COMPUTED_VALUE"""),45342.64583333333)</f>
        <v>45342.64583</v>
      </c>
      <c r="OD43" s="45">
        <f>IFERROR(__xludf.DUMMYFUNCTION("""COMPUTED_VALUE"""),1159.0)</f>
        <v>1159</v>
      </c>
      <c r="OE43" s="46">
        <f t="shared" si="99"/>
        <v>0.09967265999</v>
      </c>
      <c r="OF43" s="37"/>
      <c r="OG43" s="37">
        <f>IFERROR(__xludf.DUMMYFUNCTION("""COMPUTED_VALUE"""),45342.64583333333)</f>
        <v>45342.64583</v>
      </c>
      <c r="OH43" s="45">
        <f>IFERROR(__xludf.DUMMYFUNCTION("""COMPUTED_VALUE"""),2955.18)</f>
        <v>2955.18</v>
      </c>
      <c r="OI43" s="46">
        <f t="shared" si="100"/>
        <v>0.2112386261</v>
      </c>
      <c r="OJ43" s="37"/>
      <c r="OK43" s="37"/>
      <c r="OL43" s="45"/>
      <c r="OM43" s="46" t="str">
        <f t="shared" si="101"/>
        <v>#DIV/0!</v>
      </c>
      <c r="ON43" s="37"/>
    </row>
    <row r="44" ht="12.0" customHeight="1">
      <c r="A44" s="37">
        <f>IFERROR(__xludf.DUMMYFUNCTION("""COMPUTED_VALUE"""),45341.64583333333)</f>
        <v>45341.64583</v>
      </c>
      <c r="B44" s="45">
        <f>IFERROR(__xludf.DUMMYFUNCTION("""COMPUTED_VALUE"""),411.6)</f>
        <v>411.6</v>
      </c>
      <c r="C44" s="46">
        <f t="shared" si="1"/>
        <v>-0.06188034188</v>
      </c>
      <c r="D44" s="37"/>
      <c r="E44" s="37">
        <f>IFERROR(__xludf.DUMMYFUNCTION("""COMPUTED_VALUE"""),45341.64583333333)</f>
        <v>45341.64583</v>
      </c>
      <c r="F44" s="45">
        <f>IFERROR(__xludf.DUMMYFUNCTION("""COMPUTED_VALUE"""),685.0)</f>
        <v>685</v>
      </c>
      <c r="G44" s="46">
        <f t="shared" si="2"/>
        <v>0.04580152672</v>
      </c>
      <c r="H44" s="37"/>
      <c r="I44" s="37">
        <f>IFERROR(__xludf.DUMMYFUNCTION("""COMPUTED_VALUE"""),45341.64583333333)</f>
        <v>45341.64583</v>
      </c>
      <c r="J44" s="45">
        <f>IFERROR(__xludf.DUMMYFUNCTION("""COMPUTED_VALUE"""),192.5)</f>
        <v>192.5</v>
      </c>
      <c r="K44" s="46">
        <f t="shared" si="3"/>
        <v>0.04619565217</v>
      </c>
      <c r="L44" s="37"/>
      <c r="M44" s="37">
        <f>IFERROR(__xludf.DUMMYFUNCTION("""COMPUTED_VALUE"""),45341.64583333333)</f>
        <v>45341.64583</v>
      </c>
      <c r="N44" s="45">
        <f>IFERROR(__xludf.DUMMYFUNCTION("""COMPUTED_VALUE"""),110.7)</f>
        <v>110.7</v>
      </c>
      <c r="O44" s="46">
        <f t="shared" si="4"/>
        <v>0.28125</v>
      </c>
      <c r="P44" s="37"/>
      <c r="Q44" s="37">
        <f>IFERROR(__xludf.DUMMYFUNCTION("""COMPUTED_VALUE"""),45341.64583333333)</f>
        <v>45341.64583</v>
      </c>
      <c r="R44" s="45">
        <f>IFERROR(__xludf.DUMMYFUNCTION("""COMPUTED_VALUE"""),54.8)</f>
        <v>54.8</v>
      </c>
      <c r="S44" s="46">
        <f t="shared" si="5"/>
        <v>0.04380952381</v>
      </c>
      <c r="T44" s="37"/>
      <c r="U44" s="37">
        <f>IFERROR(__xludf.DUMMYFUNCTION("""COMPUTED_VALUE"""),45341.64583333333)</f>
        <v>45341.64583</v>
      </c>
      <c r="V44" s="45">
        <f>IFERROR(__xludf.DUMMYFUNCTION("""COMPUTED_VALUE"""),647.0)</f>
        <v>647</v>
      </c>
      <c r="W44" s="46">
        <f t="shared" si="6"/>
        <v>-0.02324879227</v>
      </c>
      <c r="X44" s="37"/>
      <c r="Y44" s="37">
        <f>IFERROR(__xludf.DUMMYFUNCTION("""COMPUTED_VALUE"""),45341.64583333333)</f>
        <v>45341.64583</v>
      </c>
      <c r="Z44" s="45">
        <f>IFERROR(__xludf.DUMMYFUNCTION("""COMPUTED_VALUE"""),213.8)</f>
        <v>213.8</v>
      </c>
      <c r="AA44" s="46">
        <f t="shared" si="7"/>
        <v>0.1556756757</v>
      </c>
      <c r="AB44" s="37"/>
      <c r="AC44" s="37">
        <f>IFERROR(__xludf.DUMMYFUNCTION("""COMPUTED_VALUE"""),45341.64583333333)</f>
        <v>45341.64583</v>
      </c>
      <c r="AD44" s="45">
        <f>IFERROR(__xludf.DUMMYFUNCTION("""COMPUTED_VALUE"""),2961.98)</f>
        <v>2961.98</v>
      </c>
      <c r="AE44" s="46">
        <f t="shared" si="8"/>
        <v>0.2474120868</v>
      </c>
      <c r="AF44" s="37"/>
      <c r="AG44" s="37">
        <f>IFERROR(__xludf.DUMMYFUNCTION("""COMPUTED_VALUE"""),45341.64583333333)</f>
        <v>45341.64583</v>
      </c>
      <c r="AH44" s="45">
        <f>IFERROR(__xludf.DUMMYFUNCTION("""COMPUTED_VALUE"""),700.0)</f>
        <v>700</v>
      </c>
      <c r="AI44" s="46">
        <f t="shared" si="9"/>
        <v>-0.1666666667</v>
      </c>
      <c r="AJ44" s="37"/>
      <c r="AK44" s="37">
        <f>IFERROR(__xludf.DUMMYFUNCTION("""COMPUTED_VALUE"""),45341.64583333333)</f>
        <v>45341.64583</v>
      </c>
      <c r="AL44" s="45">
        <f>IFERROR(__xludf.DUMMYFUNCTION("""COMPUTED_VALUE"""),7000.0)</f>
        <v>7000</v>
      </c>
      <c r="AM44" s="46">
        <f t="shared" si="10"/>
        <v>0.3461538462</v>
      </c>
      <c r="AN44" s="37"/>
      <c r="AO44" s="37">
        <f>IFERROR(__xludf.DUMMYFUNCTION("""COMPUTED_VALUE"""),45341.64583333333)</f>
        <v>45341.64583</v>
      </c>
      <c r="AP44" s="45">
        <f>IFERROR(__xludf.DUMMYFUNCTION("""COMPUTED_VALUE"""),914.2)</f>
        <v>914.2</v>
      </c>
      <c r="AQ44" s="46">
        <f t="shared" si="11"/>
        <v>0.004615384615</v>
      </c>
      <c r="AR44" s="37"/>
      <c r="AS44" s="37">
        <f>IFERROR(__xludf.DUMMYFUNCTION("""COMPUTED_VALUE"""),45341.64583333333)</f>
        <v>45341.64583</v>
      </c>
      <c r="AT44" s="45">
        <f>IFERROR(__xludf.DUMMYFUNCTION("""COMPUTED_VALUE"""),2314.85)</f>
        <v>2314.85</v>
      </c>
      <c r="AU44" s="46">
        <f t="shared" si="12"/>
        <v>-0.06805829542</v>
      </c>
      <c r="AV44" s="37"/>
      <c r="AW44" s="37">
        <f>IFERROR(__xludf.DUMMYFUNCTION("""COMPUTED_VALUE"""),45341.64583333333)</f>
        <v>45341.64583</v>
      </c>
      <c r="AX44" s="45">
        <f>IFERROR(__xludf.DUMMYFUNCTION("""COMPUTED_VALUE"""),5550.0)</f>
        <v>5550</v>
      </c>
      <c r="AY44" s="46">
        <f t="shared" si="13"/>
        <v>-0.01675938065</v>
      </c>
      <c r="AZ44" s="37"/>
      <c r="BA44" s="37">
        <f>IFERROR(__xludf.DUMMYFUNCTION("""COMPUTED_VALUE"""),45341.64583333333)</f>
        <v>45341.64583</v>
      </c>
      <c r="BB44" s="45">
        <f>IFERROR(__xludf.DUMMYFUNCTION("""COMPUTED_VALUE"""),545.9)</f>
        <v>545.9</v>
      </c>
      <c r="BC44" s="46">
        <f t="shared" si="14"/>
        <v>0.165208111</v>
      </c>
      <c r="BD44" s="37"/>
      <c r="BE44" s="37">
        <f>IFERROR(__xludf.DUMMYFUNCTION("""COMPUTED_VALUE"""),45341.64583333333)</f>
        <v>45341.64583</v>
      </c>
      <c r="BF44" s="45">
        <f>IFERROR(__xludf.DUMMYFUNCTION("""COMPUTED_VALUE"""),307.5)</f>
        <v>307.5</v>
      </c>
      <c r="BG44" s="46">
        <f t="shared" si="15"/>
        <v>-0.2444717445</v>
      </c>
      <c r="BH44" s="37"/>
      <c r="BI44" s="37">
        <f>IFERROR(__xludf.DUMMYFUNCTION("""COMPUTED_VALUE"""),45341.64583333333)</f>
        <v>45341.64583</v>
      </c>
      <c r="BJ44" s="45">
        <f>IFERROR(__xludf.DUMMYFUNCTION("""COMPUTED_VALUE"""),72.85)</f>
        <v>72.85</v>
      </c>
      <c r="BK44" s="46">
        <f t="shared" si="16"/>
        <v>0.04895608351</v>
      </c>
      <c r="BL44" s="37"/>
      <c r="BM44" s="37">
        <f>IFERROR(__xludf.DUMMYFUNCTION("""COMPUTED_VALUE"""),45341.64583333333)</f>
        <v>45341.64583</v>
      </c>
      <c r="BN44" s="45">
        <f>IFERROR(__xludf.DUMMYFUNCTION("""COMPUTED_VALUE"""),259.05)</f>
        <v>259.05</v>
      </c>
      <c r="BO44" s="46">
        <f t="shared" si="17"/>
        <v>0.0119140625</v>
      </c>
      <c r="BP44" s="37"/>
      <c r="BQ44" s="37">
        <f>IFERROR(__xludf.DUMMYFUNCTION("""COMPUTED_VALUE"""),45341.64583333333)</f>
        <v>45341.64583</v>
      </c>
      <c r="BR44" s="45">
        <f>IFERROR(__xludf.DUMMYFUNCTION("""COMPUTED_VALUE"""),59.95)</f>
        <v>59.95</v>
      </c>
      <c r="BS44" s="46">
        <f t="shared" si="18"/>
        <v>-0.01559934319</v>
      </c>
      <c r="BT44" s="37"/>
      <c r="BU44" s="37">
        <f>IFERROR(__xludf.DUMMYFUNCTION("""COMPUTED_VALUE"""),45341.64583333333)</f>
        <v>45341.64583</v>
      </c>
      <c r="BV44" s="45">
        <f>IFERROR(__xludf.DUMMYFUNCTION("""COMPUTED_VALUE"""),329.0)</f>
        <v>329</v>
      </c>
      <c r="BW44" s="46">
        <f t="shared" si="19"/>
        <v>0.06334841629</v>
      </c>
      <c r="BX44" s="37"/>
      <c r="BY44" s="37">
        <f>IFERROR(__xludf.DUMMYFUNCTION("""COMPUTED_VALUE"""),45341.64583333333)</f>
        <v>45341.64583</v>
      </c>
      <c r="BZ44" s="45">
        <f>IFERROR(__xludf.DUMMYFUNCTION("""COMPUTED_VALUE"""),358.9)</f>
        <v>358.9</v>
      </c>
      <c r="CA44" s="46">
        <f t="shared" si="20"/>
        <v>-0.1235653236</v>
      </c>
      <c r="CB44" s="37"/>
      <c r="CC44" s="37">
        <f>IFERROR(__xludf.DUMMYFUNCTION("""COMPUTED_VALUE"""),45341.64583333333)</f>
        <v>45341.64583</v>
      </c>
      <c r="CD44" s="45">
        <f>IFERROR(__xludf.DUMMYFUNCTION("""COMPUTED_VALUE"""),259.8)</f>
        <v>259.8</v>
      </c>
      <c r="CE44" s="46">
        <f t="shared" si="21"/>
        <v>0.121277514</v>
      </c>
      <c r="CF44" s="37"/>
      <c r="CG44" s="37">
        <f>IFERROR(__xludf.DUMMYFUNCTION("""COMPUTED_VALUE"""),45341.64583333333)</f>
        <v>45341.64583</v>
      </c>
      <c r="CH44" s="45">
        <f>IFERROR(__xludf.DUMMYFUNCTION("""COMPUTED_VALUE"""),697.25)</f>
        <v>697.25</v>
      </c>
      <c r="CI44" s="46">
        <f t="shared" si="22"/>
        <v>0.09630503145</v>
      </c>
      <c r="CJ44" s="37"/>
      <c r="CK44" s="37">
        <f>IFERROR(__xludf.DUMMYFUNCTION("""COMPUTED_VALUE"""),45341.64583333333)</f>
        <v>45341.64583</v>
      </c>
      <c r="CL44" s="45">
        <f>IFERROR(__xludf.DUMMYFUNCTION("""COMPUTED_VALUE"""),312.0)</f>
        <v>312</v>
      </c>
      <c r="CM44" s="46">
        <f t="shared" si="23"/>
        <v>-0.07418397626</v>
      </c>
      <c r="CN44" s="37"/>
      <c r="CO44" s="37">
        <f>IFERROR(__xludf.DUMMYFUNCTION("""COMPUTED_VALUE"""),45341.64583333333)</f>
        <v>45341.64583</v>
      </c>
      <c r="CP44" s="45">
        <f>IFERROR(__xludf.DUMMYFUNCTION("""COMPUTED_VALUE"""),16.05)</f>
        <v>16.05</v>
      </c>
      <c r="CQ44" s="46">
        <f t="shared" si="24"/>
        <v>0.08445945946</v>
      </c>
      <c r="CR44" s="37"/>
      <c r="CS44" s="37">
        <f>IFERROR(__xludf.DUMMYFUNCTION("""COMPUTED_VALUE"""),45341.64583333333)</f>
        <v>45341.64583</v>
      </c>
      <c r="CT44" s="45">
        <f>IFERROR(__xludf.DUMMYFUNCTION("""COMPUTED_VALUE"""),215.1)</f>
        <v>215.1</v>
      </c>
      <c r="CU44" s="46">
        <f t="shared" si="25"/>
        <v>0.08636363636</v>
      </c>
      <c r="CV44" s="37"/>
      <c r="CW44" s="37">
        <f>IFERROR(__xludf.DUMMYFUNCTION("""COMPUTED_VALUE"""),45341.64583333333)</f>
        <v>45341.64583</v>
      </c>
      <c r="CX44" s="45">
        <f>IFERROR(__xludf.DUMMYFUNCTION("""COMPUTED_VALUE"""),869.25)</f>
        <v>869.25</v>
      </c>
      <c r="CY44" s="46">
        <f t="shared" si="26"/>
        <v>0.2565410969</v>
      </c>
      <c r="CZ44" s="37"/>
      <c r="DA44" s="37">
        <f>IFERROR(__xludf.DUMMYFUNCTION("""COMPUTED_VALUE"""),45341.64583333333)</f>
        <v>45341.64583</v>
      </c>
      <c r="DB44" s="45">
        <f>IFERROR(__xludf.DUMMYFUNCTION("""COMPUTED_VALUE"""),34.3)</f>
        <v>34.3</v>
      </c>
      <c r="DC44" s="46">
        <f t="shared" si="27"/>
        <v>0.229390681</v>
      </c>
      <c r="DD44" s="37"/>
      <c r="DE44" s="37">
        <f>IFERROR(__xludf.DUMMYFUNCTION("""COMPUTED_VALUE"""),45341.64583333333)</f>
        <v>45341.64583</v>
      </c>
      <c r="DF44" s="45">
        <f>IFERROR(__xludf.DUMMYFUNCTION("""COMPUTED_VALUE"""),95.45)</f>
        <v>95.45</v>
      </c>
      <c r="DG44" s="46">
        <f t="shared" si="28"/>
        <v>-0.1575463372</v>
      </c>
      <c r="DH44" s="37"/>
      <c r="DI44" s="37">
        <f>IFERROR(__xludf.DUMMYFUNCTION("""COMPUTED_VALUE"""),45341.64583333333)</f>
        <v>45341.64583</v>
      </c>
      <c r="DJ44" s="45">
        <f>IFERROR(__xludf.DUMMYFUNCTION("""COMPUTED_VALUE"""),1830.3)</f>
        <v>1830.3</v>
      </c>
      <c r="DK44" s="46">
        <f t="shared" si="29"/>
        <v>0.1405159521</v>
      </c>
      <c r="DL44" s="37"/>
      <c r="DM44" s="37">
        <f>IFERROR(__xludf.DUMMYFUNCTION("""COMPUTED_VALUE"""),45341.64583333333)</f>
        <v>45341.64583</v>
      </c>
      <c r="DN44" s="45">
        <f>IFERROR(__xludf.DUMMYFUNCTION("""COMPUTED_VALUE"""),626.0)</f>
        <v>626</v>
      </c>
      <c r="DO44" s="46">
        <f t="shared" si="30"/>
        <v>0.1675836986</v>
      </c>
      <c r="DP44" s="37"/>
      <c r="DQ44" s="37">
        <f>IFERROR(__xludf.DUMMYFUNCTION("""COMPUTED_VALUE"""),45341.64583333333)</f>
        <v>45341.64583</v>
      </c>
      <c r="DR44" s="45">
        <f>IFERROR(__xludf.DUMMYFUNCTION("""COMPUTED_VALUE"""),254.0)</f>
        <v>254</v>
      </c>
      <c r="DS44" s="46">
        <f t="shared" si="31"/>
        <v>0.1651376147</v>
      </c>
      <c r="DT44" s="37"/>
      <c r="DU44" s="37">
        <f>IFERROR(__xludf.DUMMYFUNCTION("""COMPUTED_VALUE"""),45341.64583333333)</f>
        <v>45341.64583</v>
      </c>
      <c r="DV44" s="45">
        <f>IFERROR(__xludf.DUMMYFUNCTION("""COMPUTED_VALUE"""),890.0)</f>
        <v>890</v>
      </c>
      <c r="DW44" s="46">
        <f t="shared" si="32"/>
        <v>0.04644326867</v>
      </c>
      <c r="DX44" s="37"/>
      <c r="DY44" s="37">
        <f>IFERROR(__xludf.DUMMYFUNCTION("""COMPUTED_VALUE"""),45341.64583333333)</f>
        <v>45341.64583</v>
      </c>
      <c r="DZ44" s="45">
        <f>IFERROR(__xludf.DUMMYFUNCTION("""COMPUTED_VALUE"""),16.05)</f>
        <v>16.05</v>
      </c>
      <c r="EA44" s="46">
        <f t="shared" si="33"/>
        <v>0.4792626728</v>
      </c>
      <c r="EB44" s="37"/>
      <c r="EC44" s="37">
        <f>IFERROR(__xludf.DUMMYFUNCTION("""COMPUTED_VALUE"""),45341.64583333333)</f>
        <v>45341.64583</v>
      </c>
      <c r="ED44" s="45">
        <f>IFERROR(__xludf.DUMMYFUNCTION("""COMPUTED_VALUE"""),2324.75)</f>
        <v>2324.75</v>
      </c>
      <c r="EE44" s="46">
        <f t="shared" si="34"/>
        <v>-0.1210775047</v>
      </c>
      <c r="EF44" s="37"/>
      <c r="EG44" s="37">
        <f>IFERROR(__xludf.DUMMYFUNCTION("""COMPUTED_VALUE"""),45341.64583333333)</f>
        <v>45341.64583</v>
      </c>
      <c r="EH44" s="45">
        <f>IFERROR(__xludf.DUMMYFUNCTION("""COMPUTED_VALUE"""),975.9)</f>
        <v>975.9</v>
      </c>
      <c r="EI44" s="46">
        <f t="shared" si="35"/>
        <v>0.5046253469</v>
      </c>
      <c r="EJ44" s="37"/>
      <c r="EK44" s="37">
        <f>IFERROR(__xludf.DUMMYFUNCTION("""COMPUTED_VALUE"""),45341.64583333333)</f>
        <v>45341.64583</v>
      </c>
      <c r="EL44" s="45">
        <f>IFERROR(__xludf.DUMMYFUNCTION("""COMPUTED_VALUE"""),175.25)</f>
        <v>175.25</v>
      </c>
      <c r="EM44" s="46">
        <f t="shared" si="36"/>
        <v>-0.1324257426</v>
      </c>
      <c r="EN44" s="37"/>
      <c r="EO44" s="37">
        <f>IFERROR(__xludf.DUMMYFUNCTION("""COMPUTED_VALUE"""),45341.64583333333)</f>
        <v>45341.64583</v>
      </c>
      <c r="EP44" s="45">
        <f>IFERROR(__xludf.DUMMYFUNCTION("""COMPUTED_VALUE"""),187.85)</f>
        <v>187.85</v>
      </c>
      <c r="EQ44" s="46">
        <f t="shared" si="37"/>
        <v>0.212326557</v>
      </c>
      <c r="ER44" s="37"/>
      <c r="ES44" s="37">
        <f>IFERROR(__xludf.DUMMYFUNCTION("""COMPUTED_VALUE"""),45341.64583333333)</f>
        <v>45341.64583</v>
      </c>
      <c r="ET44" s="45">
        <f>IFERROR(__xludf.DUMMYFUNCTION("""COMPUTED_VALUE"""),173.5)</f>
        <v>173.5</v>
      </c>
      <c r="EU44" s="46">
        <f t="shared" si="38"/>
        <v>-0.1072806792</v>
      </c>
      <c r="EV44" s="37"/>
      <c r="EW44" s="37">
        <f>IFERROR(__xludf.DUMMYFUNCTION("""COMPUTED_VALUE"""),45341.64583333333)</f>
        <v>45341.64583</v>
      </c>
      <c r="EX44" s="45">
        <f>IFERROR(__xludf.DUMMYFUNCTION("""COMPUTED_VALUE"""),837.85)</f>
        <v>837.85</v>
      </c>
      <c r="EY44" s="46">
        <f t="shared" si="39"/>
        <v>0.2929783951</v>
      </c>
      <c r="EZ44" s="37"/>
      <c r="FA44" s="37">
        <f>IFERROR(__xludf.DUMMYFUNCTION("""COMPUTED_VALUE"""),45341.64583333333)</f>
        <v>45341.64583</v>
      </c>
      <c r="FB44" s="45">
        <f>IFERROR(__xludf.DUMMYFUNCTION("""COMPUTED_VALUE"""),235.1)</f>
        <v>235.1</v>
      </c>
      <c r="FC44" s="46">
        <f t="shared" si="40"/>
        <v>0.3480504587</v>
      </c>
      <c r="FD44" s="37"/>
      <c r="FE44" s="37">
        <f>IFERROR(__xludf.DUMMYFUNCTION("""COMPUTED_VALUE"""),45341.64583333333)</f>
        <v>45341.64583</v>
      </c>
      <c r="FF44" s="45">
        <f>IFERROR(__xludf.DUMMYFUNCTION("""COMPUTED_VALUE"""),384.95)</f>
        <v>384.95</v>
      </c>
      <c r="FG44" s="46">
        <f t="shared" si="41"/>
        <v>0.2629593176</v>
      </c>
      <c r="FH44" s="37"/>
      <c r="FI44" s="37">
        <f>IFERROR(__xludf.DUMMYFUNCTION("""COMPUTED_VALUE"""),45341.64583333333)</f>
        <v>45341.64583</v>
      </c>
      <c r="FJ44" s="45">
        <f>IFERROR(__xludf.DUMMYFUNCTION("""COMPUTED_VALUE"""),656.0)</f>
        <v>656</v>
      </c>
      <c r="FK44" s="46">
        <f t="shared" si="42"/>
        <v>0.08241894233</v>
      </c>
      <c r="FL44" s="37"/>
      <c r="FM44" s="37">
        <f>IFERROR(__xludf.DUMMYFUNCTION("""COMPUTED_VALUE"""),45341.64583333333)</f>
        <v>45341.64583</v>
      </c>
      <c r="FN44" s="45">
        <f>IFERROR(__xludf.DUMMYFUNCTION("""COMPUTED_VALUE"""),111.5)</f>
        <v>111.5</v>
      </c>
      <c r="FO44" s="46">
        <f t="shared" si="43"/>
        <v>0.1736842105</v>
      </c>
      <c r="FP44" s="37"/>
      <c r="FQ44" s="37">
        <f>IFERROR(__xludf.DUMMYFUNCTION("""COMPUTED_VALUE"""),45341.64583333333)</f>
        <v>45341.64583</v>
      </c>
      <c r="FR44" s="45">
        <f>IFERROR(__xludf.DUMMYFUNCTION("""COMPUTED_VALUE"""),3.7)</f>
        <v>3.7</v>
      </c>
      <c r="FS44" s="46">
        <f t="shared" si="44"/>
        <v>-0.3272727273</v>
      </c>
      <c r="FT44" s="37"/>
      <c r="FU44" s="37">
        <f>IFERROR(__xludf.DUMMYFUNCTION("""COMPUTED_VALUE"""),45341.64583333333)</f>
        <v>45341.64583</v>
      </c>
      <c r="FV44" s="45">
        <f>IFERROR(__xludf.DUMMYFUNCTION("""COMPUTED_VALUE"""),920.65)</f>
        <v>920.65</v>
      </c>
      <c r="FW44" s="46">
        <f t="shared" si="45"/>
        <v>0.3791476294</v>
      </c>
      <c r="FX44" s="37"/>
      <c r="FY44" s="37">
        <f>IFERROR(__xludf.DUMMYFUNCTION("""COMPUTED_VALUE"""),45341.64583333333)</f>
        <v>45341.64583</v>
      </c>
      <c r="FZ44" s="45">
        <f>IFERROR(__xludf.DUMMYFUNCTION("""COMPUTED_VALUE"""),136.7)</f>
        <v>136.7</v>
      </c>
      <c r="GA44" s="46">
        <f t="shared" si="46"/>
        <v>-0.1949352179</v>
      </c>
      <c r="GB44" s="37"/>
      <c r="GC44" s="37">
        <f>IFERROR(__xludf.DUMMYFUNCTION("""COMPUTED_VALUE"""),45341.64583333333)</f>
        <v>45341.64583</v>
      </c>
      <c r="GD44" s="45">
        <f>IFERROR(__xludf.DUMMYFUNCTION("""COMPUTED_VALUE"""),360.0)</f>
        <v>360</v>
      </c>
      <c r="GE44" s="46">
        <f t="shared" si="47"/>
        <v>-0.2206105218</v>
      </c>
      <c r="GF44" s="37"/>
      <c r="GG44" s="37">
        <f>IFERROR(__xludf.DUMMYFUNCTION("""COMPUTED_VALUE"""),45341.64583333333)</f>
        <v>45341.64583</v>
      </c>
      <c r="GH44" s="45">
        <f>IFERROR(__xludf.DUMMYFUNCTION("""COMPUTED_VALUE"""),6644.2)</f>
        <v>6644.2</v>
      </c>
      <c r="GI44" s="46">
        <f t="shared" si="48"/>
        <v>0.2538592187</v>
      </c>
      <c r="GJ44" s="37"/>
      <c r="GK44" s="37">
        <f>IFERROR(__xludf.DUMMYFUNCTION("""COMPUTED_VALUE"""),45341.64583333333)</f>
        <v>45341.64583</v>
      </c>
      <c r="GL44" s="45">
        <f>IFERROR(__xludf.DUMMYFUNCTION("""COMPUTED_VALUE"""),79.8)</f>
        <v>79.8</v>
      </c>
      <c r="GM44" s="46">
        <f t="shared" si="49"/>
        <v>-0.2962962963</v>
      </c>
      <c r="GN44" s="37"/>
      <c r="GO44" s="37">
        <f>IFERROR(__xludf.DUMMYFUNCTION("""COMPUTED_VALUE"""),45341.64583333333)</f>
        <v>45341.64583</v>
      </c>
      <c r="GP44" s="45">
        <f>IFERROR(__xludf.DUMMYFUNCTION("""COMPUTED_VALUE"""),1373.5)</f>
        <v>1373.5</v>
      </c>
      <c r="GQ44" s="46">
        <f t="shared" si="50"/>
        <v>0.2491473785</v>
      </c>
      <c r="GR44" s="37"/>
      <c r="GS44" s="37">
        <f>IFERROR(__xludf.DUMMYFUNCTION("""COMPUTED_VALUE"""),45341.64583333333)</f>
        <v>45341.64583</v>
      </c>
      <c r="GT44" s="45">
        <f>IFERROR(__xludf.DUMMYFUNCTION("""COMPUTED_VALUE"""),13.65)</f>
        <v>13.65</v>
      </c>
      <c r="GU44" s="46">
        <f t="shared" si="51"/>
        <v>0.05405405405</v>
      </c>
      <c r="GV44" s="37"/>
      <c r="GW44" s="37">
        <f>IFERROR(__xludf.DUMMYFUNCTION("""COMPUTED_VALUE"""),45342.64583333333)</f>
        <v>45342.64583</v>
      </c>
      <c r="GX44" s="45">
        <f>IFERROR(__xludf.DUMMYFUNCTION("""COMPUTED_VALUE"""),17.85)</f>
        <v>17.85</v>
      </c>
      <c r="GY44" s="46">
        <f t="shared" si="52"/>
        <v>0.08181818182</v>
      </c>
      <c r="GZ44" s="37"/>
      <c r="HA44" s="37">
        <f>IFERROR(__xludf.DUMMYFUNCTION("""COMPUTED_VALUE"""),45342.64583333333)</f>
        <v>45342.64583</v>
      </c>
      <c r="HB44" s="45">
        <f>IFERROR(__xludf.DUMMYFUNCTION("""COMPUTED_VALUE"""),515.9)</f>
        <v>515.9</v>
      </c>
      <c r="HC44" s="46">
        <f t="shared" si="53"/>
        <v>-0.1514802632</v>
      </c>
      <c r="HD44" s="37"/>
      <c r="HE44" s="43">
        <f>IFERROR(__xludf.DUMMYFUNCTION("""COMPUTED_VALUE"""),45342.64583333333)</f>
        <v>45342.64583</v>
      </c>
      <c r="HF44" s="45">
        <f>IFERROR(__xludf.DUMMYFUNCTION("""COMPUTED_VALUE"""),2955.18)</f>
        <v>2955.18</v>
      </c>
      <c r="HG44" s="46" t="str">
        <f t="shared" si="54"/>
        <v>#DIV/0!</v>
      </c>
      <c r="HH44" s="37"/>
      <c r="HI44" s="37">
        <f>IFERROR(__xludf.DUMMYFUNCTION("""COMPUTED_VALUE"""),45342.64583333333)</f>
        <v>45342.64583</v>
      </c>
      <c r="HJ44" s="45">
        <f>IFERROR(__xludf.DUMMYFUNCTION("""COMPUTED_VALUE"""),6970.0)</f>
        <v>6970</v>
      </c>
      <c r="HK44" s="46">
        <f t="shared" si="55"/>
        <v>0.363978826</v>
      </c>
      <c r="HL44" s="37"/>
      <c r="HM44" s="37">
        <f>IFERROR(__xludf.DUMMYFUNCTION("""COMPUTED_VALUE"""),45342.64583333333)</f>
        <v>45342.64583</v>
      </c>
      <c r="HN44" s="45">
        <f>IFERROR(__xludf.DUMMYFUNCTION("""COMPUTED_VALUE"""),338.8)</f>
        <v>338.8</v>
      </c>
      <c r="HO44" s="46">
        <f t="shared" si="56"/>
        <v>-0.166646169</v>
      </c>
      <c r="HP44" s="37"/>
      <c r="HQ44" s="37">
        <f>IFERROR(__xludf.DUMMYFUNCTION("""COMPUTED_VALUE"""),45342.64583333333)</f>
        <v>45342.64583</v>
      </c>
      <c r="HR44" s="45">
        <f>IFERROR(__xludf.DUMMYFUNCTION("""COMPUTED_VALUE"""),258.3)</f>
        <v>258.3</v>
      </c>
      <c r="HS44" s="46">
        <f t="shared" si="57"/>
        <v>0.0157294534</v>
      </c>
      <c r="HT44" s="37"/>
      <c r="HU44" s="37">
        <f>IFERROR(__xludf.DUMMYFUNCTION("""COMPUTED_VALUE"""),45342.64583333333)</f>
        <v>45342.64583</v>
      </c>
      <c r="HV44" s="45">
        <f>IFERROR(__xludf.DUMMYFUNCTION("""COMPUTED_VALUE"""),61.7)</f>
        <v>61.7</v>
      </c>
      <c r="HW44" s="46">
        <f t="shared" si="58"/>
        <v>-0.01121794872</v>
      </c>
      <c r="HX44" s="37"/>
      <c r="HY44" s="37">
        <f>IFERROR(__xludf.DUMMYFUNCTION("""COMPUTED_VALUE"""),45342.64583333333)</f>
        <v>45342.64583</v>
      </c>
      <c r="HZ44" s="45">
        <f>IFERROR(__xludf.DUMMYFUNCTION("""COMPUTED_VALUE"""),362.95)</f>
        <v>362.95</v>
      </c>
      <c r="IA44" s="46">
        <f t="shared" si="59"/>
        <v>-0.2194623656</v>
      </c>
      <c r="IB44" s="37"/>
      <c r="IC44" s="37">
        <f>IFERROR(__xludf.DUMMYFUNCTION("""COMPUTED_VALUE"""),45342.64583333333)</f>
        <v>45342.64583</v>
      </c>
      <c r="ID44" s="45">
        <f>IFERROR(__xludf.DUMMYFUNCTION("""COMPUTED_VALUE"""),80.0)</f>
        <v>80</v>
      </c>
      <c r="IE44" s="46">
        <f t="shared" si="60"/>
        <v>-0.8176638177</v>
      </c>
      <c r="IF44" s="37"/>
      <c r="IG44" s="37">
        <f>IFERROR(__xludf.DUMMYFUNCTION("""COMPUTED_VALUE"""),45342.64583333333)</f>
        <v>45342.64583</v>
      </c>
      <c r="IH44" s="45">
        <f>IFERROR(__xludf.DUMMYFUNCTION("""COMPUTED_VALUE"""),542.6)</f>
        <v>542.6</v>
      </c>
      <c r="II44" s="46">
        <f t="shared" si="61"/>
        <v>0.01801125704</v>
      </c>
      <c r="IJ44" s="37"/>
      <c r="IK44" s="37">
        <f>IFERROR(__xludf.DUMMYFUNCTION("""COMPUTED_VALUE"""),45342.64583333333)</f>
        <v>45342.64583</v>
      </c>
      <c r="IL44" s="45">
        <f>IFERROR(__xludf.DUMMYFUNCTION("""COMPUTED_VALUE"""),536.95)</f>
        <v>536.95</v>
      </c>
      <c r="IM44" s="46">
        <f t="shared" si="62"/>
        <v>-0.1310785662</v>
      </c>
      <c r="IN44" s="37"/>
      <c r="IO44" s="37">
        <f>IFERROR(__xludf.DUMMYFUNCTION("""COMPUTED_VALUE"""),45343.64583333333)</f>
        <v>45343.64583</v>
      </c>
      <c r="IP44" s="45">
        <f>IFERROR(__xludf.DUMMYFUNCTION("""COMPUTED_VALUE"""),260.95)</f>
        <v>260.95</v>
      </c>
      <c r="IQ44" s="46">
        <f t="shared" si="63"/>
        <v>1.076139709</v>
      </c>
      <c r="IR44" s="37"/>
      <c r="IS44" s="37">
        <f>IFERROR(__xludf.DUMMYFUNCTION("""COMPUTED_VALUE"""),45342.64583333333)</f>
        <v>45342.64583</v>
      </c>
      <c r="IT44" s="45">
        <f>IFERROR(__xludf.DUMMYFUNCTION("""COMPUTED_VALUE"""),962.0)</f>
        <v>962</v>
      </c>
      <c r="IU44" s="46">
        <f t="shared" si="64"/>
        <v>-0.04183266932</v>
      </c>
      <c r="IV44" s="37"/>
      <c r="IW44" s="37">
        <f>IFERROR(__xludf.DUMMYFUNCTION("""COMPUTED_VALUE"""),45342.64583333333)</f>
        <v>45342.64583</v>
      </c>
      <c r="IX44" s="45">
        <f>IFERROR(__xludf.DUMMYFUNCTION("""COMPUTED_VALUE"""),291.5)</f>
        <v>291.5</v>
      </c>
      <c r="IY44" s="46">
        <f t="shared" si="65"/>
        <v>0.4153920855</v>
      </c>
      <c r="IZ44" s="37"/>
      <c r="JA44" s="37">
        <f>IFERROR(__xludf.DUMMYFUNCTION("""COMPUTED_VALUE"""),45342.64583333333)</f>
        <v>45342.64583</v>
      </c>
      <c r="JB44" s="45">
        <f>IFERROR(__xludf.DUMMYFUNCTION("""COMPUTED_VALUE"""),31516.15)</f>
        <v>31516.15</v>
      </c>
      <c r="JC44" s="46">
        <f t="shared" si="66"/>
        <v>-0.1097799176</v>
      </c>
      <c r="JD44" s="37"/>
      <c r="JE44" s="37">
        <f>IFERROR(__xludf.DUMMYFUNCTION("""COMPUTED_VALUE"""),45342.64583333333)</f>
        <v>45342.64583</v>
      </c>
      <c r="JF44" s="45">
        <f>IFERROR(__xludf.DUMMYFUNCTION("""COMPUTED_VALUE"""),709.0)</f>
        <v>709</v>
      </c>
      <c r="JG44" s="46">
        <f t="shared" si="67"/>
        <v>0.0992248062</v>
      </c>
      <c r="JH44" s="37"/>
      <c r="JI44" s="37">
        <f>IFERROR(__xludf.DUMMYFUNCTION("""COMPUTED_VALUE"""),45342.64583333333)</f>
        <v>45342.64583</v>
      </c>
      <c r="JJ44" s="45">
        <f>IFERROR(__xludf.DUMMYFUNCTION("""COMPUTED_VALUE"""),321.95)</f>
        <v>321.95</v>
      </c>
      <c r="JK44" s="46">
        <f t="shared" si="68"/>
        <v>-0.03593352298</v>
      </c>
      <c r="JL44" s="37"/>
      <c r="JM44" s="37">
        <f>IFERROR(__xludf.DUMMYFUNCTION("""COMPUTED_VALUE"""),45342.64583333333)</f>
        <v>45342.64583</v>
      </c>
      <c r="JN44" s="45">
        <f>IFERROR(__xludf.DUMMYFUNCTION("""COMPUTED_VALUE"""),16.55)</f>
        <v>16.55</v>
      </c>
      <c r="JO44" s="46">
        <f t="shared" si="69"/>
        <v>-0.9622792023</v>
      </c>
      <c r="JP44" s="37"/>
      <c r="JQ44" s="37">
        <f>IFERROR(__xludf.DUMMYFUNCTION("""COMPUTED_VALUE"""),45342.64583333333)</f>
        <v>45342.64583</v>
      </c>
      <c r="JR44" s="45">
        <f>IFERROR(__xludf.DUMMYFUNCTION("""COMPUTED_VALUE"""),90.3)</f>
        <v>90.3</v>
      </c>
      <c r="JS44" s="46">
        <f t="shared" si="70"/>
        <v>-0.3360294118</v>
      </c>
      <c r="JT44" s="37"/>
      <c r="JU44" s="37">
        <f>IFERROR(__xludf.DUMMYFUNCTION("""COMPUTED_VALUE"""),45342.64583333333)</f>
        <v>45342.64583</v>
      </c>
      <c r="JV44" s="45">
        <f>IFERROR(__xludf.DUMMYFUNCTION("""COMPUTED_VALUE"""),244.2)</f>
        <v>244.2</v>
      </c>
      <c r="JW44" s="46">
        <f t="shared" si="71"/>
        <v>-0.4434188034</v>
      </c>
      <c r="JX44" s="37"/>
      <c r="JY44" s="37">
        <f>IFERROR(__xludf.DUMMYFUNCTION("""COMPUTED_VALUE"""),45342.64583333333)</f>
        <v>45342.64583</v>
      </c>
      <c r="JZ44" s="45">
        <f>IFERROR(__xludf.DUMMYFUNCTION("""COMPUTED_VALUE"""),591.0)</f>
        <v>591</v>
      </c>
      <c r="KA44" s="46">
        <f t="shared" si="72"/>
        <v>0.07259528131</v>
      </c>
      <c r="KB44" s="37"/>
      <c r="KC44" s="37">
        <f>IFERROR(__xludf.DUMMYFUNCTION("""COMPUTED_VALUE"""),45342.64583333333)</f>
        <v>45342.64583</v>
      </c>
      <c r="KD44" s="45">
        <f>IFERROR(__xludf.DUMMYFUNCTION("""COMPUTED_VALUE"""),881.03)</f>
        <v>881.03</v>
      </c>
      <c r="KE44" s="46">
        <f t="shared" si="73"/>
        <v>0.008562761147</v>
      </c>
      <c r="KF44" s="37"/>
      <c r="KG44" s="37">
        <f>IFERROR(__xludf.DUMMYFUNCTION("""COMPUTED_VALUE"""),45342.64583333333)</f>
        <v>45342.64583</v>
      </c>
      <c r="KH44" s="45">
        <f>IFERROR(__xludf.DUMMYFUNCTION("""COMPUTED_VALUE"""),480.0)</f>
        <v>480</v>
      </c>
      <c r="KI44" s="46">
        <f t="shared" si="74"/>
        <v>0.2307692308</v>
      </c>
      <c r="KJ44" s="37"/>
      <c r="KK44" s="37">
        <f>IFERROR(__xludf.DUMMYFUNCTION("""COMPUTED_VALUE"""),45342.64583333333)</f>
        <v>45342.64583</v>
      </c>
      <c r="KL44" s="45">
        <f>IFERROR(__xludf.DUMMYFUNCTION("""COMPUTED_VALUE"""),12.8)</f>
        <v>12.8</v>
      </c>
      <c r="KM44" s="46">
        <f t="shared" si="75"/>
        <v>0.376344086</v>
      </c>
      <c r="KN44" s="37"/>
      <c r="KO44" s="37">
        <f>IFERROR(__xludf.DUMMYFUNCTION("""COMPUTED_VALUE"""),45342.64583333333)</f>
        <v>45342.64583</v>
      </c>
      <c r="KP44" s="45">
        <f>IFERROR(__xludf.DUMMYFUNCTION("""COMPUTED_VALUE"""),249.7)</f>
        <v>249.7</v>
      </c>
      <c r="KQ44" s="46">
        <f t="shared" si="76"/>
        <v>0.2282341367</v>
      </c>
      <c r="KR44" s="37"/>
      <c r="KS44" s="37">
        <f>IFERROR(__xludf.DUMMYFUNCTION("""COMPUTED_VALUE"""),45342.64583333333)</f>
        <v>45342.64583</v>
      </c>
      <c r="KT44" s="45">
        <f>IFERROR(__xludf.DUMMYFUNCTION("""COMPUTED_VALUE"""),16.35)</f>
        <v>16.35</v>
      </c>
      <c r="KU44" s="46">
        <f t="shared" si="77"/>
        <v>0.479638009</v>
      </c>
      <c r="KV44" s="37"/>
      <c r="KW44" s="37">
        <f>IFERROR(__xludf.DUMMYFUNCTION("""COMPUTED_VALUE"""),45342.64583333333)</f>
        <v>45342.64583</v>
      </c>
      <c r="KX44" s="45">
        <f>IFERROR(__xludf.DUMMYFUNCTION("""COMPUTED_VALUE"""),2319.65)</f>
        <v>2319.65</v>
      </c>
      <c r="KY44" s="46">
        <f t="shared" si="78"/>
        <v>-0.1312009588</v>
      </c>
      <c r="KZ44" s="37"/>
      <c r="LA44" s="37">
        <f>IFERROR(__xludf.DUMMYFUNCTION("""COMPUTED_VALUE"""),45342.64583333333)</f>
        <v>45342.64583</v>
      </c>
      <c r="LB44" s="45">
        <f>IFERROR(__xludf.DUMMYFUNCTION("""COMPUTED_VALUE"""),19.6)</f>
        <v>19.6</v>
      </c>
      <c r="LC44" s="46">
        <f t="shared" si="79"/>
        <v>0.03978779841</v>
      </c>
      <c r="LD44" s="37"/>
      <c r="LE44" s="37">
        <f>IFERROR(__xludf.DUMMYFUNCTION("""COMPUTED_VALUE"""),45342.64583333333)</f>
        <v>45342.64583</v>
      </c>
      <c r="LF44" s="45">
        <f>IFERROR(__xludf.DUMMYFUNCTION("""COMPUTED_VALUE"""),133.5)</f>
        <v>133.5</v>
      </c>
      <c r="LG44" s="46">
        <f t="shared" si="80"/>
        <v>0.068</v>
      </c>
      <c r="LH44" s="37"/>
      <c r="LI44" s="37">
        <f>IFERROR(__xludf.DUMMYFUNCTION("""COMPUTED_VALUE"""),45342.64583333333)</f>
        <v>45342.64583</v>
      </c>
      <c r="LJ44" s="45">
        <f>IFERROR(__xludf.DUMMYFUNCTION("""COMPUTED_VALUE"""),694.2)</f>
        <v>694.2</v>
      </c>
      <c r="LK44" s="46">
        <f t="shared" si="81"/>
        <v>-0.04642857143</v>
      </c>
      <c r="LL44" s="37"/>
      <c r="LM44" s="37">
        <f>IFERROR(__xludf.DUMMYFUNCTION("""COMPUTED_VALUE"""),45342.64583333333)</f>
        <v>45342.64583</v>
      </c>
      <c r="LN44" s="45">
        <f>IFERROR(__xludf.DUMMYFUNCTION("""COMPUTED_VALUE"""),812.0)</f>
        <v>812</v>
      </c>
      <c r="LO44" s="46">
        <f t="shared" si="82"/>
        <v>-0.05029239766</v>
      </c>
      <c r="LP44" s="37"/>
      <c r="LQ44" s="37">
        <f>IFERROR(__xludf.DUMMYFUNCTION("""COMPUTED_VALUE"""),45342.64583333333)</f>
        <v>45342.64583</v>
      </c>
      <c r="LR44" s="45">
        <f>IFERROR(__xludf.DUMMYFUNCTION("""COMPUTED_VALUE"""),615.0)</f>
        <v>615</v>
      </c>
      <c r="LS44" s="46">
        <f t="shared" si="83"/>
        <v>0.6830870279</v>
      </c>
      <c r="LT44" s="37"/>
      <c r="LU44" s="37">
        <f>IFERROR(__xludf.DUMMYFUNCTION("""COMPUTED_VALUE"""),45342.64583333333)</f>
        <v>45342.64583</v>
      </c>
      <c r="LV44" s="45">
        <f>IFERROR(__xludf.DUMMYFUNCTION("""COMPUTED_VALUE"""),135.5)</f>
        <v>135.5</v>
      </c>
      <c r="LW44" s="46">
        <f t="shared" si="84"/>
        <v>-0.009502923977</v>
      </c>
      <c r="LX44" s="37"/>
      <c r="LY44" s="37">
        <f>IFERROR(__xludf.DUMMYFUNCTION("""COMPUTED_VALUE"""),45342.64583333333)</f>
        <v>45342.64583</v>
      </c>
      <c r="LZ44" s="45">
        <f>IFERROR(__xludf.DUMMYFUNCTION("""COMPUTED_VALUE"""),656.0)</f>
        <v>656</v>
      </c>
      <c r="MA44" s="46">
        <f t="shared" si="85"/>
        <v>0.05806451613</v>
      </c>
      <c r="MB44" s="37"/>
      <c r="MC44" s="37"/>
      <c r="MD44" s="45"/>
      <c r="ME44" s="46" t="str">
        <f t="shared" si="86"/>
        <v>#DIV/0!</v>
      </c>
      <c r="MF44" s="37"/>
      <c r="MG44" s="37">
        <f>IFERROR(__xludf.DUMMYFUNCTION("""COMPUTED_VALUE"""),45342.64583333333)</f>
        <v>45342.64583</v>
      </c>
      <c r="MH44" s="45">
        <f>IFERROR(__xludf.DUMMYFUNCTION("""COMPUTED_VALUE"""),2014.0)</f>
        <v>2014</v>
      </c>
      <c r="MI44" s="46">
        <f t="shared" si="87"/>
        <v>0.027053214</v>
      </c>
      <c r="MJ44" s="37"/>
      <c r="MK44" s="37">
        <f>IFERROR(__xludf.DUMMYFUNCTION("""COMPUTED_VALUE"""),45342.64583333333)</f>
        <v>45342.64583</v>
      </c>
      <c r="ML44" s="45">
        <f>IFERROR(__xludf.DUMMYFUNCTION("""COMPUTED_VALUE"""),334.0)</f>
        <v>334</v>
      </c>
      <c r="MM44" s="46">
        <f t="shared" si="88"/>
        <v>-0.164895612</v>
      </c>
      <c r="MN44" s="37"/>
      <c r="MO44" s="37">
        <f>IFERROR(__xludf.DUMMYFUNCTION("""COMPUTED_VALUE"""),45342.64583333333)</f>
        <v>45342.64583</v>
      </c>
      <c r="MP44" s="45">
        <f>IFERROR(__xludf.DUMMYFUNCTION("""COMPUTED_VALUE"""),957.0)</f>
        <v>957</v>
      </c>
      <c r="MQ44" s="46">
        <f t="shared" si="89"/>
        <v>0.2932432432</v>
      </c>
      <c r="MR44" s="37"/>
      <c r="MS44" s="37">
        <f>IFERROR(__xludf.DUMMYFUNCTION("""COMPUTED_VALUE"""),45342.64583333333)</f>
        <v>45342.64583</v>
      </c>
      <c r="MT44" s="45">
        <f>IFERROR(__xludf.DUMMYFUNCTION("""COMPUTED_VALUE"""),66.25)</f>
        <v>66.25</v>
      </c>
      <c r="MU44" s="46">
        <f t="shared" si="90"/>
        <v>0.001511715797</v>
      </c>
      <c r="MV44" s="37"/>
      <c r="MW44" s="37">
        <f>IFERROR(__xludf.DUMMYFUNCTION("""COMPUTED_VALUE"""),45342.64583333333)</f>
        <v>45342.64583</v>
      </c>
      <c r="MX44" s="45">
        <f>IFERROR(__xludf.DUMMYFUNCTION("""COMPUTED_VALUE"""),3194.3)</f>
        <v>3194.3</v>
      </c>
      <c r="MY44" s="46">
        <f t="shared" si="91"/>
        <v>0.01503018748</v>
      </c>
      <c r="MZ44" s="37"/>
      <c r="NA44" s="37">
        <f>IFERROR(__xludf.DUMMYFUNCTION("""COMPUTED_VALUE"""),45342.64583333333)</f>
        <v>45342.64583</v>
      </c>
      <c r="NB44" s="45">
        <f>IFERROR(__xludf.DUMMYFUNCTION("""COMPUTED_VALUE"""),13.8)</f>
        <v>13.8</v>
      </c>
      <c r="NC44" s="46">
        <f t="shared" si="92"/>
        <v>0.09090909091</v>
      </c>
      <c r="ND44" s="37"/>
      <c r="NE44" s="37">
        <f>IFERROR(__xludf.DUMMYFUNCTION("""COMPUTED_VALUE"""),45343.64583333333)</f>
        <v>45343.64583</v>
      </c>
      <c r="NF44" s="45">
        <f>IFERROR(__xludf.DUMMYFUNCTION("""COMPUTED_VALUE"""),373.6)</f>
        <v>373.6</v>
      </c>
      <c r="NG44" s="46">
        <f t="shared" si="93"/>
        <v>-0.02441572007</v>
      </c>
      <c r="NH44" s="37"/>
      <c r="NI44" s="37">
        <f>IFERROR(__xludf.DUMMYFUNCTION("""COMPUTED_VALUE"""),45343.64583333333)</f>
        <v>45343.64583</v>
      </c>
      <c r="NJ44" s="45">
        <f>IFERROR(__xludf.DUMMYFUNCTION("""COMPUTED_VALUE"""),379.33)</f>
        <v>379.33</v>
      </c>
      <c r="NK44" s="46">
        <f t="shared" si="94"/>
        <v>0.4224697191</v>
      </c>
      <c r="NL44" s="37"/>
      <c r="NM44" s="37">
        <f>IFERROR(__xludf.DUMMYFUNCTION("""COMPUTED_VALUE"""),45343.64583333333)</f>
        <v>45343.64583</v>
      </c>
      <c r="NN44" s="45">
        <f>IFERROR(__xludf.DUMMYFUNCTION("""COMPUTED_VALUE"""),134.2)</f>
        <v>134.2</v>
      </c>
      <c r="NO44" s="46">
        <f t="shared" si="95"/>
        <v>0.08840227088</v>
      </c>
      <c r="NP44" s="37"/>
      <c r="NQ44" s="37">
        <f>IFERROR(__xludf.DUMMYFUNCTION("""COMPUTED_VALUE"""),45343.64583333333)</f>
        <v>45343.64583</v>
      </c>
      <c r="NR44" s="45">
        <f>IFERROR(__xludf.DUMMYFUNCTION("""COMPUTED_VALUE"""),4619.95)</f>
        <v>4619.95</v>
      </c>
      <c r="NS44" s="46">
        <f t="shared" si="96"/>
        <v>0.1063098659</v>
      </c>
      <c r="NT44" s="37"/>
      <c r="NU44" s="37">
        <f>IFERROR(__xludf.DUMMYFUNCTION("""COMPUTED_VALUE"""),45343.64583333333)</f>
        <v>45343.64583</v>
      </c>
      <c r="NV44" s="45">
        <f>IFERROR(__xludf.DUMMYFUNCTION("""COMPUTED_VALUE"""),15.85)</f>
        <v>15.85</v>
      </c>
      <c r="NW44" s="46">
        <f t="shared" si="97"/>
        <v>0.2480314961</v>
      </c>
      <c r="NX44" s="37"/>
      <c r="NY44" s="37">
        <f>IFERROR(__xludf.DUMMYFUNCTION("""COMPUTED_VALUE"""),45343.64583333333)</f>
        <v>45343.64583</v>
      </c>
      <c r="NZ44" s="45">
        <f>IFERROR(__xludf.DUMMYFUNCTION("""COMPUTED_VALUE"""),239.7)</f>
        <v>239.7</v>
      </c>
      <c r="OA44" s="46">
        <f t="shared" si="98"/>
        <v>-0.02876823339</v>
      </c>
      <c r="OB44" s="37"/>
      <c r="OC44" s="37">
        <f>IFERROR(__xludf.DUMMYFUNCTION("""COMPUTED_VALUE"""),45343.64583333333)</f>
        <v>45343.64583</v>
      </c>
      <c r="OD44" s="45">
        <f>IFERROR(__xludf.DUMMYFUNCTION("""COMPUTED_VALUE"""),1171.9)</f>
        <v>1171.9</v>
      </c>
      <c r="OE44" s="46">
        <f t="shared" si="99"/>
        <v>0.1119123298</v>
      </c>
      <c r="OF44" s="37"/>
      <c r="OG44" s="37">
        <f>IFERROR(__xludf.DUMMYFUNCTION("""COMPUTED_VALUE"""),45343.64583333333)</f>
        <v>45343.64583</v>
      </c>
      <c r="OH44" s="45">
        <f>IFERROR(__xludf.DUMMYFUNCTION("""COMPUTED_VALUE"""),2917.83)</f>
        <v>2917.83</v>
      </c>
      <c r="OI44" s="46">
        <f t="shared" si="100"/>
        <v>0.1959299943</v>
      </c>
      <c r="OJ44" s="37"/>
      <c r="OK44" s="37"/>
      <c r="OL44" s="45"/>
      <c r="OM44" s="46" t="str">
        <f t="shared" si="101"/>
        <v>#DIV/0!</v>
      </c>
      <c r="ON44" s="37"/>
    </row>
    <row r="45" ht="12.0" customHeight="1">
      <c r="A45" s="37">
        <f>IFERROR(__xludf.DUMMYFUNCTION("""COMPUTED_VALUE"""),45342.64583333333)</f>
        <v>45342.64583</v>
      </c>
      <c r="B45" s="45">
        <f>IFERROR(__xludf.DUMMYFUNCTION("""COMPUTED_VALUE"""),413.3)</f>
        <v>413.3</v>
      </c>
      <c r="C45" s="46">
        <f t="shared" si="1"/>
        <v>-0.05800569801</v>
      </c>
      <c r="D45" s="37"/>
      <c r="E45" s="37">
        <f>IFERROR(__xludf.DUMMYFUNCTION("""COMPUTED_VALUE"""),45342.64583333333)</f>
        <v>45342.64583</v>
      </c>
      <c r="F45" s="45">
        <f>IFERROR(__xludf.DUMMYFUNCTION("""COMPUTED_VALUE"""),669.9)</f>
        <v>669.9</v>
      </c>
      <c r="G45" s="46">
        <f t="shared" si="2"/>
        <v>0.0227480916</v>
      </c>
      <c r="H45" s="37"/>
      <c r="I45" s="37">
        <f>IFERROR(__xludf.DUMMYFUNCTION("""COMPUTED_VALUE"""),45342.64583333333)</f>
        <v>45342.64583</v>
      </c>
      <c r="J45" s="45">
        <f>IFERROR(__xludf.DUMMYFUNCTION("""COMPUTED_VALUE"""),191.45)</f>
        <v>191.45</v>
      </c>
      <c r="K45" s="46">
        <f t="shared" si="3"/>
        <v>0.04048913043</v>
      </c>
      <c r="L45" s="37"/>
      <c r="M45" s="37">
        <f>IFERROR(__xludf.DUMMYFUNCTION("""COMPUTED_VALUE"""),45342.64583333333)</f>
        <v>45342.64583</v>
      </c>
      <c r="N45" s="45">
        <f>IFERROR(__xludf.DUMMYFUNCTION("""COMPUTED_VALUE"""),113.3)</f>
        <v>113.3</v>
      </c>
      <c r="O45" s="46">
        <f t="shared" si="4"/>
        <v>0.3113425926</v>
      </c>
      <c r="P45" s="37"/>
      <c r="Q45" s="37">
        <f>IFERROR(__xludf.DUMMYFUNCTION("""COMPUTED_VALUE"""),45342.64583333333)</f>
        <v>45342.64583</v>
      </c>
      <c r="R45" s="45">
        <f>IFERROR(__xludf.DUMMYFUNCTION("""COMPUTED_VALUE"""),56.4)</f>
        <v>56.4</v>
      </c>
      <c r="S45" s="46">
        <f t="shared" si="5"/>
        <v>0.07428571429</v>
      </c>
      <c r="T45" s="37"/>
      <c r="U45" s="37">
        <f>IFERROR(__xludf.DUMMYFUNCTION("""COMPUTED_VALUE"""),45342.64583333333)</f>
        <v>45342.64583</v>
      </c>
      <c r="V45" s="45">
        <f>IFERROR(__xludf.DUMMYFUNCTION("""COMPUTED_VALUE"""),641.8)</f>
        <v>641.8</v>
      </c>
      <c r="W45" s="46">
        <f t="shared" si="6"/>
        <v>-0.03109903382</v>
      </c>
      <c r="X45" s="37"/>
      <c r="Y45" s="37">
        <f>IFERROR(__xludf.DUMMYFUNCTION("""COMPUTED_VALUE"""),45342.64583333333)</f>
        <v>45342.64583</v>
      </c>
      <c r="Z45" s="45">
        <f>IFERROR(__xludf.DUMMYFUNCTION("""COMPUTED_VALUE"""),212.45)</f>
        <v>212.45</v>
      </c>
      <c r="AA45" s="46">
        <f t="shared" si="7"/>
        <v>0.1483783784</v>
      </c>
      <c r="AB45" s="37"/>
      <c r="AC45" s="37">
        <f>IFERROR(__xludf.DUMMYFUNCTION("""COMPUTED_VALUE"""),45342.64583333333)</f>
        <v>45342.64583</v>
      </c>
      <c r="AD45" s="45">
        <f>IFERROR(__xludf.DUMMYFUNCTION("""COMPUTED_VALUE"""),2955.18)</f>
        <v>2955.18</v>
      </c>
      <c r="AE45" s="46">
        <f t="shared" si="8"/>
        <v>0.244548326</v>
      </c>
      <c r="AF45" s="37"/>
      <c r="AG45" s="37">
        <f>IFERROR(__xludf.DUMMYFUNCTION("""COMPUTED_VALUE"""),45342.64583333333)</f>
        <v>45342.64583</v>
      </c>
      <c r="AH45" s="45">
        <f>IFERROR(__xludf.DUMMYFUNCTION("""COMPUTED_VALUE"""),694.6)</f>
        <v>694.6</v>
      </c>
      <c r="AI45" s="46">
        <f t="shared" si="9"/>
        <v>-0.1730952381</v>
      </c>
      <c r="AJ45" s="37"/>
      <c r="AK45" s="37">
        <f>IFERROR(__xludf.DUMMYFUNCTION("""COMPUTED_VALUE"""),45342.64583333333)</f>
        <v>45342.64583</v>
      </c>
      <c r="AL45" s="45">
        <f>IFERROR(__xludf.DUMMYFUNCTION("""COMPUTED_VALUE"""),6970.0)</f>
        <v>6970</v>
      </c>
      <c r="AM45" s="46">
        <f t="shared" si="10"/>
        <v>0.3403846154</v>
      </c>
      <c r="AN45" s="37"/>
      <c r="AO45" s="37">
        <f>IFERROR(__xludf.DUMMYFUNCTION("""COMPUTED_VALUE"""),45342.64583333333)</f>
        <v>45342.64583</v>
      </c>
      <c r="AP45" s="45">
        <f>IFERROR(__xludf.DUMMYFUNCTION("""COMPUTED_VALUE"""),917.0)</f>
        <v>917</v>
      </c>
      <c r="AQ45" s="46">
        <f t="shared" si="11"/>
        <v>0.007692307692</v>
      </c>
      <c r="AR45" s="37"/>
      <c r="AS45" s="37">
        <f>IFERROR(__xludf.DUMMYFUNCTION("""COMPUTED_VALUE"""),45342.64583333333)</f>
        <v>45342.64583</v>
      </c>
      <c r="AT45" s="45">
        <f>IFERROR(__xludf.DUMMYFUNCTION("""COMPUTED_VALUE"""),2368.05)</f>
        <v>2368.05</v>
      </c>
      <c r="AU45" s="46">
        <f t="shared" si="12"/>
        <v>-0.04664036394</v>
      </c>
      <c r="AV45" s="37"/>
      <c r="AW45" s="37">
        <f>IFERROR(__xludf.DUMMYFUNCTION("""COMPUTED_VALUE"""),45342.64583333333)</f>
        <v>45342.64583</v>
      </c>
      <c r="AX45" s="45">
        <f>IFERROR(__xludf.DUMMYFUNCTION("""COMPUTED_VALUE"""),5557.5)</f>
        <v>5557.5</v>
      </c>
      <c r="AY45" s="46">
        <f t="shared" si="13"/>
        <v>-0.01543067711</v>
      </c>
      <c r="AZ45" s="37"/>
      <c r="BA45" s="37">
        <f>IFERROR(__xludf.DUMMYFUNCTION("""COMPUTED_VALUE"""),45342.64583333333)</f>
        <v>45342.64583</v>
      </c>
      <c r="BB45" s="45">
        <f>IFERROR(__xludf.DUMMYFUNCTION("""COMPUTED_VALUE"""),538.15)</f>
        <v>538.15</v>
      </c>
      <c r="BC45" s="46">
        <f t="shared" si="14"/>
        <v>0.1486659552</v>
      </c>
      <c r="BD45" s="37"/>
      <c r="BE45" s="37">
        <f>IFERROR(__xludf.DUMMYFUNCTION("""COMPUTED_VALUE"""),45342.64583333333)</f>
        <v>45342.64583</v>
      </c>
      <c r="BF45" s="45">
        <f>IFERROR(__xludf.DUMMYFUNCTION("""COMPUTED_VALUE"""),300.0)</f>
        <v>300</v>
      </c>
      <c r="BG45" s="46">
        <f t="shared" si="15"/>
        <v>-0.2628992629</v>
      </c>
      <c r="BH45" s="37"/>
      <c r="BI45" s="37">
        <f>IFERROR(__xludf.DUMMYFUNCTION("""COMPUTED_VALUE"""),45342.64583333333)</f>
        <v>45342.64583</v>
      </c>
      <c r="BJ45" s="45">
        <f>IFERROR(__xludf.DUMMYFUNCTION("""COMPUTED_VALUE"""),73.0)</f>
        <v>73</v>
      </c>
      <c r="BK45" s="46">
        <f t="shared" si="16"/>
        <v>0.05111591073</v>
      </c>
      <c r="BL45" s="37"/>
      <c r="BM45" s="37">
        <f>IFERROR(__xludf.DUMMYFUNCTION("""COMPUTED_VALUE"""),45342.64583333333)</f>
        <v>45342.64583</v>
      </c>
      <c r="BN45" s="45">
        <f>IFERROR(__xludf.DUMMYFUNCTION("""COMPUTED_VALUE"""),258.3)</f>
        <v>258.3</v>
      </c>
      <c r="BO45" s="46">
        <f t="shared" si="17"/>
        <v>0.008984375</v>
      </c>
      <c r="BP45" s="37"/>
      <c r="BQ45" s="37">
        <f>IFERROR(__xludf.DUMMYFUNCTION("""COMPUTED_VALUE"""),45342.64583333333)</f>
        <v>45342.64583</v>
      </c>
      <c r="BR45" s="45">
        <f>IFERROR(__xludf.DUMMYFUNCTION("""COMPUTED_VALUE"""),61.7)</f>
        <v>61.7</v>
      </c>
      <c r="BS45" s="46">
        <f t="shared" si="18"/>
        <v>0.013136289</v>
      </c>
      <c r="BT45" s="37"/>
      <c r="BU45" s="37">
        <f>IFERROR(__xludf.DUMMYFUNCTION("""COMPUTED_VALUE"""),45342.64583333333)</f>
        <v>45342.64583</v>
      </c>
      <c r="BV45" s="45">
        <f>IFERROR(__xludf.DUMMYFUNCTION("""COMPUTED_VALUE"""),327.5)</f>
        <v>327.5</v>
      </c>
      <c r="BW45" s="46">
        <f t="shared" si="19"/>
        <v>0.05850032321</v>
      </c>
      <c r="BX45" s="37"/>
      <c r="BY45" s="37">
        <f>IFERROR(__xludf.DUMMYFUNCTION("""COMPUTED_VALUE"""),45342.64583333333)</f>
        <v>45342.64583</v>
      </c>
      <c r="BZ45" s="45">
        <f>IFERROR(__xludf.DUMMYFUNCTION("""COMPUTED_VALUE"""),362.95)</f>
        <v>362.95</v>
      </c>
      <c r="CA45" s="46">
        <f t="shared" si="20"/>
        <v>-0.1136752137</v>
      </c>
      <c r="CB45" s="37"/>
      <c r="CC45" s="37">
        <f>IFERROR(__xludf.DUMMYFUNCTION("""COMPUTED_VALUE"""),45342.64583333333)</f>
        <v>45342.64583</v>
      </c>
      <c r="CD45" s="45">
        <f>IFERROR(__xludf.DUMMYFUNCTION("""COMPUTED_VALUE"""),264.9)</f>
        <v>264.9</v>
      </c>
      <c r="CE45" s="46">
        <f t="shared" si="21"/>
        <v>0.1432887354</v>
      </c>
      <c r="CF45" s="37"/>
      <c r="CG45" s="37">
        <f>IFERROR(__xludf.DUMMYFUNCTION("""COMPUTED_VALUE"""),45342.64583333333)</f>
        <v>45342.64583</v>
      </c>
      <c r="CH45" s="45">
        <f>IFERROR(__xludf.DUMMYFUNCTION("""COMPUTED_VALUE"""),709.0)</f>
        <v>709</v>
      </c>
      <c r="CI45" s="46">
        <f t="shared" si="22"/>
        <v>0.1147798742</v>
      </c>
      <c r="CJ45" s="37"/>
      <c r="CK45" s="37">
        <f>IFERROR(__xludf.DUMMYFUNCTION("""COMPUTED_VALUE"""),45342.64583333333)</f>
        <v>45342.64583</v>
      </c>
      <c r="CL45" s="45">
        <f>IFERROR(__xludf.DUMMYFUNCTION("""COMPUTED_VALUE"""),321.95)</f>
        <v>321.95</v>
      </c>
      <c r="CM45" s="46">
        <f t="shared" si="23"/>
        <v>-0.04465875371</v>
      </c>
      <c r="CN45" s="37"/>
      <c r="CO45" s="37">
        <f>IFERROR(__xludf.DUMMYFUNCTION("""COMPUTED_VALUE"""),45342.64583333333)</f>
        <v>45342.64583</v>
      </c>
      <c r="CP45" s="45">
        <f>IFERROR(__xludf.DUMMYFUNCTION("""COMPUTED_VALUE"""),16.55)</f>
        <v>16.55</v>
      </c>
      <c r="CQ45" s="46">
        <f t="shared" si="24"/>
        <v>0.1182432432</v>
      </c>
      <c r="CR45" s="37"/>
      <c r="CS45" s="37">
        <f>IFERROR(__xludf.DUMMYFUNCTION("""COMPUTED_VALUE"""),45342.64583333333)</f>
        <v>45342.64583</v>
      </c>
      <c r="CT45" s="45">
        <f>IFERROR(__xludf.DUMMYFUNCTION("""COMPUTED_VALUE"""),212.0)</f>
        <v>212</v>
      </c>
      <c r="CU45" s="46">
        <f t="shared" si="25"/>
        <v>0.07070707071</v>
      </c>
      <c r="CV45" s="37"/>
      <c r="CW45" s="37">
        <f>IFERROR(__xludf.DUMMYFUNCTION("""COMPUTED_VALUE"""),45342.64583333333)</f>
        <v>45342.64583</v>
      </c>
      <c r="CX45" s="45">
        <f>IFERROR(__xludf.DUMMYFUNCTION("""COMPUTED_VALUE"""),854.95)</f>
        <v>854.95</v>
      </c>
      <c r="CY45" s="46">
        <f t="shared" si="26"/>
        <v>0.2358697852</v>
      </c>
      <c r="CZ45" s="37"/>
      <c r="DA45" s="37">
        <f>IFERROR(__xludf.DUMMYFUNCTION("""COMPUTED_VALUE"""),45342.64583333333)</f>
        <v>45342.64583</v>
      </c>
      <c r="DB45" s="45">
        <f>IFERROR(__xludf.DUMMYFUNCTION("""COMPUTED_VALUE"""),35.5)</f>
        <v>35.5</v>
      </c>
      <c r="DC45" s="46">
        <f t="shared" si="27"/>
        <v>0.2724014337</v>
      </c>
      <c r="DD45" s="37"/>
      <c r="DE45" s="37">
        <f>IFERROR(__xludf.DUMMYFUNCTION("""COMPUTED_VALUE"""),45342.64583333333)</f>
        <v>45342.64583</v>
      </c>
      <c r="DF45" s="45">
        <f>IFERROR(__xludf.DUMMYFUNCTION("""COMPUTED_VALUE"""),90.3)</f>
        <v>90.3</v>
      </c>
      <c r="DG45" s="46">
        <f t="shared" si="28"/>
        <v>-0.2030008826</v>
      </c>
      <c r="DH45" s="37"/>
      <c r="DI45" s="37">
        <f>IFERROR(__xludf.DUMMYFUNCTION("""COMPUTED_VALUE"""),45342.64583333333)</f>
        <v>45342.64583</v>
      </c>
      <c r="DJ45" s="45">
        <f>IFERROR(__xludf.DUMMYFUNCTION("""COMPUTED_VALUE"""),1874.65)</f>
        <v>1874.65</v>
      </c>
      <c r="DK45" s="46">
        <f t="shared" si="29"/>
        <v>0.1681517946</v>
      </c>
      <c r="DL45" s="37"/>
      <c r="DM45" s="37">
        <f>IFERROR(__xludf.DUMMYFUNCTION("""COMPUTED_VALUE"""),45342.64583333333)</f>
        <v>45342.64583</v>
      </c>
      <c r="DN45" s="45">
        <f>IFERROR(__xludf.DUMMYFUNCTION("""COMPUTED_VALUE"""),616.0)</f>
        <v>616</v>
      </c>
      <c r="DO45" s="46">
        <f t="shared" si="30"/>
        <v>0.1489322018</v>
      </c>
      <c r="DP45" s="37"/>
      <c r="DQ45" s="37">
        <f>IFERROR(__xludf.DUMMYFUNCTION("""COMPUTED_VALUE"""),45342.64583333333)</f>
        <v>45342.64583</v>
      </c>
      <c r="DR45" s="45">
        <f>IFERROR(__xludf.DUMMYFUNCTION("""COMPUTED_VALUE"""),247.7)</f>
        <v>247.7</v>
      </c>
      <c r="DS45" s="46">
        <f t="shared" si="31"/>
        <v>0.1362385321</v>
      </c>
      <c r="DT45" s="37"/>
      <c r="DU45" s="37">
        <f>IFERROR(__xludf.DUMMYFUNCTION("""COMPUTED_VALUE"""),45342.64583333333)</f>
        <v>45342.64583</v>
      </c>
      <c r="DV45" s="45">
        <f>IFERROR(__xludf.DUMMYFUNCTION("""COMPUTED_VALUE"""),881.03)</f>
        <v>881.03</v>
      </c>
      <c r="DW45" s="46">
        <f t="shared" si="32"/>
        <v>0.03589653145</v>
      </c>
      <c r="DX45" s="37"/>
      <c r="DY45" s="37">
        <f>IFERROR(__xludf.DUMMYFUNCTION("""COMPUTED_VALUE"""),45342.64583333333)</f>
        <v>45342.64583</v>
      </c>
      <c r="DZ45" s="45">
        <f>IFERROR(__xludf.DUMMYFUNCTION("""COMPUTED_VALUE"""),16.35)</f>
        <v>16.35</v>
      </c>
      <c r="EA45" s="46">
        <f t="shared" si="33"/>
        <v>0.5069124424</v>
      </c>
      <c r="EB45" s="37"/>
      <c r="EC45" s="37">
        <f>IFERROR(__xludf.DUMMYFUNCTION("""COMPUTED_VALUE"""),45342.64583333333)</f>
        <v>45342.64583</v>
      </c>
      <c r="ED45" s="45">
        <f>IFERROR(__xludf.DUMMYFUNCTION("""COMPUTED_VALUE"""),2319.65)</f>
        <v>2319.65</v>
      </c>
      <c r="EE45" s="46">
        <f t="shared" si="34"/>
        <v>-0.1230056711</v>
      </c>
      <c r="EF45" s="37"/>
      <c r="EG45" s="37">
        <f>IFERROR(__xludf.DUMMYFUNCTION("""COMPUTED_VALUE"""),45342.64583333333)</f>
        <v>45342.64583</v>
      </c>
      <c r="EH45" s="45">
        <f>IFERROR(__xludf.DUMMYFUNCTION("""COMPUTED_VALUE"""),1020.0)</f>
        <v>1020</v>
      </c>
      <c r="EI45" s="46">
        <f t="shared" si="35"/>
        <v>0.5726179463</v>
      </c>
      <c r="EJ45" s="37"/>
      <c r="EK45" s="37">
        <f>IFERROR(__xludf.DUMMYFUNCTION("""COMPUTED_VALUE"""),45342.64583333333)</f>
        <v>45342.64583</v>
      </c>
      <c r="EL45" s="45">
        <f>IFERROR(__xludf.DUMMYFUNCTION("""COMPUTED_VALUE"""),174.9)</f>
        <v>174.9</v>
      </c>
      <c r="EM45" s="46">
        <f t="shared" si="36"/>
        <v>-0.1341584158</v>
      </c>
      <c r="EN45" s="37"/>
      <c r="EO45" s="37">
        <f>IFERROR(__xludf.DUMMYFUNCTION("""COMPUTED_VALUE"""),45342.64583333333)</f>
        <v>45342.64583</v>
      </c>
      <c r="EP45" s="45">
        <f>IFERROR(__xludf.DUMMYFUNCTION("""COMPUTED_VALUE"""),186.0)</f>
        <v>186</v>
      </c>
      <c r="EQ45" s="46">
        <f t="shared" si="37"/>
        <v>0.2003872217</v>
      </c>
      <c r="ER45" s="37"/>
      <c r="ES45" s="37">
        <f>IFERROR(__xludf.DUMMYFUNCTION("""COMPUTED_VALUE"""),45342.64583333333)</f>
        <v>45342.64583</v>
      </c>
      <c r="ET45" s="45">
        <f>IFERROR(__xludf.DUMMYFUNCTION("""COMPUTED_VALUE"""),173.45)</f>
        <v>173.45</v>
      </c>
      <c r="EU45" s="46">
        <f t="shared" si="38"/>
        <v>-0.107537947</v>
      </c>
      <c r="EV45" s="37"/>
      <c r="EW45" s="37">
        <f>IFERROR(__xludf.DUMMYFUNCTION("""COMPUTED_VALUE"""),45342.64583333333)</f>
        <v>45342.64583</v>
      </c>
      <c r="EX45" s="45">
        <f>IFERROR(__xludf.DUMMYFUNCTION("""COMPUTED_VALUE"""),838.6)</f>
        <v>838.6</v>
      </c>
      <c r="EY45" s="46">
        <f t="shared" si="39"/>
        <v>0.2941358025</v>
      </c>
      <c r="EZ45" s="37"/>
      <c r="FA45" s="37">
        <f>IFERROR(__xludf.DUMMYFUNCTION("""COMPUTED_VALUE"""),45342.64583333333)</f>
        <v>45342.64583</v>
      </c>
      <c r="FB45" s="45">
        <f>IFERROR(__xludf.DUMMYFUNCTION("""COMPUTED_VALUE"""),234.0)</f>
        <v>234</v>
      </c>
      <c r="FC45" s="46">
        <f t="shared" si="40"/>
        <v>0.3417431193</v>
      </c>
      <c r="FD45" s="37"/>
      <c r="FE45" s="37">
        <f>IFERROR(__xludf.DUMMYFUNCTION("""COMPUTED_VALUE"""),45342.64583333333)</f>
        <v>45342.64583</v>
      </c>
      <c r="FF45" s="45">
        <f>IFERROR(__xludf.DUMMYFUNCTION("""COMPUTED_VALUE"""),378.9)</f>
        <v>378.9</v>
      </c>
      <c r="FG45" s="46">
        <f t="shared" si="41"/>
        <v>0.2431102362</v>
      </c>
      <c r="FH45" s="37"/>
      <c r="FI45" s="37">
        <f>IFERROR(__xludf.DUMMYFUNCTION("""COMPUTED_VALUE"""),45342.64583333333)</f>
        <v>45342.64583</v>
      </c>
      <c r="FJ45" s="45">
        <f>IFERROR(__xludf.DUMMYFUNCTION("""COMPUTED_VALUE"""),656.0)</f>
        <v>656</v>
      </c>
      <c r="FK45" s="46">
        <f t="shared" si="42"/>
        <v>0.08241894233</v>
      </c>
      <c r="FL45" s="37"/>
      <c r="FM45" s="37">
        <f>IFERROR(__xludf.DUMMYFUNCTION("""COMPUTED_VALUE"""),45342.64583333333)</f>
        <v>45342.64583</v>
      </c>
      <c r="FN45" s="45">
        <f>IFERROR(__xludf.DUMMYFUNCTION("""COMPUTED_VALUE"""),111.6)</f>
        <v>111.6</v>
      </c>
      <c r="FO45" s="46">
        <f t="shared" si="43"/>
        <v>0.1747368421</v>
      </c>
      <c r="FP45" s="37"/>
      <c r="FQ45" s="37">
        <f>IFERROR(__xludf.DUMMYFUNCTION("""COMPUTED_VALUE"""),45342.64583333333)</f>
        <v>45342.64583</v>
      </c>
      <c r="FR45" s="45">
        <f>IFERROR(__xludf.DUMMYFUNCTION("""COMPUTED_VALUE"""),3.85)</f>
        <v>3.85</v>
      </c>
      <c r="FS45" s="46">
        <f t="shared" si="44"/>
        <v>-0.3</v>
      </c>
      <c r="FT45" s="37"/>
      <c r="FU45" s="37">
        <f>IFERROR(__xludf.DUMMYFUNCTION("""COMPUTED_VALUE"""),45342.64583333333)</f>
        <v>45342.64583</v>
      </c>
      <c r="FV45" s="45">
        <f>IFERROR(__xludf.DUMMYFUNCTION("""COMPUTED_VALUE"""),907.5)</f>
        <v>907.5</v>
      </c>
      <c r="FW45" s="46">
        <f t="shared" si="45"/>
        <v>0.3594487304</v>
      </c>
      <c r="FX45" s="37"/>
      <c r="FY45" s="37">
        <f>IFERROR(__xludf.DUMMYFUNCTION("""COMPUTED_VALUE"""),45342.64583333333)</f>
        <v>45342.64583</v>
      </c>
      <c r="FZ45" s="45">
        <f>IFERROR(__xludf.DUMMYFUNCTION("""COMPUTED_VALUE"""),134.9)</f>
        <v>134.9</v>
      </c>
      <c r="GA45" s="46">
        <f t="shared" si="46"/>
        <v>-0.2055359246</v>
      </c>
      <c r="GB45" s="37"/>
      <c r="GC45" s="37">
        <f>IFERROR(__xludf.DUMMYFUNCTION("""COMPUTED_VALUE"""),45342.64583333333)</f>
        <v>45342.64583</v>
      </c>
      <c r="GD45" s="45">
        <f>IFERROR(__xludf.DUMMYFUNCTION("""COMPUTED_VALUE"""),357.9)</f>
        <v>357.9</v>
      </c>
      <c r="GE45" s="46">
        <f t="shared" si="47"/>
        <v>-0.2251569604</v>
      </c>
      <c r="GF45" s="37"/>
      <c r="GG45" s="37">
        <f>IFERROR(__xludf.DUMMYFUNCTION("""COMPUTED_VALUE"""),45342.64583333333)</f>
        <v>45342.64583</v>
      </c>
      <c r="GH45" s="45">
        <f>IFERROR(__xludf.DUMMYFUNCTION("""COMPUTED_VALUE"""),6975.7)</f>
        <v>6975.7</v>
      </c>
      <c r="GI45" s="46">
        <f t="shared" si="48"/>
        <v>0.3164181921</v>
      </c>
      <c r="GJ45" s="37"/>
      <c r="GK45" s="37">
        <f>IFERROR(__xludf.DUMMYFUNCTION("""COMPUTED_VALUE"""),45342.64583333333)</f>
        <v>45342.64583</v>
      </c>
      <c r="GL45" s="45">
        <f>IFERROR(__xludf.DUMMYFUNCTION("""COMPUTED_VALUE"""),79.75)</f>
        <v>79.75</v>
      </c>
      <c r="GM45" s="46">
        <f t="shared" si="49"/>
        <v>-0.2967372134</v>
      </c>
      <c r="GN45" s="37"/>
      <c r="GO45" s="37">
        <f>IFERROR(__xludf.DUMMYFUNCTION("""COMPUTED_VALUE"""),45342.64583333333)</f>
        <v>45342.64583</v>
      </c>
      <c r="GP45" s="45">
        <f>IFERROR(__xludf.DUMMYFUNCTION("""COMPUTED_VALUE"""),1322.2)</f>
        <v>1322.2</v>
      </c>
      <c r="GQ45" s="46">
        <f t="shared" si="50"/>
        <v>0.2024919285</v>
      </c>
      <c r="GR45" s="37"/>
      <c r="GS45" s="37">
        <f>IFERROR(__xludf.DUMMYFUNCTION("""COMPUTED_VALUE"""),45342.64583333333)</f>
        <v>45342.64583</v>
      </c>
      <c r="GT45" s="45">
        <f>IFERROR(__xludf.DUMMYFUNCTION("""COMPUTED_VALUE"""),13.8)</f>
        <v>13.8</v>
      </c>
      <c r="GU45" s="46">
        <f t="shared" si="51"/>
        <v>0.06563706564</v>
      </c>
      <c r="GV45" s="37"/>
      <c r="GW45" s="37">
        <f>IFERROR(__xludf.DUMMYFUNCTION("""COMPUTED_VALUE"""),45343.64583333333)</f>
        <v>45343.64583</v>
      </c>
      <c r="GX45" s="45">
        <f>IFERROR(__xludf.DUMMYFUNCTION("""COMPUTED_VALUE"""),17.6)</f>
        <v>17.6</v>
      </c>
      <c r="GY45" s="46">
        <f t="shared" si="52"/>
        <v>0.06666666667</v>
      </c>
      <c r="GZ45" s="37"/>
      <c r="HA45" s="37">
        <f>IFERROR(__xludf.DUMMYFUNCTION("""COMPUTED_VALUE"""),45343.64583333333)</f>
        <v>45343.64583</v>
      </c>
      <c r="HB45" s="45">
        <f>IFERROR(__xludf.DUMMYFUNCTION("""COMPUTED_VALUE"""),538.0)</f>
        <v>538</v>
      </c>
      <c r="HC45" s="46">
        <f t="shared" si="53"/>
        <v>-0.1151315789</v>
      </c>
      <c r="HD45" s="37"/>
      <c r="HE45" s="43">
        <f>IFERROR(__xludf.DUMMYFUNCTION("""COMPUTED_VALUE"""),45343.64583333333)</f>
        <v>45343.64583</v>
      </c>
      <c r="HF45" s="45">
        <f>IFERROR(__xludf.DUMMYFUNCTION("""COMPUTED_VALUE"""),2917.83)</f>
        <v>2917.83</v>
      </c>
      <c r="HG45" s="46" t="str">
        <f t="shared" si="54"/>
        <v>#DIV/0!</v>
      </c>
      <c r="HH45" s="37"/>
      <c r="HI45" s="37">
        <f>IFERROR(__xludf.DUMMYFUNCTION("""COMPUTED_VALUE"""),45343.64583333333)</f>
        <v>45343.64583</v>
      </c>
      <c r="HJ45" s="45">
        <f>IFERROR(__xludf.DUMMYFUNCTION("""COMPUTED_VALUE"""),7068.0)</f>
        <v>7068</v>
      </c>
      <c r="HK45" s="46">
        <f t="shared" si="55"/>
        <v>0.3831567206</v>
      </c>
      <c r="HL45" s="37"/>
      <c r="HM45" s="37">
        <f>IFERROR(__xludf.DUMMYFUNCTION("""COMPUTED_VALUE"""),45343.64583333333)</f>
        <v>45343.64583</v>
      </c>
      <c r="HN45" s="45">
        <f>IFERROR(__xludf.DUMMYFUNCTION("""COMPUTED_VALUE"""),334.45)</f>
        <v>334.45</v>
      </c>
      <c r="HO45" s="46">
        <f t="shared" si="56"/>
        <v>-0.1773459599</v>
      </c>
      <c r="HP45" s="37"/>
      <c r="HQ45" s="37">
        <f>IFERROR(__xludf.DUMMYFUNCTION("""COMPUTED_VALUE"""),45343.64583333333)</f>
        <v>45343.64583</v>
      </c>
      <c r="HR45" s="45">
        <f>IFERROR(__xludf.DUMMYFUNCTION("""COMPUTED_VALUE"""),255.85)</f>
        <v>255.85</v>
      </c>
      <c r="HS45" s="46">
        <f t="shared" si="57"/>
        <v>0.006095163193</v>
      </c>
      <c r="HT45" s="37"/>
      <c r="HU45" s="37">
        <f>IFERROR(__xludf.DUMMYFUNCTION("""COMPUTED_VALUE"""),45343.64583333333)</f>
        <v>45343.64583</v>
      </c>
      <c r="HV45" s="45">
        <f>IFERROR(__xludf.DUMMYFUNCTION("""COMPUTED_VALUE"""),60.0)</f>
        <v>60</v>
      </c>
      <c r="HW45" s="46">
        <f t="shared" si="58"/>
        <v>-0.03846153846</v>
      </c>
      <c r="HX45" s="37"/>
      <c r="HY45" s="37">
        <f>IFERROR(__xludf.DUMMYFUNCTION("""COMPUTED_VALUE"""),45343.64583333333)</f>
        <v>45343.64583</v>
      </c>
      <c r="HZ45" s="45">
        <f>IFERROR(__xludf.DUMMYFUNCTION("""COMPUTED_VALUE"""),358.95)</f>
        <v>358.95</v>
      </c>
      <c r="IA45" s="46">
        <f t="shared" si="59"/>
        <v>-0.2280645161</v>
      </c>
      <c r="IB45" s="37"/>
      <c r="IC45" s="37">
        <f>IFERROR(__xludf.DUMMYFUNCTION("""COMPUTED_VALUE"""),45343.64583333333)</f>
        <v>45343.64583</v>
      </c>
      <c r="ID45" s="45">
        <f>IFERROR(__xludf.DUMMYFUNCTION("""COMPUTED_VALUE"""),84.25)</f>
        <v>84.25</v>
      </c>
      <c r="IE45" s="46">
        <f t="shared" si="60"/>
        <v>-0.807977208</v>
      </c>
      <c r="IF45" s="37"/>
      <c r="IG45" s="37">
        <f>IFERROR(__xludf.DUMMYFUNCTION("""COMPUTED_VALUE"""),45343.64583333333)</f>
        <v>45343.64583</v>
      </c>
      <c r="IH45" s="45">
        <f>IFERROR(__xludf.DUMMYFUNCTION("""COMPUTED_VALUE"""),541.7)</f>
        <v>541.7</v>
      </c>
      <c r="II45" s="46">
        <f t="shared" si="61"/>
        <v>0.01632270169</v>
      </c>
      <c r="IJ45" s="37"/>
      <c r="IK45" s="37">
        <f>IFERROR(__xludf.DUMMYFUNCTION("""COMPUTED_VALUE"""),45343.64583333333)</f>
        <v>45343.64583</v>
      </c>
      <c r="IL45" s="45">
        <f>IFERROR(__xludf.DUMMYFUNCTION("""COMPUTED_VALUE"""),535.5)</f>
        <v>535.5</v>
      </c>
      <c r="IM45" s="46">
        <f t="shared" si="62"/>
        <v>-0.1334250344</v>
      </c>
      <c r="IN45" s="37"/>
      <c r="IO45" s="37">
        <f>IFERROR(__xludf.DUMMYFUNCTION("""COMPUTED_VALUE"""),45344.64583333333)</f>
        <v>45344.64583</v>
      </c>
      <c r="IP45" s="45">
        <f>IFERROR(__xludf.DUMMYFUNCTION("""COMPUTED_VALUE"""),266.15)</f>
        <v>266.15</v>
      </c>
      <c r="IQ45" s="46">
        <f t="shared" si="63"/>
        <v>1.117511337</v>
      </c>
      <c r="IR45" s="37"/>
      <c r="IS45" s="37">
        <f>IFERROR(__xludf.DUMMYFUNCTION("""COMPUTED_VALUE"""),45343.64583333333)</f>
        <v>45343.64583</v>
      </c>
      <c r="IT45" s="45">
        <f>IFERROR(__xludf.DUMMYFUNCTION("""COMPUTED_VALUE"""),969.3)</f>
        <v>969.3</v>
      </c>
      <c r="IU45" s="46">
        <f t="shared" si="64"/>
        <v>-0.03456175299</v>
      </c>
      <c r="IV45" s="37"/>
      <c r="IW45" s="37">
        <f>IFERROR(__xludf.DUMMYFUNCTION("""COMPUTED_VALUE"""),45343.64583333333)</f>
        <v>45343.64583</v>
      </c>
      <c r="IX45" s="45">
        <f>IFERROR(__xludf.DUMMYFUNCTION("""COMPUTED_VALUE"""),288.8)</f>
        <v>288.8</v>
      </c>
      <c r="IY45" s="46">
        <f t="shared" si="65"/>
        <v>0.4022821073</v>
      </c>
      <c r="IZ45" s="37"/>
      <c r="JA45" s="37">
        <f>IFERROR(__xludf.DUMMYFUNCTION("""COMPUTED_VALUE"""),45343.64583333333)</f>
        <v>45343.64583</v>
      </c>
      <c r="JB45" s="45">
        <f>IFERROR(__xludf.DUMMYFUNCTION("""COMPUTED_VALUE"""),31520.0)</f>
        <v>31520</v>
      </c>
      <c r="JC45" s="46">
        <f t="shared" si="66"/>
        <v>-0.1096711687</v>
      </c>
      <c r="JD45" s="37"/>
      <c r="JE45" s="37">
        <f>IFERROR(__xludf.DUMMYFUNCTION("""COMPUTED_VALUE"""),45343.64583333333)</f>
        <v>45343.64583</v>
      </c>
      <c r="JF45" s="45">
        <f>IFERROR(__xludf.DUMMYFUNCTION("""COMPUTED_VALUE"""),712.0)</f>
        <v>712</v>
      </c>
      <c r="JG45" s="46">
        <f t="shared" si="67"/>
        <v>0.103875969</v>
      </c>
      <c r="JH45" s="37"/>
      <c r="JI45" s="37">
        <f>IFERROR(__xludf.DUMMYFUNCTION("""COMPUTED_VALUE"""),45343.64583333333)</f>
        <v>45343.64583</v>
      </c>
      <c r="JJ45" s="45">
        <f>IFERROR(__xludf.DUMMYFUNCTION("""COMPUTED_VALUE"""),321.95)</f>
        <v>321.95</v>
      </c>
      <c r="JK45" s="46">
        <f t="shared" si="68"/>
        <v>-0.03593352298</v>
      </c>
      <c r="JL45" s="37"/>
      <c r="JM45" s="37">
        <f>IFERROR(__xludf.DUMMYFUNCTION("""COMPUTED_VALUE"""),45343.64583333333)</f>
        <v>45343.64583</v>
      </c>
      <c r="JN45" s="45">
        <f>IFERROR(__xludf.DUMMYFUNCTION("""COMPUTED_VALUE"""),16.0)</f>
        <v>16</v>
      </c>
      <c r="JO45" s="46">
        <f t="shared" si="69"/>
        <v>-0.9635327635</v>
      </c>
      <c r="JP45" s="37"/>
      <c r="JQ45" s="37">
        <f>IFERROR(__xludf.DUMMYFUNCTION("""COMPUTED_VALUE"""),45343.64583333333)</f>
        <v>45343.64583</v>
      </c>
      <c r="JR45" s="45">
        <f>IFERROR(__xludf.DUMMYFUNCTION("""COMPUTED_VALUE"""),88.0)</f>
        <v>88</v>
      </c>
      <c r="JS45" s="46">
        <f t="shared" si="70"/>
        <v>-0.3529411765</v>
      </c>
      <c r="JT45" s="37"/>
      <c r="JU45" s="37">
        <f>IFERROR(__xludf.DUMMYFUNCTION("""COMPUTED_VALUE"""),45343.64583333333)</f>
        <v>45343.64583</v>
      </c>
      <c r="JV45" s="45">
        <f>IFERROR(__xludf.DUMMYFUNCTION("""COMPUTED_VALUE"""),240.45)</f>
        <v>240.45</v>
      </c>
      <c r="JW45" s="46">
        <f t="shared" si="71"/>
        <v>-0.451965812</v>
      </c>
      <c r="JX45" s="37"/>
      <c r="JY45" s="37">
        <f>IFERROR(__xludf.DUMMYFUNCTION("""COMPUTED_VALUE"""),45343.64583333333)</f>
        <v>45343.64583</v>
      </c>
      <c r="JZ45" s="45">
        <f>IFERROR(__xludf.DUMMYFUNCTION("""COMPUTED_VALUE"""),594.85)</f>
        <v>594.85</v>
      </c>
      <c r="KA45" s="46">
        <f t="shared" si="72"/>
        <v>0.07958257713</v>
      </c>
      <c r="KB45" s="37"/>
      <c r="KC45" s="37">
        <f>IFERROR(__xludf.DUMMYFUNCTION("""COMPUTED_VALUE"""),45343.64583333333)</f>
        <v>45343.64583</v>
      </c>
      <c r="KD45" s="45">
        <f>IFERROR(__xludf.DUMMYFUNCTION("""COMPUTED_VALUE"""),879.3)</f>
        <v>879.3</v>
      </c>
      <c r="KE45" s="46">
        <f t="shared" si="73"/>
        <v>0.006582336443</v>
      </c>
      <c r="KF45" s="37"/>
      <c r="KG45" s="37">
        <f>IFERROR(__xludf.DUMMYFUNCTION("""COMPUTED_VALUE"""),45343.64583333333)</f>
        <v>45343.64583</v>
      </c>
      <c r="KH45" s="45">
        <f>IFERROR(__xludf.DUMMYFUNCTION("""COMPUTED_VALUE"""),543.0)</f>
        <v>543</v>
      </c>
      <c r="KI45" s="46">
        <f t="shared" si="74"/>
        <v>0.3923076923</v>
      </c>
      <c r="KJ45" s="37"/>
      <c r="KK45" s="37">
        <f>IFERROR(__xludf.DUMMYFUNCTION("""COMPUTED_VALUE"""),45343.64583333333)</f>
        <v>45343.64583</v>
      </c>
      <c r="KL45" s="45">
        <f>IFERROR(__xludf.DUMMYFUNCTION("""COMPUTED_VALUE"""),13.4)</f>
        <v>13.4</v>
      </c>
      <c r="KM45" s="46">
        <f t="shared" si="75"/>
        <v>0.4408602151</v>
      </c>
      <c r="KN45" s="37"/>
      <c r="KO45" s="37">
        <f>IFERROR(__xludf.DUMMYFUNCTION("""COMPUTED_VALUE"""),45343.64583333333)</f>
        <v>45343.64583</v>
      </c>
      <c r="KP45" s="45">
        <f>IFERROR(__xludf.DUMMYFUNCTION("""COMPUTED_VALUE"""),249.5)</f>
        <v>249.5</v>
      </c>
      <c r="KQ45" s="46">
        <f t="shared" si="76"/>
        <v>0.2272503689</v>
      </c>
      <c r="KR45" s="37"/>
      <c r="KS45" s="37">
        <f>IFERROR(__xludf.DUMMYFUNCTION("""COMPUTED_VALUE"""),45343.64583333333)</f>
        <v>45343.64583</v>
      </c>
      <c r="KT45" s="45">
        <f>IFERROR(__xludf.DUMMYFUNCTION("""COMPUTED_VALUE"""),16.65)</f>
        <v>16.65</v>
      </c>
      <c r="KU45" s="46">
        <f t="shared" si="77"/>
        <v>0.5067873303</v>
      </c>
      <c r="KV45" s="37"/>
      <c r="KW45" s="37">
        <f>IFERROR(__xludf.DUMMYFUNCTION("""COMPUTED_VALUE"""),45343.64583333333)</f>
        <v>45343.64583</v>
      </c>
      <c r="KX45" s="45">
        <f>IFERROR(__xludf.DUMMYFUNCTION("""COMPUTED_VALUE"""),2345.0)</f>
        <v>2345</v>
      </c>
      <c r="KY45" s="46">
        <f t="shared" si="78"/>
        <v>-0.121706399</v>
      </c>
      <c r="KZ45" s="37"/>
      <c r="LA45" s="37">
        <f>IFERROR(__xludf.DUMMYFUNCTION("""COMPUTED_VALUE"""),45343.64583333333)</f>
        <v>45343.64583</v>
      </c>
      <c r="LB45" s="45">
        <f>IFERROR(__xludf.DUMMYFUNCTION("""COMPUTED_VALUE"""),20.35)</f>
        <v>20.35</v>
      </c>
      <c r="LC45" s="46">
        <f t="shared" si="79"/>
        <v>0.07957559682</v>
      </c>
      <c r="LD45" s="37"/>
      <c r="LE45" s="37">
        <f>IFERROR(__xludf.DUMMYFUNCTION("""COMPUTED_VALUE"""),45343.64583333333)</f>
        <v>45343.64583</v>
      </c>
      <c r="LF45" s="45">
        <f>IFERROR(__xludf.DUMMYFUNCTION("""COMPUTED_VALUE"""),130.0)</f>
        <v>130</v>
      </c>
      <c r="LG45" s="46">
        <f t="shared" si="80"/>
        <v>0.04</v>
      </c>
      <c r="LH45" s="37"/>
      <c r="LI45" s="37">
        <f>IFERROR(__xludf.DUMMYFUNCTION("""COMPUTED_VALUE"""),45343.64583333333)</f>
        <v>45343.64583</v>
      </c>
      <c r="LJ45" s="45">
        <f>IFERROR(__xludf.DUMMYFUNCTION("""COMPUTED_VALUE"""),692.6)</f>
        <v>692.6</v>
      </c>
      <c r="LK45" s="46">
        <f t="shared" si="81"/>
        <v>-0.04862637363</v>
      </c>
      <c r="LL45" s="37"/>
      <c r="LM45" s="37">
        <f>IFERROR(__xludf.DUMMYFUNCTION("""COMPUTED_VALUE"""),45343.64583333333)</f>
        <v>45343.64583</v>
      </c>
      <c r="LN45" s="45">
        <f>IFERROR(__xludf.DUMMYFUNCTION("""COMPUTED_VALUE"""),792.0)</f>
        <v>792</v>
      </c>
      <c r="LO45" s="46">
        <f t="shared" si="82"/>
        <v>-0.07368421053</v>
      </c>
      <c r="LP45" s="37"/>
      <c r="LQ45" s="37">
        <f>IFERROR(__xludf.DUMMYFUNCTION("""COMPUTED_VALUE"""),45343.64583333333)</f>
        <v>45343.64583</v>
      </c>
      <c r="LR45" s="45">
        <f>IFERROR(__xludf.DUMMYFUNCTION("""COMPUTED_VALUE"""),628.0)</f>
        <v>628</v>
      </c>
      <c r="LS45" s="46">
        <f t="shared" si="83"/>
        <v>0.7186644773</v>
      </c>
      <c r="LT45" s="37"/>
      <c r="LU45" s="37">
        <f>IFERROR(__xludf.DUMMYFUNCTION("""COMPUTED_VALUE"""),45343.64583333333)</f>
        <v>45343.64583</v>
      </c>
      <c r="LV45" s="45">
        <f>IFERROR(__xludf.DUMMYFUNCTION("""COMPUTED_VALUE"""),129.9)</f>
        <v>129.9</v>
      </c>
      <c r="LW45" s="46">
        <f t="shared" si="84"/>
        <v>-0.05043859649</v>
      </c>
      <c r="LX45" s="37"/>
      <c r="LY45" s="37">
        <f>IFERROR(__xludf.DUMMYFUNCTION("""COMPUTED_VALUE"""),45343.64583333333)</f>
        <v>45343.64583</v>
      </c>
      <c r="LZ45" s="45">
        <f>IFERROR(__xludf.DUMMYFUNCTION("""COMPUTED_VALUE"""),672.95)</f>
        <v>672.95</v>
      </c>
      <c r="MA45" s="46">
        <f t="shared" si="85"/>
        <v>0.08540322581</v>
      </c>
      <c r="MB45" s="37"/>
      <c r="MC45" s="37"/>
      <c r="MD45" s="45"/>
      <c r="ME45" s="46" t="str">
        <f t="shared" si="86"/>
        <v>#DIV/0!</v>
      </c>
      <c r="MF45" s="37"/>
      <c r="MG45" s="37">
        <f>IFERROR(__xludf.DUMMYFUNCTION("""COMPUTED_VALUE"""),45343.64583333333)</f>
        <v>45343.64583</v>
      </c>
      <c r="MH45" s="45">
        <f>IFERROR(__xludf.DUMMYFUNCTION("""COMPUTED_VALUE"""),1980.0)</f>
        <v>1980</v>
      </c>
      <c r="MI45" s="46">
        <f t="shared" si="87"/>
        <v>0.00971467911</v>
      </c>
      <c r="MJ45" s="37"/>
      <c r="MK45" s="37">
        <f>IFERROR(__xludf.DUMMYFUNCTION("""COMPUTED_VALUE"""),45343.64583333333)</f>
        <v>45343.64583</v>
      </c>
      <c r="ML45" s="45">
        <f>IFERROR(__xludf.DUMMYFUNCTION("""COMPUTED_VALUE"""),344.95)</f>
        <v>344.95</v>
      </c>
      <c r="MM45" s="46">
        <f t="shared" si="88"/>
        <v>-0.1375171896</v>
      </c>
      <c r="MN45" s="37"/>
      <c r="MO45" s="37">
        <f>IFERROR(__xludf.DUMMYFUNCTION("""COMPUTED_VALUE"""),45343.64583333333)</f>
        <v>45343.64583</v>
      </c>
      <c r="MP45" s="45">
        <f>IFERROR(__xludf.DUMMYFUNCTION("""COMPUTED_VALUE"""),984.0)</f>
        <v>984</v>
      </c>
      <c r="MQ45" s="46">
        <f t="shared" si="89"/>
        <v>0.3297297297</v>
      </c>
      <c r="MR45" s="37"/>
      <c r="MS45" s="37">
        <f>IFERROR(__xludf.DUMMYFUNCTION("""COMPUTED_VALUE"""),45343.64583333333)</f>
        <v>45343.64583</v>
      </c>
      <c r="MT45" s="45">
        <f>IFERROR(__xludf.DUMMYFUNCTION("""COMPUTED_VALUE"""),64.75)</f>
        <v>64.75</v>
      </c>
      <c r="MU45" s="46">
        <f t="shared" si="90"/>
        <v>-0.02116402116</v>
      </c>
      <c r="MV45" s="37"/>
      <c r="MW45" s="37">
        <f>IFERROR(__xludf.DUMMYFUNCTION("""COMPUTED_VALUE"""),45343.64583333333)</f>
        <v>45343.64583</v>
      </c>
      <c r="MX45" s="45">
        <f>IFERROR(__xludf.DUMMYFUNCTION("""COMPUTED_VALUE"""),3240.0)</f>
        <v>3240</v>
      </c>
      <c r="MY45" s="46">
        <f t="shared" si="91"/>
        <v>0.02955195424</v>
      </c>
      <c r="MZ45" s="37"/>
      <c r="NA45" s="37">
        <f>IFERROR(__xludf.DUMMYFUNCTION("""COMPUTED_VALUE"""),45343.64583333333)</f>
        <v>45343.64583</v>
      </c>
      <c r="NB45" s="45">
        <f>IFERROR(__xludf.DUMMYFUNCTION("""COMPUTED_VALUE"""),14.05)</f>
        <v>14.05</v>
      </c>
      <c r="NC45" s="46">
        <f t="shared" si="92"/>
        <v>0.1106719368</v>
      </c>
      <c r="ND45" s="37"/>
      <c r="NE45" s="37">
        <f>IFERROR(__xludf.DUMMYFUNCTION("""COMPUTED_VALUE"""),45344.64583333333)</f>
        <v>45344.64583</v>
      </c>
      <c r="NF45" s="45">
        <f>IFERROR(__xludf.DUMMYFUNCTION("""COMPUTED_VALUE"""),372.0)</f>
        <v>372</v>
      </c>
      <c r="NG45" s="46">
        <f t="shared" si="93"/>
        <v>-0.0285938112</v>
      </c>
      <c r="NH45" s="37"/>
      <c r="NI45" s="37">
        <f>IFERROR(__xludf.DUMMYFUNCTION("""COMPUTED_VALUE"""),45344.64583333333)</f>
        <v>45344.64583</v>
      </c>
      <c r="NJ45" s="45">
        <f>IFERROR(__xludf.DUMMYFUNCTION("""COMPUTED_VALUE"""),366.7)</f>
        <v>366.7</v>
      </c>
      <c r="NK45" s="46">
        <f t="shared" si="94"/>
        <v>0.3751078112</v>
      </c>
      <c r="NL45" s="37"/>
      <c r="NM45" s="37">
        <f>IFERROR(__xludf.DUMMYFUNCTION("""COMPUTED_VALUE"""),45344.64583333333)</f>
        <v>45344.64583</v>
      </c>
      <c r="NN45" s="45">
        <f>IFERROR(__xludf.DUMMYFUNCTION("""COMPUTED_VALUE"""),132.2)</f>
        <v>132.2</v>
      </c>
      <c r="NO45" s="46">
        <f t="shared" si="95"/>
        <v>0.07218167072</v>
      </c>
      <c r="NP45" s="37"/>
      <c r="NQ45" s="37">
        <f>IFERROR(__xludf.DUMMYFUNCTION("""COMPUTED_VALUE"""),45344.64583333333)</f>
        <v>45344.64583</v>
      </c>
      <c r="NR45" s="45">
        <f>IFERROR(__xludf.DUMMYFUNCTION("""COMPUTED_VALUE"""),4578.8)</f>
        <v>4578.8</v>
      </c>
      <c r="NS45" s="46">
        <f t="shared" si="96"/>
        <v>0.0964559387</v>
      </c>
      <c r="NT45" s="37"/>
      <c r="NU45" s="37">
        <f>IFERROR(__xludf.DUMMYFUNCTION("""COMPUTED_VALUE"""),45344.64583333333)</f>
        <v>45344.64583</v>
      </c>
      <c r="NV45" s="45">
        <f>IFERROR(__xludf.DUMMYFUNCTION("""COMPUTED_VALUE"""),15.35)</f>
        <v>15.35</v>
      </c>
      <c r="NW45" s="46">
        <f t="shared" si="97"/>
        <v>0.2086614173</v>
      </c>
      <c r="NX45" s="37"/>
      <c r="NY45" s="37">
        <f>IFERROR(__xludf.DUMMYFUNCTION("""COMPUTED_VALUE"""),45344.64583333333)</f>
        <v>45344.64583</v>
      </c>
      <c r="NZ45" s="45">
        <f>IFERROR(__xludf.DUMMYFUNCTION("""COMPUTED_VALUE"""),232.75)</f>
        <v>232.75</v>
      </c>
      <c r="OA45" s="46">
        <f t="shared" si="98"/>
        <v>-0.0569286872</v>
      </c>
      <c r="OB45" s="37"/>
      <c r="OC45" s="37">
        <f>IFERROR(__xludf.DUMMYFUNCTION("""COMPUTED_VALUE"""),45344.64583333333)</f>
        <v>45344.64583</v>
      </c>
      <c r="OD45" s="45">
        <f>IFERROR(__xludf.DUMMYFUNCTION("""COMPUTED_VALUE"""),1164.75)</f>
        <v>1164.75</v>
      </c>
      <c r="OE45" s="46">
        <f t="shared" si="99"/>
        <v>0.1051283268</v>
      </c>
      <c r="OF45" s="37"/>
      <c r="OG45" s="37">
        <f>IFERROR(__xludf.DUMMYFUNCTION("""COMPUTED_VALUE"""),45344.64583333333)</f>
        <v>45344.64583</v>
      </c>
      <c r="OH45" s="45">
        <f>IFERROR(__xludf.DUMMYFUNCTION("""COMPUTED_VALUE"""),2870.35)</f>
        <v>2870.35</v>
      </c>
      <c r="OI45" s="46">
        <f t="shared" si="100"/>
        <v>0.1764693827</v>
      </c>
      <c r="OJ45" s="37"/>
      <c r="OK45" s="37"/>
      <c r="OL45" s="45"/>
      <c r="OM45" s="46" t="str">
        <f t="shared" si="101"/>
        <v>#DIV/0!</v>
      </c>
      <c r="ON45" s="37"/>
    </row>
    <row r="46" ht="12.0" customHeight="1">
      <c r="A46" s="37">
        <f>IFERROR(__xludf.DUMMYFUNCTION("""COMPUTED_VALUE"""),45343.64583333333)</f>
        <v>45343.64583</v>
      </c>
      <c r="B46" s="45">
        <f>IFERROR(__xludf.DUMMYFUNCTION("""COMPUTED_VALUE"""),406.2)</f>
        <v>406.2</v>
      </c>
      <c r="C46" s="46">
        <f t="shared" si="1"/>
        <v>-0.07418803419</v>
      </c>
      <c r="D46" s="37"/>
      <c r="E46" s="37">
        <f>IFERROR(__xludf.DUMMYFUNCTION("""COMPUTED_VALUE"""),45343.64583333333)</f>
        <v>45343.64583</v>
      </c>
      <c r="F46" s="45">
        <f>IFERROR(__xludf.DUMMYFUNCTION("""COMPUTED_VALUE"""),679.85)</f>
        <v>679.85</v>
      </c>
      <c r="G46" s="46">
        <f t="shared" si="2"/>
        <v>0.0379389313</v>
      </c>
      <c r="H46" s="37"/>
      <c r="I46" s="37">
        <f>IFERROR(__xludf.DUMMYFUNCTION("""COMPUTED_VALUE"""),45343.64583333333)</f>
        <v>45343.64583</v>
      </c>
      <c r="J46" s="45">
        <f>IFERROR(__xludf.DUMMYFUNCTION("""COMPUTED_VALUE"""),192.55)</f>
        <v>192.55</v>
      </c>
      <c r="K46" s="46">
        <f t="shared" si="3"/>
        <v>0.0464673913</v>
      </c>
      <c r="L46" s="37"/>
      <c r="M46" s="37">
        <f>IFERROR(__xludf.DUMMYFUNCTION("""COMPUTED_VALUE"""),45343.64583333333)</f>
        <v>45343.64583</v>
      </c>
      <c r="N46" s="45">
        <f>IFERROR(__xludf.DUMMYFUNCTION("""COMPUTED_VALUE"""),115.75)</f>
        <v>115.75</v>
      </c>
      <c r="O46" s="46">
        <f t="shared" si="4"/>
        <v>0.3396990741</v>
      </c>
      <c r="P46" s="37"/>
      <c r="Q46" s="37">
        <f>IFERROR(__xludf.DUMMYFUNCTION("""COMPUTED_VALUE"""),45343.64583333333)</f>
        <v>45343.64583</v>
      </c>
      <c r="R46" s="45">
        <f>IFERROR(__xludf.DUMMYFUNCTION("""COMPUTED_VALUE"""),54.4)</f>
        <v>54.4</v>
      </c>
      <c r="S46" s="46">
        <f t="shared" si="5"/>
        <v>0.03619047619</v>
      </c>
      <c r="T46" s="37"/>
      <c r="U46" s="37">
        <f>IFERROR(__xludf.DUMMYFUNCTION("""COMPUTED_VALUE"""),45343.64583333333)</f>
        <v>45343.64583</v>
      </c>
      <c r="V46" s="45">
        <f>IFERROR(__xludf.DUMMYFUNCTION("""COMPUTED_VALUE"""),642.0)</f>
        <v>642</v>
      </c>
      <c r="W46" s="46">
        <f t="shared" si="6"/>
        <v>-0.03079710145</v>
      </c>
      <c r="X46" s="37"/>
      <c r="Y46" s="37">
        <f>IFERROR(__xludf.DUMMYFUNCTION("""COMPUTED_VALUE"""),45343.64583333333)</f>
        <v>45343.64583</v>
      </c>
      <c r="Z46" s="45">
        <f>IFERROR(__xludf.DUMMYFUNCTION("""COMPUTED_VALUE"""),209.9)</f>
        <v>209.9</v>
      </c>
      <c r="AA46" s="46">
        <f t="shared" si="7"/>
        <v>0.1345945946</v>
      </c>
      <c r="AB46" s="37"/>
      <c r="AC46" s="37">
        <f>IFERROR(__xludf.DUMMYFUNCTION("""COMPUTED_VALUE"""),45343.64583333333)</f>
        <v>45343.64583</v>
      </c>
      <c r="AD46" s="45">
        <f>IFERROR(__xludf.DUMMYFUNCTION("""COMPUTED_VALUE"""),2917.83)</f>
        <v>2917.83</v>
      </c>
      <c r="AE46" s="46">
        <f t="shared" si="8"/>
        <v>0.2288186987</v>
      </c>
      <c r="AF46" s="37"/>
      <c r="AG46" s="37">
        <f>IFERROR(__xludf.DUMMYFUNCTION("""COMPUTED_VALUE"""),45343.64583333333)</f>
        <v>45343.64583</v>
      </c>
      <c r="AH46" s="45">
        <f>IFERROR(__xludf.DUMMYFUNCTION("""COMPUTED_VALUE"""),687.95)</f>
        <v>687.95</v>
      </c>
      <c r="AI46" s="46">
        <f t="shared" si="9"/>
        <v>-0.1810119048</v>
      </c>
      <c r="AJ46" s="37"/>
      <c r="AK46" s="37">
        <f>IFERROR(__xludf.DUMMYFUNCTION("""COMPUTED_VALUE"""),45343.64583333333)</f>
        <v>45343.64583</v>
      </c>
      <c r="AL46" s="45">
        <f>IFERROR(__xludf.DUMMYFUNCTION("""COMPUTED_VALUE"""),7068.0)</f>
        <v>7068</v>
      </c>
      <c r="AM46" s="46">
        <f t="shared" si="10"/>
        <v>0.3592307692</v>
      </c>
      <c r="AN46" s="37"/>
      <c r="AO46" s="37">
        <f>IFERROR(__xludf.DUMMYFUNCTION("""COMPUTED_VALUE"""),45343.64583333333)</f>
        <v>45343.64583</v>
      </c>
      <c r="AP46" s="45">
        <f>IFERROR(__xludf.DUMMYFUNCTION("""COMPUTED_VALUE"""),905.1)</f>
        <v>905.1</v>
      </c>
      <c r="AQ46" s="46">
        <f t="shared" si="11"/>
        <v>-0.005384615385</v>
      </c>
      <c r="AR46" s="37"/>
      <c r="AS46" s="37">
        <f>IFERROR(__xludf.DUMMYFUNCTION("""COMPUTED_VALUE"""),45343.64583333333)</f>
        <v>45343.64583</v>
      </c>
      <c r="AT46" s="45">
        <f>IFERROR(__xludf.DUMMYFUNCTION("""COMPUTED_VALUE"""),2378.0)</f>
        <v>2378</v>
      </c>
      <c r="AU46" s="46">
        <f t="shared" si="12"/>
        <v>-0.04263456661</v>
      </c>
      <c r="AV46" s="37"/>
      <c r="AW46" s="37">
        <f>IFERROR(__xludf.DUMMYFUNCTION("""COMPUTED_VALUE"""),45343.64583333333)</f>
        <v>45343.64583</v>
      </c>
      <c r="AX46" s="45">
        <f>IFERROR(__xludf.DUMMYFUNCTION("""COMPUTED_VALUE"""),5527.3)</f>
        <v>5527.3</v>
      </c>
      <c r="AY46" s="46">
        <f t="shared" si="13"/>
        <v>-0.02078092336</v>
      </c>
      <c r="AZ46" s="37"/>
      <c r="BA46" s="37">
        <f>IFERROR(__xludf.DUMMYFUNCTION("""COMPUTED_VALUE"""),45343.64583333333)</f>
        <v>45343.64583</v>
      </c>
      <c r="BB46" s="45">
        <f>IFERROR(__xludf.DUMMYFUNCTION("""COMPUTED_VALUE"""),536.3)</f>
        <v>536.3</v>
      </c>
      <c r="BC46" s="46">
        <f t="shared" si="14"/>
        <v>0.1447171825</v>
      </c>
      <c r="BD46" s="37"/>
      <c r="BE46" s="37">
        <f>IFERROR(__xludf.DUMMYFUNCTION("""COMPUTED_VALUE"""),45343.64583333333)</f>
        <v>45343.64583</v>
      </c>
      <c r="BF46" s="45">
        <f>IFERROR(__xludf.DUMMYFUNCTION("""COMPUTED_VALUE"""),299.95)</f>
        <v>299.95</v>
      </c>
      <c r="BG46" s="46">
        <f t="shared" si="15"/>
        <v>-0.263022113</v>
      </c>
      <c r="BH46" s="37"/>
      <c r="BI46" s="37">
        <f>IFERROR(__xludf.DUMMYFUNCTION("""COMPUTED_VALUE"""),45343.64583333333)</f>
        <v>45343.64583</v>
      </c>
      <c r="BJ46" s="45">
        <f>IFERROR(__xludf.DUMMYFUNCTION("""COMPUTED_VALUE"""),74.0)</f>
        <v>74</v>
      </c>
      <c r="BK46" s="46">
        <f t="shared" si="16"/>
        <v>0.06551475882</v>
      </c>
      <c r="BL46" s="37"/>
      <c r="BM46" s="37">
        <f>IFERROR(__xludf.DUMMYFUNCTION("""COMPUTED_VALUE"""),45343.64583333333)</f>
        <v>45343.64583</v>
      </c>
      <c r="BN46" s="45">
        <f>IFERROR(__xludf.DUMMYFUNCTION("""COMPUTED_VALUE"""),255.85)</f>
        <v>255.85</v>
      </c>
      <c r="BO46" s="46">
        <f t="shared" si="17"/>
        <v>-0.0005859375</v>
      </c>
      <c r="BP46" s="37"/>
      <c r="BQ46" s="37">
        <f>IFERROR(__xludf.DUMMYFUNCTION("""COMPUTED_VALUE"""),45343.64583333333)</f>
        <v>45343.64583</v>
      </c>
      <c r="BR46" s="45">
        <f>IFERROR(__xludf.DUMMYFUNCTION("""COMPUTED_VALUE"""),60.0)</f>
        <v>60</v>
      </c>
      <c r="BS46" s="46">
        <f t="shared" si="18"/>
        <v>-0.01477832512</v>
      </c>
      <c r="BT46" s="37"/>
      <c r="BU46" s="37">
        <f>IFERROR(__xludf.DUMMYFUNCTION("""COMPUTED_VALUE"""),45343.64583333333)</f>
        <v>45343.64583</v>
      </c>
      <c r="BV46" s="45">
        <f>IFERROR(__xludf.DUMMYFUNCTION("""COMPUTED_VALUE"""),328.75)</f>
        <v>328.75</v>
      </c>
      <c r="BW46" s="46">
        <f t="shared" si="19"/>
        <v>0.06254040078</v>
      </c>
      <c r="BX46" s="37"/>
      <c r="BY46" s="37">
        <f>IFERROR(__xludf.DUMMYFUNCTION("""COMPUTED_VALUE"""),45343.64583333333)</f>
        <v>45343.64583</v>
      </c>
      <c r="BZ46" s="45">
        <f>IFERROR(__xludf.DUMMYFUNCTION("""COMPUTED_VALUE"""),358.95)</f>
        <v>358.95</v>
      </c>
      <c r="CA46" s="46">
        <f t="shared" si="20"/>
        <v>-0.1234432234</v>
      </c>
      <c r="CB46" s="37"/>
      <c r="CC46" s="37">
        <f>IFERROR(__xludf.DUMMYFUNCTION("""COMPUTED_VALUE"""),45343.64583333333)</f>
        <v>45343.64583</v>
      </c>
      <c r="CD46" s="45">
        <f>IFERROR(__xludf.DUMMYFUNCTION("""COMPUTED_VALUE"""),261.1)</f>
        <v>261.1</v>
      </c>
      <c r="CE46" s="46">
        <f t="shared" si="21"/>
        <v>0.1268882175</v>
      </c>
      <c r="CF46" s="37"/>
      <c r="CG46" s="37">
        <f>IFERROR(__xludf.DUMMYFUNCTION("""COMPUTED_VALUE"""),45343.64583333333)</f>
        <v>45343.64583</v>
      </c>
      <c r="CH46" s="45">
        <f>IFERROR(__xludf.DUMMYFUNCTION("""COMPUTED_VALUE"""),712.0)</f>
        <v>712</v>
      </c>
      <c r="CI46" s="46">
        <f t="shared" si="22"/>
        <v>0.1194968553</v>
      </c>
      <c r="CJ46" s="37"/>
      <c r="CK46" s="37">
        <f>IFERROR(__xludf.DUMMYFUNCTION("""COMPUTED_VALUE"""),45343.64583333333)</f>
        <v>45343.64583</v>
      </c>
      <c r="CL46" s="45">
        <f>IFERROR(__xludf.DUMMYFUNCTION("""COMPUTED_VALUE"""),321.95)</f>
        <v>321.95</v>
      </c>
      <c r="CM46" s="46">
        <f t="shared" si="23"/>
        <v>-0.04465875371</v>
      </c>
      <c r="CN46" s="37"/>
      <c r="CO46" s="37">
        <f>IFERROR(__xludf.DUMMYFUNCTION("""COMPUTED_VALUE"""),45343.64583333333)</f>
        <v>45343.64583</v>
      </c>
      <c r="CP46" s="45">
        <f>IFERROR(__xludf.DUMMYFUNCTION("""COMPUTED_VALUE"""),16.0)</f>
        <v>16</v>
      </c>
      <c r="CQ46" s="46">
        <f t="shared" si="24"/>
        <v>0.08108108108</v>
      </c>
      <c r="CR46" s="37"/>
      <c r="CS46" s="37">
        <f>IFERROR(__xludf.DUMMYFUNCTION("""COMPUTED_VALUE"""),45343.64583333333)</f>
        <v>45343.64583</v>
      </c>
      <c r="CT46" s="45">
        <f>IFERROR(__xludf.DUMMYFUNCTION("""COMPUTED_VALUE"""),211.95)</f>
        <v>211.95</v>
      </c>
      <c r="CU46" s="46">
        <f t="shared" si="25"/>
        <v>0.07045454545</v>
      </c>
      <c r="CV46" s="37"/>
      <c r="CW46" s="37">
        <f>IFERROR(__xludf.DUMMYFUNCTION("""COMPUTED_VALUE"""),45343.64583333333)</f>
        <v>45343.64583</v>
      </c>
      <c r="CX46" s="45">
        <f>IFERROR(__xludf.DUMMYFUNCTION("""COMPUTED_VALUE"""),849.9)</f>
        <v>849.9</v>
      </c>
      <c r="CY46" s="46">
        <f t="shared" si="26"/>
        <v>0.2285697765</v>
      </c>
      <c r="CZ46" s="37"/>
      <c r="DA46" s="37">
        <f>IFERROR(__xludf.DUMMYFUNCTION("""COMPUTED_VALUE"""),45343.64583333333)</f>
        <v>45343.64583</v>
      </c>
      <c r="DB46" s="45">
        <f>IFERROR(__xludf.DUMMYFUNCTION("""COMPUTED_VALUE"""),35.45)</f>
        <v>35.45</v>
      </c>
      <c r="DC46" s="46">
        <f t="shared" si="27"/>
        <v>0.270609319</v>
      </c>
      <c r="DD46" s="37"/>
      <c r="DE46" s="37">
        <f>IFERROR(__xludf.DUMMYFUNCTION("""COMPUTED_VALUE"""),45343.64583333333)</f>
        <v>45343.64583</v>
      </c>
      <c r="DF46" s="45">
        <f>IFERROR(__xludf.DUMMYFUNCTION("""COMPUTED_VALUE"""),88.0)</f>
        <v>88</v>
      </c>
      <c r="DG46" s="46">
        <f t="shared" si="28"/>
        <v>-0.2233009709</v>
      </c>
      <c r="DH46" s="37"/>
      <c r="DI46" s="37">
        <f>IFERROR(__xludf.DUMMYFUNCTION("""COMPUTED_VALUE"""),45343.64583333333)</f>
        <v>45343.64583</v>
      </c>
      <c r="DJ46" s="45">
        <f>IFERROR(__xludf.DUMMYFUNCTION("""COMPUTED_VALUE"""),1860.0)</f>
        <v>1860</v>
      </c>
      <c r="DK46" s="46">
        <f t="shared" si="29"/>
        <v>0.1590229312</v>
      </c>
      <c r="DL46" s="37"/>
      <c r="DM46" s="37">
        <f>IFERROR(__xludf.DUMMYFUNCTION("""COMPUTED_VALUE"""),45343.64583333333)</f>
        <v>45343.64583</v>
      </c>
      <c r="DN46" s="45">
        <f>IFERROR(__xludf.DUMMYFUNCTION("""COMPUTED_VALUE"""),609.5)</f>
        <v>609.5</v>
      </c>
      <c r="DO46" s="46">
        <f t="shared" si="30"/>
        <v>0.1368087289</v>
      </c>
      <c r="DP46" s="37"/>
      <c r="DQ46" s="37">
        <f>IFERROR(__xludf.DUMMYFUNCTION("""COMPUTED_VALUE"""),45343.64583333333)</f>
        <v>45343.64583</v>
      </c>
      <c r="DR46" s="45">
        <f>IFERROR(__xludf.DUMMYFUNCTION("""COMPUTED_VALUE"""),244.3)</f>
        <v>244.3</v>
      </c>
      <c r="DS46" s="46">
        <f t="shared" si="31"/>
        <v>0.1206422018</v>
      </c>
      <c r="DT46" s="37"/>
      <c r="DU46" s="37">
        <f>IFERROR(__xludf.DUMMYFUNCTION("""COMPUTED_VALUE"""),45343.64583333333)</f>
        <v>45343.64583</v>
      </c>
      <c r="DV46" s="45">
        <f>IFERROR(__xludf.DUMMYFUNCTION("""COMPUTED_VALUE"""),879.3)</f>
        <v>879.3</v>
      </c>
      <c r="DW46" s="46">
        <f t="shared" si="32"/>
        <v>0.03386243386</v>
      </c>
      <c r="DX46" s="37"/>
      <c r="DY46" s="37">
        <f>IFERROR(__xludf.DUMMYFUNCTION("""COMPUTED_VALUE"""),45343.64583333333)</f>
        <v>45343.64583</v>
      </c>
      <c r="DZ46" s="45">
        <f>IFERROR(__xludf.DUMMYFUNCTION("""COMPUTED_VALUE"""),16.65)</f>
        <v>16.65</v>
      </c>
      <c r="EA46" s="46">
        <f t="shared" si="33"/>
        <v>0.534562212</v>
      </c>
      <c r="EB46" s="37"/>
      <c r="EC46" s="37">
        <f>IFERROR(__xludf.DUMMYFUNCTION("""COMPUTED_VALUE"""),45343.64583333333)</f>
        <v>45343.64583</v>
      </c>
      <c r="ED46" s="45">
        <f>IFERROR(__xludf.DUMMYFUNCTION("""COMPUTED_VALUE"""),2345.0)</f>
        <v>2345</v>
      </c>
      <c r="EE46" s="46">
        <f t="shared" si="34"/>
        <v>-0.1134215501</v>
      </c>
      <c r="EF46" s="37"/>
      <c r="EG46" s="37">
        <f>IFERROR(__xludf.DUMMYFUNCTION("""COMPUTED_VALUE"""),45343.64583333333)</f>
        <v>45343.64583</v>
      </c>
      <c r="EH46" s="45">
        <f>IFERROR(__xludf.DUMMYFUNCTION("""COMPUTED_VALUE"""),992.95)</f>
        <v>992.95</v>
      </c>
      <c r="EI46" s="46">
        <f t="shared" si="35"/>
        <v>0.5309127351</v>
      </c>
      <c r="EJ46" s="37"/>
      <c r="EK46" s="37">
        <f>IFERROR(__xludf.DUMMYFUNCTION("""COMPUTED_VALUE"""),45343.64583333333)</f>
        <v>45343.64583</v>
      </c>
      <c r="EL46" s="45">
        <f>IFERROR(__xludf.DUMMYFUNCTION("""COMPUTED_VALUE"""),174.05)</f>
        <v>174.05</v>
      </c>
      <c r="EM46" s="46">
        <f t="shared" si="36"/>
        <v>-0.1383663366</v>
      </c>
      <c r="EN46" s="37"/>
      <c r="EO46" s="37">
        <f>IFERROR(__xludf.DUMMYFUNCTION("""COMPUTED_VALUE"""),45343.64583333333)</f>
        <v>45343.64583</v>
      </c>
      <c r="EP46" s="45">
        <f>IFERROR(__xludf.DUMMYFUNCTION("""COMPUTED_VALUE"""),185.45)</f>
        <v>185.45</v>
      </c>
      <c r="EQ46" s="46">
        <f t="shared" si="37"/>
        <v>0.1968376896</v>
      </c>
      <c r="ER46" s="37"/>
      <c r="ES46" s="37">
        <f>IFERROR(__xludf.DUMMYFUNCTION("""COMPUTED_VALUE"""),45343.64583333333)</f>
        <v>45343.64583</v>
      </c>
      <c r="ET46" s="45">
        <f>IFERROR(__xludf.DUMMYFUNCTION("""COMPUTED_VALUE"""),173.5)</f>
        <v>173.5</v>
      </c>
      <c r="EU46" s="46">
        <f t="shared" si="38"/>
        <v>-0.1072806792</v>
      </c>
      <c r="EV46" s="37"/>
      <c r="EW46" s="37">
        <f>IFERROR(__xludf.DUMMYFUNCTION("""COMPUTED_VALUE"""),45343.64583333333)</f>
        <v>45343.64583</v>
      </c>
      <c r="EX46" s="45">
        <f>IFERROR(__xludf.DUMMYFUNCTION("""COMPUTED_VALUE"""),834.8)</f>
        <v>834.8</v>
      </c>
      <c r="EY46" s="46">
        <f t="shared" si="39"/>
        <v>0.2882716049</v>
      </c>
      <c r="EZ46" s="37"/>
      <c r="FA46" s="37">
        <f>IFERROR(__xludf.DUMMYFUNCTION("""COMPUTED_VALUE"""),45343.64583333333)</f>
        <v>45343.64583</v>
      </c>
      <c r="FB46" s="45">
        <f>IFERROR(__xludf.DUMMYFUNCTION("""COMPUTED_VALUE"""),226.0)</f>
        <v>226</v>
      </c>
      <c r="FC46" s="46">
        <f t="shared" si="40"/>
        <v>0.2958715596</v>
      </c>
      <c r="FD46" s="37"/>
      <c r="FE46" s="37">
        <f>IFERROR(__xludf.DUMMYFUNCTION("""COMPUTED_VALUE"""),45343.64583333333)</f>
        <v>45343.64583</v>
      </c>
      <c r="FF46" s="45">
        <f>IFERROR(__xludf.DUMMYFUNCTION("""COMPUTED_VALUE"""),385.9)</f>
        <v>385.9</v>
      </c>
      <c r="FG46" s="46">
        <f t="shared" si="41"/>
        <v>0.2660761155</v>
      </c>
      <c r="FH46" s="37"/>
      <c r="FI46" s="37">
        <f>IFERROR(__xludf.DUMMYFUNCTION("""COMPUTED_VALUE"""),45343.64583333333)</f>
        <v>45343.64583</v>
      </c>
      <c r="FJ46" s="45">
        <f>IFERROR(__xludf.DUMMYFUNCTION("""COMPUTED_VALUE"""),672.95)</f>
        <v>672.95</v>
      </c>
      <c r="FK46" s="46">
        <f t="shared" si="42"/>
        <v>0.1103869318</v>
      </c>
      <c r="FL46" s="37"/>
      <c r="FM46" s="37">
        <f>IFERROR(__xludf.DUMMYFUNCTION("""COMPUTED_VALUE"""),45343.64583333333)</f>
        <v>45343.64583</v>
      </c>
      <c r="FN46" s="45">
        <f>IFERROR(__xludf.DUMMYFUNCTION("""COMPUTED_VALUE"""),121.0)</f>
        <v>121</v>
      </c>
      <c r="FO46" s="46">
        <f t="shared" si="43"/>
        <v>0.2736842105</v>
      </c>
      <c r="FP46" s="37"/>
      <c r="FQ46" s="37">
        <f>IFERROR(__xludf.DUMMYFUNCTION("""COMPUTED_VALUE"""),45343.64583333333)</f>
        <v>45343.64583</v>
      </c>
      <c r="FR46" s="45">
        <f>IFERROR(__xludf.DUMMYFUNCTION("""COMPUTED_VALUE"""),4.0)</f>
        <v>4</v>
      </c>
      <c r="FS46" s="46">
        <f t="shared" si="44"/>
        <v>-0.2727272727</v>
      </c>
      <c r="FT46" s="37"/>
      <c r="FU46" s="37">
        <f>IFERROR(__xludf.DUMMYFUNCTION("""COMPUTED_VALUE"""),45343.64583333333)</f>
        <v>45343.64583</v>
      </c>
      <c r="FV46" s="45">
        <f>IFERROR(__xludf.DUMMYFUNCTION("""COMPUTED_VALUE"""),903.05)</f>
        <v>903.05</v>
      </c>
      <c r="FW46" s="46">
        <f t="shared" si="45"/>
        <v>0.3527825631</v>
      </c>
      <c r="FX46" s="37"/>
      <c r="FY46" s="37">
        <f>IFERROR(__xludf.DUMMYFUNCTION("""COMPUTED_VALUE"""),45343.64583333333)</f>
        <v>45343.64583</v>
      </c>
      <c r="FZ46" s="45">
        <f>IFERROR(__xludf.DUMMYFUNCTION("""COMPUTED_VALUE"""),132.95)</f>
        <v>132.95</v>
      </c>
      <c r="GA46" s="46">
        <f t="shared" si="46"/>
        <v>-0.2170200236</v>
      </c>
      <c r="GB46" s="37"/>
      <c r="GC46" s="37">
        <f>IFERROR(__xludf.DUMMYFUNCTION("""COMPUTED_VALUE"""),45343.64583333333)</f>
        <v>45343.64583</v>
      </c>
      <c r="GD46" s="45">
        <f>IFERROR(__xludf.DUMMYFUNCTION("""COMPUTED_VALUE"""),354.55)</f>
        <v>354.55</v>
      </c>
      <c r="GE46" s="46">
        <f t="shared" si="47"/>
        <v>-0.2324096125</v>
      </c>
      <c r="GF46" s="37"/>
      <c r="GG46" s="37">
        <f>IFERROR(__xludf.DUMMYFUNCTION("""COMPUTED_VALUE"""),45343.64583333333)</f>
        <v>45343.64583</v>
      </c>
      <c r="GH46" s="45">
        <f>IFERROR(__xludf.DUMMYFUNCTION("""COMPUTED_VALUE"""),7088.0)</f>
        <v>7088</v>
      </c>
      <c r="GI46" s="46">
        <f t="shared" si="48"/>
        <v>0.33761087</v>
      </c>
      <c r="GJ46" s="37"/>
      <c r="GK46" s="37">
        <f>IFERROR(__xludf.DUMMYFUNCTION("""COMPUTED_VALUE"""),45343.64583333333)</f>
        <v>45343.64583</v>
      </c>
      <c r="GL46" s="45">
        <f>IFERROR(__xludf.DUMMYFUNCTION("""COMPUTED_VALUE"""),79.95)</f>
        <v>79.95</v>
      </c>
      <c r="GM46" s="46">
        <f t="shared" si="49"/>
        <v>-0.294973545</v>
      </c>
      <c r="GN46" s="37"/>
      <c r="GO46" s="37">
        <f>IFERROR(__xludf.DUMMYFUNCTION("""COMPUTED_VALUE"""),45343.64583333333)</f>
        <v>45343.64583</v>
      </c>
      <c r="GP46" s="45">
        <f>IFERROR(__xludf.DUMMYFUNCTION("""COMPUTED_VALUE"""),1360.0)</f>
        <v>1360</v>
      </c>
      <c r="GQ46" s="46">
        <f t="shared" si="50"/>
        <v>0.2368696285</v>
      </c>
      <c r="GR46" s="37"/>
      <c r="GS46" s="37">
        <f>IFERROR(__xludf.DUMMYFUNCTION("""COMPUTED_VALUE"""),45343.64583333333)</f>
        <v>45343.64583</v>
      </c>
      <c r="GT46" s="45">
        <f>IFERROR(__xludf.DUMMYFUNCTION("""COMPUTED_VALUE"""),14.05)</f>
        <v>14.05</v>
      </c>
      <c r="GU46" s="46">
        <f t="shared" si="51"/>
        <v>0.08494208494</v>
      </c>
      <c r="GV46" s="37"/>
      <c r="GW46" s="37">
        <f>IFERROR(__xludf.DUMMYFUNCTION("""COMPUTED_VALUE"""),45344.64583333333)</f>
        <v>45344.64583</v>
      </c>
      <c r="GX46" s="45">
        <f>IFERROR(__xludf.DUMMYFUNCTION("""COMPUTED_VALUE"""),17.3)</f>
        <v>17.3</v>
      </c>
      <c r="GY46" s="46">
        <f t="shared" si="52"/>
        <v>0.04848484848</v>
      </c>
      <c r="GZ46" s="37"/>
      <c r="HA46" s="37">
        <f>IFERROR(__xludf.DUMMYFUNCTION("""COMPUTED_VALUE"""),45344.64583333333)</f>
        <v>45344.64583</v>
      </c>
      <c r="HB46" s="45">
        <f>IFERROR(__xludf.DUMMYFUNCTION("""COMPUTED_VALUE"""),522.15)</f>
        <v>522.15</v>
      </c>
      <c r="HC46" s="46">
        <f t="shared" si="53"/>
        <v>-0.1412006579</v>
      </c>
      <c r="HD46" s="37"/>
      <c r="HE46" s="43">
        <f>IFERROR(__xludf.DUMMYFUNCTION("""COMPUTED_VALUE"""),45344.64583333333)</f>
        <v>45344.64583</v>
      </c>
      <c r="HF46" s="45">
        <f>IFERROR(__xludf.DUMMYFUNCTION("""COMPUTED_VALUE"""),2870.35)</f>
        <v>2870.35</v>
      </c>
      <c r="HG46" s="46" t="str">
        <f t="shared" si="54"/>
        <v>#DIV/0!</v>
      </c>
      <c r="HH46" s="37"/>
      <c r="HI46" s="37">
        <f>IFERROR(__xludf.DUMMYFUNCTION("""COMPUTED_VALUE"""),45344.64583333333)</f>
        <v>45344.64583</v>
      </c>
      <c r="HJ46" s="45">
        <f>IFERROR(__xludf.DUMMYFUNCTION("""COMPUTED_VALUE"""),7200.0)</f>
        <v>7200</v>
      </c>
      <c r="HK46" s="46">
        <f t="shared" si="55"/>
        <v>0.4089881704</v>
      </c>
      <c r="HL46" s="37"/>
      <c r="HM46" s="37">
        <f>IFERROR(__xludf.DUMMYFUNCTION("""COMPUTED_VALUE"""),45344.64583333333)</f>
        <v>45344.64583</v>
      </c>
      <c r="HN46" s="45">
        <f>IFERROR(__xludf.DUMMYFUNCTION("""COMPUTED_VALUE"""),331.95)</f>
        <v>331.95</v>
      </c>
      <c r="HO46" s="46">
        <f t="shared" si="56"/>
        <v>-0.183495265</v>
      </c>
      <c r="HP46" s="37"/>
      <c r="HQ46" s="37">
        <f>IFERROR(__xludf.DUMMYFUNCTION("""COMPUTED_VALUE"""),45344.64583333333)</f>
        <v>45344.64583</v>
      </c>
      <c r="HR46" s="45">
        <f>IFERROR(__xludf.DUMMYFUNCTION("""COMPUTED_VALUE"""),250.55)</f>
        <v>250.55</v>
      </c>
      <c r="HS46" s="46">
        <f t="shared" si="57"/>
        <v>-0.01474636256</v>
      </c>
      <c r="HT46" s="37"/>
      <c r="HU46" s="37">
        <f>IFERROR(__xludf.DUMMYFUNCTION("""COMPUTED_VALUE"""),45344.64583333333)</f>
        <v>45344.64583</v>
      </c>
      <c r="HV46" s="45">
        <f>IFERROR(__xludf.DUMMYFUNCTION("""COMPUTED_VALUE"""),58.45)</f>
        <v>58.45</v>
      </c>
      <c r="HW46" s="46">
        <f t="shared" si="58"/>
        <v>-0.06330128205</v>
      </c>
      <c r="HX46" s="37"/>
      <c r="HY46" s="37">
        <f>IFERROR(__xludf.DUMMYFUNCTION("""COMPUTED_VALUE"""),45344.64583333333)</f>
        <v>45344.64583</v>
      </c>
      <c r="HZ46" s="45">
        <f>IFERROR(__xludf.DUMMYFUNCTION("""COMPUTED_VALUE"""),346.3)</f>
        <v>346.3</v>
      </c>
      <c r="IA46" s="46">
        <f t="shared" si="59"/>
        <v>-0.2552688172</v>
      </c>
      <c r="IB46" s="37"/>
      <c r="IC46" s="37">
        <f>IFERROR(__xludf.DUMMYFUNCTION("""COMPUTED_VALUE"""),45344.64583333333)</f>
        <v>45344.64583</v>
      </c>
      <c r="ID46" s="45">
        <f>IFERROR(__xludf.DUMMYFUNCTION("""COMPUTED_VALUE"""),84.8)</f>
        <v>84.8</v>
      </c>
      <c r="IE46" s="46">
        <f t="shared" si="60"/>
        <v>-0.8067236467</v>
      </c>
      <c r="IF46" s="37"/>
      <c r="IG46" s="37">
        <f>IFERROR(__xludf.DUMMYFUNCTION("""COMPUTED_VALUE"""),45344.64583333333)</f>
        <v>45344.64583</v>
      </c>
      <c r="IH46" s="45">
        <f>IFERROR(__xludf.DUMMYFUNCTION("""COMPUTED_VALUE"""),541.0)</f>
        <v>541</v>
      </c>
      <c r="II46" s="46">
        <f t="shared" si="61"/>
        <v>0.01500938086</v>
      </c>
      <c r="IJ46" s="37"/>
      <c r="IK46" s="37">
        <f>IFERROR(__xludf.DUMMYFUNCTION("""COMPUTED_VALUE"""),45344.64583333333)</f>
        <v>45344.64583</v>
      </c>
      <c r="IL46" s="45">
        <f>IFERROR(__xludf.DUMMYFUNCTION("""COMPUTED_VALUE"""),530.6)</f>
        <v>530.6</v>
      </c>
      <c r="IM46" s="46">
        <f t="shared" si="62"/>
        <v>-0.1413544785</v>
      </c>
      <c r="IN46" s="37"/>
      <c r="IO46" s="37">
        <f>IFERROR(__xludf.DUMMYFUNCTION("""COMPUTED_VALUE"""),45345.64583333333)</f>
        <v>45345.64583</v>
      </c>
      <c r="IP46" s="45">
        <f>IFERROR(__xludf.DUMMYFUNCTION("""COMPUTED_VALUE"""),271.45)</f>
        <v>271.45</v>
      </c>
      <c r="IQ46" s="46">
        <f t="shared" si="63"/>
        <v>1.159678574</v>
      </c>
      <c r="IR46" s="37"/>
      <c r="IS46" s="37">
        <f>IFERROR(__xludf.DUMMYFUNCTION("""COMPUTED_VALUE"""),45344.64583333333)</f>
        <v>45344.64583</v>
      </c>
      <c r="IT46" s="45">
        <f>IFERROR(__xludf.DUMMYFUNCTION("""COMPUTED_VALUE"""),944.85)</f>
        <v>944.85</v>
      </c>
      <c r="IU46" s="46">
        <f t="shared" si="64"/>
        <v>-0.05891434263</v>
      </c>
      <c r="IV46" s="37"/>
      <c r="IW46" s="37">
        <f>IFERROR(__xludf.DUMMYFUNCTION("""COMPUTED_VALUE"""),45344.64583333333)</f>
        <v>45344.64583</v>
      </c>
      <c r="IX46" s="45">
        <f>IFERROR(__xludf.DUMMYFUNCTION("""COMPUTED_VALUE"""),280.2)</f>
        <v>280.2</v>
      </c>
      <c r="IY46" s="46">
        <f t="shared" si="65"/>
        <v>0.3605243991</v>
      </c>
      <c r="IZ46" s="37"/>
      <c r="JA46" s="37">
        <f>IFERROR(__xludf.DUMMYFUNCTION("""COMPUTED_VALUE"""),45344.64583333333)</f>
        <v>45344.64583</v>
      </c>
      <c r="JB46" s="45">
        <f>IFERROR(__xludf.DUMMYFUNCTION("""COMPUTED_VALUE"""),31277.0)</f>
        <v>31277</v>
      </c>
      <c r="JC46" s="46">
        <f t="shared" si="66"/>
        <v>-0.1165350616</v>
      </c>
      <c r="JD46" s="37"/>
      <c r="JE46" s="37">
        <f>IFERROR(__xludf.DUMMYFUNCTION("""COMPUTED_VALUE"""),45344.64583333333)</f>
        <v>45344.64583</v>
      </c>
      <c r="JF46" s="45">
        <f>IFERROR(__xludf.DUMMYFUNCTION("""COMPUTED_VALUE"""),694.85)</f>
        <v>694.85</v>
      </c>
      <c r="JG46" s="46">
        <f t="shared" si="67"/>
        <v>0.07728682171</v>
      </c>
      <c r="JH46" s="37"/>
      <c r="JI46" s="37">
        <f>IFERROR(__xludf.DUMMYFUNCTION("""COMPUTED_VALUE"""),45344.64583333333)</f>
        <v>45344.64583</v>
      </c>
      <c r="JJ46" s="45">
        <f>IFERROR(__xludf.DUMMYFUNCTION("""COMPUTED_VALUE"""),312.1)</f>
        <v>312.1</v>
      </c>
      <c r="JK46" s="46">
        <f t="shared" si="68"/>
        <v>-0.06542895643</v>
      </c>
      <c r="JL46" s="37"/>
      <c r="JM46" s="37">
        <f>IFERROR(__xludf.DUMMYFUNCTION("""COMPUTED_VALUE"""),45344.64583333333)</f>
        <v>45344.64583</v>
      </c>
      <c r="JN46" s="45">
        <f>IFERROR(__xludf.DUMMYFUNCTION("""COMPUTED_VALUE"""),15.8)</f>
        <v>15.8</v>
      </c>
      <c r="JO46" s="46">
        <f t="shared" si="69"/>
        <v>-0.963988604</v>
      </c>
      <c r="JP46" s="37"/>
      <c r="JQ46" s="37">
        <f>IFERROR(__xludf.DUMMYFUNCTION("""COMPUTED_VALUE"""),45344.64583333333)</f>
        <v>45344.64583</v>
      </c>
      <c r="JR46" s="45">
        <f>IFERROR(__xludf.DUMMYFUNCTION("""COMPUTED_VALUE"""),85.5)</f>
        <v>85.5</v>
      </c>
      <c r="JS46" s="46">
        <f t="shared" si="70"/>
        <v>-0.3713235294</v>
      </c>
      <c r="JT46" s="37"/>
      <c r="JU46" s="37">
        <f>IFERROR(__xludf.DUMMYFUNCTION("""COMPUTED_VALUE"""),45344.64583333333)</f>
        <v>45344.64583</v>
      </c>
      <c r="JV46" s="45">
        <f>IFERROR(__xludf.DUMMYFUNCTION("""COMPUTED_VALUE"""),239.7)</f>
        <v>239.7</v>
      </c>
      <c r="JW46" s="46">
        <f t="shared" si="71"/>
        <v>-0.4536752137</v>
      </c>
      <c r="JX46" s="37"/>
      <c r="JY46" s="37">
        <f>IFERROR(__xludf.DUMMYFUNCTION("""COMPUTED_VALUE"""),45344.64583333333)</f>
        <v>45344.64583</v>
      </c>
      <c r="JZ46" s="45">
        <f>IFERROR(__xludf.DUMMYFUNCTION("""COMPUTED_VALUE"""),586.2)</f>
        <v>586.2</v>
      </c>
      <c r="KA46" s="46">
        <f t="shared" si="72"/>
        <v>0.06388384755</v>
      </c>
      <c r="KB46" s="37"/>
      <c r="KC46" s="37">
        <f>IFERROR(__xludf.DUMMYFUNCTION("""COMPUTED_VALUE"""),45344.64583333333)</f>
        <v>45344.64583</v>
      </c>
      <c r="KD46" s="45">
        <f>IFERROR(__xludf.DUMMYFUNCTION("""COMPUTED_VALUE"""),882.78)</f>
        <v>882.78</v>
      </c>
      <c r="KE46" s="46">
        <f t="shared" si="73"/>
        <v>0.01056608093</v>
      </c>
      <c r="KF46" s="37"/>
      <c r="KG46" s="37">
        <f>IFERROR(__xludf.DUMMYFUNCTION("""COMPUTED_VALUE"""),45344.64583333333)</f>
        <v>45344.64583</v>
      </c>
      <c r="KH46" s="45">
        <f>IFERROR(__xludf.DUMMYFUNCTION("""COMPUTED_VALUE"""),552.25)</f>
        <v>552.25</v>
      </c>
      <c r="KI46" s="46">
        <f t="shared" si="74"/>
        <v>0.416025641</v>
      </c>
      <c r="KJ46" s="37"/>
      <c r="KK46" s="37">
        <f>IFERROR(__xludf.DUMMYFUNCTION("""COMPUTED_VALUE"""),45344.64583333333)</f>
        <v>45344.64583</v>
      </c>
      <c r="KL46" s="45">
        <f>IFERROR(__xludf.DUMMYFUNCTION("""COMPUTED_VALUE"""),14.0)</f>
        <v>14</v>
      </c>
      <c r="KM46" s="46">
        <f t="shared" si="75"/>
        <v>0.5053763441</v>
      </c>
      <c r="KN46" s="37"/>
      <c r="KO46" s="37">
        <f>IFERROR(__xludf.DUMMYFUNCTION("""COMPUTED_VALUE"""),45344.64583333333)</f>
        <v>45344.64583</v>
      </c>
      <c r="KP46" s="45">
        <f>IFERROR(__xludf.DUMMYFUNCTION("""COMPUTED_VALUE"""),245.0)</f>
        <v>245</v>
      </c>
      <c r="KQ46" s="46">
        <f t="shared" si="76"/>
        <v>0.2051155927</v>
      </c>
      <c r="KR46" s="37"/>
      <c r="KS46" s="37">
        <f>IFERROR(__xludf.DUMMYFUNCTION("""COMPUTED_VALUE"""),45344.64583333333)</f>
        <v>45344.64583</v>
      </c>
      <c r="KT46" s="45">
        <f>IFERROR(__xludf.DUMMYFUNCTION("""COMPUTED_VALUE"""),16.95)</f>
        <v>16.95</v>
      </c>
      <c r="KU46" s="46">
        <f t="shared" si="77"/>
        <v>0.5339366516</v>
      </c>
      <c r="KV46" s="37"/>
      <c r="KW46" s="37">
        <f>IFERROR(__xludf.DUMMYFUNCTION("""COMPUTED_VALUE"""),45344.64583333333)</f>
        <v>45344.64583</v>
      </c>
      <c r="KX46" s="45">
        <f>IFERROR(__xludf.DUMMYFUNCTION("""COMPUTED_VALUE"""),2300.7)</f>
        <v>2300.7</v>
      </c>
      <c r="KY46" s="46">
        <f t="shared" si="78"/>
        <v>-0.13829847</v>
      </c>
      <c r="KZ46" s="37"/>
      <c r="LA46" s="37">
        <f>IFERROR(__xludf.DUMMYFUNCTION("""COMPUTED_VALUE"""),45344.64583333333)</f>
        <v>45344.64583</v>
      </c>
      <c r="LB46" s="45">
        <f>IFERROR(__xludf.DUMMYFUNCTION("""COMPUTED_VALUE"""),19.25)</f>
        <v>19.25</v>
      </c>
      <c r="LC46" s="46">
        <f t="shared" si="79"/>
        <v>0.02122015915</v>
      </c>
      <c r="LD46" s="37"/>
      <c r="LE46" s="37">
        <f>IFERROR(__xludf.DUMMYFUNCTION("""COMPUTED_VALUE"""),45344.64583333333)</f>
        <v>45344.64583</v>
      </c>
      <c r="LF46" s="45">
        <f>IFERROR(__xludf.DUMMYFUNCTION("""COMPUTED_VALUE"""),128.95)</f>
        <v>128.95</v>
      </c>
      <c r="LG46" s="46">
        <f t="shared" si="80"/>
        <v>0.0316</v>
      </c>
      <c r="LH46" s="37"/>
      <c r="LI46" s="37">
        <f>IFERROR(__xludf.DUMMYFUNCTION("""COMPUTED_VALUE"""),45344.64583333333)</f>
        <v>45344.64583</v>
      </c>
      <c r="LJ46" s="45">
        <f>IFERROR(__xludf.DUMMYFUNCTION("""COMPUTED_VALUE"""),687.0)</f>
        <v>687</v>
      </c>
      <c r="LK46" s="46">
        <f t="shared" si="81"/>
        <v>-0.05631868132</v>
      </c>
      <c r="LL46" s="37"/>
      <c r="LM46" s="37">
        <f>IFERROR(__xludf.DUMMYFUNCTION("""COMPUTED_VALUE"""),45344.64583333333)</f>
        <v>45344.64583</v>
      </c>
      <c r="LN46" s="45">
        <f>IFERROR(__xludf.DUMMYFUNCTION("""COMPUTED_VALUE"""),792.0)</f>
        <v>792</v>
      </c>
      <c r="LO46" s="46">
        <f t="shared" si="82"/>
        <v>-0.07368421053</v>
      </c>
      <c r="LP46" s="37"/>
      <c r="LQ46" s="37">
        <f>IFERROR(__xludf.DUMMYFUNCTION("""COMPUTED_VALUE"""),45344.64583333333)</f>
        <v>45344.64583</v>
      </c>
      <c r="LR46" s="45">
        <f>IFERROR(__xludf.DUMMYFUNCTION("""COMPUTED_VALUE"""),621.3)</f>
        <v>621.3</v>
      </c>
      <c r="LS46" s="46">
        <f t="shared" si="83"/>
        <v>0.7003284072</v>
      </c>
      <c r="LT46" s="37"/>
      <c r="LU46" s="37">
        <f>IFERROR(__xludf.DUMMYFUNCTION("""COMPUTED_VALUE"""),45344.64583333333)</f>
        <v>45344.64583</v>
      </c>
      <c r="LV46" s="45">
        <f>IFERROR(__xludf.DUMMYFUNCTION("""COMPUTED_VALUE"""),128.8)</f>
        <v>128.8</v>
      </c>
      <c r="LW46" s="46">
        <f t="shared" si="84"/>
        <v>-0.05847953216</v>
      </c>
      <c r="LX46" s="37"/>
      <c r="LY46" s="37">
        <f>IFERROR(__xludf.DUMMYFUNCTION("""COMPUTED_VALUE"""),45344.64583333333)</f>
        <v>45344.64583</v>
      </c>
      <c r="LZ46" s="45">
        <f>IFERROR(__xludf.DUMMYFUNCTION("""COMPUTED_VALUE"""),666.0)</f>
        <v>666</v>
      </c>
      <c r="MA46" s="46">
        <f t="shared" si="85"/>
        <v>0.07419354839</v>
      </c>
      <c r="MB46" s="37"/>
      <c r="MC46" s="37"/>
      <c r="MD46" s="45"/>
      <c r="ME46" s="46" t="str">
        <f t="shared" si="86"/>
        <v>#DIV/0!</v>
      </c>
      <c r="MF46" s="37"/>
      <c r="MG46" s="37">
        <f>IFERROR(__xludf.DUMMYFUNCTION("""COMPUTED_VALUE"""),45344.64583333333)</f>
        <v>45344.64583</v>
      </c>
      <c r="MH46" s="45">
        <f>IFERROR(__xludf.DUMMYFUNCTION("""COMPUTED_VALUE"""),1953.0)</f>
        <v>1953</v>
      </c>
      <c r="MI46" s="46">
        <f t="shared" si="87"/>
        <v>-0.004054157424</v>
      </c>
      <c r="MJ46" s="37"/>
      <c r="MK46" s="37">
        <f>IFERROR(__xludf.DUMMYFUNCTION("""COMPUTED_VALUE"""),45344.64583333333)</f>
        <v>45344.64583</v>
      </c>
      <c r="ML46" s="45">
        <f>IFERROR(__xludf.DUMMYFUNCTION("""COMPUTED_VALUE"""),327.6)</f>
        <v>327.6</v>
      </c>
      <c r="MM46" s="46">
        <f t="shared" si="88"/>
        <v>-0.1808976122</v>
      </c>
      <c r="MN46" s="37"/>
      <c r="MO46" s="37">
        <f>IFERROR(__xludf.DUMMYFUNCTION("""COMPUTED_VALUE"""),45344.64583333333)</f>
        <v>45344.64583</v>
      </c>
      <c r="MP46" s="45">
        <f>IFERROR(__xludf.DUMMYFUNCTION("""COMPUTED_VALUE"""),995.0)</f>
        <v>995</v>
      </c>
      <c r="MQ46" s="46">
        <f t="shared" si="89"/>
        <v>0.3445945946</v>
      </c>
      <c r="MR46" s="37"/>
      <c r="MS46" s="37">
        <f>IFERROR(__xludf.DUMMYFUNCTION("""COMPUTED_VALUE"""),45344.64583333333)</f>
        <v>45344.64583</v>
      </c>
      <c r="MT46" s="45">
        <f>IFERROR(__xludf.DUMMYFUNCTION("""COMPUTED_VALUE"""),63.55)</f>
        <v>63.55</v>
      </c>
      <c r="MU46" s="46">
        <f t="shared" si="90"/>
        <v>-0.03930461073</v>
      </c>
      <c r="MV46" s="37"/>
      <c r="MW46" s="37">
        <f>IFERROR(__xludf.DUMMYFUNCTION("""COMPUTED_VALUE"""),45344.64583333333)</f>
        <v>45344.64583</v>
      </c>
      <c r="MX46" s="45">
        <f>IFERROR(__xludf.DUMMYFUNCTION("""COMPUTED_VALUE"""),3207.0)</f>
        <v>3207</v>
      </c>
      <c r="MY46" s="46">
        <f t="shared" si="91"/>
        <v>0.01906577693</v>
      </c>
      <c r="MZ46" s="37"/>
      <c r="NA46" s="37">
        <f>IFERROR(__xludf.DUMMYFUNCTION("""COMPUTED_VALUE"""),45344.64583333333)</f>
        <v>45344.64583</v>
      </c>
      <c r="NB46" s="45">
        <f>IFERROR(__xludf.DUMMYFUNCTION("""COMPUTED_VALUE"""),13.6)</f>
        <v>13.6</v>
      </c>
      <c r="NC46" s="46">
        <f t="shared" si="92"/>
        <v>0.07509881423</v>
      </c>
      <c r="ND46" s="37"/>
      <c r="NE46" s="37">
        <f>IFERROR(__xludf.DUMMYFUNCTION("""COMPUTED_VALUE"""),45345.64583333333)</f>
        <v>45345.64583</v>
      </c>
      <c r="NF46" s="45">
        <f>IFERROR(__xludf.DUMMYFUNCTION("""COMPUTED_VALUE"""),373.3)</f>
        <v>373.3</v>
      </c>
      <c r="NG46" s="46">
        <f t="shared" si="93"/>
        <v>-0.02519911216</v>
      </c>
      <c r="NH46" s="37"/>
      <c r="NI46" s="37">
        <f>IFERROR(__xludf.DUMMYFUNCTION("""COMPUTED_VALUE"""),45345.64583333333)</f>
        <v>45345.64583</v>
      </c>
      <c r="NJ46" s="45">
        <f>IFERROR(__xludf.DUMMYFUNCTION("""COMPUTED_VALUE"""),359.63)</f>
        <v>359.63</v>
      </c>
      <c r="NK46" s="46">
        <f t="shared" si="94"/>
        <v>0.3485956426</v>
      </c>
      <c r="NL46" s="37"/>
      <c r="NM46" s="37">
        <f>IFERROR(__xludf.DUMMYFUNCTION("""COMPUTED_VALUE"""),45345.64583333333)</f>
        <v>45345.64583</v>
      </c>
      <c r="NN46" s="45">
        <f>IFERROR(__xludf.DUMMYFUNCTION("""COMPUTED_VALUE"""),131.3)</f>
        <v>131.3</v>
      </c>
      <c r="NO46" s="46">
        <f t="shared" si="95"/>
        <v>0.06488240065</v>
      </c>
      <c r="NP46" s="37"/>
      <c r="NQ46" s="37">
        <f>IFERROR(__xludf.DUMMYFUNCTION("""COMPUTED_VALUE"""),45345.64583333333)</f>
        <v>45345.64583</v>
      </c>
      <c r="NR46" s="45">
        <f>IFERROR(__xludf.DUMMYFUNCTION("""COMPUTED_VALUE"""),4604.95)</f>
        <v>4604.95</v>
      </c>
      <c r="NS46" s="46">
        <f t="shared" si="96"/>
        <v>0.1027179119</v>
      </c>
      <c r="NT46" s="37"/>
      <c r="NU46" s="37">
        <f>IFERROR(__xludf.DUMMYFUNCTION("""COMPUTED_VALUE"""),45345.64583333333)</f>
        <v>45345.64583</v>
      </c>
      <c r="NV46" s="45">
        <f>IFERROR(__xludf.DUMMYFUNCTION("""COMPUTED_VALUE"""),15.4)</f>
        <v>15.4</v>
      </c>
      <c r="NW46" s="46">
        <f t="shared" si="97"/>
        <v>0.2125984252</v>
      </c>
      <c r="NX46" s="37"/>
      <c r="NY46" s="37">
        <f>IFERROR(__xludf.DUMMYFUNCTION("""COMPUTED_VALUE"""),45345.64583333333)</f>
        <v>45345.64583</v>
      </c>
      <c r="NZ46" s="45">
        <f>IFERROR(__xludf.DUMMYFUNCTION("""COMPUTED_VALUE"""),236.55)</f>
        <v>236.55</v>
      </c>
      <c r="OA46" s="46">
        <f t="shared" si="98"/>
        <v>-0.04153160454</v>
      </c>
      <c r="OB46" s="37"/>
      <c r="OC46" s="37">
        <f>IFERROR(__xludf.DUMMYFUNCTION("""COMPUTED_VALUE"""),45345.64583333333)</f>
        <v>45345.64583</v>
      </c>
      <c r="OD46" s="45">
        <f>IFERROR(__xludf.DUMMYFUNCTION("""COMPUTED_VALUE"""),1165.6)</f>
        <v>1165.6</v>
      </c>
      <c r="OE46" s="46">
        <f t="shared" si="99"/>
        <v>0.1059348166</v>
      </c>
      <c r="OF46" s="37"/>
      <c r="OG46" s="37">
        <f>IFERROR(__xludf.DUMMYFUNCTION("""COMPUTED_VALUE"""),45345.64583333333)</f>
        <v>45345.64583</v>
      </c>
      <c r="OH46" s="45">
        <f>IFERROR(__xludf.DUMMYFUNCTION("""COMPUTED_VALUE"""),2873.73)</f>
        <v>2873.73</v>
      </c>
      <c r="OI46" s="46">
        <f t="shared" si="100"/>
        <v>0.1778547422</v>
      </c>
      <c r="OJ46" s="37"/>
      <c r="OK46" s="37"/>
      <c r="OL46" s="45"/>
      <c r="OM46" s="46" t="str">
        <f t="shared" si="101"/>
        <v>#DIV/0!</v>
      </c>
      <c r="ON46" s="37"/>
    </row>
    <row r="47" ht="12.0" customHeight="1">
      <c r="A47" s="37">
        <f>IFERROR(__xludf.DUMMYFUNCTION("""COMPUTED_VALUE"""),45344.64583333333)</f>
        <v>45344.64583</v>
      </c>
      <c r="B47" s="45">
        <f>IFERROR(__xludf.DUMMYFUNCTION("""COMPUTED_VALUE"""),400.85)</f>
        <v>400.85</v>
      </c>
      <c r="C47" s="46">
        <f t="shared" si="1"/>
        <v>-0.08638176638</v>
      </c>
      <c r="D47" s="37"/>
      <c r="E47" s="37">
        <f>IFERROR(__xludf.DUMMYFUNCTION("""COMPUTED_VALUE"""),45344.64583333333)</f>
        <v>45344.64583</v>
      </c>
      <c r="F47" s="45">
        <f>IFERROR(__xludf.DUMMYFUNCTION("""COMPUTED_VALUE"""),673.2)</f>
        <v>673.2</v>
      </c>
      <c r="G47" s="46">
        <f t="shared" si="2"/>
        <v>0.02778625954</v>
      </c>
      <c r="H47" s="37"/>
      <c r="I47" s="37">
        <f>IFERROR(__xludf.DUMMYFUNCTION("""COMPUTED_VALUE"""),45344.64583333333)</f>
        <v>45344.64583</v>
      </c>
      <c r="J47" s="45">
        <f>IFERROR(__xludf.DUMMYFUNCTION("""COMPUTED_VALUE"""),196.0)</f>
        <v>196</v>
      </c>
      <c r="K47" s="46">
        <f t="shared" si="3"/>
        <v>0.0652173913</v>
      </c>
      <c r="L47" s="37"/>
      <c r="M47" s="37">
        <f>IFERROR(__xludf.DUMMYFUNCTION("""COMPUTED_VALUE"""),45344.64583333333)</f>
        <v>45344.64583</v>
      </c>
      <c r="N47" s="45">
        <f>IFERROR(__xludf.DUMMYFUNCTION("""COMPUTED_VALUE"""),116.45)</f>
        <v>116.45</v>
      </c>
      <c r="O47" s="46">
        <f t="shared" si="4"/>
        <v>0.3478009259</v>
      </c>
      <c r="P47" s="37"/>
      <c r="Q47" s="37">
        <f>IFERROR(__xludf.DUMMYFUNCTION("""COMPUTED_VALUE"""),45344.64583333333)</f>
        <v>45344.64583</v>
      </c>
      <c r="R47" s="45">
        <f>IFERROR(__xludf.DUMMYFUNCTION("""COMPUTED_VALUE"""),53.5)</f>
        <v>53.5</v>
      </c>
      <c r="S47" s="46">
        <f t="shared" si="5"/>
        <v>0.01904761905</v>
      </c>
      <c r="T47" s="37"/>
      <c r="U47" s="37">
        <f>IFERROR(__xludf.DUMMYFUNCTION("""COMPUTED_VALUE"""),45344.64583333333)</f>
        <v>45344.64583</v>
      </c>
      <c r="V47" s="45">
        <f>IFERROR(__xludf.DUMMYFUNCTION("""COMPUTED_VALUE"""),628.95)</f>
        <v>628.95</v>
      </c>
      <c r="W47" s="46">
        <f t="shared" si="6"/>
        <v>-0.05049818841</v>
      </c>
      <c r="X47" s="37"/>
      <c r="Y47" s="37">
        <f>IFERROR(__xludf.DUMMYFUNCTION("""COMPUTED_VALUE"""),45344.64583333333)</f>
        <v>45344.64583</v>
      </c>
      <c r="Z47" s="45">
        <f>IFERROR(__xludf.DUMMYFUNCTION("""COMPUTED_VALUE"""),206.2)</f>
        <v>206.2</v>
      </c>
      <c r="AA47" s="46">
        <f t="shared" si="7"/>
        <v>0.1145945946</v>
      </c>
      <c r="AB47" s="37"/>
      <c r="AC47" s="37">
        <f>IFERROR(__xludf.DUMMYFUNCTION("""COMPUTED_VALUE"""),45344.64583333333)</f>
        <v>45344.64583</v>
      </c>
      <c r="AD47" s="45">
        <f>IFERROR(__xludf.DUMMYFUNCTION("""COMPUTED_VALUE"""),2870.35)</f>
        <v>2870.35</v>
      </c>
      <c r="AE47" s="46">
        <f t="shared" si="8"/>
        <v>0.2088229101</v>
      </c>
      <c r="AF47" s="37"/>
      <c r="AG47" s="37">
        <f>IFERROR(__xludf.DUMMYFUNCTION("""COMPUTED_VALUE"""),45344.64583333333)</f>
        <v>45344.64583</v>
      </c>
      <c r="AH47" s="45">
        <f>IFERROR(__xludf.DUMMYFUNCTION("""COMPUTED_VALUE"""),695.0)</f>
        <v>695</v>
      </c>
      <c r="AI47" s="46">
        <f t="shared" si="9"/>
        <v>-0.1726190476</v>
      </c>
      <c r="AJ47" s="37"/>
      <c r="AK47" s="37">
        <f>IFERROR(__xludf.DUMMYFUNCTION("""COMPUTED_VALUE"""),45344.64583333333)</f>
        <v>45344.64583</v>
      </c>
      <c r="AL47" s="45">
        <f>IFERROR(__xludf.DUMMYFUNCTION("""COMPUTED_VALUE"""),7200.0)</f>
        <v>7200</v>
      </c>
      <c r="AM47" s="46">
        <f t="shared" si="10"/>
        <v>0.3846153846</v>
      </c>
      <c r="AN47" s="37"/>
      <c r="AO47" s="37">
        <f>IFERROR(__xludf.DUMMYFUNCTION("""COMPUTED_VALUE"""),45344.64583333333)</f>
        <v>45344.64583</v>
      </c>
      <c r="AP47" s="45">
        <f>IFERROR(__xludf.DUMMYFUNCTION("""COMPUTED_VALUE"""),895.0)</f>
        <v>895</v>
      </c>
      <c r="AQ47" s="46">
        <f t="shared" si="11"/>
        <v>-0.01648351648</v>
      </c>
      <c r="AR47" s="37"/>
      <c r="AS47" s="37">
        <f>IFERROR(__xludf.DUMMYFUNCTION("""COMPUTED_VALUE"""),45344.64583333333)</f>
        <v>45344.64583</v>
      </c>
      <c r="AT47" s="45">
        <f>IFERROR(__xludf.DUMMYFUNCTION("""COMPUTED_VALUE"""),2352.35)</f>
        <v>2352.35</v>
      </c>
      <c r="AU47" s="46">
        <f t="shared" si="12"/>
        <v>-0.05296106929</v>
      </c>
      <c r="AV47" s="37"/>
      <c r="AW47" s="37">
        <f>IFERROR(__xludf.DUMMYFUNCTION("""COMPUTED_VALUE"""),45344.64583333333)</f>
        <v>45344.64583</v>
      </c>
      <c r="AX47" s="45">
        <f>IFERROR(__xludf.DUMMYFUNCTION("""COMPUTED_VALUE"""),5533.0)</f>
        <v>5533</v>
      </c>
      <c r="AY47" s="46">
        <f t="shared" si="13"/>
        <v>-0.01977110867</v>
      </c>
      <c r="AZ47" s="37"/>
      <c r="BA47" s="37">
        <f>IFERROR(__xludf.DUMMYFUNCTION("""COMPUTED_VALUE"""),45344.64583333333)</f>
        <v>45344.64583</v>
      </c>
      <c r="BB47" s="45">
        <f>IFERROR(__xludf.DUMMYFUNCTION("""COMPUTED_VALUE"""),533.0)</f>
        <v>533</v>
      </c>
      <c r="BC47" s="46">
        <f t="shared" si="14"/>
        <v>0.1376734258</v>
      </c>
      <c r="BD47" s="37"/>
      <c r="BE47" s="37">
        <f>IFERROR(__xludf.DUMMYFUNCTION("""COMPUTED_VALUE"""),45344.64583333333)</f>
        <v>45344.64583</v>
      </c>
      <c r="BF47" s="45">
        <f>IFERROR(__xludf.DUMMYFUNCTION("""COMPUTED_VALUE"""),305.1)</f>
        <v>305.1</v>
      </c>
      <c r="BG47" s="46">
        <f t="shared" si="15"/>
        <v>-0.2503685504</v>
      </c>
      <c r="BH47" s="37"/>
      <c r="BI47" s="37">
        <f>IFERROR(__xludf.DUMMYFUNCTION("""COMPUTED_VALUE"""),45344.64583333333)</f>
        <v>45344.64583</v>
      </c>
      <c r="BJ47" s="45">
        <f>IFERROR(__xludf.DUMMYFUNCTION("""COMPUTED_VALUE"""),70.95)</f>
        <v>70.95</v>
      </c>
      <c r="BK47" s="46">
        <f t="shared" si="16"/>
        <v>0.02159827214</v>
      </c>
      <c r="BL47" s="37"/>
      <c r="BM47" s="37">
        <f>IFERROR(__xludf.DUMMYFUNCTION("""COMPUTED_VALUE"""),45344.64583333333)</f>
        <v>45344.64583</v>
      </c>
      <c r="BN47" s="45">
        <f>IFERROR(__xludf.DUMMYFUNCTION("""COMPUTED_VALUE"""),250.55)</f>
        <v>250.55</v>
      </c>
      <c r="BO47" s="46">
        <f t="shared" si="17"/>
        <v>-0.0212890625</v>
      </c>
      <c r="BP47" s="37"/>
      <c r="BQ47" s="37">
        <f>IFERROR(__xludf.DUMMYFUNCTION("""COMPUTED_VALUE"""),45344.64583333333)</f>
        <v>45344.64583</v>
      </c>
      <c r="BR47" s="45">
        <f>IFERROR(__xludf.DUMMYFUNCTION("""COMPUTED_VALUE"""),58.45)</f>
        <v>58.45</v>
      </c>
      <c r="BS47" s="46">
        <f t="shared" si="18"/>
        <v>-0.04022988506</v>
      </c>
      <c r="BT47" s="37"/>
      <c r="BU47" s="37">
        <f>IFERROR(__xludf.DUMMYFUNCTION("""COMPUTED_VALUE"""),45344.64583333333)</f>
        <v>45344.64583</v>
      </c>
      <c r="BV47" s="45">
        <f>IFERROR(__xludf.DUMMYFUNCTION("""COMPUTED_VALUE"""),324.0)</f>
        <v>324</v>
      </c>
      <c r="BW47" s="46">
        <f t="shared" si="19"/>
        <v>0.04718810601</v>
      </c>
      <c r="BX47" s="37"/>
      <c r="BY47" s="37">
        <f>IFERROR(__xludf.DUMMYFUNCTION("""COMPUTED_VALUE"""),45344.64583333333)</f>
        <v>45344.64583</v>
      </c>
      <c r="BZ47" s="45">
        <f>IFERROR(__xludf.DUMMYFUNCTION("""COMPUTED_VALUE"""),346.3)</f>
        <v>346.3</v>
      </c>
      <c r="CA47" s="46">
        <f t="shared" si="20"/>
        <v>-0.1543345543</v>
      </c>
      <c r="CB47" s="37"/>
      <c r="CC47" s="37">
        <f>IFERROR(__xludf.DUMMYFUNCTION("""COMPUTED_VALUE"""),45344.64583333333)</f>
        <v>45344.64583</v>
      </c>
      <c r="CD47" s="45">
        <f>IFERROR(__xludf.DUMMYFUNCTION("""COMPUTED_VALUE"""),258.2)</f>
        <v>258.2</v>
      </c>
      <c r="CE47" s="46">
        <f t="shared" si="21"/>
        <v>0.1143720328</v>
      </c>
      <c r="CF47" s="37"/>
      <c r="CG47" s="37">
        <f>IFERROR(__xludf.DUMMYFUNCTION("""COMPUTED_VALUE"""),45344.64583333333)</f>
        <v>45344.64583</v>
      </c>
      <c r="CH47" s="45">
        <f>IFERROR(__xludf.DUMMYFUNCTION("""COMPUTED_VALUE"""),694.85)</f>
        <v>694.85</v>
      </c>
      <c r="CI47" s="46">
        <f t="shared" si="22"/>
        <v>0.09253144654</v>
      </c>
      <c r="CJ47" s="37"/>
      <c r="CK47" s="37">
        <f>IFERROR(__xludf.DUMMYFUNCTION("""COMPUTED_VALUE"""),45344.64583333333)</f>
        <v>45344.64583</v>
      </c>
      <c r="CL47" s="45">
        <f>IFERROR(__xludf.DUMMYFUNCTION("""COMPUTED_VALUE"""),312.1)</f>
        <v>312.1</v>
      </c>
      <c r="CM47" s="46">
        <f t="shared" si="23"/>
        <v>-0.07388724036</v>
      </c>
      <c r="CN47" s="37"/>
      <c r="CO47" s="37">
        <f>IFERROR(__xludf.DUMMYFUNCTION("""COMPUTED_VALUE"""),45344.64583333333)</f>
        <v>45344.64583</v>
      </c>
      <c r="CP47" s="45">
        <f>IFERROR(__xludf.DUMMYFUNCTION("""COMPUTED_VALUE"""),15.8)</f>
        <v>15.8</v>
      </c>
      <c r="CQ47" s="46">
        <f t="shared" si="24"/>
        <v>0.06756756757</v>
      </c>
      <c r="CR47" s="37"/>
      <c r="CS47" s="37">
        <f>IFERROR(__xludf.DUMMYFUNCTION("""COMPUTED_VALUE"""),45344.64583333333)</f>
        <v>45344.64583</v>
      </c>
      <c r="CT47" s="45">
        <f>IFERROR(__xludf.DUMMYFUNCTION("""COMPUTED_VALUE"""),211.0)</f>
        <v>211</v>
      </c>
      <c r="CU47" s="46">
        <f t="shared" si="25"/>
        <v>0.06565656566</v>
      </c>
      <c r="CV47" s="37"/>
      <c r="CW47" s="37">
        <f>IFERROR(__xludf.DUMMYFUNCTION("""COMPUTED_VALUE"""),45344.64583333333)</f>
        <v>45344.64583</v>
      </c>
      <c r="CX47" s="45">
        <f>IFERROR(__xludf.DUMMYFUNCTION("""COMPUTED_VALUE"""),844.0)</f>
        <v>844</v>
      </c>
      <c r="CY47" s="46">
        <f t="shared" si="26"/>
        <v>0.2200410535</v>
      </c>
      <c r="CZ47" s="37"/>
      <c r="DA47" s="37">
        <f>IFERROR(__xludf.DUMMYFUNCTION("""COMPUTED_VALUE"""),45344.64583333333)</f>
        <v>45344.64583</v>
      </c>
      <c r="DB47" s="45">
        <f>IFERROR(__xludf.DUMMYFUNCTION("""COMPUTED_VALUE"""),36.0)</f>
        <v>36</v>
      </c>
      <c r="DC47" s="46">
        <f t="shared" si="27"/>
        <v>0.2903225806</v>
      </c>
      <c r="DD47" s="37"/>
      <c r="DE47" s="37">
        <f>IFERROR(__xludf.DUMMYFUNCTION("""COMPUTED_VALUE"""),45344.64583333333)</f>
        <v>45344.64583</v>
      </c>
      <c r="DF47" s="45">
        <f>IFERROR(__xludf.DUMMYFUNCTION("""COMPUTED_VALUE"""),85.5)</f>
        <v>85.5</v>
      </c>
      <c r="DG47" s="46">
        <f t="shared" si="28"/>
        <v>-0.2453662842</v>
      </c>
      <c r="DH47" s="37"/>
      <c r="DI47" s="37">
        <f>IFERROR(__xludf.DUMMYFUNCTION("""COMPUTED_VALUE"""),45344.64583333333)</f>
        <v>45344.64583</v>
      </c>
      <c r="DJ47" s="45">
        <f>IFERROR(__xludf.DUMMYFUNCTION("""COMPUTED_VALUE"""),1874.65)</f>
        <v>1874.65</v>
      </c>
      <c r="DK47" s="46">
        <f t="shared" si="29"/>
        <v>0.1681517946</v>
      </c>
      <c r="DL47" s="37"/>
      <c r="DM47" s="37">
        <f>IFERROR(__xludf.DUMMYFUNCTION("""COMPUTED_VALUE"""),45344.64583333333)</f>
        <v>45344.64583</v>
      </c>
      <c r="DN47" s="45">
        <f>IFERROR(__xludf.DUMMYFUNCTION("""COMPUTED_VALUE"""),594.8)</f>
        <v>594.8</v>
      </c>
      <c r="DO47" s="46">
        <f t="shared" si="30"/>
        <v>0.1093910286</v>
      </c>
      <c r="DP47" s="37"/>
      <c r="DQ47" s="37">
        <f>IFERROR(__xludf.DUMMYFUNCTION("""COMPUTED_VALUE"""),45344.64583333333)</f>
        <v>45344.64583</v>
      </c>
      <c r="DR47" s="45">
        <f>IFERROR(__xludf.DUMMYFUNCTION("""COMPUTED_VALUE"""),243.85)</f>
        <v>243.85</v>
      </c>
      <c r="DS47" s="46">
        <f t="shared" si="31"/>
        <v>0.1185779817</v>
      </c>
      <c r="DT47" s="37"/>
      <c r="DU47" s="37">
        <f>IFERROR(__xludf.DUMMYFUNCTION("""COMPUTED_VALUE"""),45344.64583333333)</f>
        <v>45344.64583</v>
      </c>
      <c r="DV47" s="45">
        <f>IFERROR(__xludf.DUMMYFUNCTION("""COMPUTED_VALUE"""),882.78)</f>
        <v>882.78</v>
      </c>
      <c r="DW47" s="46">
        <f t="shared" si="32"/>
        <v>0.03795414462</v>
      </c>
      <c r="DX47" s="37"/>
      <c r="DY47" s="37">
        <f>IFERROR(__xludf.DUMMYFUNCTION("""COMPUTED_VALUE"""),45344.64583333333)</f>
        <v>45344.64583</v>
      </c>
      <c r="DZ47" s="45">
        <f>IFERROR(__xludf.DUMMYFUNCTION("""COMPUTED_VALUE"""),16.95)</f>
        <v>16.95</v>
      </c>
      <c r="EA47" s="46">
        <f t="shared" si="33"/>
        <v>0.5622119816</v>
      </c>
      <c r="EB47" s="37"/>
      <c r="EC47" s="37">
        <f>IFERROR(__xludf.DUMMYFUNCTION("""COMPUTED_VALUE"""),45344.64583333333)</f>
        <v>45344.64583</v>
      </c>
      <c r="ED47" s="45">
        <f>IFERROR(__xludf.DUMMYFUNCTION("""COMPUTED_VALUE"""),2300.7)</f>
        <v>2300.7</v>
      </c>
      <c r="EE47" s="46">
        <f t="shared" si="34"/>
        <v>-0.1301701323</v>
      </c>
      <c r="EF47" s="37"/>
      <c r="EG47" s="37">
        <f>IFERROR(__xludf.DUMMYFUNCTION("""COMPUTED_VALUE"""),45344.64583333333)</f>
        <v>45344.64583</v>
      </c>
      <c r="EH47" s="45">
        <f>IFERROR(__xludf.DUMMYFUNCTION("""COMPUTED_VALUE"""),953.1)</f>
        <v>953.1</v>
      </c>
      <c r="EI47" s="46">
        <f t="shared" si="35"/>
        <v>0.4694727105</v>
      </c>
      <c r="EJ47" s="37"/>
      <c r="EK47" s="37">
        <f>IFERROR(__xludf.DUMMYFUNCTION("""COMPUTED_VALUE"""),45344.64583333333)</f>
        <v>45344.64583</v>
      </c>
      <c r="EL47" s="45">
        <f>IFERROR(__xludf.DUMMYFUNCTION("""COMPUTED_VALUE"""),172.5)</f>
        <v>172.5</v>
      </c>
      <c r="EM47" s="46">
        <f t="shared" si="36"/>
        <v>-0.146039604</v>
      </c>
      <c r="EN47" s="37"/>
      <c r="EO47" s="37">
        <f>IFERROR(__xludf.DUMMYFUNCTION("""COMPUTED_VALUE"""),45344.64583333333)</f>
        <v>45344.64583</v>
      </c>
      <c r="EP47" s="45">
        <f>IFERROR(__xludf.DUMMYFUNCTION("""COMPUTED_VALUE"""),183.2)</f>
        <v>183.2</v>
      </c>
      <c r="EQ47" s="46">
        <f t="shared" si="37"/>
        <v>0.1823168764</v>
      </c>
      <c r="ER47" s="37"/>
      <c r="ES47" s="37">
        <f>IFERROR(__xludf.DUMMYFUNCTION("""COMPUTED_VALUE"""),45344.64583333333)</f>
        <v>45344.64583</v>
      </c>
      <c r="ET47" s="45">
        <f>IFERROR(__xludf.DUMMYFUNCTION("""COMPUTED_VALUE"""),170.75)</f>
        <v>170.75</v>
      </c>
      <c r="EU47" s="46">
        <f t="shared" si="38"/>
        <v>-0.1214304091</v>
      </c>
      <c r="EV47" s="37"/>
      <c r="EW47" s="37">
        <f>IFERROR(__xludf.DUMMYFUNCTION("""COMPUTED_VALUE"""),45344.64583333333)</f>
        <v>45344.64583</v>
      </c>
      <c r="EX47" s="45">
        <f>IFERROR(__xludf.DUMMYFUNCTION("""COMPUTED_VALUE"""),834.75)</f>
        <v>834.75</v>
      </c>
      <c r="EY47" s="46">
        <f t="shared" si="39"/>
        <v>0.2881944444</v>
      </c>
      <c r="EZ47" s="37"/>
      <c r="FA47" s="37">
        <f>IFERROR(__xludf.DUMMYFUNCTION("""COMPUTED_VALUE"""),45344.64583333333)</f>
        <v>45344.64583</v>
      </c>
      <c r="FB47" s="45">
        <f>IFERROR(__xludf.DUMMYFUNCTION("""COMPUTED_VALUE"""),225.0)</f>
        <v>225</v>
      </c>
      <c r="FC47" s="46">
        <f t="shared" si="40"/>
        <v>0.2901376147</v>
      </c>
      <c r="FD47" s="37"/>
      <c r="FE47" s="37">
        <f>IFERROR(__xludf.DUMMYFUNCTION("""COMPUTED_VALUE"""),45344.64583333333)</f>
        <v>45344.64583</v>
      </c>
      <c r="FF47" s="45">
        <f>IFERROR(__xludf.DUMMYFUNCTION("""COMPUTED_VALUE"""),383.95)</f>
        <v>383.95</v>
      </c>
      <c r="FG47" s="46">
        <f t="shared" si="41"/>
        <v>0.2596784777</v>
      </c>
      <c r="FH47" s="37"/>
      <c r="FI47" s="37">
        <f>IFERROR(__xludf.DUMMYFUNCTION("""COMPUTED_VALUE"""),45344.64583333333)</f>
        <v>45344.64583</v>
      </c>
      <c r="FJ47" s="45">
        <f>IFERROR(__xludf.DUMMYFUNCTION("""COMPUTED_VALUE"""),666.0)</f>
        <v>666</v>
      </c>
      <c r="FK47" s="46">
        <f t="shared" si="42"/>
        <v>0.09891923109</v>
      </c>
      <c r="FL47" s="37"/>
      <c r="FM47" s="37">
        <f>IFERROR(__xludf.DUMMYFUNCTION("""COMPUTED_VALUE"""),45344.64583333333)</f>
        <v>45344.64583</v>
      </c>
      <c r="FN47" s="45">
        <f>IFERROR(__xludf.DUMMYFUNCTION("""COMPUTED_VALUE"""),127.2)</f>
        <v>127.2</v>
      </c>
      <c r="FO47" s="46">
        <f t="shared" si="43"/>
        <v>0.3389473684</v>
      </c>
      <c r="FP47" s="37"/>
      <c r="FQ47" s="37">
        <f>IFERROR(__xludf.DUMMYFUNCTION("""COMPUTED_VALUE"""),45344.64583333333)</f>
        <v>45344.64583</v>
      </c>
      <c r="FR47" s="45">
        <f>IFERROR(__xludf.DUMMYFUNCTION("""COMPUTED_VALUE"""),3.8)</f>
        <v>3.8</v>
      </c>
      <c r="FS47" s="46">
        <f t="shared" si="44"/>
        <v>-0.3090909091</v>
      </c>
      <c r="FT47" s="37"/>
      <c r="FU47" s="37">
        <f>IFERROR(__xludf.DUMMYFUNCTION("""COMPUTED_VALUE"""),45344.64583333333)</f>
        <v>45344.64583</v>
      </c>
      <c r="FV47" s="45">
        <f>IFERROR(__xludf.DUMMYFUNCTION("""COMPUTED_VALUE"""),904.6)</f>
        <v>904.6</v>
      </c>
      <c r="FW47" s="46">
        <f t="shared" si="45"/>
        <v>0.3551044866</v>
      </c>
      <c r="FX47" s="37"/>
      <c r="FY47" s="37">
        <f>IFERROR(__xludf.DUMMYFUNCTION("""COMPUTED_VALUE"""),45344.64583333333)</f>
        <v>45344.64583</v>
      </c>
      <c r="FZ47" s="45">
        <f>IFERROR(__xludf.DUMMYFUNCTION("""COMPUTED_VALUE"""),130.2)</f>
        <v>130.2</v>
      </c>
      <c r="GA47" s="46">
        <f t="shared" si="46"/>
        <v>-0.2332155477</v>
      </c>
      <c r="GB47" s="37"/>
      <c r="GC47" s="37">
        <f>IFERROR(__xludf.DUMMYFUNCTION("""COMPUTED_VALUE"""),45344.64583333333)</f>
        <v>45344.64583</v>
      </c>
      <c r="GD47" s="45">
        <f>IFERROR(__xludf.DUMMYFUNCTION("""COMPUTED_VALUE"""),350.85)</f>
        <v>350.85</v>
      </c>
      <c r="GE47" s="46">
        <f t="shared" si="47"/>
        <v>-0.2404200043</v>
      </c>
      <c r="GF47" s="37"/>
      <c r="GG47" s="37">
        <f>IFERROR(__xludf.DUMMYFUNCTION("""COMPUTED_VALUE"""),45344.64583333333)</f>
        <v>45344.64583</v>
      </c>
      <c r="GH47" s="45">
        <f>IFERROR(__xludf.DUMMYFUNCTION("""COMPUTED_VALUE"""),6949.0)</f>
        <v>6949</v>
      </c>
      <c r="GI47" s="46">
        <f t="shared" si="48"/>
        <v>0.3113795056</v>
      </c>
      <c r="GJ47" s="37"/>
      <c r="GK47" s="37">
        <f>IFERROR(__xludf.DUMMYFUNCTION("""COMPUTED_VALUE"""),45344.64583333333)</f>
        <v>45344.64583</v>
      </c>
      <c r="GL47" s="45">
        <f>IFERROR(__xludf.DUMMYFUNCTION("""COMPUTED_VALUE"""),80.0)</f>
        <v>80</v>
      </c>
      <c r="GM47" s="46">
        <f t="shared" si="49"/>
        <v>-0.2945326279</v>
      </c>
      <c r="GN47" s="37"/>
      <c r="GO47" s="37">
        <f>IFERROR(__xludf.DUMMYFUNCTION("""COMPUTED_VALUE"""),45344.64583333333)</f>
        <v>45344.64583</v>
      </c>
      <c r="GP47" s="45">
        <f>IFERROR(__xludf.DUMMYFUNCTION("""COMPUTED_VALUE"""),1314.0)</f>
        <v>1314</v>
      </c>
      <c r="GQ47" s="46">
        <f t="shared" si="50"/>
        <v>0.1950343322</v>
      </c>
      <c r="GR47" s="37"/>
      <c r="GS47" s="37">
        <f>IFERROR(__xludf.DUMMYFUNCTION("""COMPUTED_VALUE"""),45344.64583333333)</f>
        <v>45344.64583</v>
      </c>
      <c r="GT47" s="45">
        <f>IFERROR(__xludf.DUMMYFUNCTION("""COMPUTED_VALUE"""),13.6)</f>
        <v>13.6</v>
      </c>
      <c r="GU47" s="46">
        <f t="shared" si="51"/>
        <v>0.05019305019</v>
      </c>
      <c r="GV47" s="37"/>
      <c r="GW47" s="37">
        <f>IFERROR(__xludf.DUMMYFUNCTION("""COMPUTED_VALUE"""),45345.64583333333)</f>
        <v>45345.64583</v>
      </c>
      <c r="GX47" s="45">
        <f>IFERROR(__xludf.DUMMYFUNCTION("""COMPUTED_VALUE"""),17.4)</f>
        <v>17.4</v>
      </c>
      <c r="GY47" s="46">
        <f t="shared" si="52"/>
        <v>0.05454545455</v>
      </c>
      <c r="GZ47" s="37"/>
      <c r="HA47" s="37">
        <f>IFERROR(__xludf.DUMMYFUNCTION("""COMPUTED_VALUE"""),45345.64583333333)</f>
        <v>45345.64583</v>
      </c>
      <c r="HB47" s="45">
        <f>IFERROR(__xludf.DUMMYFUNCTION("""COMPUTED_VALUE"""),524.8)</f>
        <v>524.8</v>
      </c>
      <c r="HC47" s="46">
        <f t="shared" si="53"/>
        <v>-0.1368421053</v>
      </c>
      <c r="HD47" s="37"/>
      <c r="HE47" s="43">
        <f>IFERROR(__xludf.DUMMYFUNCTION("""COMPUTED_VALUE"""),45345.64583333333)</f>
        <v>45345.64583</v>
      </c>
      <c r="HF47" s="45">
        <f>IFERROR(__xludf.DUMMYFUNCTION("""COMPUTED_VALUE"""),2873.73)</f>
        <v>2873.73</v>
      </c>
      <c r="HG47" s="46" t="str">
        <f t="shared" si="54"/>
        <v>#DIV/0!</v>
      </c>
      <c r="HH47" s="37"/>
      <c r="HI47" s="37">
        <f>IFERROR(__xludf.DUMMYFUNCTION("""COMPUTED_VALUE"""),45345.64583333333)</f>
        <v>45345.64583</v>
      </c>
      <c r="HJ47" s="45">
        <f>IFERROR(__xludf.DUMMYFUNCTION("""COMPUTED_VALUE"""),7488.8)</f>
        <v>7488.8</v>
      </c>
      <c r="HK47" s="46">
        <f t="shared" si="55"/>
        <v>0.4655042514</v>
      </c>
      <c r="HL47" s="37"/>
      <c r="HM47" s="37">
        <f>IFERROR(__xludf.DUMMYFUNCTION("""COMPUTED_VALUE"""),45345.64583333333)</f>
        <v>45345.64583</v>
      </c>
      <c r="HN47" s="45">
        <f>IFERROR(__xludf.DUMMYFUNCTION("""COMPUTED_VALUE"""),345.9)</f>
        <v>345.9</v>
      </c>
      <c r="HO47" s="46">
        <f t="shared" si="56"/>
        <v>-0.1491821424</v>
      </c>
      <c r="HP47" s="37"/>
      <c r="HQ47" s="37">
        <f>IFERROR(__xludf.DUMMYFUNCTION("""COMPUTED_VALUE"""),45345.64583333333)</f>
        <v>45345.64583</v>
      </c>
      <c r="HR47" s="45">
        <f>IFERROR(__xludf.DUMMYFUNCTION("""COMPUTED_VALUE"""),255.8)</f>
        <v>255.8</v>
      </c>
      <c r="HS47" s="46">
        <f t="shared" si="57"/>
        <v>0.005898545026</v>
      </c>
      <c r="HT47" s="37"/>
      <c r="HU47" s="37">
        <f>IFERROR(__xludf.DUMMYFUNCTION("""COMPUTED_VALUE"""),45345.64583333333)</f>
        <v>45345.64583</v>
      </c>
      <c r="HV47" s="45">
        <f>IFERROR(__xludf.DUMMYFUNCTION("""COMPUTED_VALUE"""),56.95)</f>
        <v>56.95</v>
      </c>
      <c r="HW47" s="46">
        <f t="shared" si="58"/>
        <v>-0.08733974359</v>
      </c>
      <c r="HX47" s="37"/>
      <c r="HY47" s="37">
        <f>IFERROR(__xludf.DUMMYFUNCTION("""COMPUTED_VALUE"""),45345.64583333333)</f>
        <v>45345.64583</v>
      </c>
      <c r="HZ47" s="45">
        <f>IFERROR(__xludf.DUMMYFUNCTION("""COMPUTED_VALUE"""),371.4)</f>
        <v>371.4</v>
      </c>
      <c r="IA47" s="46">
        <f t="shared" si="59"/>
        <v>-0.2012903226</v>
      </c>
      <c r="IB47" s="37"/>
      <c r="IC47" s="37">
        <f>IFERROR(__xludf.DUMMYFUNCTION("""COMPUTED_VALUE"""),45345.64583333333)</f>
        <v>45345.64583</v>
      </c>
      <c r="ID47" s="45">
        <f>IFERROR(__xludf.DUMMYFUNCTION("""COMPUTED_VALUE"""),83.15)</f>
        <v>83.15</v>
      </c>
      <c r="IE47" s="46">
        <f t="shared" si="60"/>
        <v>-0.8104843305</v>
      </c>
      <c r="IF47" s="37"/>
      <c r="IG47" s="37">
        <f>IFERROR(__xludf.DUMMYFUNCTION("""COMPUTED_VALUE"""),45345.64583333333)</f>
        <v>45345.64583</v>
      </c>
      <c r="IH47" s="45">
        <f>IFERROR(__xludf.DUMMYFUNCTION("""COMPUTED_VALUE"""),532.1)</f>
        <v>532.1</v>
      </c>
      <c r="II47" s="46">
        <f t="shared" si="61"/>
        <v>-0.001688555347</v>
      </c>
      <c r="IJ47" s="37"/>
      <c r="IK47" s="37">
        <f>IFERROR(__xludf.DUMMYFUNCTION("""COMPUTED_VALUE"""),45345.64583333333)</f>
        <v>45345.64583</v>
      </c>
      <c r="IL47" s="45">
        <f>IFERROR(__xludf.DUMMYFUNCTION("""COMPUTED_VALUE"""),528.55)</f>
        <v>528.55</v>
      </c>
      <c r="IM47" s="46">
        <f t="shared" si="62"/>
        <v>-0.144671899</v>
      </c>
      <c r="IN47" s="37"/>
      <c r="IO47" s="37">
        <f>IFERROR(__xludf.DUMMYFUNCTION("""COMPUTED_VALUE"""),45348.64583333333)</f>
        <v>45348.64583</v>
      </c>
      <c r="IP47" s="45">
        <f>IFERROR(__xludf.DUMMYFUNCTION("""COMPUTED_VALUE"""),276.85)</f>
        <v>276.85</v>
      </c>
      <c r="IQ47" s="46">
        <f t="shared" si="63"/>
        <v>1.202641419</v>
      </c>
      <c r="IR47" s="37"/>
      <c r="IS47" s="37">
        <f>IFERROR(__xludf.DUMMYFUNCTION("""COMPUTED_VALUE"""),45345.64583333333)</f>
        <v>45345.64583</v>
      </c>
      <c r="IT47" s="45">
        <f>IFERROR(__xludf.DUMMYFUNCTION("""COMPUTED_VALUE"""),945.0)</f>
        <v>945</v>
      </c>
      <c r="IU47" s="46">
        <f t="shared" si="64"/>
        <v>-0.05876494024</v>
      </c>
      <c r="IV47" s="37"/>
      <c r="IW47" s="37">
        <f>IFERROR(__xludf.DUMMYFUNCTION("""COMPUTED_VALUE"""),45345.64583333333)</f>
        <v>45345.64583</v>
      </c>
      <c r="IX47" s="45">
        <f>IFERROR(__xludf.DUMMYFUNCTION("""COMPUTED_VALUE"""),289.65)</f>
        <v>289.65</v>
      </c>
      <c r="IY47" s="46">
        <f t="shared" si="65"/>
        <v>0.4064093227</v>
      </c>
      <c r="IZ47" s="37"/>
      <c r="JA47" s="37">
        <f>IFERROR(__xludf.DUMMYFUNCTION("""COMPUTED_VALUE"""),45345.64583333333)</f>
        <v>45345.64583</v>
      </c>
      <c r="JB47" s="45">
        <f>IFERROR(__xludf.DUMMYFUNCTION("""COMPUTED_VALUE"""),31185.0)</f>
        <v>31185</v>
      </c>
      <c r="JC47" s="46">
        <f t="shared" si="66"/>
        <v>-0.1191337372</v>
      </c>
      <c r="JD47" s="37"/>
      <c r="JE47" s="37">
        <f>IFERROR(__xludf.DUMMYFUNCTION("""COMPUTED_VALUE"""),45345.64583333333)</f>
        <v>45345.64583</v>
      </c>
      <c r="JF47" s="45">
        <f>IFERROR(__xludf.DUMMYFUNCTION("""COMPUTED_VALUE"""),689.5)</f>
        <v>689.5</v>
      </c>
      <c r="JG47" s="46">
        <f t="shared" si="67"/>
        <v>0.06899224806</v>
      </c>
      <c r="JH47" s="37"/>
      <c r="JI47" s="37">
        <f>IFERROR(__xludf.DUMMYFUNCTION("""COMPUTED_VALUE"""),45345.64583333333)</f>
        <v>45345.64583</v>
      </c>
      <c r="JJ47" s="45">
        <f>IFERROR(__xludf.DUMMYFUNCTION("""COMPUTED_VALUE"""),336.0)</f>
        <v>336</v>
      </c>
      <c r="JK47" s="46">
        <f t="shared" si="68"/>
        <v>0.00613864351</v>
      </c>
      <c r="JL47" s="37"/>
      <c r="JM47" s="37">
        <f>IFERROR(__xludf.DUMMYFUNCTION("""COMPUTED_VALUE"""),45345.64583333333)</f>
        <v>45345.64583</v>
      </c>
      <c r="JN47" s="45">
        <f>IFERROR(__xludf.DUMMYFUNCTION("""COMPUTED_VALUE"""),15.7)</f>
        <v>15.7</v>
      </c>
      <c r="JO47" s="46">
        <f t="shared" si="69"/>
        <v>-0.9642165242</v>
      </c>
      <c r="JP47" s="37"/>
      <c r="JQ47" s="37">
        <f>IFERROR(__xludf.DUMMYFUNCTION("""COMPUTED_VALUE"""),45345.64583333333)</f>
        <v>45345.64583</v>
      </c>
      <c r="JR47" s="45">
        <f>IFERROR(__xludf.DUMMYFUNCTION("""COMPUTED_VALUE"""),85.7)</f>
        <v>85.7</v>
      </c>
      <c r="JS47" s="46">
        <f t="shared" si="70"/>
        <v>-0.3698529412</v>
      </c>
      <c r="JT47" s="37"/>
      <c r="JU47" s="37">
        <f>IFERROR(__xludf.DUMMYFUNCTION("""COMPUTED_VALUE"""),45345.64583333333)</f>
        <v>45345.64583</v>
      </c>
      <c r="JV47" s="45">
        <f>IFERROR(__xludf.DUMMYFUNCTION("""COMPUTED_VALUE"""),255.8)</f>
        <v>255.8</v>
      </c>
      <c r="JW47" s="46">
        <f t="shared" si="71"/>
        <v>-0.416980057</v>
      </c>
      <c r="JX47" s="37"/>
      <c r="JY47" s="37">
        <f>IFERROR(__xludf.DUMMYFUNCTION("""COMPUTED_VALUE"""),45345.64583333333)</f>
        <v>45345.64583</v>
      </c>
      <c r="JZ47" s="45">
        <f>IFERROR(__xludf.DUMMYFUNCTION("""COMPUTED_VALUE"""),583.5)</f>
        <v>583.5</v>
      </c>
      <c r="KA47" s="46">
        <f t="shared" si="72"/>
        <v>0.05898366606</v>
      </c>
      <c r="KB47" s="37"/>
      <c r="KC47" s="37">
        <f>IFERROR(__xludf.DUMMYFUNCTION("""COMPUTED_VALUE"""),45345.64583333333)</f>
        <v>45345.64583</v>
      </c>
      <c r="KD47" s="45">
        <f>IFERROR(__xludf.DUMMYFUNCTION("""COMPUTED_VALUE"""),909.48)</f>
        <v>909.48</v>
      </c>
      <c r="KE47" s="46">
        <f t="shared" si="73"/>
        <v>0.04113101711</v>
      </c>
      <c r="KF47" s="37"/>
      <c r="KG47" s="37">
        <f>IFERROR(__xludf.DUMMYFUNCTION("""COMPUTED_VALUE"""),45345.64583333333)</f>
        <v>45345.64583</v>
      </c>
      <c r="KH47" s="45">
        <f>IFERROR(__xludf.DUMMYFUNCTION("""COMPUTED_VALUE"""),534.0)</f>
        <v>534</v>
      </c>
      <c r="KI47" s="46">
        <f t="shared" si="74"/>
        <v>0.3692307692</v>
      </c>
      <c r="KJ47" s="37"/>
      <c r="KK47" s="37">
        <f>IFERROR(__xludf.DUMMYFUNCTION("""COMPUTED_VALUE"""),45345.64583333333)</f>
        <v>45345.64583</v>
      </c>
      <c r="KL47" s="45">
        <f>IFERROR(__xludf.DUMMYFUNCTION("""COMPUTED_VALUE"""),14.05)</f>
        <v>14.05</v>
      </c>
      <c r="KM47" s="46">
        <f t="shared" si="75"/>
        <v>0.5107526882</v>
      </c>
      <c r="KN47" s="37"/>
      <c r="KO47" s="37">
        <f>IFERROR(__xludf.DUMMYFUNCTION("""COMPUTED_VALUE"""),45345.64583333333)</f>
        <v>45345.64583</v>
      </c>
      <c r="KP47" s="45">
        <f>IFERROR(__xludf.DUMMYFUNCTION("""COMPUTED_VALUE"""),241.0)</f>
        <v>241</v>
      </c>
      <c r="KQ47" s="46">
        <f t="shared" si="76"/>
        <v>0.1854402361</v>
      </c>
      <c r="KR47" s="37"/>
      <c r="KS47" s="37">
        <f>IFERROR(__xludf.DUMMYFUNCTION("""COMPUTED_VALUE"""),45345.64583333333)</f>
        <v>45345.64583</v>
      </c>
      <c r="KT47" s="45">
        <f>IFERROR(__xludf.DUMMYFUNCTION("""COMPUTED_VALUE"""),17.25)</f>
        <v>17.25</v>
      </c>
      <c r="KU47" s="46">
        <f t="shared" si="77"/>
        <v>0.5610859729</v>
      </c>
      <c r="KV47" s="37"/>
      <c r="KW47" s="37">
        <f>IFERROR(__xludf.DUMMYFUNCTION("""COMPUTED_VALUE"""),45345.64583333333)</f>
        <v>45345.64583</v>
      </c>
      <c r="KX47" s="45">
        <f>IFERROR(__xludf.DUMMYFUNCTION("""COMPUTED_VALUE"""),2280.15)</f>
        <v>2280.15</v>
      </c>
      <c r="KY47" s="46">
        <f t="shared" si="78"/>
        <v>-0.1459952434</v>
      </c>
      <c r="KZ47" s="37"/>
      <c r="LA47" s="37">
        <f>IFERROR(__xludf.DUMMYFUNCTION("""COMPUTED_VALUE"""),45345.64583333333)</f>
        <v>45345.64583</v>
      </c>
      <c r="LB47" s="45">
        <f>IFERROR(__xludf.DUMMYFUNCTION("""COMPUTED_VALUE"""),19.95)</f>
        <v>19.95</v>
      </c>
      <c r="LC47" s="46">
        <f t="shared" si="79"/>
        <v>0.05835543767</v>
      </c>
      <c r="LD47" s="37"/>
      <c r="LE47" s="37">
        <f>IFERROR(__xludf.DUMMYFUNCTION("""COMPUTED_VALUE"""),45345.64583333333)</f>
        <v>45345.64583</v>
      </c>
      <c r="LF47" s="45">
        <f>IFERROR(__xludf.DUMMYFUNCTION("""COMPUTED_VALUE"""),131.0)</f>
        <v>131</v>
      </c>
      <c r="LG47" s="46">
        <f t="shared" si="80"/>
        <v>0.048</v>
      </c>
      <c r="LH47" s="37"/>
      <c r="LI47" s="37">
        <f>IFERROR(__xludf.DUMMYFUNCTION("""COMPUTED_VALUE"""),45345.64583333333)</f>
        <v>45345.64583</v>
      </c>
      <c r="LJ47" s="45">
        <f>IFERROR(__xludf.DUMMYFUNCTION("""COMPUTED_VALUE"""),700.0)</f>
        <v>700</v>
      </c>
      <c r="LK47" s="46">
        <f t="shared" si="81"/>
        <v>-0.03846153846</v>
      </c>
      <c r="LL47" s="37"/>
      <c r="LM47" s="37">
        <f>IFERROR(__xludf.DUMMYFUNCTION("""COMPUTED_VALUE"""),45345.64583333333)</f>
        <v>45345.64583</v>
      </c>
      <c r="LN47" s="45">
        <f>IFERROR(__xludf.DUMMYFUNCTION("""COMPUTED_VALUE"""),889.55)</f>
        <v>889.55</v>
      </c>
      <c r="LO47" s="46">
        <f t="shared" si="82"/>
        <v>0.04040935673</v>
      </c>
      <c r="LP47" s="37"/>
      <c r="LQ47" s="37">
        <f>IFERROR(__xludf.DUMMYFUNCTION("""COMPUTED_VALUE"""),45345.64583333333)</f>
        <v>45345.64583</v>
      </c>
      <c r="LR47" s="45">
        <f>IFERROR(__xludf.DUMMYFUNCTION("""COMPUTED_VALUE"""),637.45)</f>
        <v>637.45</v>
      </c>
      <c r="LS47" s="46">
        <f t="shared" si="83"/>
        <v>0.7445265463</v>
      </c>
      <c r="LT47" s="37"/>
      <c r="LU47" s="37">
        <f>IFERROR(__xludf.DUMMYFUNCTION("""COMPUTED_VALUE"""),45345.64583333333)</f>
        <v>45345.64583</v>
      </c>
      <c r="LV47" s="45">
        <f>IFERROR(__xludf.DUMMYFUNCTION("""COMPUTED_VALUE"""),128.7)</f>
        <v>128.7</v>
      </c>
      <c r="LW47" s="46">
        <f t="shared" si="84"/>
        <v>-0.05921052632</v>
      </c>
      <c r="LX47" s="37"/>
      <c r="LY47" s="37">
        <f>IFERROR(__xludf.DUMMYFUNCTION("""COMPUTED_VALUE"""),45345.64583333333)</f>
        <v>45345.64583</v>
      </c>
      <c r="LZ47" s="45">
        <f>IFERROR(__xludf.DUMMYFUNCTION("""COMPUTED_VALUE"""),683.1)</f>
        <v>683.1</v>
      </c>
      <c r="MA47" s="46">
        <f t="shared" si="85"/>
        <v>0.1017741935</v>
      </c>
      <c r="MB47" s="37"/>
      <c r="MC47" s="37"/>
      <c r="MD47" s="45"/>
      <c r="ME47" s="46" t="str">
        <f t="shared" si="86"/>
        <v>#DIV/0!</v>
      </c>
      <c r="MF47" s="37"/>
      <c r="MG47" s="37">
        <f>IFERROR(__xludf.DUMMYFUNCTION("""COMPUTED_VALUE"""),45345.64583333333)</f>
        <v>45345.64583</v>
      </c>
      <c r="MH47" s="45">
        <f>IFERROR(__xludf.DUMMYFUNCTION("""COMPUTED_VALUE"""),1915.95)</f>
        <v>1915.95</v>
      </c>
      <c r="MI47" s="46">
        <f t="shared" si="87"/>
        <v>-0.02294806089</v>
      </c>
      <c r="MJ47" s="37"/>
      <c r="MK47" s="37">
        <f>IFERROR(__xludf.DUMMYFUNCTION("""COMPUTED_VALUE"""),45345.64583333333)</f>
        <v>45345.64583</v>
      </c>
      <c r="ML47" s="45">
        <f>IFERROR(__xludf.DUMMYFUNCTION("""COMPUTED_VALUE"""),329.7)</f>
        <v>329.7</v>
      </c>
      <c r="MM47" s="46">
        <f t="shared" si="88"/>
        <v>-0.1756469559</v>
      </c>
      <c r="MN47" s="37"/>
      <c r="MO47" s="37">
        <f>IFERROR(__xludf.DUMMYFUNCTION("""COMPUTED_VALUE"""),45345.64583333333)</f>
        <v>45345.64583</v>
      </c>
      <c r="MP47" s="45">
        <f>IFERROR(__xludf.DUMMYFUNCTION("""COMPUTED_VALUE"""),1010.0)</f>
        <v>1010</v>
      </c>
      <c r="MQ47" s="46">
        <f t="shared" si="89"/>
        <v>0.3648648649</v>
      </c>
      <c r="MR47" s="37"/>
      <c r="MS47" s="37">
        <f>IFERROR(__xludf.DUMMYFUNCTION("""COMPUTED_VALUE"""),45345.64583333333)</f>
        <v>45345.64583</v>
      </c>
      <c r="MT47" s="45">
        <f>IFERROR(__xludf.DUMMYFUNCTION("""COMPUTED_VALUE"""),63.7)</f>
        <v>63.7</v>
      </c>
      <c r="MU47" s="46">
        <f t="shared" si="90"/>
        <v>-0.03703703704</v>
      </c>
      <c r="MV47" s="37"/>
      <c r="MW47" s="37">
        <f>IFERROR(__xludf.DUMMYFUNCTION("""COMPUTED_VALUE"""),45345.64583333333)</f>
        <v>45345.64583</v>
      </c>
      <c r="MX47" s="45">
        <f>IFERROR(__xludf.DUMMYFUNCTION("""COMPUTED_VALUE"""),3127.85)</f>
        <v>3127.85</v>
      </c>
      <c r="MY47" s="46">
        <f t="shared" si="91"/>
        <v>-0.00608516047</v>
      </c>
      <c r="MZ47" s="37"/>
      <c r="NA47" s="37">
        <f>IFERROR(__xludf.DUMMYFUNCTION("""COMPUTED_VALUE"""),45345.64583333333)</f>
        <v>45345.64583</v>
      </c>
      <c r="NB47" s="45">
        <f>IFERROR(__xludf.DUMMYFUNCTION("""COMPUTED_VALUE"""),13.75)</f>
        <v>13.75</v>
      </c>
      <c r="NC47" s="46">
        <f t="shared" si="92"/>
        <v>0.08695652174</v>
      </c>
      <c r="ND47" s="37"/>
      <c r="NE47" s="37">
        <f>IFERROR(__xludf.DUMMYFUNCTION("""COMPUTED_VALUE"""),45348.64583333333)</f>
        <v>45348.64583</v>
      </c>
      <c r="NF47" s="45">
        <f>IFERROR(__xludf.DUMMYFUNCTION("""COMPUTED_VALUE"""),367.55)</f>
        <v>367.55</v>
      </c>
      <c r="NG47" s="46">
        <f t="shared" si="93"/>
        <v>-0.04021412717</v>
      </c>
      <c r="NH47" s="37"/>
      <c r="NI47" s="37">
        <f>IFERROR(__xludf.DUMMYFUNCTION("""COMPUTED_VALUE"""),45348.64583333333)</f>
        <v>45348.64583</v>
      </c>
      <c r="NJ47" s="45">
        <f>IFERROR(__xludf.DUMMYFUNCTION("""COMPUTED_VALUE"""),362.33)</f>
        <v>362.33</v>
      </c>
      <c r="NK47" s="46">
        <f t="shared" si="94"/>
        <v>0.358720516</v>
      </c>
      <c r="NL47" s="37"/>
      <c r="NM47" s="37">
        <f>IFERROR(__xludf.DUMMYFUNCTION("""COMPUTED_VALUE"""),45348.64583333333)</f>
        <v>45348.64583</v>
      </c>
      <c r="NN47" s="45">
        <f>IFERROR(__xludf.DUMMYFUNCTION("""COMPUTED_VALUE"""),128.0)</f>
        <v>128</v>
      </c>
      <c r="NO47" s="46">
        <f t="shared" si="95"/>
        <v>0.03811841038</v>
      </c>
      <c r="NP47" s="37"/>
      <c r="NQ47" s="37">
        <f>IFERROR(__xludf.DUMMYFUNCTION("""COMPUTED_VALUE"""),45348.64583333333)</f>
        <v>45348.64583</v>
      </c>
      <c r="NR47" s="45">
        <f>IFERROR(__xludf.DUMMYFUNCTION("""COMPUTED_VALUE"""),4530.0)</f>
        <v>4530</v>
      </c>
      <c r="NS47" s="46">
        <f t="shared" si="96"/>
        <v>0.08477011494</v>
      </c>
      <c r="NT47" s="37"/>
      <c r="NU47" s="37">
        <f>IFERROR(__xludf.DUMMYFUNCTION("""COMPUTED_VALUE"""),45348.64583333333)</f>
        <v>45348.64583</v>
      </c>
      <c r="NV47" s="45">
        <f>IFERROR(__xludf.DUMMYFUNCTION("""COMPUTED_VALUE"""),15.35)</f>
        <v>15.35</v>
      </c>
      <c r="NW47" s="46">
        <f t="shared" si="97"/>
        <v>0.2086614173</v>
      </c>
      <c r="NX47" s="37"/>
      <c r="NY47" s="37">
        <f>IFERROR(__xludf.DUMMYFUNCTION("""COMPUTED_VALUE"""),45348.64583333333)</f>
        <v>45348.64583</v>
      </c>
      <c r="NZ47" s="45">
        <f>IFERROR(__xludf.DUMMYFUNCTION("""COMPUTED_VALUE"""),234.65)</f>
        <v>234.65</v>
      </c>
      <c r="OA47" s="46">
        <f t="shared" si="98"/>
        <v>-0.04923014587</v>
      </c>
      <c r="OB47" s="37"/>
      <c r="OC47" s="37">
        <f>IFERROR(__xludf.DUMMYFUNCTION("""COMPUTED_VALUE"""),45348.64583333333)</f>
        <v>45348.64583</v>
      </c>
      <c r="OD47" s="45">
        <f>IFERROR(__xludf.DUMMYFUNCTION("""COMPUTED_VALUE"""),1182.8)</f>
        <v>1182.8</v>
      </c>
      <c r="OE47" s="46">
        <f t="shared" si="99"/>
        <v>0.1222543764</v>
      </c>
      <c r="OF47" s="37"/>
      <c r="OG47" s="37">
        <f>IFERROR(__xludf.DUMMYFUNCTION("""COMPUTED_VALUE"""),45348.64583333333)</f>
        <v>45348.64583</v>
      </c>
      <c r="OH47" s="45">
        <f>IFERROR(__xludf.DUMMYFUNCTION("""COMPUTED_VALUE"""),2935.0)</f>
        <v>2935</v>
      </c>
      <c r="OI47" s="46">
        <f t="shared" si="100"/>
        <v>0.2029674563</v>
      </c>
      <c r="OJ47" s="37"/>
      <c r="OK47" s="37"/>
      <c r="OL47" s="45"/>
      <c r="OM47" s="46" t="str">
        <f t="shared" si="101"/>
        <v>#DIV/0!</v>
      </c>
      <c r="ON47" s="37"/>
    </row>
    <row r="48" ht="12.0" customHeight="1">
      <c r="A48" s="37">
        <f>IFERROR(__xludf.DUMMYFUNCTION("""COMPUTED_VALUE"""),45345.64583333333)</f>
        <v>45345.64583</v>
      </c>
      <c r="B48" s="48">
        <f>IFERROR(__xludf.DUMMYFUNCTION("""COMPUTED_VALUE"""),403.75)</f>
        <v>403.75</v>
      </c>
      <c r="D48" s="37"/>
      <c r="E48" s="37">
        <f>IFERROR(__xludf.DUMMYFUNCTION("""COMPUTED_VALUE"""),45345.64583333333)</f>
        <v>45345.64583</v>
      </c>
      <c r="F48" s="48">
        <f>IFERROR(__xludf.DUMMYFUNCTION("""COMPUTED_VALUE"""),675.0)</f>
        <v>675</v>
      </c>
      <c r="I48" s="37">
        <f>IFERROR(__xludf.DUMMYFUNCTION("""COMPUTED_VALUE"""),45345.64583333333)</f>
        <v>45345.64583</v>
      </c>
      <c r="J48" s="48">
        <f>IFERROR(__xludf.DUMMYFUNCTION("""COMPUTED_VALUE"""),207.0)</f>
        <v>207</v>
      </c>
      <c r="M48" s="37">
        <f>IFERROR(__xludf.DUMMYFUNCTION("""COMPUTED_VALUE"""),45345.64583333333)</f>
        <v>45345.64583</v>
      </c>
      <c r="N48" s="48">
        <f>IFERROR(__xludf.DUMMYFUNCTION("""COMPUTED_VALUE"""),116.7)</f>
        <v>116.7</v>
      </c>
      <c r="Q48" s="37">
        <f>IFERROR(__xludf.DUMMYFUNCTION("""COMPUTED_VALUE"""),45345.64583333333)</f>
        <v>45345.64583</v>
      </c>
      <c r="R48" s="48">
        <f>IFERROR(__xludf.DUMMYFUNCTION("""COMPUTED_VALUE"""),55.0)</f>
        <v>55</v>
      </c>
      <c r="U48" s="37">
        <f>IFERROR(__xludf.DUMMYFUNCTION("""COMPUTED_VALUE"""),45345.64583333333)</f>
        <v>45345.64583</v>
      </c>
      <c r="V48" s="45">
        <f>IFERROR(__xludf.DUMMYFUNCTION("""COMPUTED_VALUE"""),629.85)</f>
        <v>629.85</v>
      </c>
      <c r="W48" s="46"/>
      <c r="Y48" s="37">
        <f>IFERROR(__xludf.DUMMYFUNCTION("""COMPUTED_VALUE"""),45345.64583333333)</f>
        <v>45345.64583</v>
      </c>
      <c r="Z48" s="45">
        <f>IFERROR(__xludf.DUMMYFUNCTION("""COMPUTED_VALUE"""),205.4)</f>
        <v>205.4</v>
      </c>
      <c r="AA48" s="46"/>
      <c r="AB48" s="46"/>
      <c r="AC48" s="37">
        <f>IFERROR(__xludf.DUMMYFUNCTION("""COMPUTED_VALUE"""),45345.64583333333)</f>
        <v>45345.64583</v>
      </c>
      <c r="AD48" s="45">
        <f>IFERROR(__xludf.DUMMYFUNCTION("""COMPUTED_VALUE"""),2873.73)</f>
        <v>2873.73</v>
      </c>
      <c r="AE48" s="46"/>
      <c r="AF48" s="46"/>
      <c r="AG48" s="37">
        <f>IFERROR(__xludf.DUMMYFUNCTION("""COMPUTED_VALUE"""),45345.64583333333)</f>
        <v>45345.64583</v>
      </c>
      <c r="AH48" s="45">
        <f>IFERROR(__xludf.DUMMYFUNCTION("""COMPUTED_VALUE"""),682.95)</f>
        <v>682.95</v>
      </c>
      <c r="AI48" s="46"/>
      <c r="AJ48" s="46"/>
      <c r="AK48" s="37">
        <f>IFERROR(__xludf.DUMMYFUNCTION("""COMPUTED_VALUE"""),45345.64583333333)</f>
        <v>45345.64583</v>
      </c>
      <c r="AL48" s="45">
        <f>IFERROR(__xludf.DUMMYFUNCTION("""COMPUTED_VALUE"""),7488.8)</f>
        <v>7488.8</v>
      </c>
      <c r="AN48" s="37"/>
      <c r="AO48" s="49">
        <f>IFERROR(__xludf.DUMMYFUNCTION("""COMPUTED_VALUE"""),45345.64583333333)</f>
        <v>45345.64583</v>
      </c>
      <c r="AP48" s="48">
        <f>IFERROR(__xludf.DUMMYFUNCTION("""COMPUTED_VALUE"""),905.3)</f>
        <v>905.3</v>
      </c>
      <c r="AQ48" s="37"/>
      <c r="AR48" s="45"/>
      <c r="AS48" s="50">
        <f>IFERROR(__xludf.DUMMYFUNCTION("""COMPUTED_VALUE"""),45345.64583333333)</f>
        <v>45345.64583</v>
      </c>
      <c r="AT48" s="37">
        <f>IFERROR(__xludf.DUMMYFUNCTION("""COMPUTED_VALUE"""),2362.0)</f>
        <v>2362</v>
      </c>
      <c r="AU48" s="45"/>
      <c r="AW48" s="37">
        <f>IFERROR(__xludf.DUMMYFUNCTION("""COMPUTED_VALUE"""),45345.64583333333)</f>
        <v>45345.64583</v>
      </c>
      <c r="AX48" s="45">
        <f>IFERROR(__xludf.DUMMYFUNCTION("""COMPUTED_VALUE"""),5539.8)</f>
        <v>5539.8</v>
      </c>
      <c r="AZ48" s="37"/>
      <c r="BA48" s="49">
        <f>IFERROR(__xludf.DUMMYFUNCTION("""COMPUTED_VALUE"""),45345.64583333333)</f>
        <v>45345.64583</v>
      </c>
      <c r="BB48" s="48">
        <f>IFERROR(__xludf.DUMMYFUNCTION("""COMPUTED_VALUE"""),541.25)</f>
        <v>541.25</v>
      </c>
      <c r="BC48" s="37"/>
      <c r="BD48" s="45"/>
      <c r="BE48" s="50">
        <f>IFERROR(__xludf.DUMMYFUNCTION("""COMPUTED_VALUE"""),45345.64583333333)</f>
        <v>45345.64583</v>
      </c>
      <c r="BF48" s="51">
        <f>IFERROR(__xludf.DUMMYFUNCTION("""COMPUTED_VALUE"""),310.0)</f>
        <v>310</v>
      </c>
      <c r="BG48" s="52"/>
      <c r="BH48" s="45"/>
      <c r="BI48" s="51">
        <f>IFERROR(__xludf.DUMMYFUNCTION("""COMPUTED_VALUE"""),45345.64583333333)</f>
        <v>45345.64583</v>
      </c>
      <c r="BJ48" s="52">
        <f>IFERROR(__xludf.DUMMYFUNCTION("""COMPUTED_VALUE"""),71.0)</f>
        <v>71</v>
      </c>
      <c r="BK48" s="45"/>
      <c r="BL48" s="51"/>
      <c r="BM48" s="53">
        <f>IFERROR(__xludf.DUMMYFUNCTION("""COMPUTED_VALUE"""),45345.64583333333)</f>
        <v>45345.64583</v>
      </c>
      <c r="BN48" s="45">
        <f>IFERROR(__xludf.DUMMYFUNCTION("""COMPUTED_VALUE"""),255.8)</f>
        <v>255.8</v>
      </c>
      <c r="BO48" s="51"/>
      <c r="BP48" s="52"/>
      <c r="BQ48" s="49">
        <f>IFERROR(__xludf.DUMMYFUNCTION("""COMPUTED_VALUE"""),45345.64583333333)</f>
        <v>45345.64583</v>
      </c>
      <c r="BR48" s="51">
        <f>IFERROR(__xludf.DUMMYFUNCTION("""COMPUTED_VALUE"""),56.95)</f>
        <v>56.95</v>
      </c>
      <c r="BS48" s="52"/>
      <c r="BT48" s="45"/>
      <c r="BU48" s="51">
        <f>IFERROR(__xludf.DUMMYFUNCTION("""COMPUTED_VALUE"""),45345.64583333333)</f>
        <v>45345.64583</v>
      </c>
      <c r="BV48" s="52">
        <f>IFERROR(__xludf.DUMMYFUNCTION("""COMPUTED_VALUE"""),322.7)</f>
        <v>322.7</v>
      </c>
      <c r="BW48" s="45"/>
      <c r="BX48" s="51"/>
      <c r="BY48" s="53">
        <f>IFERROR(__xludf.DUMMYFUNCTION("""COMPUTED_VALUE"""),45345.64583333333)</f>
        <v>45345.64583</v>
      </c>
      <c r="BZ48" s="45">
        <f>IFERROR(__xludf.DUMMYFUNCTION("""COMPUTED_VALUE"""),371.4)</f>
        <v>371.4</v>
      </c>
      <c r="CA48" s="51"/>
      <c r="CB48" s="52"/>
      <c r="CC48" s="49">
        <f>IFERROR(__xludf.DUMMYFUNCTION("""COMPUTED_VALUE"""),45345.64583333333)</f>
        <v>45345.64583</v>
      </c>
      <c r="CD48" s="51">
        <f>IFERROR(__xludf.DUMMYFUNCTION("""COMPUTED_VALUE"""),259.2)</f>
        <v>259.2</v>
      </c>
      <c r="CE48" s="52"/>
      <c r="CF48" s="45"/>
      <c r="CG48" s="51">
        <f>IFERROR(__xludf.DUMMYFUNCTION("""COMPUTED_VALUE"""),45345.64583333333)</f>
        <v>45345.64583</v>
      </c>
      <c r="CH48" s="52">
        <f>IFERROR(__xludf.DUMMYFUNCTION("""COMPUTED_VALUE"""),689.5)</f>
        <v>689.5</v>
      </c>
      <c r="CI48" s="45"/>
      <c r="CJ48" s="51"/>
      <c r="CK48" s="53">
        <f>IFERROR(__xludf.DUMMYFUNCTION("""COMPUTED_VALUE"""),45345.64583333333)</f>
        <v>45345.64583</v>
      </c>
      <c r="CL48" s="45">
        <f>IFERROR(__xludf.DUMMYFUNCTION("""COMPUTED_VALUE"""),336.0)</f>
        <v>336</v>
      </c>
      <c r="CM48" s="51"/>
      <c r="CN48" s="52"/>
      <c r="CO48" s="49">
        <f>IFERROR(__xludf.DUMMYFUNCTION("""COMPUTED_VALUE"""),45345.64583333333)</f>
        <v>45345.64583</v>
      </c>
      <c r="CP48" s="51">
        <f>IFERROR(__xludf.DUMMYFUNCTION("""COMPUTED_VALUE"""),15.7)</f>
        <v>15.7</v>
      </c>
      <c r="CQ48" s="52"/>
      <c r="CR48" s="45"/>
      <c r="CS48" s="51">
        <f>IFERROR(__xludf.DUMMYFUNCTION("""COMPUTED_VALUE"""),45345.64583333333)</f>
        <v>45345.64583</v>
      </c>
      <c r="CT48" s="52">
        <f>IFERROR(__xludf.DUMMYFUNCTION("""COMPUTED_VALUE"""),210.5)</f>
        <v>210.5</v>
      </c>
      <c r="CU48" s="45"/>
      <c r="CV48" s="51"/>
      <c r="CW48" s="53">
        <f>IFERROR(__xludf.DUMMYFUNCTION("""COMPUTED_VALUE"""),45345.64583333333)</f>
        <v>45345.64583</v>
      </c>
      <c r="CX48" s="45">
        <f>IFERROR(__xludf.DUMMYFUNCTION("""COMPUTED_VALUE"""),863.9)</f>
        <v>863.9</v>
      </c>
      <c r="CY48" s="51"/>
      <c r="CZ48" s="52"/>
      <c r="DA48" s="50">
        <f>IFERROR(__xludf.DUMMYFUNCTION("""COMPUTED_VALUE"""),45345.64583333333)</f>
        <v>45345.64583</v>
      </c>
      <c r="DB48" s="37">
        <f>IFERROR(__xludf.DUMMYFUNCTION("""COMPUTED_VALUE"""),35.45)</f>
        <v>35.45</v>
      </c>
      <c r="DC48" s="45"/>
      <c r="DE48" s="37">
        <f>IFERROR(__xludf.DUMMYFUNCTION("""COMPUTED_VALUE"""),45345.64583333333)</f>
        <v>45345.64583</v>
      </c>
      <c r="DF48" s="45">
        <f>IFERROR(__xludf.DUMMYFUNCTION("""COMPUTED_VALUE"""),85.7)</f>
        <v>85.7</v>
      </c>
      <c r="DH48" s="37"/>
      <c r="DI48" s="49">
        <f>IFERROR(__xludf.DUMMYFUNCTION("""COMPUTED_VALUE"""),45345.64583333333)</f>
        <v>45345.64583</v>
      </c>
      <c r="DJ48" s="48">
        <f>IFERROR(__xludf.DUMMYFUNCTION("""COMPUTED_VALUE"""),1879.9)</f>
        <v>1879.9</v>
      </c>
      <c r="DK48" s="37"/>
      <c r="DL48" s="45"/>
      <c r="DM48" s="50">
        <f>IFERROR(__xludf.DUMMYFUNCTION("""COMPUTED_VALUE"""),45345.64583333333)</f>
        <v>45345.64583</v>
      </c>
      <c r="DN48" s="37">
        <f>IFERROR(__xludf.DUMMYFUNCTION("""COMPUTED_VALUE"""),591.05)</f>
        <v>591.05</v>
      </c>
      <c r="DO48" s="45"/>
      <c r="DQ48" s="37">
        <f>IFERROR(__xludf.DUMMYFUNCTION("""COMPUTED_VALUE"""),45345.64583333333)</f>
        <v>45345.64583</v>
      </c>
      <c r="DR48" s="45">
        <f>IFERROR(__xludf.DUMMYFUNCTION("""COMPUTED_VALUE"""),242.0)</f>
        <v>242</v>
      </c>
      <c r="DT48" s="37"/>
      <c r="DU48" s="49">
        <f>IFERROR(__xludf.DUMMYFUNCTION("""COMPUTED_VALUE"""),45345.64583333333)</f>
        <v>45345.64583</v>
      </c>
      <c r="DV48" s="48">
        <f>IFERROR(__xludf.DUMMYFUNCTION("""COMPUTED_VALUE"""),909.48)</f>
        <v>909.48</v>
      </c>
      <c r="DW48" s="37"/>
      <c r="DX48" s="45"/>
      <c r="DY48" s="50">
        <f>IFERROR(__xludf.DUMMYFUNCTION("""COMPUTED_VALUE"""),45345.64583333333)</f>
        <v>45345.64583</v>
      </c>
      <c r="DZ48" s="37">
        <f>IFERROR(__xludf.DUMMYFUNCTION("""COMPUTED_VALUE"""),17.25)</f>
        <v>17.25</v>
      </c>
      <c r="EA48" s="45"/>
      <c r="EC48" s="37">
        <f>IFERROR(__xludf.DUMMYFUNCTION("""COMPUTED_VALUE"""),45345.64583333333)</f>
        <v>45345.64583</v>
      </c>
      <c r="ED48" s="45">
        <f>IFERROR(__xludf.DUMMYFUNCTION("""COMPUTED_VALUE"""),2280.15)</f>
        <v>2280.15</v>
      </c>
      <c r="EF48" s="37"/>
      <c r="EG48" s="49">
        <f>IFERROR(__xludf.DUMMYFUNCTION("""COMPUTED_VALUE"""),45345.64583333333)</f>
        <v>45345.64583</v>
      </c>
      <c r="EH48" s="48">
        <f>IFERROR(__xludf.DUMMYFUNCTION("""COMPUTED_VALUE"""),949.6)</f>
        <v>949.6</v>
      </c>
      <c r="EI48" s="37"/>
      <c r="EJ48" s="45"/>
      <c r="EK48" s="50">
        <f>IFERROR(__xludf.DUMMYFUNCTION("""COMPUTED_VALUE"""),45345.64583333333)</f>
        <v>45345.64583</v>
      </c>
      <c r="EL48" s="37">
        <f>IFERROR(__xludf.DUMMYFUNCTION("""COMPUTED_VALUE"""),173.4)</f>
        <v>173.4</v>
      </c>
      <c r="EM48" s="45"/>
      <c r="EO48" s="37">
        <f>IFERROR(__xludf.DUMMYFUNCTION("""COMPUTED_VALUE"""),45345.64583333333)</f>
        <v>45345.64583</v>
      </c>
      <c r="EP48" s="45">
        <f>IFERROR(__xludf.DUMMYFUNCTION("""COMPUTED_VALUE"""),183.1)</f>
        <v>183.1</v>
      </c>
      <c r="ER48" s="37"/>
      <c r="ES48" s="49">
        <f>IFERROR(__xludf.DUMMYFUNCTION("""COMPUTED_VALUE"""),45345.64583333333)</f>
        <v>45345.64583</v>
      </c>
      <c r="ET48" s="48">
        <f>IFERROR(__xludf.DUMMYFUNCTION("""COMPUTED_VALUE"""),173.65)</f>
        <v>173.65</v>
      </c>
      <c r="EU48" s="51"/>
      <c r="EV48" s="52"/>
      <c r="EW48" s="49">
        <f>IFERROR(__xludf.DUMMYFUNCTION("""COMPUTED_VALUE"""),45345.64583333333)</f>
        <v>45345.64583</v>
      </c>
      <c r="EX48" s="51">
        <f>IFERROR(__xludf.DUMMYFUNCTION("""COMPUTED_VALUE"""),822.4)</f>
        <v>822.4</v>
      </c>
      <c r="EY48" s="52"/>
      <c r="EZ48" s="45"/>
      <c r="FA48" s="51">
        <f>IFERROR(__xludf.DUMMYFUNCTION("""COMPUTED_VALUE"""),45345.64583333333)</f>
        <v>45345.64583</v>
      </c>
      <c r="FB48" s="52">
        <f>IFERROR(__xludf.DUMMYFUNCTION("""COMPUTED_VALUE"""),227.0)</f>
        <v>227</v>
      </c>
      <c r="FC48" s="45"/>
      <c r="FD48" s="51"/>
      <c r="FE48" s="53">
        <f>IFERROR(__xludf.DUMMYFUNCTION("""COMPUTED_VALUE"""),45345.64583333333)</f>
        <v>45345.64583</v>
      </c>
      <c r="FF48" s="45">
        <f>IFERROR(__xludf.DUMMYFUNCTION("""COMPUTED_VALUE"""),382.1)</f>
        <v>382.1</v>
      </c>
      <c r="FG48" s="51"/>
      <c r="FH48" s="52"/>
      <c r="FI48" s="49">
        <f>IFERROR(__xludf.DUMMYFUNCTION("""COMPUTED_VALUE"""),45345.64583333333)</f>
        <v>45345.64583</v>
      </c>
      <c r="FJ48" s="51">
        <f>IFERROR(__xludf.DUMMYFUNCTION("""COMPUTED_VALUE"""),683.1)</f>
        <v>683.1</v>
      </c>
      <c r="FK48" s="52"/>
      <c r="FL48" s="45"/>
      <c r="FM48" s="51">
        <f>IFERROR(__xludf.DUMMYFUNCTION("""COMPUTED_VALUE"""),45345.64583333333)</f>
        <v>45345.64583</v>
      </c>
      <c r="FN48" s="52">
        <f>IFERROR(__xludf.DUMMYFUNCTION("""COMPUTED_VALUE"""),126.8)</f>
        <v>126.8</v>
      </c>
      <c r="FO48" s="45"/>
      <c r="FP48" s="51"/>
      <c r="FQ48" s="53">
        <f>IFERROR(__xludf.DUMMYFUNCTION("""COMPUTED_VALUE"""),45345.64583333333)</f>
        <v>45345.64583</v>
      </c>
      <c r="FR48" s="45">
        <f>IFERROR(__xludf.DUMMYFUNCTION("""COMPUTED_VALUE"""),3.95)</f>
        <v>3.95</v>
      </c>
      <c r="FS48" s="51"/>
      <c r="FT48" s="52"/>
      <c r="FU48" s="49">
        <f>IFERROR(__xludf.DUMMYFUNCTION("""COMPUTED_VALUE"""),45345.64583333333)</f>
        <v>45345.64583</v>
      </c>
      <c r="FV48" s="51">
        <f>IFERROR(__xludf.DUMMYFUNCTION("""COMPUTED_VALUE"""),948.95)</f>
        <v>948.95</v>
      </c>
      <c r="FW48" s="52"/>
      <c r="FX48" s="45"/>
      <c r="FY48" s="51">
        <f>IFERROR(__xludf.DUMMYFUNCTION("""COMPUTED_VALUE"""),45345.64583333333)</f>
        <v>45345.64583</v>
      </c>
      <c r="FZ48" s="52">
        <f>IFERROR(__xludf.DUMMYFUNCTION("""COMPUTED_VALUE"""),126.95)</f>
        <v>126.95</v>
      </c>
      <c r="GA48" s="45"/>
      <c r="GB48" s="51"/>
      <c r="GC48" s="53">
        <f>IFERROR(__xludf.DUMMYFUNCTION("""COMPUTED_VALUE"""),45345.64583333333)</f>
        <v>45345.64583</v>
      </c>
      <c r="GD48" s="45">
        <f>IFERROR(__xludf.DUMMYFUNCTION("""COMPUTED_VALUE"""),355.2)</f>
        <v>355.2</v>
      </c>
      <c r="GE48" s="51"/>
      <c r="GF48" s="52"/>
      <c r="GG48" s="49">
        <f>IFERROR(__xludf.DUMMYFUNCTION("""COMPUTED_VALUE"""),45345.64583333333)</f>
        <v>45345.64583</v>
      </c>
      <c r="GH48" s="51">
        <f>IFERROR(__xludf.DUMMYFUNCTION("""COMPUTED_VALUE"""),7150.0)</f>
        <v>7150</v>
      </c>
      <c r="GI48" s="52"/>
      <c r="GJ48" s="45"/>
      <c r="GK48" s="51">
        <f>IFERROR(__xludf.DUMMYFUNCTION("""COMPUTED_VALUE"""),45345.64583333333)</f>
        <v>45345.64583</v>
      </c>
      <c r="GL48" s="52">
        <f>IFERROR(__xludf.DUMMYFUNCTION("""COMPUTED_VALUE"""),83.8)</f>
        <v>83.8</v>
      </c>
      <c r="GM48" s="45"/>
      <c r="GN48" s="51"/>
      <c r="GO48" s="53">
        <f>IFERROR(__xludf.DUMMYFUNCTION("""COMPUTED_VALUE"""),45345.64583333333)</f>
        <v>45345.64583</v>
      </c>
      <c r="GP48" s="48">
        <f>IFERROR(__xludf.DUMMYFUNCTION("""COMPUTED_VALUE"""),1294.2)</f>
        <v>1294.2</v>
      </c>
      <c r="GS48" s="50">
        <f>IFERROR(__xludf.DUMMYFUNCTION("""COMPUTED_VALUE"""),45345.64583333333)</f>
        <v>45345.64583</v>
      </c>
      <c r="GT48" s="48">
        <f>IFERROR(__xludf.DUMMYFUNCTION("""COMPUTED_VALUE"""),13.75)</f>
        <v>13.75</v>
      </c>
      <c r="GW48" s="50">
        <f>IFERROR(__xludf.DUMMYFUNCTION("""COMPUTED_VALUE"""),45348.64583333333)</f>
        <v>45348.64583</v>
      </c>
      <c r="GX48" s="48">
        <f>IFERROR(__xludf.DUMMYFUNCTION("""COMPUTED_VALUE"""),17.1)</f>
        <v>17.1</v>
      </c>
      <c r="HA48" s="50">
        <f>IFERROR(__xludf.DUMMYFUNCTION("""COMPUTED_VALUE"""),45348.64583333333)</f>
        <v>45348.64583</v>
      </c>
      <c r="HB48" s="48">
        <f>IFERROR(__xludf.DUMMYFUNCTION("""COMPUTED_VALUE"""),519.75)</f>
        <v>519.75</v>
      </c>
      <c r="HE48" s="54">
        <f>IFERROR(__xludf.DUMMYFUNCTION("""COMPUTED_VALUE"""),45348.64583333333)</f>
        <v>45348.64583</v>
      </c>
      <c r="HF48" s="48">
        <f>IFERROR(__xludf.DUMMYFUNCTION("""COMPUTED_VALUE"""),2935.0)</f>
        <v>2935</v>
      </c>
      <c r="HI48" s="50">
        <f>IFERROR(__xludf.DUMMYFUNCTION("""COMPUTED_VALUE"""),45348.64583333333)</f>
        <v>45348.64583</v>
      </c>
      <c r="HJ48" s="48">
        <f>IFERROR(__xludf.DUMMYFUNCTION("""COMPUTED_VALUE"""),7709.95)</f>
        <v>7709.95</v>
      </c>
      <c r="HM48" s="50">
        <f>IFERROR(__xludf.DUMMYFUNCTION("""COMPUTED_VALUE"""),45348.64583333333)</f>
        <v>45348.64583</v>
      </c>
      <c r="HN48" s="48">
        <f>IFERROR(__xludf.DUMMYFUNCTION("""COMPUTED_VALUE"""),341.8)</f>
        <v>341.8</v>
      </c>
      <c r="HQ48" s="50">
        <f>IFERROR(__xludf.DUMMYFUNCTION("""COMPUTED_VALUE"""),45348.64583333333)</f>
        <v>45348.64583</v>
      </c>
      <c r="HR48" s="48">
        <f>IFERROR(__xludf.DUMMYFUNCTION("""COMPUTED_VALUE"""),248.5)</f>
        <v>248.5</v>
      </c>
      <c r="HU48" s="50">
        <f>IFERROR(__xludf.DUMMYFUNCTION("""COMPUTED_VALUE"""),45348.64583333333)</f>
        <v>45348.64583</v>
      </c>
      <c r="HV48" s="48">
        <f>IFERROR(__xludf.DUMMYFUNCTION("""COMPUTED_VALUE"""),58.0)</f>
        <v>58</v>
      </c>
      <c r="HY48" s="50">
        <f>IFERROR(__xludf.DUMMYFUNCTION("""COMPUTED_VALUE"""),45348.64583333333)</f>
        <v>45348.64583</v>
      </c>
      <c r="HZ48" s="48">
        <f>IFERROR(__xludf.DUMMYFUNCTION("""COMPUTED_VALUE"""),408.5)</f>
        <v>408.5</v>
      </c>
      <c r="IC48" s="50">
        <f>IFERROR(__xludf.DUMMYFUNCTION("""COMPUTED_VALUE"""),45348.64583333333)</f>
        <v>45348.64583</v>
      </c>
      <c r="ID48" s="48">
        <f>IFERROR(__xludf.DUMMYFUNCTION("""COMPUTED_VALUE"""),81.85)</f>
        <v>81.85</v>
      </c>
      <c r="IG48" s="50">
        <f>IFERROR(__xludf.DUMMYFUNCTION("""COMPUTED_VALUE"""),45348.64583333333)</f>
        <v>45348.64583</v>
      </c>
      <c r="IH48" s="48">
        <f>IFERROR(__xludf.DUMMYFUNCTION("""COMPUTED_VALUE"""),525.5)</f>
        <v>525.5</v>
      </c>
      <c r="IK48" s="50">
        <f>IFERROR(__xludf.DUMMYFUNCTION("""COMPUTED_VALUE"""),45348.64583333333)</f>
        <v>45348.64583</v>
      </c>
      <c r="IL48" s="48">
        <f>IFERROR(__xludf.DUMMYFUNCTION("""COMPUTED_VALUE"""),521.4)</f>
        <v>521.4</v>
      </c>
      <c r="IO48" s="50">
        <f>IFERROR(__xludf.DUMMYFUNCTION("""COMPUTED_VALUE"""),45349.64583333333)</f>
        <v>45349.64583</v>
      </c>
      <c r="IP48" s="48">
        <f>IFERROR(__xludf.DUMMYFUNCTION("""COMPUTED_VALUE"""),282.35)</f>
        <v>282.35</v>
      </c>
      <c r="IS48" s="50">
        <f>IFERROR(__xludf.DUMMYFUNCTION("""COMPUTED_VALUE"""),45348.64583333333)</f>
        <v>45348.64583</v>
      </c>
      <c r="IT48" s="48">
        <f>IFERROR(__xludf.DUMMYFUNCTION("""COMPUTED_VALUE"""),947.6)</f>
        <v>947.6</v>
      </c>
      <c r="IW48" s="50">
        <f>IFERROR(__xludf.DUMMYFUNCTION("""COMPUTED_VALUE"""),45348.64583333333)</f>
        <v>45348.64583</v>
      </c>
      <c r="IX48" s="48">
        <f>IFERROR(__xludf.DUMMYFUNCTION("""COMPUTED_VALUE"""),290.9)</f>
        <v>290.9</v>
      </c>
      <c r="JA48" s="50">
        <f>IFERROR(__xludf.DUMMYFUNCTION("""COMPUTED_VALUE"""),45348.64583333333)</f>
        <v>45348.64583</v>
      </c>
      <c r="JB48" s="48">
        <f>IFERROR(__xludf.DUMMYFUNCTION("""COMPUTED_VALUE"""),30948.0)</f>
        <v>30948</v>
      </c>
      <c r="JE48" s="50">
        <f>IFERROR(__xludf.DUMMYFUNCTION("""COMPUTED_VALUE"""),45348.64583333333)</f>
        <v>45348.64583</v>
      </c>
      <c r="JF48" s="48">
        <f>IFERROR(__xludf.DUMMYFUNCTION("""COMPUTED_VALUE"""),680.7)</f>
        <v>680.7</v>
      </c>
      <c r="JI48" s="50">
        <f>IFERROR(__xludf.DUMMYFUNCTION("""COMPUTED_VALUE"""),45348.64583333333)</f>
        <v>45348.64583</v>
      </c>
      <c r="JJ48" s="48">
        <f>IFERROR(__xludf.DUMMYFUNCTION("""COMPUTED_VALUE"""),349.95)</f>
        <v>349.95</v>
      </c>
      <c r="JM48" s="50">
        <f>IFERROR(__xludf.DUMMYFUNCTION("""COMPUTED_VALUE"""),45348.64583333333)</f>
        <v>45348.64583</v>
      </c>
      <c r="JN48" s="48">
        <f>IFERROR(__xludf.DUMMYFUNCTION("""COMPUTED_VALUE"""),15.5)</f>
        <v>15.5</v>
      </c>
      <c r="JQ48" s="50">
        <f>IFERROR(__xludf.DUMMYFUNCTION("""COMPUTED_VALUE"""),45348.64583333333)</f>
        <v>45348.64583</v>
      </c>
      <c r="JR48" s="48">
        <f>IFERROR(__xludf.DUMMYFUNCTION("""COMPUTED_VALUE"""),89.1)</f>
        <v>89.1</v>
      </c>
      <c r="JU48" s="50">
        <f>IFERROR(__xludf.DUMMYFUNCTION("""COMPUTED_VALUE"""),45348.64583333333)</f>
        <v>45348.64583</v>
      </c>
      <c r="JV48" s="48">
        <f>IFERROR(__xludf.DUMMYFUNCTION("""COMPUTED_VALUE"""),280.0)</f>
        <v>280</v>
      </c>
      <c r="JY48" s="55">
        <f>IFERROR(__xludf.DUMMYFUNCTION("""COMPUTED_VALUE"""),45348.64583333333)</f>
        <v>45348.64583</v>
      </c>
      <c r="JZ48" s="5">
        <f>IFERROR(__xludf.DUMMYFUNCTION("""COMPUTED_VALUE"""),575.15)</f>
        <v>575.15</v>
      </c>
      <c r="KC48" s="55">
        <f>IFERROR(__xludf.DUMMYFUNCTION("""COMPUTED_VALUE"""),45348.64583333333)</f>
        <v>45348.64583</v>
      </c>
      <c r="KD48" s="5">
        <f>IFERROR(__xludf.DUMMYFUNCTION("""COMPUTED_VALUE"""),959.48)</f>
        <v>959.48</v>
      </c>
      <c r="KG48" s="55">
        <f>IFERROR(__xludf.DUMMYFUNCTION("""COMPUTED_VALUE"""),45348.64583333333)</f>
        <v>45348.64583</v>
      </c>
      <c r="KH48" s="5">
        <f>IFERROR(__xludf.DUMMYFUNCTION("""COMPUTED_VALUE"""),628.5)</f>
        <v>628.5</v>
      </c>
      <c r="KK48" s="55">
        <f>IFERROR(__xludf.DUMMYFUNCTION("""COMPUTED_VALUE"""),45348.64583333333)</f>
        <v>45348.64583</v>
      </c>
      <c r="KL48" s="5">
        <f>IFERROR(__xludf.DUMMYFUNCTION("""COMPUTED_VALUE"""),13.8)</f>
        <v>13.8</v>
      </c>
      <c r="KO48" s="50">
        <f>IFERROR(__xludf.DUMMYFUNCTION("""COMPUTED_VALUE"""),45348.64583333333)</f>
        <v>45348.64583</v>
      </c>
      <c r="KP48" s="48">
        <f>IFERROR(__xludf.DUMMYFUNCTION("""COMPUTED_VALUE"""),236.0)</f>
        <v>236</v>
      </c>
      <c r="KS48" s="55">
        <f>IFERROR(__xludf.DUMMYFUNCTION("""COMPUTED_VALUE"""),45348.64583333333)</f>
        <v>45348.64583</v>
      </c>
      <c r="KT48" s="5">
        <f>IFERROR(__xludf.DUMMYFUNCTION("""COMPUTED_VALUE"""),17.55)</f>
        <v>17.55</v>
      </c>
      <c r="KW48" s="55">
        <f>IFERROR(__xludf.DUMMYFUNCTION("""COMPUTED_VALUE"""),45348.64583333333)</f>
        <v>45348.64583</v>
      </c>
      <c r="KX48" s="5">
        <f>IFERROR(__xludf.DUMMYFUNCTION("""COMPUTED_VALUE"""),2259.0)</f>
        <v>2259</v>
      </c>
      <c r="LA48" s="55">
        <f>IFERROR(__xludf.DUMMYFUNCTION("""COMPUTED_VALUE"""),45348.64583333333)</f>
        <v>45348.64583</v>
      </c>
      <c r="LB48" s="5">
        <f>IFERROR(__xludf.DUMMYFUNCTION("""COMPUTED_VALUE"""),20.5)</f>
        <v>20.5</v>
      </c>
      <c r="LE48" s="55">
        <f>IFERROR(__xludf.DUMMYFUNCTION("""COMPUTED_VALUE"""),45348.64583333333)</f>
        <v>45348.64583</v>
      </c>
      <c r="LF48" s="5">
        <f>IFERROR(__xludf.DUMMYFUNCTION("""COMPUTED_VALUE"""),134.0)</f>
        <v>134</v>
      </c>
      <c r="LI48" s="55">
        <f>IFERROR(__xludf.DUMMYFUNCTION("""COMPUTED_VALUE"""),45348.64583333333)</f>
        <v>45348.64583</v>
      </c>
      <c r="LJ48" s="5">
        <f>IFERROR(__xludf.DUMMYFUNCTION("""COMPUTED_VALUE"""),688.0)</f>
        <v>688</v>
      </c>
      <c r="LM48" s="55">
        <f>IFERROR(__xludf.DUMMYFUNCTION("""COMPUTED_VALUE"""),45348.64583333333)</f>
        <v>45348.64583</v>
      </c>
      <c r="LN48" s="5">
        <f>IFERROR(__xludf.DUMMYFUNCTION("""COMPUTED_VALUE"""),986.9)</f>
        <v>986.9</v>
      </c>
      <c r="LQ48" s="55">
        <f>IFERROR(__xludf.DUMMYFUNCTION("""COMPUTED_VALUE"""),45348.64583333333)</f>
        <v>45348.64583</v>
      </c>
      <c r="LR48" s="5">
        <f>IFERROR(__xludf.DUMMYFUNCTION("""COMPUTED_VALUE"""),607.45)</f>
        <v>607.45</v>
      </c>
      <c r="LU48" s="55">
        <f>IFERROR(__xludf.DUMMYFUNCTION("""COMPUTED_VALUE"""),45348.64583333333)</f>
        <v>45348.64583</v>
      </c>
      <c r="LV48" s="5">
        <f>IFERROR(__xludf.DUMMYFUNCTION("""COMPUTED_VALUE"""),126.8)</f>
        <v>126.8</v>
      </c>
      <c r="LY48" s="55">
        <f>IFERROR(__xludf.DUMMYFUNCTION("""COMPUTED_VALUE"""),45348.64583333333)</f>
        <v>45348.64583</v>
      </c>
      <c r="LZ48" s="5">
        <f>IFERROR(__xludf.DUMMYFUNCTION("""COMPUTED_VALUE"""),715.0)</f>
        <v>715</v>
      </c>
      <c r="MC48" s="55"/>
      <c r="MD48" s="5"/>
      <c r="MG48" s="55">
        <f>IFERROR(__xludf.DUMMYFUNCTION("""COMPUTED_VALUE"""),45348.64583333333)</f>
        <v>45348.64583</v>
      </c>
      <c r="MH48" s="5">
        <f>IFERROR(__xludf.DUMMYFUNCTION("""COMPUTED_VALUE"""),1874.0)</f>
        <v>1874</v>
      </c>
      <c r="MK48" s="55">
        <f>IFERROR(__xludf.DUMMYFUNCTION("""COMPUTED_VALUE"""),45348.64583333333)</f>
        <v>45348.64583</v>
      </c>
      <c r="ML48" s="5">
        <f>IFERROR(__xludf.DUMMYFUNCTION("""COMPUTED_VALUE"""),328.0)</f>
        <v>328</v>
      </c>
      <c r="MO48" s="55">
        <f>IFERROR(__xludf.DUMMYFUNCTION("""COMPUTED_VALUE"""),45348.64583333333)</f>
        <v>45348.64583</v>
      </c>
      <c r="MP48" s="5">
        <f>IFERROR(__xludf.DUMMYFUNCTION("""COMPUTED_VALUE"""),1075.0)</f>
        <v>1075</v>
      </c>
      <c r="MS48" s="55">
        <f>IFERROR(__xludf.DUMMYFUNCTION("""COMPUTED_VALUE"""),45348.64583333333)</f>
        <v>45348.64583</v>
      </c>
      <c r="MT48" s="5">
        <f>IFERROR(__xludf.DUMMYFUNCTION("""COMPUTED_VALUE"""),61.1)</f>
        <v>61.1</v>
      </c>
      <c r="MW48" s="55">
        <f>IFERROR(__xludf.DUMMYFUNCTION("""COMPUTED_VALUE"""),45348.64583333333)</f>
        <v>45348.64583</v>
      </c>
      <c r="MX48" s="5">
        <f>IFERROR(__xludf.DUMMYFUNCTION("""COMPUTED_VALUE"""),3106.1)</f>
        <v>3106.1</v>
      </c>
      <c r="NA48" s="55">
        <f>IFERROR(__xludf.DUMMYFUNCTION("""COMPUTED_VALUE"""),45348.64583333333)</f>
        <v>45348.64583</v>
      </c>
      <c r="NB48" s="5">
        <f>IFERROR(__xludf.DUMMYFUNCTION("""COMPUTED_VALUE"""),13.6)</f>
        <v>13.6</v>
      </c>
      <c r="NE48" s="55">
        <f>IFERROR(__xludf.DUMMYFUNCTION("""COMPUTED_VALUE"""),45349.64583333333)</f>
        <v>45349.64583</v>
      </c>
      <c r="NF48" s="5">
        <f>IFERROR(__xludf.DUMMYFUNCTION("""COMPUTED_VALUE"""),360.55)</f>
        <v>360.55</v>
      </c>
      <c r="NI48" s="55">
        <f>IFERROR(__xludf.DUMMYFUNCTION("""COMPUTED_VALUE"""),45349.64583333333)</f>
        <v>45349.64583</v>
      </c>
      <c r="NJ48" s="5">
        <f>IFERROR(__xludf.DUMMYFUNCTION("""COMPUTED_VALUE"""),365.0)</f>
        <v>365</v>
      </c>
      <c r="NM48" s="55">
        <f>IFERROR(__xludf.DUMMYFUNCTION("""COMPUTED_VALUE"""),45349.64583333333)</f>
        <v>45349.64583</v>
      </c>
      <c r="NN48" s="5">
        <f>IFERROR(__xludf.DUMMYFUNCTION("""COMPUTED_VALUE"""),126.3)</f>
        <v>126.3</v>
      </c>
      <c r="NQ48" s="55">
        <f>IFERROR(__xludf.DUMMYFUNCTION("""COMPUTED_VALUE"""),45349.64583333333)</f>
        <v>45349.64583</v>
      </c>
      <c r="NR48" s="5">
        <f>IFERROR(__xludf.DUMMYFUNCTION("""COMPUTED_VALUE"""),4519.0)</f>
        <v>4519</v>
      </c>
      <c r="NU48" s="55">
        <f>IFERROR(__xludf.DUMMYFUNCTION("""COMPUTED_VALUE"""),45349.64583333333)</f>
        <v>45349.64583</v>
      </c>
      <c r="NV48" s="5">
        <f>IFERROR(__xludf.DUMMYFUNCTION("""COMPUTED_VALUE"""),15.1)</f>
        <v>15.1</v>
      </c>
      <c r="NY48" s="55">
        <f>IFERROR(__xludf.DUMMYFUNCTION("""COMPUTED_VALUE"""),45349.64583333333)</f>
        <v>45349.64583</v>
      </c>
      <c r="NZ48" s="5">
        <f>IFERROR(__xludf.DUMMYFUNCTION("""COMPUTED_VALUE"""),227.35)</f>
        <v>227.35</v>
      </c>
      <c r="OC48" s="55">
        <f>IFERROR(__xludf.DUMMYFUNCTION("""COMPUTED_VALUE"""),45349.64583333333)</f>
        <v>45349.64583</v>
      </c>
      <c r="OD48" s="5">
        <f>IFERROR(__xludf.DUMMYFUNCTION("""COMPUTED_VALUE"""),1189.7)</f>
        <v>1189.7</v>
      </c>
      <c r="OG48" s="55">
        <f>IFERROR(__xludf.DUMMYFUNCTION("""COMPUTED_VALUE"""),45349.64583333333)</f>
        <v>45349.64583</v>
      </c>
      <c r="OH48" s="5">
        <f>IFERROR(__xludf.DUMMYFUNCTION("""COMPUTED_VALUE"""),2944.23)</f>
        <v>2944.23</v>
      </c>
    </row>
    <row r="49" ht="12.0" customHeight="1">
      <c r="A49" s="37">
        <f>IFERROR(__xludf.DUMMYFUNCTION("""COMPUTED_VALUE"""),45348.64583333333)</f>
        <v>45348.64583</v>
      </c>
      <c r="B49" s="48">
        <f>IFERROR(__xludf.DUMMYFUNCTION("""COMPUTED_VALUE"""),400.8)</f>
        <v>400.8</v>
      </c>
      <c r="D49" s="37"/>
      <c r="E49" s="37">
        <f>IFERROR(__xludf.DUMMYFUNCTION("""COMPUTED_VALUE"""),45348.64583333333)</f>
        <v>45348.64583</v>
      </c>
      <c r="F49" s="48">
        <f>IFERROR(__xludf.DUMMYFUNCTION("""COMPUTED_VALUE"""),675.0)</f>
        <v>675</v>
      </c>
      <c r="I49" s="37">
        <f>IFERROR(__xludf.DUMMYFUNCTION("""COMPUTED_VALUE"""),45348.64583333333)</f>
        <v>45348.64583</v>
      </c>
      <c r="J49" s="48">
        <f>IFERROR(__xludf.DUMMYFUNCTION("""COMPUTED_VALUE"""),206.9)</f>
        <v>206.9</v>
      </c>
      <c r="M49" s="37">
        <f>IFERROR(__xludf.DUMMYFUNCTION("""COMPUTED_VALUE"""),45348.64583333333)</f>
        <v>45348.64583</v>
      </c>
      <c r="N49" s="48">
        <f>IFERROR(__xludf.DUMMYFUNCTION("""COMPUTED_VALUE"""),117.4)</f>
        <v>117.4</v>
      </c>
      <c r="Q49" s="37">
        <f>IFERROR(__xludf.DUMMYFUNCTION("""COMPUTED_VALUE"""),45348.64583333333)</f>
        <v>45348.64583</v>
      </c>
      <c r="R49" s="48">
        <f>IFERROR(__xludf.DUMMYFUNCTION("""COMPUTED_VALUE"""),53.5)</f>
        <v>53.5</v>
      </c>
      <c r="U49" s="37">
        <f>IFERROR(__xludf.DUMMYFUNCTION("""COMPUTED_VALUE"""),45348.64583333333)</f>
        <v>45348.64583</v>
      </c>
      <c r="V49" s="48">
        <f>IFERROR(__xludf.DUMMYFUNCTION("""COMPUTED_VALUE"""),628.95)</f>
        <v>628.95</v>
      </c>
      <c r="Y49" s="37">
        <f>IFERROR(__xludf.DUMMYFUNCTION("""COMPUTED_VALUE"""),45348.64583333333)</f>
        <v>45348.64583</v>
      </c>
      <c r="Z49" s="48">
        <f>IFERROR(__xludf.DUMMYFUNCTION("""COMPUTED_VALUE"""),204.5)</f>
        <v>204.5</v>
      </c>
      <c r="AC49" s="37">
        <f>IFERROR(__xludf.DUMMYFUNCTION("""COMPUTED_VALUE"""),45348.64583333333)</f>
        <v>45348.64583</v>
      </c>
      <c r="AD49" s="48">
        <f>IFERROR(__xludf.DUMMYFUNCTION("""COMPUTED_VALUE"""),2935.0)</f>
        <v>2935</v>
      </c>
      <c r="AG49" s="37">
        <f>IFERROR(__xludf.DUMMYFUNCTION("""COMPUTED_VALUE"""),45348.64583333333)</f>
        <v>45348.64583</v>
      </c>
      <c r="AH49" s="48">
        <f>IFERROR(__xludf.DUMMYFUNCTION("""COMPUTED_VALUE"""),677.15)</f>
        <v>677.15</v>
      </c>
      <c r="AK49" s="37">
        <f>IFERROR(__xludf.DUMMYFUNCTION("""COMPUTED_VALUE"""),45348.64583333333)</f>
        <v>45348.64583</v>
      </c>
      <c r="AL49" s="48">
        <f>IFERROR(__xludf.DUMMYFUNCTION("""COMPUTED_VALUE"""),7709.95)</f>
        <v>7709.95</v>
      </c>
      <c r="AN49" s="37"/>
      <c r="AO49" s="50">
        <f>IFERROR(__xludf.DUMMYFUNCTION("""COMPUTED_VALUE"""),45348.64583333333)</f>
        <v>45348.64583</v>
      </c>
      <c r="AP49" s="48">
        <f>IFERROR(__xludf.DUMMYFUNCTION("""COMPUTED_VALUE"""),897.45)</f>
        <v>897.45</v>
      </c>
      <c r="AQ49" s="37"/>
      <c r="AS49" s="50">
        <f>IFERROR(__xludf.DUMMYFUNCTION("""COMPUTED_VALUE"""),45348.64583333333)</f>
        <v>45348.64583</v>
      </c>
      <c r="AT49" s="37">
        <f>IFERROR(__xludf.DUMMYFUNCTION("""COMPUTED_VALUE"""),2314.6)</f>
        <v>2314.6</v>
      </c>
      <c r="AW49" s="37">
        <f>IFERROR(__xludf.DUMMYFUNCTION("""COMPUTED_VALUE"""),45348.64583333333)</f>
        <v>45348.64583</v>
      </c>
      <c r="AX49" s="48">
        <f>IFERROR(__xludf.DUMMYFUNCTION("""COMPUTED_VALUE"""),5541.55)</f>
        <v>5541.55</v>
      </c>
      <c r="AZ49" s="37"/>
      <c r="BA49" s="50">
        <f>IFERROR(__xludf.DUMMYFUNCTION("""COMPUTED_VALUE"""),45348.64583333333)</f>
        <v>45348.64583</v>
      </c>
      <c r="BB49" s="48">
        <f>IFERROR(__xludf.DUMMYFUNCTION("""COMPUTED_VALUE"""),536.5)</f>
        <v>536.5</v>
      </c>
      <c r="BC49" s="37"/>
      <c r="BE49" s="50">
        <f>IFERROR(__xludf.DUMMYFUNCTION("""COMPUTED_VALUE"""),45348.64583333333)</f>
        <v>45348.64583</v>
      </c>
      <c r="BF49" s="37">
        <f>IFERROR(__xludf.DUMMYFUNCTION("""COMPUTED_VALUE"""),309.95)</f>
        <v>309.95</v>
      </c>
      <c r="BG49" s="45"/>
      <c r="BH49" s="45"/>
      <c r="BI49" s="37">
        <f>IFERROR(__xludf.DUMMYFUNCTION("""COMPUTED_VALUE"""),45348.64583333333)</f>
        <v>45348.64583</v>
      </c>
      <c r="BJ49" s="45">
        <f>IFERROR(__xludf.DUMMYFUNCTION("""COMPUTED_VALUE"""),72.45)</f>
        <v>72.45</v>
      </c>
      <c r="BK49" s="45"/>
      <c r="BL49" s="37"/>
      <c r="BM49" s="49">
        <f>IFERROR(__xludf.DUMMYFUNCTION("""COMPUTED_VALUE"""),45348.64583333333)</f>
        <v>45348.64583</v>
      </c>
      <c r="BN49" s="45">
        <f>IFERROR(__xludf.DUMMYFUNCTION("""COMPUTED_VALUE"""),248.5)</f>
        <v>248.5</v>
      </c>
      <c r="BO49" s="37"/>
      <c r="BP49" s="45"/>
      <c r="BQ49" s="49">
        <f>IFERROR(__xludf.DUMMYFUNCTION("""COMPUTED_VALUE"""),45348.64583333333)</f>
        <v>45348.64583</v>
      </c>
      <c r="BR49" s="37">
        <f>IFERROR(__xludf.DUMMYFUNCTION("""COMPUTED_VALUE"""),58.0)</f>
        <v>58</v>
      </c>
      <c r="BS49" s="45"/>
      <c r="BT49" s="45"/>
      <c r="BU49" s="37">
        <f>IFERROR(__xludf.DUMMYFUNCTION("""COMPUTED_VALUE"""),45348.64583333333)</f>
        <v>45348.64583</v>
      </c>
      <c r="BV49" s="45">
        <f>IFERROR(__xludf.DUMMYFUNCTION("""COMPUTED_VALUE"""),335.0)</f>
        <v>335</v>
      </c>
      <c r="BW49" s="45"/>
      <c r="BX49" s="37"/>
      <c r="BY49" s="49">
        <f>IFERROR(__xludf.DUMMYFUNCTION("""COMPUTED_VALUE"""),45348.64583333333)</f>
        <v>45348.64583</v>
      </c>
      <c r="BZ49" s="45">
        <f>IFERROR(__xludf.DUMMYFUNCTION("""COMPUTED_VALUE"""),408.5)</f>
        <v>408.5</v>
      </c>
      <c r="CA49" s="37"/>
      <c r="CB49" s="45"/>
      <c r="CC49" s="49">
        <f>IFERROR(__xludf.DUMMYFUNCTION("""COMPUTED_VALUE"""),45348.64583333333)</f>
        <v>45348.64583</v>
      </c>
      <c r="CD49" s="37">
        <f>IFERROR(__xludf.DUMMYFUNCTION("""COMPUTED_VALUE"""),259.4)</f>
        <v>259.4</v>
      </c>
      <c r="CE49" s="45"/>
      <c r="CF49" s="45"/>
      <c r="CG49" s="37">
        <f>IFERROR(__xludf.DUMMYFUNCTION("""COMPUTED_VALUE"""),45348.64583333333)</f>
        <v>45348.64583</v>
      </c>
      <c r="CH49" s="45">
        <f>IFERROR(__xludf.DUMMYFUNCTION("""COMPUTED_VALUE"""),680.7)</f>
        <v>680.7</v>
      </c>
      <c r="CI49" s="45"/>
      <c r="CJ49" s="37"/>
      <c r="CK49" s="49">
        <f>IFERROR(__xludf.DUMMYFUNCTION("""COMPUTED_VALUE"""),45348.64583333333)</f>
        <v>45348.64583</v>
      </c>
      <c r="CL49" s="45">
        <f>IFERROR(__xludf.DUMMYFUNCTION("""COMPUTED_VALUE"""),349.95)</f>
        <v>349.95</v>
      </c>
      <c r="CM49" s="37"/>
      <c r="CN49" s="45"/>
      <c r="CO49" s="49">
        <f>IFERROR(__xludf.DUMMYFUNCTION("""COMPUTED_VALUE"""),45348.64583333333)</f>
        <v>45348.64583</v>
      </c>
      <c r="CP49" s="37">
        <f>IFERROR(__xludf.DUMMYFUNCTION("""COMPUTED_VALUE"""),15.5)</f>
        <v>15.5</v>
      </c>
      <c r="CQ49" s="45"/>
      <c r="CR49" s="45"/>
      <c r="CS49" s="37">
        <f>IFERROR(__xludf.DUMMYFUNCTION("""COMPUTED_VALUE"""),45348.64583333333)</f>
        <v>45348.64583</v>
      </c>
      <c r="CT49" s="45">
        <f>IFERROR(__xludf.DUMMYFUNCTION("""COMPUTED_VALUE"""),204.7)</f>
        <v>204.7</v>
      </c>
      <c r="CU49" s="45"/>
      <c r="CV49" s="37"/>
      <c r="CW49" s="49">
        <f>IFERROR(__xludf.DUMMYFUNCTION("""COMPUTED_VALUE"""),45348.64583333333)</f>
        <v>45348.64583</v>
      </c>
      <c r="CX49" s="45">
        <f>IFERROR(__xludf.DUMMYFUNCTION("""COMPUTED_VALUE"""),869.95)</f>
        <v>869.95</v>
      </c>
      <c r="CY49" s="37"/>
      <c r="CZ49" s="45"/>
      <c r="DA49" s="50">
        <f>IFERROR(__xludf.DUMMYFUNCTION("""COMPUTED_VALUE"""),45348.64583333333)</f>
        <v>45348.64583</v>
      </c>
      <c r="DB49" s="37">
        <f>IFERROR(__xludf.DUMMYFUNCTION("""COMPUTED_VALUE"""),35.2)</f>
        <v>35.2</v>
      </c>
      <c r="DE49" s="37">
        <f>IFERROR(__xludf.DUMMYFUNCTION("""COMPUTED_VALUE"""),45348.64583333333)</f>
        <v>45348.64583</v>
      </c>
      <c r="DF49" s="48">
        <f>IFERROR(__xludf.DUMMYFUNCTION("""COMPUTED_VALUE"""),89.1)</f>
        <v>89.1</v>
      </c>
      <c r="DH49" s="37"/>
      <c r="DI49" s="50">
        <f>IFERROR(__xludf.DUMMYFUNCTION("""COMPUTED_VALUE"""),45348.64583333333)</f>
        <v>45348.64583</v>
      </c>
      <c r="DJ49" s="48">
        <f>IFERROR(__xludf.DUMMYFUNCTION("""COMPUTED_VALUE"""),1869.65)</f>
        <v>1869.65</v>
      </c>
      <c r="DK49" s="37"/>
      <c r="DM49" s="50">
        <f>IFERROR(__xludf.DUMMYFUNCTION("""COMPUTED_VALUE"""),45348.64583333333)</f>
        <v>45348.64583</v>
      </c>
      <c r="DN49" s="37">
        <f>IFERROR(__xludf.DUMMYFUNCTION("""COMPUTED_VALUE"""),580.65)</f>
        <v>580.65</v>
      </c>
      <c r="DQ49" s="37">
        <f>IFERROR(__xludf.DUMMYFUNCTION("""COMPUTED_VALUE"""),45348.64583333333)</f>
        <v>45348.64583</v>
      </c>
      <c r="DR49" s="48">
        <f>IFERROR(__xludf.DUMMYFUNCTION("""COMPUTED_VALUE"""),253.8)</f>
        <v>253.8</v>
      </c>
      <c r="DT49" s="37"/>
      <c r="DU49" s="50">
        <f>IFERROR(__xludf.DUMMYFUNCTION("""COMPUTED_VALUE"""),45348.64583333333)</f>
        <v>45348.64583</v>
      </c>
      <c r="DV49" s="48">
        <f>IFERROR(__xludf.DUMMYFUNCTION("""COMPUTED_VALUE"""),959.48)</f>
        <v>959.48</v>
      </c>
      <c r="DW49" s="37"/>
      <c r="DY49" s="50">
        <f>IFERROR(__xludf.DUMMYFUNCTION("""COMPUTED_VALUE"""),45348.64583333333)</f>
        <v>45348.64583</v>
      </c>
      <c r="DZ49" s="37">
        <f>IFERROR(__xludf.DUMMYFUNCTION("""COMPUTED_VALUE"""),17.55)</f>
        <v>17.55</v>
      </c>
      <c r="EC49" s="37">
        <f>IFERROR(__xludf.DUMMYFUNCTION("""COMPUTED_VALUE"""),45348.64583333333)</f>
        <v>45348.64583</v>
      </c>
      <c r="ED49" s="48">
        <f>IFERROR(__xludf.DUMMYFUNCTION("""COMPUTED_VALUE"""),2259.0)</f>
        <v>2259</v>
      </c>
      <c r="EF49" s="37"/>
      <c r="EG49" s="50">
        <f>IFERROR(__xludf.DUMMYFUNCTION("""COMPUTED_VALUE"""),45348.64583333333)</f>
        <v>45348.64583</v>
      </c>
      <c r="EH49" s="48">
        <f>IFERROR(__xludf.DUMMYFUNCTION("""COMPUTED_VALUE"""),962.55)</f>
        <v>962.55</v>
      </c>
      <c r="EI49" s="37"/>
      <c r="EK49" s="50">
        <f>IFERROR(__xludf.DUMMYFUNCTION("""COMPUTED_VALUE"""),45348.64583333333)</f>
        <v>45348.64583</v>
      </c>
      <c r="EL49" s="37">
        <f>IFERROR(__xludf.DUMMYFUNCTION("""COMPUTED_VALUE"""),205.9)</f>
        <v>205.9</v>
      </c>
      <c r="EO49" s="37">
        <f>IFERROR(__xludf.DUMMYFUNCTION("""COMPUTED_VALUE"""),45348.64583333333)</f>
        <v>45348.64583</v>
      </c>
      <c r="EP49" s="48">
        <f>IFERROR(__xludf.DUMMYFUNCTION("""COMPUTED_VALUE"""),183.5)</f>
        <v>183.5</v>
      </c>
      <c r="ER49" s="37"/>
      <c r="ES49" s="50">
        <f>IFERROR(__xludf.DUMMYFUNCTION("""COMPUTED_VALUE"""),45348.64583333333)</f>
        <v>45348.64583</v>
      </c>
      <c r="ET49" s="48">
        <f>IFERROR(__xludf.DUMMYFUNCTION("""COMPUTED_VALUE"""),172.2)</f>
        <v>172.2</v>
      </c>
      <c r="EU49" s="37"/>
      <c r="EV49" s="45"/>
      <c r="EW49" s="49">
        <f>IFERROR(__xludf.DUMMYFUNCTION("""COMPUTED_VALUE"""),45348.64583333333)</f>
        <v>45348.64583</v>
      </c>
      <c r="EX49" s="37">
        <f>IFERROR(__xludf.DUMMYFUNCTION("""COMPUTED_VALUE"""),817.2)</f>
        <v>817.2</v>
      </c>
      <c r="EY49" s="45"/>
      <c r="EZ49" s="45"/>
      <c r="FA49" s="37">
        <f>IFERROR(__xludf.DUMMYFUNCTION("""COMPUTED_VALUE"""),45348.64583333333)</f>
        <v>45348.64583</v>
      </c>
      <c r="FB49" s="45">
        <f>IFERROR(__xludf.DUMMYFUNCTION("""COMPUTED_VALUE"""),224.65)</f>
        <v>224.65</v>
      </c>
      <c r="FC49" s="45"/>
      <c r="FD49" s="37"/>
      <c r="FE49" s="49">
        <f>IFERROR(__xludf.DUMMYFUNCTION("""COMPUTED_VALUE"""),45348.64583333333)</f>
        <v>45348.64583</v>
      </c>
      <c r="FF49" s="45">
        <f>IFERROR(__xludf.DUMMYFUNCTION("""COMPUTED_VALUE"""),388.0)</f>
        <v>388</v>
      </c>
      <c r="FG49" s="37"/>
      <c r="FH49" s="45"/>
      <c r="FI49" s="49">
        <f>IFERROR(__xludf.DUMMYFUNCTION("""COMPUTED_VALUE"""),45348.64583333333)</f>
        <v>45348.64583</v>
      </c>
      <c r="FJ49" s="37">
        <f>IFERROR(__xludf.DUMMYFUNCTION("""COMPUTED_VALUE"""),715.0)</f>
        <v>715</v>
      </c>
      <c r="FK49" s="45"/>
      <c r="FL49" s="45"/>
      <c r="FM49" s="37">
        <f>IFERROR(__xludf.DUMMYFUNCTION("""COMPUTED_VALUE"""),45348.64583333333)</f>
        <v>45348.64583</v>
      </c>
      <c r="FN49" s="45">
        <f>IFERROR(__xludf.DUMMYFUNCTION("""COMPUTED_VALUE"""),122.85)</f>
        <v>122.85</v>
      </c>
      <c r="FO49" s="45"/>
      <c r="FP49" s="37"/>
      <c r="FQ49" s="49">
        <f>IFERROR(__xludf.DUMMYFUNCTION("""COMPUTED_VALUE"""),45348.64583333333)</f>
        <v>45348.64583</v>
      </c>
      <c r="FR49" s="45">
        <f>IFERROR(__xludf.DUMMYFUNCTION("""COMPUTED_VALUE"""),3.95)</f>
        <v>3.95</v>
      </c>
      <c r="FS49" s="37"/>
      <c r="FT49" s="45"/>
      <c r="FU49" s="49">
        <f>IFERROR(__xludf.DUMMYFUNCTION("""COMPUTED_VALUE"""),45348.64583333333)</f>
        <v>45348.64583</v>
      </c>
      <c r="FV49" s="37">
        <f>IFERROR(__xludf.DUMMYFUNCTION("""COMPUTED_VALUE"""),969.85)</f>
        <v>969.85</v>
      </c>
      <c r="FW49" s="45"/>
      <c r="FX49" s="45"/>
      <c r="FY49" s="37">
        <f>IFERROR(__xludf.DUMMYFUNCTION("""COMPUTED_VALUE"""),45348.64583333333)</f>
        <v>45348.64583</v>
      </c>
      <c r="FZ49" s="45">
        <f>IFERROR(__xludf.DUMMYFUNCTION("""COMPUTED_VALUE"""),123.45)</f>
        <v>123.45</v>
      </c>
      <c r="GA49" s="45"/>
      <c r="GB49" s="37"/>
      <c r="GC49" s="49">
        <f>IFERROR(__xludf.DUMMYFUNCTION("""COMPUTED_VALUE"""),45348.64583333333)</f>
        <v>45348.64583</v>
      </c>
      <c r="GD49" s="45">
        <f>IFERROR(__xludf.DUMMYFUNCTION("""COMPUTED_VALUE"""),353.5)</f>
        <v>353.5</v>
      </c>
      <c r="GE49" s="37"/>
      <c r="GF49" s="45"/>
      <c r="GG49" s="49">
        <f>IFERROR(__xludf.DUMMYFUNCTION("""COMPUTED_VALUE"""),45348.64583333333)</f>
        <v>45348.64583</v>
      </c>
      <c r="GH49" s="37">
        <f>IFERROR(__xludf.DUMMYFUNCTION("""COMPUTED_VALUE"""),7200.0)</f>
        <v>7200</v>
      </c>
      <c r="GI49" s="45"/>
      <c r="GJ49" s="45"/>
      <c r="GK49" s="37">
        <f>IFERROR(__xludf.DUMMYFUNCTION("""COMPUTED_VALUE"""),45348.64583333333)</f>
        <v>45348.64583</v>
      </c>
      <c r="GL49" s="45">
        <f>IFERROR(__xludf.DUMMYFUNCTION("""COMPUTED_VALUE"""),87.95)</f>
        <v>87.95</v>
      </c>
      <c r="GM49" s="45"/>
      <c r="GN49" s="37"/>
      <c r="GO49" s="49">
        <f>IFERROR(__xludf.DUMMYFUNCTION("""COMPUTED_VALUE"""),45348.64583333333)</f>
        <v>45348.64583</v>
      </c>
      <c r="GP49" s="48">
        <f>IFERROR(__xludf.DUMMYFUNCTION("""COMPUTED_VALUE"""),1280.0)</f>
        <v>1280</v>
      </c>
      <c r="GS49" s="50">
        <f>IFERROR(__xludf.DUMMYFUNCTION("""COMPUTED_VALUE"""),45348.64583333333)</f>
        <v>45348.64583</v>
      </c>
      <c r="GT49" s="48">
        <f>IFERROR(__xludf.DUMMYFUNCTION("""COMPUTED_VALUE"""),13.6)</f>
        <v>13.6</v>
      </c>
      <c r="GW49" s="50">
        <f>IFERROR(__xludf.DUMMYFUNCTION("""COMPUTED_VALUE"""),45349.64583333333)</f>
        <v>45349.64583</v>
      </c>
      <c r="GX49" s="48">
        <f>IFERROR(__xludf.DUMMYFUNCTION("""COMPUTED_VALUE"""),17.8)</f>
        <v>17.8</v>
      </c>
      <c r="HA49" s="50">
        <f>IFERROR(__xludf.DUMMYFUNCTION("""COMPUTED_VALUE"""),45349.64583333333)</f>
        <v>45349.64583</v>
      </c>
      <c r="HB49" s="48">
        <f>IFERROR(__xludf.DUMMYFUNCTION("""COMPUTED_VALUE"""),512.2)</f>
        <v>512.2</v>
      </c>
      <c r="HE49" s="54">
        <f>IFERROR(__xludf.DUMMYFUNCTION("""COMPUTED_VALUE"""),45349.64583333333)</f>
        <v>45349.64583</v>
      </c>
      <c r="HF49" s="48">
        <f>IFERROR(__xludf.DUMMYFUNCTION("""COMPUTED_VALUE"""),2944.23)</f>
        <v>2944.23</v>
      </c>
      <c r="HI49" s="50">
        <f>IFERROR(__xludf.DUMMYFUNCTION("""COMPUTED_VALUE"""),45349.64583333333)</f>
        <v>45349.64583</v>
      </c>
      <c r="HJ49" s="48">
        <f>IFERROR(__xludf.DUMMYFUNCTION("""COMPUTED_VALUE"""),7589.0)</f>
        <v>7589</v>
      </c>
      <c r="HM49" s="50">
        <f>IFERROR(__xludf.DUMMYFUNCTION("""COMPUTED_VALUE"""),45349.64583333333)</f>
        <v>45349.64583</v>
      </c>
      <c r="HN49" s="48">
        <f>IFERROR(__xludf.DUMMYFUNCTION("""COMPUTED_VALUE"""),334.8)</f>
        <v>334.8</v>
      </c>
      <c r="HQ49" s="50">
        <f>IFERROR(__xludf.DUMMYFUNCTION("""COMPUTED_VALUE"""),45349.64583333333)</f>
        <v>45349.64583</v>
      </c>
      <c r="HR49" s="48">
        <f>IFERROR(__xludf.DUMMYFUNCTION("""COMPUTED_VALUE"""),241.15)</f>
        <v>241.15</v>
      </c>
      <c r="HU49" s="50">
        <f>IFERROR(__xludf.DUMMYFUNCTION("""COMPUTED_VALUE"""),45349.64583333333)</f>
        <v>45349.64583</v>
      </c>
      <c r="HV49" s="48">
        <f>IFERROR(__xludf.DUMMYFUNCTION("""COMPUTED_VALUE"""),57.9)</f>
        <v>57.9</v>
      </c>
      <c r="HY49" s="50">
        <f>IFERROR(__xludf.DUMMYFUNCTION("""COMPUTED_VALUE"""),45349.64583333333)</f>
        <v>45349.64583</v>
      </c>
      <c r="HZ49" s="48">
        <f>IFERROR(__xludf.DUMMYFUNCTION("""COMPUTED_VALUE"""),437.5)</f>
        <v>437.5</v>
      </c>
      <c r="IC49" s="50">
        <f>IFERROR(__xludf.DUMMYFUNCTION("""COMPUTED_VALUE"""),45349.64583333333)</f>
        <v>45349.64583</v>
      </c>
      <c r="ID49" s="48">
        <f>IFERROR(__xludf.DUMMYFUNCTION("""COMPUTED_VALUE"""),79.95)</f>
        <v>79.95</v>
      </c>
      <c r="IG49" s="50">
        <f>IFERROR(__xludf.DUMMYFUNCTION("""COMPUTED_VALUE"""),45349.64583333333)</f>
        <v>45349.64583</v>
      </c>
      <c r="IH49" s="48">
        <f>IFERROR(__xludf.DUMMYFUNCTION("""COMPUTED_VALUE"""),522.3)</f>
        <v>522.3</v>
      </c>
      <c r="IK49" s="50">
        <f>IFERROR(__xludf.DUMMYFUNCTION("""COMPUTED_VALUE"""),45349.64583333333)</f>
        <v>45349.64583</v>
      </c>
      <c r="IL49" s="48">
        <f>IFERROR(__xludf.DUMMYFUNCTION("""COMPUTED_VALUE"""),517.7)</f>
        <v>517.7</v>
      </c>
      <c r="IS49" s="50">
        <f>IFERROR(__xludf.DUMMYFUNCTION("""COMPUTED_VALUE"""),45349.64583333333)</f>
        <v>45349.64583</v>
      </c>
      <c r="IT49" s="48">
        <f>IFERROR(__xludf.DUMMYFUNCTION("""COMPUTED_VALUE"""),940.35)</f>
        <v>940.35</v>
      </c>
      <c r="IW49" s="50">
        <f>IFERROR(__xludf.DUMMYFUNCTION("""COMPUTED_VALUE"""),45349.64583333333)</f>
        <v>45349.64583</v>
      </c>
      <c r="IX49" s="48">
        <f>IFERROR(__xludf.DUMMYFUNCTION("""COMPUTED_VALUE"""),289.7)</f>
        <v>289.7</v>
      </c>
      <c r="JA49" s="50">
        <f>IFERROR(__xludf.DUMMYFUNCTION("""COMPUTED_VALUE"""),45349.64583333333)</f>
        <v>45349.64583</v>
      </c>
      <c r="JB49" s="48">
        <f>IFERROR(__xludf.DUMMYFUNCTION("""COMPUTED_VALUE"""),31411.9)</f>
        <v>31411.9</v>
      </c>
      <c r="JE49" s="50">
        <f>IFERROR(__xludf.DUMMYFUNCTION("""COMPUTED_VALUE"""),45349.64583333333)</f>
        <v>45349.64583</v>
      </c>
      <c r="JF49" s="48">
        <f>IFERROR(__xludf.DUMMYFUNCTION("""COMPUTED_VALUE"""),679.35)</f>
        <v>679.35</v>
      </c>
      <c r="JI49" s="50">
        <f>IFERROR(__xludf.DUMMYFUNCTION("""COMPUTED_VALUE"""),45349.64583333333)</f>
        <v>45349.64583</v>
      </c>
      <c r="JJ49" s="48">
        <f>IFERROR(__xludf.DUMMYFUNCTION("""COMPUTED_VALUE"""),345.85)</f>
        <v>345.85</v>
      </c>
      <c r="JM49" s="50">
        <f>IFERROR(__xludf.DUMMYFUNCTION("""COMPUTED_VALUE"""),45349.64583333333)</f>
        <v>45349.64583</v>
      </c>
      <c r="JN49" s="48">
        <f>IFERROR(__xludf.DUMMYFUNCTION("""COMPUTED_VALUE"""),15.1)</f>
        <v>15.1</v>
      </c>
      <c r="JQ49" s="50">
        <f>IFERROR(__xludf.DUMMYFUNCTION("""COMPUTED_VALUE"""),45349.64583333333)</f>
        <v>45349.64583</v>
      </c>
      <c r="JR49" s="48">
        <f>IFERROR(__xludf.DUMMYFUNCTION("""COMPUTED_VALUE"""),87.0)</f>
        <v>87</v>
      </c>
      <c r="JU49" s="50">
        <f>IFERROR(__xludf.DUMMYFUNCTION("""COMPUTED_VALUE"""),45349.64583333333)</f>
        <v>45349.64583</v>
      </c>
      <c r="JV49" s="48">
        <f>IFERROR(__xludf.DUMMYFUNCTION("""COMPUTED_VALUE"""),279.8)</f>
        <v>279.8</v>
      </c>
      <c r="JY49" s="50">
        <f>IFERROR(__xludf.DUMMYFUNCTION("""COMPUTED_VALUE"""),45349.64583333333)</f>
        <v>45349.64583</v>
      </c>
      <c r="JZ49" s="48">
        <f>IFERROR(__xludf.DUMMYFUNCTION("""COMPUTED_VALUE"""),578.5)</f>
        <v>578.5</v>
      </c>
      <c r="KC49" s="50">
        <f>IFERROR(__xludf.DUMMYFUNCTION("""COMPUTED_VALUE"""),45349.64583333333)</f>
        <v>45349.64583</v>
      </c>
      <c r="KD49" s="48">
        <f>IFERROR(__xludf.DUMMYFUNCTION("""COMPUTED_VALUE"""),992.4)</f>
        <v>992.4</v>
      </c>
      <c r="KG49" s="50">
        <f>IFERROR(__xludf.DUMMYFUNCTION("""COMPUTED_VALUE"""),45349.64583333333)</f>
        <v>45349.64583</v>
      </c>
      <c r="KH49" s="48">
        <f>IFERROR(__xludf.DUMMYFUNCTION("""COMPUTED_VALUE"""),668.4)</f>
        <v>668.4</v>
      </c>
      <c r="KK49" s="50">
        <f>IFERROR(__xludf.DUMMYFUNCTION("""COMPUTED_VALUE"""),45349.64583333333)</f>
        <v>45349.64583</v>
      </c>
      <c r="KL49" s="48">
        <f>IFERROR(__xludf.DUMMYFUNCTION("""COMPUTED_VALUE"""),13.8)</f>
        <v>13.8</v>
      </c>
      <c r="KO49" s="50">
        <f>IFERROR(__xludf.DUMMYFUNCTION("""COMPUTED_VALUE"""),45349.64583333333)</f>
        <v>45349.64583</v>
      </c>
      <c r="KP49" s="48">
        <f>IFERROR(__xludf.DUMMYFUNCTION("""COMPUTED_VALUE"""),240.0)</f>
        <v>240</v>
      </c>
      <c r="KS49" s="50">
        <f>IFERROR(__xludf.DUMMYFUNCTION("""COMPUTED_VALUE"""),45349.64583333333)</f>
        <v>45349.64583</v>
      </c>
      <c r="KT49" s="48">
        <f>IFERROR(__xludf.DUMMYFUNCTION("""COMPUTED_VALUE"""),17.9)</f>
        <v>17.9</v>
      </c>
      <c r="KW49" s="50">
        <f>IFERROR(__xludf.DUMMYFUNCTION("""COMPUTED_VALUE"""),45349.64583333333)</f>
        <v>45349.64583</v>
      </c>
      <c r="KX49" s="48">
        <f>IFERROR(__xludf.DUMMYFUNCTION("""COMPUTED_VALUE"""),2265.0)</f>
        <v>2265</v>
      </c>
      <c r="LA49" s="50">
        <f>IFERROR(__xludf.DUMMYFUNCTION("""COMPUTED_VALUE"""),45349.64583333333)</f>
        <v>45349.64583</v>
      </c>
      <c r="LB49" s="48">
        <f>IFERROR(__xludf.DUMMYFUNCTION("""COMPUTED_VALUE"""),20.5)</f>
        <v>20.5</v>
      </c>
      <c r="LE49" s="50">
        <f>IFERROR(__xludf.DUMMYFUNCTION("""COMPUTED_VALUE"""),45349.64583333333)</f>
        <v>45349.64583</v>
      </c>
      <c r="LF49" s="48">
        <f>IFERROR(__xludf.DUMMYFUNCTION("""COMPUTED_VALUE"""),131.6)</f>
        <v>131.6</v>
      </c>
      <c r="LI49" s="50">
        <f>IFERROR(__xludf.DUMMYFUNCTION("""COMPUTED_VALUE"""),45349.64583333333)</f>
        <v>45349.64583</v>
      </c>
      <c r="LJ49" s="48">
        <f>IFERROR(__xludf.DUMMYFUNCTION("""COMPUTED_VALUE"""),705.0)</f>
        <v>705</v>
      </c>
      <c r="LM49" s="50">
        <f>IFERROR(__xludf.DUMMYFUNCTION("""COMPUTED_VALUE"""),45349.64583333333)</f>
        <v>45349.64583</v>
      </c>
      <c r="LN49" s="48">
        <f>IFERROR(__xludf.DUMMYFUNCTION("""COMPUTED_VALUE"""),899.0)</f>
        <v>899</v>
      </c>
      <c r="LQ49" s="50">
        <f>IFERROR(__xludf.DUMMYFUNCTION("""COMPUTED_VALUE"""),45349.64583333333)</f>
        <v>45349.64583</v>
      </c>
      <c r="LR49" s="48">
        <f>IFERROR(__xludf.DUMMYFUNCTION("""COMPUTED_VALUE"""),600.95)</f>
        <v>600.95</v>
      </c>
      <c r="LU49" s="50">
        <f>IFERROR(__xludf.DUMMYFUNCTION("""COMPUTED_VALUE"""),45349.64583333333)</f>
        <v>45349.64583</v>
      </c>
      <c r="LV49" s="48">
        <f>IFERROR(__xludf.DUMMYFUNCTION("""COMPUTED_VALUE"""),126.5)</f>
        <v>126.5</v>
      </c>
      <c r="LY49" s="50">
        <f>IFERROR(__xludf.DUMMYFUNCTION("""COMPUTED_VALUE"""),45349.64583333333)</f>
        <v>45349.64583</v>
      </c>
      <c r="LZ49" s="48">
        <f>IFERROR(__xludf.DUMMYFUNCTION("""COMPUTED_VALUE"""),707.4)</f>
        <v>707.4</v>
      </c>
      <c r="MG49" s="50">
        <f>IFERROR(__xludf.DUMMYFUNCTION("""COMPUTED_VALUE"""),45349.64583333333)</f>
        <v>45349.64583</v>
      </c>
      <c r="MH49" s="48">
        <f>IFERROR(__xludf.DUMMYFUNCTION("""COMPUTED_VALUE"""),1862.65)</f>
        <v>1862.65</v>
      </c>
      <c r="MK49" s="50">
        <f>IFERROR(__xludf.DUMMYFUNCTION("""COMPUTED_VALUE"""),45349.64583333333)</f>
        <v>45349.64583</v>
      </c>
      <c r="ML49" s="48">
        <f>IFERROR(__xludf.DUMMYFUNCTION("""COMPUTED_VALUE"""),321.7)</f>
        <v>321.7</v>
      </c>
      <c r="MO49" s="50">
        <f>IFERROR(__xludf.DUMMYFUNCTION("""COMPUTED_VALUE"""),45349.64583333333)</f>
        <v>45349.64583</v>
      </c>
      <c r="MP49" s="48">
        <f>IFERROR(__xludf.DUMMYFUNCTION("""COMPUTED_VALUE"""),1075.0)</f>
        <v>1075</v>
      </c>
      <c r="MS49" s="50">
        <f>IFERROR(__xludf.DUMMYFUNCTION("""COMPUTED_VALUE"""),45349.64583333333)</f>
        <v>45349.64583</v>
      </c>
      <c r="MT49" s="48">
        <f>IFERROR(__xludf.DUMMYFUNCTION("""COMPUTED_VALUE"""),59.75)</f>
        <v>59.75</v>
      </c>
      <c r="MW49" s="50">
        <f>IFERROR(__xludf.DUMMYFUNCTION("""COMPUTED_VALUE"""),45349.64583333333)</f>
        <v>45349.64583</v>
      </c>
      <c r="MX49" s="48">
        <f>IFERROR(__xludf.DUMMYFUNCTION("""COMPUTED_VALUE"""),3108.35)</f>
        <v>3108.35</v>
      </c>
      <c r="NA49" s="50">
        <f>IFERROR(__xludf.DUMMYFUNCTION("""COMPUTED_VALUE"""),45349.64583333333)</f>
        <v>45349.64583</v>
      </c>
      <c r="NB49" s="48">
        <f>IFERROR(__xludf.DUMMYFUNCTION("""COMPUTED_VALUE"""),13.15)</f>
        <v>13.15</v>
      </c>
      <c r="NE49" s="50">
        <f>IFERROR(__xludf.DUMMYFUNCTION("""COMPUTED_VALUE"""),45350.64583333333)</f>
        <v>45350.64583</v>
      </c>
      <c r="NF49" s="48">
        <f>IFERROR(__xludf.DUMMYFUNCTION("""COMPUTED_VALUE"""),357.1)</f>
        <v>357.1</v>
      </c>
      <c r="NI49" s="50">
        <f>IFERROR(__xludf.DUMMYFUNCTION("""COMPUTED_VALUE"""),45350.64583333333)</f>
        <v>45350.64583</v>
      </c>
      <c r="NJ49" s="48">
        <f>IFERROR(__xludf.DUMMYFUNCTION("""COMPUTED_VALUE"""),353.47)</f>
        <v>353.47</v>
      </c>
      <c r="NM49" s="50">
        <f>IFERROR(__xludf.DUMMYFUNCTION("""COMPUTED_VALUE"""),45350.64583333333)</f>
        <v>45350.64583</v>
      </c>
      <c r="NN49" s="48">
        <f>IFERROR(__xludf.DUMMYFUNCTION("""COMPUTED_VALUE"""),126.7)</f>
        <v>126.7</v>
      </c>
      <c r="NQ49" s="50">
        <f>IFERROR(__xludf.DUMMYFUNCTION("""COMPUTED_VALUE"""),45350.64583333333)</f>
        <v>45350.64583</v>
      </c>
      <c r="NR49" s="48">
        <f>IFERROR(__xludf.DUMMYFUNCTION("""COMPUTED_VALUE"""),4459.2)</f>
        <v>4459.2</v>
      </c>
      <c r="NU49" s="50">
        <f>IFERROR(__xludf.DUMMYFUNCTION("""COMPUTED_VALUE"""),45350.64583333333)</f>
        <v>45350.64583</v>
      </c>
      <c r="NV49" s="48">
        <f>IFERROR(__xludf.DUMMYFUNCTION("""COMPUTED_VALUE"""),15.0)</f>
        <v>15</v>
      </c>
      <c r="NY49" s="50">
        <f>IFERROR(__xludf.DUMMYFUNCTION("""COMPUTED_VALUE"""),45350.64583333333)</f>
        <v>45350.64583</v>
      </c>
      <c r="NZ49" s="48">
        <f>IFERROR(__xludf.DUMMYFUNCTION("""COMPUTED_VALUE"""),225.5)</f>
        <v>225.5</v>
      </c>
      <c r="OC49" s="50">
        <f>IFERROR(__xludf.DUMMYFUNCTION("""COMPUTED_VALUE"""),45350.64583333333)</f>
        <v>45350.64583</v>
      </c>
      <c r="OD49" s="48">
        <f>IFERROR(__xludf.DUMMYFUNCTION("""COMPUTED_VALUE"""),1205.0)</f>
        <v>1205</v>
      </c>
      <c r="OG49" s="50">
        <f>IFERROR(__xludf.DUMMYFUNCTION("""COMPUTED_VALUE"""),45350.64583333333)</f>
        <v>45350.64583</v>
      </c>
      <c r="OH49" s="48">
        <f>IFERROR(__xludf.DUMMYFUNCTION("""COMPUTED_VALUE"""),2930.0)</f>
        <v>2930</v>
      </c>
    </row>
    <row r="50" ht="12.0" customHeight="1">
      <c r="A50" s="37"/>
      <c r="D50" s="37"/>
      <c r="E50" s="37"/>
      <c r="I50" s="37"/>
      <c r="M50" s="37"/>
      <c r="Q50" s="37"/>
      <c r="U50" s="37"/>
      <c r="Y50" s="37"/>
      <c r="AC50" s="37"/>
      <c r="AG50" s="37"/>
      <c r="AK50" s="37"/>
      <c r="AN50" s="37"/>
      <c r="AQ50" s="37"/>
      <c r="AT50" s="37"/>
      <c r="AW50" s="37"/>
      <c r="AZ50" s="37"/>
      <c r="BC50" s="37"/>
      <c r="BF50" s="37"/>
      <c r="BG50" s="45"/>
      <c r="BH50" s="45"/>
      <c r="BI50" s="37"/>
      <c r="BJ50" s="45"/>
      <c r="BK50" s="45"/>
      <c r="BL50" s="37"/>
      <c r="BM50" s="45"/>
      <c r="BN50" s="45"/>
      <c r="BO50" s="37"/>
      <c r="BP50" s="45"/>
      <c r="BQ50" s="45"/>
      <c r="BR50" s="37"/>
      <c r="BS50" s="45"/>
      <c r="BT50" s="45"/>
      <c r="BU50" s="37"/>
      <c r="BV50" s="45"/>
      <c r="BW50" s="45"/>
      <c r="BX50" s="37"/>
      <c r="BY50" s="45"/>
      <c r="BZ50" s="45"/>
      <c r="CA50" s="37"/>
      <c r="CB50" s="45"/>
      <c r="CC50" s="45"/>
      <c r="CD50" s="37"/>
      <c r="CE50" s="45"/>
      <c r="CF50" s="45"/>
      <c r="CG50" s="37"/>
      <c r="CH50" s="45"/>
      <c r="CI50" s="45"/>
      <c r="CJ50" s="37"/>
      <c r="CK50" s="45"/>
      <c r="CL50" s="45"/>
      <c r="CM50" s="37"/>
      <c r="CN50" s="45"/>
      <c r="CO50" s="45"/>
      <c r="CP50" s="37"/>
      <c r="CQ50" s="45"/>
      <c r="CR50" s="45"/>
      <c r="CS50" s="37"/>
      <c r="CT50" s="45"/>
      <c r="CU50" s="45"/>
      <c r="CV50" s="37"/>
      <c r="CW50" s="45"/>
      <c r="CX50" s="45"/>
      <c r="CY50" s="37"/>
      <c r="CZ50" s="45"/>
      <c r="DB50" s="37"/>
      <c r="DE50" s="37"/>
      <c r="DH50" s="37"/>
      <c r="DK50" s="37"/>
      <c r="DN50" s="37"/>
      <c r="DQ50" s="37"/>
      <c r="DT50" s="37"/>
      <c r="DW50" s="37"/>
      <c r="DZ50" s="37"/>
      <c r="EC50" s="37"/>
      <c r="EF50" s="37"/>
      <c r="EI50" s="37"/>
      <c r="EL50" s="37"/>
      <c r="EO50" s="37"/>
      <c r="ER50" s="37"/>
      <c r="EU50" s="37"/>
      <c r="EV50" s="45"/>
      <c r="EW50" s="45"/>
      <c r="EX50" s="37"/>
      <c r="EY50" s="45"/>
      <c r="EZ50" s="45"/>
      <c r="FA50" s="37"/>
      <c r="FB50" s="45"/>
      <c r="FC50" s="45"/>
      <c r="FD50" s="37"/>
      <c r="FE50" s="45"/>
      <c r="FF50" s="45"/>
      <c r="FG50" s="37"/>
      <c r="FH50" s="45"/>
      <c r="FI50" s="45"/>
      <c r="FJ50" s="37"/>
      <c r="FK50" s="45"/>
      <c r="FL50" s="45"/>
      <c r="FM50" s="37"/>
      <c r="FN50" s="45"/>
      <c r="FO50" s="45"/>
      <c r="FP50" s="37"/>
      <c r="FQ50" s="45"/>
      <c r="FR50" s="45"/>
      <c r="FS50" s="37"/>
      <c r="FT50" s="45"/>
      <c r="FU50" s="45"/>
      <c r="FV50" s="37"/>
      <c r="FW50" s="45"/>
      <c r="FX50" s="45"/>
      <c r="FY50" s="37"/>
      <c r="FZ50" s="45"/>
      <c r="GA50" s="45"/>
      <c r="GB50" s="37"/>
      <c r="GC50" s="45"/>
      <c r="GD50" s="45"/>
      <c r="GE50" s="37"/>
      <c r="GF50" s="45"/>
      <c r="GG50" s="45"/>
      <c r="GH50" s="37"/>
      <c r="GI50" s="45"/>
      <c r="GJ50" s="45"/>
      <c r="GK50" s="37"/>
      <c r="GL50" s="45"/>
      <c r="GM50" s="45"/>
      <c r="GN50" s="37"/>
      <c r="GO50" s="45"/>
      <c r="HE50" s="56"/>
    </row>
    <row r="51" ht="12.0" customHeight="1">
      <c r="A51" s="37"/>
      <c r="D51" s="37"/>
      <c r="E51" s="37"/>
      <c r="I51" s="37"/>
      <c r="M51" s="37"/>
      <c r="Q51" s="37"/>
      <c r="U51" s="37"/>
      <c r="Y51" s="37"/>
      <c r="AC51" s="37"/>
      <c r="AG51" s="37"/>
      <c r="AK51" s="37"/>
      <c r="AN51" s="37"/>
      <c r="AQ51" s="37"/>
      <c r="AT51" s="37"/>
      <c r="AW51" s="37"/>
      <c r="AZ51" s="37"/>
      <c r="BC51" s="37"/>
      <c r="BF51" s="37"/>
      <c r="BG51" s="45"/>
      <c r="BH51" s="45"/>
      <c r="BI51" s="37"/>
      <c r="BJ51" s="45"/>
      <c r="BK51" s="45"/>
      <c r="BL51" s="37"/>
      <c r="BM51" s="45"/>
      <c r="BN51" s="45"/>
      <c r="BO51" s="37"/>
      <c r="BP51" s="45"/>
      <c r="BQ51" s="45"/>
      <c r="BR51" s="37"/>
      <c r="BS51" s="45"/>
      <c r="BT51" s="45"/>
      <c r="BU51" s="37"/>
      <c r="BV51" s="45"/>
      <c r="BW51" s="45"/>
      <c r="BX51" s="37"/>
      <c r="BY51" s="45"/>
      <c r="BZ51" s="45"/>
      <c r="CA51" s="37"/>
      <c r="CB51" s="45"/>
      <c r="CC51" s="45"/>
      <c r="CD51" s="37"/>
      <c r="CE51" s="45"/>
      <c r="CF51" s="45"/>
      <c r="CG51" s="37"/>
      <c r="CH51" s="45"/>
      <c r="CI51" s="45"/>
      <c r="CJ51" s="37"/>
      <c r="CK51" s="45"/>
      <c r="CL51" s="45"/>
      <c r="CM51" s="37"/>
      <c r="CN51" s="45"/>
      <c r="CO51" s="45"/>
      <c r="CP51" s="37"/>
      <c r="CQ51" s="45"/>
      <c r="CR51" s="45"/>
      <c r="CS51" s="37"/>
      <c r="CT51" s="45"/>
      <c r="CU51" s="45"/>
      <c r="CV51" s="37"/>
      <c r="CW51" s="45"/>
      <c r="CX51" s="45"/>
      <c r="CY51" s="37"/>
      <c r="CZ51" s="45"/>
      <c r="DB51" s="37"/>
      <c r="DE51" s="37"/>
      <c r="DH51" s="37"/>
      <c r="DK51" s="37"/>
      <c r="DN51" s="37"/>
      <c r="DQ51" s="37"/>
      <c r="DT51" s="37"/>
      <c r="DW51" s="37"/>
      <c r="DZ51" s="37"/>
      <c r="EC51" s="37"/>
      <c r="EF51" s="37"/>
      <c r="EI51" s="37"/>
      <c r="EL51" s="37"/>
      <c r="EO51" s="37"/>
      <c r="ER51" s="37"/>
      <c r="EU51" s="37"/>
      <c r="EV51" s="45"/>
      <c r="EW51" s="45"/>
      <c r="EX51" s="37"/>
      <c r="EY51" s="45"/>
      <c r="EZ51" s="45"/>
      <c r="FA51" s="37"/>
      <c r="FB51" s="45"/>
      <c r="FC51" s="45"/>
      <c r="FD51" s="37"/>
      <c r="FE51" s="45"/>
      <c r="FF51" s="45"/>
      <c r="FG51" s="37"/>
      <c r="FH51" s="45"/>
      <c r="FI51" s="45"/>
      <c r="FJ51" s="37"/>
      <c r="FK51" s="45"/>
      <c r="FL51" s="45"/>
      <c r="FM51" s="37"/>
      <c r="FN51" s="45"/>
      <c r="FO51" s="45"/>
      <c r="FP51" s="37"/>
      <c r="FQ51" s="45"/>
      <c r="FR51" s="45"/>
      <c r="FS51" s="37"/>
      <c r="FT51" s="45"/>
      <c r="FU51" s="45"/>
      <c r="FV51" s="37"/>
      <c r="FW51" s="45"/>
      <c r="FX51" s="45"/>
      <c r="FY51" s="37"/>
      <c r="FZ51" s="45"/>
      <c r="GA51" s="45"/>
      <c r="GB51" s="37"/>
      <c r="GC51" s="45"/>
      <c r="GD51" s="45"/>
      <c r="GE51" s="37"/>
      <c r="GF51" s="45"/>
      <c r="GG51" s="45"/>
      <c r="GH51" s="37"/>
      <c r="GI51" s="45"/>
      <c r="GJ51" s="45"/>
      <c r="GK51" s="37"/>
      <c r="GL51" s="45"/>
      <c r="GM51" s="45"/>
      <c r="GN51" s="37"/>
      <c r="GO51" s="45"/>
      <c r="HE51" s="56"/>
    </row>
    <row r="52" ht="12.0" customHeight="1">
      <c r="A52" s="37"/>
      <c r="D52" s="37"/>
      <c r="E52" s="37"/>
      <c r="I52" s="37"/>
      <c r="M52" s="37"/>
      <c r="Q52" s="37"/>
      <c r="U52" s="37"/>
      <c r="Y52" s="37"/>
      <c r="AC52" s="37"/>
      <c r="AG52" s="37"/>
      <c r="AK52" s="37"/>
      <c r="AN52" s="37"/>
      <c r="AQ52" s="37"/>
      <c r="AT52" s="37"/>
      <c r="AW52" s="37"/>
      <c r="AZ52" s="37"/>
      <c r="BC52" s="37"/>
      <c r="BF52" s="37"/>
      <c r="BG52" s="45"/>
      <c r="BH52" s="45"/>
      <c r="BI52" s="37"/>
      <c r="BJ52" s="45"/>
      <c r="BK52" s="45"/>
      <c r="BL52" s="37"/>
      <c r="BM52" s="45"/>
      <c r="BN52" s="45"/>
      <c r="BO52" s="37"/>
      <c r="BP52" s="45"/>
      <c r="BQ52" s="45"/>
      <c r="BR52" s="37"/>
      <c r="BS52" s="45"/>
      <c r="BT52" s="45"/>
      <c r="BU52" s="37"/>
      <c r="BV52" s="45"/>
      <c r="BW52" s="45"/>
      <c r="BX52" s="37"/>
      <c r="BY52" s="45"/>
      <c r="BZ52" s="45"/>
      <c r="CA52" s="37"/>
      <c r="CB52" s="45"/>
      <c r="CC52" s="45"/>
      <c r="CD52" s="37"/>
      <c r="CE52" s="45"/>
      <c r="CF52" s="45"/>
      <c r="CG52" s="37"/>
      <c r="CH52" s="45"/>
      <c r="CI52" s="45"/>
      <c r="CJ52" s="37"/>
      <c r="CK52" s="45"/>
      <c r="CL52" s="45"/>
      <c r="CM52" s="37"/>
      <c r="CN52" s="45"/>
      <c r="CO52" s="45"/>
      <c r="CP52" s="37"/>
      <c r="CQ52" s="45"/>
      <c r="CR52" s="45"/>
      <c r="CS52" s="37"/>
      <c r="CT52" s="45"/>
      <c r="CU52" s="45"/>
      <c r="CV52" s="37"/>
      <c r="CW52" s="45"/>
      <c r="CX52" s="45"/>
      <c r="CY52" s="37"/>
      <c r="CZ52" s="45"/>
      <c r="DB52" s="37"/>
      <c r="DE52" s="37"/>
      <c r="DH52" s="37"/>
      <c r="DK52" s="37"/>
      <c r="DN52" s="37"/>
      <c r="DQ52" s="37"/>
      <c r="DT52" s="37"/>
      <c r="DW52" s="37"/>
      <c r="DZ52" s="37"/>
      <c r="EC52" s="37"/>
      <c r="EF52" s="37"/>
      <c r="EI52" s="37"/>
      <c r="EL52" s="37"/>
      <c r="EO52" s="37"/>
      <c r="ER52" s="37"/>
      <c r="EU52" s="37"/>
      <c r="EV52" s="45"/>
      <c r="EW52" s="45"/>
      <c r="EX52" s="37"/>
      <c r="EY52" s="45"/>
      <c r="EZ52" s="45"/>
      <c r="FA52" s="37"/>
      <c r="FB52" s="45"/>
      <c r="FC52" s="45"/>
      <c r="FD52" s="37"/>
      <c r="FE52" s="45"/>
      <c r="FF52" s="45"/>
      <c r="FG52" s="37"/>
      <c r="FH52" s="45"/>
      <c r="FI52" s="45"/>
      <c r="FJ52" s="37"/>
      <c r="FK52" s="45"/>
      <c r="FL52" s="45"/>
      <c r="FM52" s="37"/>
      <c r="FN52" s="45"/>
      <c r="FO52" s="45"/>
      <c r="FP52" s="37"/>
      <c r="FQ52" s="45"/>
      <c r="FR52" s="45"/>
      <c r="FS52" s="37"/>
      <c r="FT52" s="45"/>
      <c r="FU52" s="45"/>
      <c r="FV52" s="37"/>
      <c r="FW52" s="45"/>
      <c r="FX52" s="45"/>
      <c r="FY52" s="37"/>
      <c r="FZ52" s="45"/>
      <c r="GA52" s="45"/>
      <c r="GB52" s="37"/>
      <c r="GC52" s="45"/>
      <c r="GD52" s="45"/>
      <c r="GE52" s="37"/>
      <c r="GF52" s="45"/>
      <c r="GG52" s="45"/>
      <c r="GH52" s="37"/>
      <c r="GI52" s="45"/>
      <c r="GJ52" s="45"/>
      <c r="GK52" s="37"/>
      <c r="GL52" s="45"/>
      <c r="GM52" s="45"/>
      <c r="GN52" s="37"/>
      <c r="GO52" s="45"/>
      <c r="HE52" s="56"/>
    </row>
    <row r="53" ht="12.0" customHeight="1">
      <c r="A53" s="37"/>
      <c r="D53" s="37"/>
      <c r="E53" s="37"/>
      <c r="I53" s="37"/>
      <c r="M53" s="37"/>
      <c r="Q53" s="37"/>
      <c r="U53" s="37"/>
      <c r="Y53" s="37"/>
      <c r="AC53" s="37"/>
      <c r="AG53" s="37"/>
      <c r="AK53" s="37"/>
      <c r="AN53" s="37"/>
      <c r="AQ53" s="37"/>
      <c r="AT53" s="37"/>
      <c r="AW53" s="37"/>
      <c r="AZ53" s="37"/>
      <c r="BC53" s="37"/>
      <c r="BF53" s="37"/>
      <c r="BG53" s="45"/>
      <c r="BH53" s="45"/>
      <c r="BI53" s="37"/>
      <c r="BJ53" s="45"/>
      <c r="BK53" s="45"/>
      <c r="BL53" s="37"/>
      <c r="BM53" s="45"/>
      <c r="BN53" s="45"/>
      <c r="BO53" s="37"/>
      <c r="BP53" s="45"/>
      <c r="BQ53" s="45"/>
      <c r="BR53" s="37"/>
      <c r="BS53" s="45"/>
      <c r="BT53" s="45"/>
      <c r="BU53" s="37"/>
      <c r="BV53" s="45"/>
      <c r="BW53" s="45"/>
      <c r="BX53" s="37"/>
      <c r="BY53" s="45"/>
      <c r="BZ53" s="45"/>
      <c r="CA53" s="37"/>
      <c r="CB53" s="45"/>
      <c r="CC53" s="45"/>
      <c r="CD53" s="37"/>
      <c r="CE53" s="45"/>
      <c r="CF53" s="45"/>
      <c r="CG53" s="37"/>
      <c r="CH53" s="45"/>
      <c r="CI53" s="45"/>
      <c r="CJ53" s="37"/>
      <c r="CK53" s="45"/>
      <c r="CL53" s="45"/>
      <c r="CM53" s="37"/>
      <c r="CN53" s="45"/>
      <c r="CO53" s="45"/>
      <c r="CP53" s="37"/>
      <c r="CQ53" s="45"/>
      <c r="CR53" s="45"/>
      <c r="CS53" s="37"/>
      <c r="CT53" s="45"/>
      <c r="CU53" s="45"/>
      <c r="CV53" s="37"/>
      <c r="CW53" s="45"/>
      <c r="CX53" s="45"/>
      <c r="CY53" s="37"/>
      <c r="CZ53" s="45"/>
      <c r="DB53" s="37"/>
      <c r="DE53" s="37"/>
      <c r="DH53" s="37"/>
      <c r="DK53" s="37"/>
      <c r="DN53" s="37"/>
      <c r="DQ53" s="37"/>
      <c r="DT53" s="37"/>
      <c r="DW53" s="37"/>
      <c r="DZ53" s="37"/>
      <c r="EC53" s="37"/>
      <c r="EF53" s="37"/>
      <c r="EI53" s="37"/>
      <c r="EL53" s="37"/>
      <c r="EO53" s="37"/>
      <c r="ER53" s="37"/>
      <c r="EU53" s="37"/>
      <c r="EV53" s="45"/>
      <c r="EW53" s="45"/>
      <c r="EX53" s="37"/>
      <c r="EY53" s="45"/>
      <c r="EZ53" s="45"/>
      <c r="FA53" s="37"/>
      <c r="FB53" s="45"/>
      <c r="FC53" s="45"/>
      <c r="FD53" s="37"/>
      <c r="FE53" s="45"/>
      <c r="FF53" s="45"/>
      <c r="FG53" s="37"/>
      <c r="FH53" s="45"/>
      <c r="FI53" s="45"/>
      <c r="FJ53" s="37"/>
      <c r="FK53" s="45"/>
      <c r="FL53" s="45"/>
      <c r="FM53" s="37"/>
      <c r="FN53" s="45"/>
      <c r="FO53" s="45"/>
      <c r="FP53" s="37"/>
      <c r="FQ53" s="45"/>
      <c r="FR53" s="45"/>
      <c r="FS53" s="37"/>
      <c r="FT53" s="45"/>
      <c r="FU53" s="45"/>
      <c r="FV53" s="37"/>
      <c r="FW53" s="45"/>
      <c r="FX53" s="45"/>
      <c r="FY53" s="37"/>
      <c r="FZ53" s="45"/>
      <c r="GA53" s="45"/>
      <c r="GB53" s="37"/>
      <c r="GC53" s="45"/>
      <c r="GD53" s="45"/>
      <c r="GE53" s="37"/>
      <c r="GF53" s="45"/>
      <c r="GG53" s="45"/>
      <c r="GH53" s="37"/>
      <c r="GI53" s="45"/>
      <c r="GJ53" s="45"/>
      <c r="GK53" s="37"/>
      <c r="GL53" s="45"/>
      <c r="GM53" s="45"/>
      <c r="GN53" s="37"/>
      <c r="GO53" s="45"/>
      <c r="HE53" s="56"/>
    </row>
    <row r="54" ht="12.0" customHeight="1">
      <c r="A54" s="37"/>
      <c r="D54" s="37"/>
      <c r="E54" s="37"/>
      <c r="I54" s="37"/>
      <c r="M54" s="37"/>
      <c r="Q54" s="37"/>
      <c r="U54" s="37"/>
      <c r="Y54" s="37"/>
      <c r="AC54" s="37"/>
      <c r="AG54" s="37"/>
      <c r="AK54" s="37"/>
      <c r="AN54" s="37"/>
      <c r="AQ54" s="37"/>
      <c r="AT54" s="37"/>
      <c r="AW54" s="37"/>
      <c r="AZ54" s="37"/>
      <c r="BC54" s="37"/>
      <c r="BF54" s="37"/>
      <c r="BG54" s="45"/>
      <c r="BH54" s="45"/>
      <c r="BI54" s="37"/>
      <c r="BJ54" s="45"/>
      <c r="BK54" s="45"/>
      <c r="BL54" s="37"/>
      <c r="BM54" s="45"/>
      <c r="BN54" s="45"/>
      <c r="BO54" s="37"/>
      <c r="BP54" s="45"/>
      <c r="BQ54" s="45"/>
      <c r="BR54" s="37"/>
      <c r="BS54" s="45"/>
      <c r="BT54" s="45"/>
      <c r="BU54" s="37"/>
      <c r="BV54" s="45"/>
      <c r="BW54" s="45"/>
      <c r="BX54" s="37"/>
      <c r="BY54" s="45"/>
      <c r="BZ54" s="45"/>
      <c r="CA54" s="37"/>
      <c r="CB54" s="45"/>
      <c r="CC54" s="45"/>
      <c r="CD54" s="37"/>
      <c r="CE54" s="45"/>
      <c r="CF54" s="45"/>
      <c r="CG54" s="37"/>
      <c r="CH54" s="45"/>
      <c r="CI54" s="45"/>
      <c r="CJ54" s="37"/>
      <c r="CK54" s="45"/>
      <c r="CL54" s="45"/>
      <c r="CM54" s="37"/>
      <c r="CN54" s="45"/>
      <c r="CO54" s="45"/>
      <c r="CP54" s="37"/>
      <c r="CQ54" s="45"/>
      <c r="CR54" s="45"/>
      <c r="CS54" s="37"/>
      <c r="CT54" s="45"/>
      <c r="CU54" s="45"/>
      <c r="CV54" s="37"/>
      <c r="CW54" s="45"/>
      <c r="CX54" s="45"/>
      <c r="CY54" s="37"/>
      <c r="CZ54" s="45"/>
      <c r="DB54" s="37"/>
      <c r="DE54" s="37"/>
      <c r="DH54" s="37"/>
      <c r="DK54" s="37"/>
      <c r="DN54" s="37"/>
      <c r="DQ54" s="37"/>
      <c r="DT54" s="37"/>
      <c r="DW54" s="37"/>
      <c r="DZ54" s="37"/>
      <c r="EC54" s="37"/>
      <c r="EF54" s="37"/>
      <c r="EI54" s="37"/>
      <c r="EL54" s="37"/>
      <c r="EO54" s="37"/>
      <c r="ER54" s="37"/>
      <c r="EU54" s="37"/>
      <c r="EV54" s="45"/>
      <c r="EW54" s="45"/>
      <c r="EX54" s="37"/>
      <c r="EY54" s="45"/>
      <c r="EZ54" s="45"/>
      <c r="FA54" s="37"/>
      <c r="FB54" s="45"/>
      <c r="FC54" s="45"/>
      <c r="FD54" s="37"/>
      <c r="FE54" s="45"/>
      <c r="FF54" s="45"/>
      <c r="FG54" s="37"/>
      <c r="FH54" s="45"/>
      <c r="FI54" s="45"/>
      <c r="FJ54" s="37"/>
      <c r="FK54" s="45"/>
      <c r="FL54" s="45"/>
      <c r="FM54" s="37"/>
      <c r="FN54" s="45"/>
      <c r="FO54" s="45"/>
      <c r="FP54" s="37"/>
      <c r="FQ54" s="45"/>
      <c r="FR54" s="45"/>
      <c r="FS54" s="37"/>
      <c r="FT54" s="45"/>
      <c r="FU54" s="45"/>
      <c r="FV54" s="37"/>
      <c r="FW54" s="45"/>
      <c r="FX54" s="45"/>
      <c r="FY54" s="37"/>
      <c r="FZ54" s="45"/>
      <c r="GA54" s="45"/>
      <c r="GB54" s="37"/>
      <c r="GC54" s="45"/>
      <c r="GD54" s="45"/>
      <c r="GE54" s="37"/>
      <c r="GF54" s="45"/>
      <c r="GG54" s="45"/>
      <c r="GH54" s="37"/>
      <c r="GI54" s="45"/>
      <c r="GJ54" s="45"/>
      <c r="GK54" s="37"/>
      <c r="GL54" s="45"/>
      <c r="GM54" s="45"/>
      <c r="GN54" s="37"/>
      <c r="GO54" s="45"/>
      <c r="HE54" s="56"/>
    </row>
    <row r="55" ht="12.0" customHeight="1">
      <c r="A55" s="37"/>
      <c r="D55" s="37"/>
      <c r="E55" s="37"/>
      <c r="I55" s="37"/>
      <c r="M55" s="37"/>
      <c r="Q55" s="37"/>
      <c r="U55" s="37"/>
      <c r="Y55" s="37"/>
      <c r="AC55" s="37"/>
      <c r="AG55" s="37"/>
      <c r="AK55" s="37"/>
      <c r="AN55" s="37"/>
      <c r="AQ55" s="37"/>
      <c r="AT55" s="37"/>
      <c r="AW55" s="37"/>
      <c r="AZ55" s="37"/>
      <c r="BC55" s="37"/>
      <c r="BF55" s="37"/>
      <c r="BG55" s="45"/>
      <c r="BH55" s="45"/>
      <c r="BI55" s="37"/>
      <c r="BJ55" s="45"/>
      <c r="BK55" s="45"/>
      <c r="BL55" s="37"/>
      <c r="BM55" s="45"/>
      <c r="BN55" s="45"/>
      <c r="BO55" s="37"/>
      <c r="BP55" s="45"/>
      <c r="BQ55" s="45"/>
      <c r="BR55" s="37"/>
      <c r="BS55" s="45"/>
      <c r="BT55" s="45"/>
      <c r="BU55" s="37"/>
      <c r="BV55" s="45"/>
      <c r="BW55" s="45"/>
      <c r="BX55" s="37"/>
      <c r="BY55" s="45"/>
      <c r="BZ55" s="45"/>
      <c r="CA55" s="37"/>
      <c r="CB55" s="45"/>
      <c r="CC55" s="45"/>
      <c r="CD55" s="37"/>
      <c r="CE55" s="45"/>
      <c r="CF55" s="45"/>
      <c r="CG55" s="37"/>
      <c r="CH55" s="45"/>
      <c r="CI55" s="45"/>
      <c r="CJ55" s="37"/>
      <c r="CK55" s="45"/>
      <c r="CL55" s="45"/>
      <c r="CM55" s="37"/>
      <c r="CN55" s="45"/>
      <c r="CO55" s="45"/>
      <c r="CP55" s="37"/>
      <c r="CQ55" s="45"/>
      <c r="CR55" s="45"/>
      <c r="CS55" s="37"/>
      <c r="CT55" s="45"/>
      <c r="CU55" s="45"/>
      <c r="CV55" s="37"/>
      <c r="CW55" s="45"/>
      <c r="CX55" s="45"/>
      <c r="CY55" s="37"/>
      <c r="CZ55" s="45"/>
      <c r="DB55" s="37"/>
      <c r="DE55" s="37"/>
      <c r="DH55" s="37"/>
      <c r="DK55" s="37"/>
      <c r="DN55" s="37"/>
      <c r="DQ55" s="37"/>
      <c r="DT55" s="37"/>
      <c r="DW55" s="37"/>
      <c r="DZ55" s="37"/>
      <c r="EC55" s="37"/>
      <c r="EF55" s="37"/>
      <c r="EI55" s="37"/>
      <c r="EL55" s="37"/>
      <c r="EO55" s="37"/>
      <c r="ER55" s="37"/>
      <c r="EU55" s="37"/>
      <c r="EV55" s="45"/>
      <c r="EW55" s="45"/>
      <c r="EX55" s="37"/>
      <c r="EY55" s="45"/>
      <c r="EZ55" s="45"/>
      <c r="FA55" s="37"/>
      <c r="FB55" s="45"/>
      <c r="FC55" s="45"/>
      <c r="FD55" s="37"/>
      <c r="FE55" s="45"/>
      <c r="FF55" s="45"/>
      <c r="FG55" s="37"/>
      <c r="FH55" s="45"/>
      <c r="FI55" s="45"/>
      <c r="FJ55" s="37"/>
      <c r="FK55" s="45"/>
      <c r="FL55" s="45"/>
      <c r="FM55" s="37"/>
      <c r="FN55" s="45"/>
      <c r="FO55" s="45"/>
      <c r="FP55" s="37"/>
      <c r="FQ55" s="45"/>
      <c r="FR55" s="45"/>
      <c r="FS55" s="37"/>
      <c r="FT55" s="45"/>
      <c r="FU55" s="45"/>
      <c r="FV55" s="37"/>
      <c r="FW55" s="45"/>
      <c r="FX55" s="45"/>
      <c r="FY55" s="37"/>
      <c r="FZ55" s="45"/>
      <c r="GA55" s="45"/>
      <c r="GB55" s="37"/>
      <c r="GC55" s="45"/>
      <c r="GD55" s="45"/>
      <c r="GE55" s="37"/>
      <c r="GF55" s="45"/>
      <c r="GG55" s="45"/>
      <c r="GH55" s="37"/>
      <c r="GI55" s="45"/>
      <c r="GJ55" s="45"/>
      <c r="GK55" s="37"/>
      <c r="GL55" s="45"/>
      <c r="GM55" s="45"/>
      <c r="GN55" s="37"/>
      <c r="GO55" s="45"/>
      <c r="HE55" s="56"/>
    </row>
    <row r="56" ht="12.0" customHeight="1">
      <c r="A56" s="37"/>
      <c r="D56" s="37"/>
      <c r="E56" s="37"/>
      <c r="I56" s="37"/>
      <c r="M56" s="37"/>
      <c r="Q56" s="37"/>
      <c r="U56" s="37"/>
      <c r="Y56" s="37"/>
      <c r="AC56" s="37"/>
      <c r="AG56" s="37"/>
      <c r="AK56" s="37"/>
      <c r="AN56" s="37"/>
      <c r="AQ56" s="37"/>
      <c r="AT56" s="37"/>
      <c r="AW56" s="37"/>
      <c r="AZ56" s="37"/>
      <c r="BC56" s="37"/>
      <c r="BF56" s="37"/>
      <c r="BG56" s="45"/>
      <c r="BH56" s="45"/>
      <c r="BI56" s="37"/>
      <c r="BJ56" s="45"/>
      <c r="BK56" s="45"/>
      <c r="BL56" s="37"/>
      <c r="BM56" s="45"/>
      <c r="BN56" s="45"/>
      <c r="BO56" s="37"/>
      <c r="BP56" s="45"/>
      <c r="BQ56" s="45"/>
      <c r="BR56" s="37"/>
      <c r="BS56" s="45"/>
      <c r="BT56" s="45"/>
      <c r="BU56" s="37"/>
      <c r="BV56" s="45"/>
      <c r="BW56" s="45"/>
      <c r="BX56" s="37"/>
      <c r="BY56" s="45"/>
      <c r="BZ56" s="45"/>
      <c r="CA56" s="37"/>
      <c r="CB56" s="45"/>
      <c r="CC56" s="45"/>
      <c r="CD56" s="37"/>
      <c r="CE56" s="45"/>
      <c r="CF56" s="45"/>
      <c r="CG56" s="37"/>
      <c r="CH56" s="45"/>
      <c r="CI56" s="45"/>
      <c r="CJ56" s="37"/>
      <c r="CK56" s="45"/>
      <c r="CL56" s="45"/>
      <c r="CM56" s="37"/>
      <c r="CN56" s="45"/>
      <c r="CO56" s="45"/>
      <c r="CP56" s="37"/>
      <c r="CQ56" s="45"/>
      <c r="CR56" s="45"/>
      <c r="CS56" s="37"/>
      <c r="CT56" s="45"/>
      <c r="CU56" s="45"/>
      <c r="CV56" s="37"/>
      <c r="CW56" s="45"/>
      <c r="CX56" s="45"/>
      <c r="CY56" s="37"/>
      <c r="CZ56" s="45"/>
      <c r="DB56" s="37"/>
      <c r="DE56" s="37"/>
      <c r="DH56" s="37"/>
      <c r="DK56" s="37"/>
      <c r="DN56" s="37"/>
      <c r="DQ56" s="37"/>
      <c r="DT56" s="37"/>
      <c r="DW56" s="37"/>
      <c r="DZ56" s="37"/>
      <c r="EC56" s="37"/>
      <c r="EF56" s="37"/>
      <c r="EI56" s="37"/>
      <c r="EL56" s="37"/>
      <c r="EO56" s="37"/>
      <c r="ER56" s="37"/>
      <c r="EU56" s="37"/>
      <c r="EV56" s="45"/>
      <c r="EW56" s="45"/>
      <c r="EX56" s="37"/>
      <c r="EY56" s="45"/>
      <c r="EZ56" s="45"/>
      <c r="FA56" s="37"/>
      <c r="FB56" s="45"/>
      <c r="FC56" s="45"/>
      <c r="FD56" s="37"/>
      <c r="FE56" s="45"/>
      <c r="FF56" s="45"/>
      <c r="FG56" s="37"/>
      <c r="FH56" s="45"/>
      <c r="FI56" s="45"/>
      <c r="FJ56" s="37"/>
      <c r="FK56" s="45"/>
      <c r="FL56" s="45"/>
      <c r="FM56" s="37"/>
      <c r="FN56" s="45"/>
      <c r="FO56" s="45"/>
      <c r="FP56" s="37"/>
      <c r="FQ56" s="45"/>
      <c r="FR56" s="45"/>
      <c r="FS56" s="37"/>
      <c r="FT56" s="45"/>
      <c r="FU56" s="45"/>
      <c r="FV56" s="37"/>
      <c r="FW56" s="45"/>
      <c r="FX56" s="45"/>
      <c r="FY56" s="37"/>
      <c r="FZ56" s="45"/>
      <c r="GA56" s="45"/>
      <c r="GB56" s="37"/>
      <c r="GC56" s="45"/>
      <c r="GD56" s="45"/>
      <c r="GE56" s="37"/>
      <c r="GF56" s="45"/>
      <c r="GG56" s="45"/>
      <c r="GH56" s="37"/>
      <c r="GI56" s="45"/>
      <c r="GJ56" s="45"/>
      <c r="GK56" s="37"/>
      <c r="GL56" s="45"/>
      <c r="GM56" s="45"/>
      <c r="GN56" s="37"/>
      <c r="GO56" s="45"/>
      <c r="HE56" s="56"/>
    </row>
    <row r="57" ht="12.0" customHeight="1">
      <c r="A57" s="37"/>
      <c r="D57" s="37"/>
      <c r="E57" s="37"/>
      <c r="I57" s="37"/>
      <c r="M57" s="37"/>
      <c r="Q57" s="37"/>
      <c r="U57" s="37"/>
      <c r="Y57" s="37"/>
      <c r="AC57" s="37"/>
      <c r="AG57" s="37"/>
      <c r="AK57" s="37"/>
      <c r="AN57" s="37"/>
      <c r="AQ57" s="37"/>
      <c r="AT57" s="37"/>
      <c r="AW57" s="37"/>
      <c r="AZ57" s="37"/>
      <c r="BC57" s="37"/>
      <c r="BF57" s="37"/>
      <c r="BG57" s="45"/>
      <c r="BH57" s="45"/>
      <c r="BI57" s="37"/>
      <c r="BJ57" s="45"/>
      <c r="BK57" s="45"/>
      <c r="BL57" s="37"/>
      <c r="BM57" s="45"/>
      <c r="BN57" s="45"/>
      <c r="BO57" s="37"/>
      <c r="BP57" s="45"/>
      <c r="BQ57" s="45"/>
      <c r="BR57" s="37"/>
      <c r="BS57" s="45"/>
      <c r="BT57" s="45"/>
      <c r="BU57" s="37"/>
      <c r="BV57" s="45"/>
      <c r="BW57" s="45"/>
      <c r="BX57" s="37"/>
      <c r="BY57" s="45"/>
      <c r="BZ57" s="45"/>
      <c r="CA57" s="37"/>
      <c r="CB57" s="45"/>
      <c r="CC57" s="45"/>
      <c r="CD57" s="37"/>
      <c r="CE57" s="45"/>
      <c r="CF57" s="45"/>
      <c r="CG57" s="37"/>
      <c r="CH57" s="45"/>
      <c r="CI57" s="45"/>
      <c r="CJ57" s="37"/>
      <c r="CK57" s="45"/>
      <c r="CL57" s="45"/>
      <c r="CM57" s="37"/>
      <c r="CN57" s="45"/>
      <c r="CO57" s="45"/>
      <c r="CP57" s="37"/>
      <c r="CQ57" s="45"/>
      <c r="CR57" s="45"/>
      <c r="CS57" s="37"/>
      <c r="CT57" s="45"/>
      <c r="CU57" s="45"/>
      <c r="CV57" s="37"/>
      <c r="CW57" s="45"/>
      <c r="CX57" s="45"/>
      <c r="CY57" s="37"/>
      <c r="CZ57" s="45"/>
      <c r="DB57" s="37"/>
      <c r="DE57" s="37"/>
      <c r="DH57" s="37"/>
      <c r="DK57" s="37"/>
      <c r="DN57" s="37"/>
      <c r="DQ57" s="37"/>
      <c r="DT57" s="37"/>
      <c r="DW57" s="37"/>
      <c r="DZ57" s="37"/>
      <c r="EC57" s="37"/>
      <c r="EF57" s="37"/>
      <c r="EI57" s="37"/>
      <c r="EL57" s="37"/>
      <c r="EO57" s="37"/>
      <c r="ER57" s="37"/>
      <c r="EU57" s="37"/>
      <c r="EV57" s="45"/>
      <c r="EW57" s="45"/>
      <c r="EX57" s="37"/>
      <c r="EY57" s="45"/>
      <c r="EZ57" s="45"/>
      <c r="FA57" s="37"/>
      <c r="FB57" s="45"/>
      <c r="FC57" s="45"/>
      <c r="FD57" s="37"/>
      <c r="FE57" s="45"/>
      <c r="FF57" s="45"/>
      <c r="FG57" s="37"/>
      <c r="FH57" s="45"/>
      <c r="FI57" s="45"/>
      <c r="FJ57" s="37"/>
      <c r="FK57" s="45"/>
      <c r="FL57" s="45"/>
      <c r="FM57" s="37"/>
      <c r="FN57" s="45"/>
      <c r="FO57" s="45"/>
      <c r="FP57" s="37"/>
      <c r="FQ57" s="45"/>
      <c r="FR57" s="45"/>
      <c r="FS57" s="37"/>
      <c r="FT57" s="45"/>
      <c r="FU57" s="45"/>
      <c r="FV57" s="37"/>
      <c r="FW57" s="45"/>
      <c r="FX57" s="45"/>
      <c r="FY57" s="37"/>
      <c r="FZ57" s="45"/>
      <c r="GA57" s="45"/>
      <c r="GB57" s="37"/>
      <c r="GC57" s="45"/>
      <c r="GD57" s="45"/>
      <c r="GE57" s="37"/>
      <c r="GF57" s="45"/>
      <c r="GG57" s="45"/>
      <c r="GH57" s="37"/>
      <c r="GI57" s="45"/>
      <c r="GJ57" s="45"/>
      <c r="GK57" s="37"/>
      <c r="GL57" s="45"/>
      <c r="GM57" s="45"/>
      <c r="GN57" s="37"/>
      <c r="GO57" s="45"/>
      <c r="HE57" s="56"/>
    </row>
    <row r="58" ht="12.0" customHeight="1">
      <c r="A58" s="37"/>
      <c r="D58" s="37"/>
      <c r="E58" s="37"/>
      <c r="I58" s="37"/>
      <c r="M58" s="37"/>
      <c r="Q58" s="37"/>
      <c r="U58" s="37"/>
      <c r="Y58" s="37"/>
      <c r="AC58" s="37"/>
      <c r="AG58" s="37"/>
      <c r="AK58" s="37"/>
      <c r="AN58" s="37"/>
      <c r="AQ58" s="37"/>
      <c r="AT58" s="37"/>
      <c r="AW58" s="37"/>
      <c r="AZ58" s="37"/>
      <c r="BC58" s="37"/>
      <c r="BF58" s="37"/>
      <c r="BG58" s="45"/>
      <c r="BH58" s="45"/>
      <c r="BI58" s="37"/>
      <c r="BJ58" s="45"/>
      <c r="BK58" s="45"/>
      <c r="BL58" s="37"/>
      <c r="BM58" s="45"/>
      <c r="BN58" s="45"/>
      <c r="BO58" s="37"/>
      <c r="BP58" s="45"/>
      <c r="BQ58" s="45"/>
      <c r="BR58" s="37"/>
      <c r="BS58" s="45"/>
      <c r="BT58" s="45"/>
      <c r="BU58" s="37"/>
      <c r="BV58" s="45"/>
      <c r="BW58" s="45"/>
      <c r="BX58" s="37"/>
      <c r="BY58" s="45"/>
      <c r="BZ58" s="45"/>
      <c r="CA58" s="37"/>
      <c r="CB58" s="45"/>
      <c r="CC58" s="45"/>
      <c r="CD58" s="37"/>
      <c r="CE58" s="45"/>
      <c r="CF58" s="45"/>
      <c r="CG58" s="37"/>
      <c r="CH58" s="45"/>
      <c r="CI58" s="45"/>
      <c r="CJ58" s="37"/>
      <c r="CK58" s="45"/>
      <c r="CL58" s="45"/>
      <c r="CM58" s="37"/>
      <c r="CN58" s="45"/>
      <c r="CO58" s="45"/>
      <c r="CP58" s="37"/>
      <c r="CQ58" s="45"/>
      <c r="CR58" s="45"/>
      <c r="CS58" s="37"/>
      <c r="CT58" s="45"/>
      <c r="CU58" s="45"/>
      <c r="CV58" s="37"/>
      <c r="CW58" s="45"/>
      <c r="CX58" s="45"/>
      <c r="CY58" s="37"/>
      <c r="CZ58" s="45"/>
      <c r="DB58" s="37"/>
      <c r="DE58" s="37"/>
      <c r="DH58" s="37"/>
      <c r="DK58" s="37"/>
      <c r="DN58" s="37"/>
      <c r="DQ58" s="37"/>
      <c r="DT58" s="37"/>
      <c r="DW58" s="37"/>
      <c r="DZ58" s="37"/>
      <c r="EC58" s="37"/>
      <c r="EF58" s="37"/>
      <c r="EI58" s="37"/>
      <c r="EL58" s="37"/>
      <c r="EO58" s="37"/>
      <c r="ER58" s="37"/>
      <c r="EU58" s="37"/>
      <c r="EV58" s="45"/>
      <c r="EW58" s="45"/>
      <c r="EX58" s="37"/>
      <c r="EY58" s="45"/>
      <c r="EZ58" s="45"/>
      <c r="FA58" s="37"/>
      <c r="FB58" s="45"/>
      <c r="FC58" s="45"/>
      <c r="FD58" s="37"/>
      <c r="FE58" s="45"/>
      <c r="FF58" s="45"/>
      <c r="FG58" s="37"/>
      <c r="FH58" s="45"/>
      <c r="FI58" s="45"/>
      <c r="FJ58" s="37"/>
      <c r="FK58" s="45"/>
      <c r="FL58" s="45"/>
      <c r="FM58" s="37"/>
      <c r="FN58" s="45"/>
      <c r="FO58" s="45"/>
      <c r="FP58" s="37"/>
      <c r="FQ58" s="45"/>
      <c r="FR58" s="45"/>
      <c r="FS58" s="37"/>
      <c r="FT58" s="45"/>
      <c r="FU58" s="45"/>
      <c r="FV58" s="37"/>
      <c r="FW58" s="45"/>
      <c r="FX58" s="45"/>
      <c r="FY58" s="37"/>
      <c r="FZ58" s="45"/>
      <c r="GA58" s="45"/>
      <c r="GB58" s="37"/>
      <c r="GC58" s="45"/>
      <c r="GD58" s="45"/>
      <c r="GE58" s="37"/>
      <c r="GF58" s="45"/>
      <c r="GG58" s="45"/>
      <c r="GH58" s="37"/>
      <c r="GI58" s="45"/>
      <c r="GJ58" s="45"/>
      <c r="GK58" s="37"/>
      <c r="GL58" s="45"/>
      <c r="GM58" s="45"/>
      <c r="GN58" s="37"/>
      <c r="GO58" s="45"/>
      <c r="HE58" s="56"/>
    </row>
    <row r="59" ht="12.0" customHeight="1">
      <c r="A59" s="37"/>
      <c r="D59" s="37"/>
      <c r="E59" s="37"/>
      <c r="I59" s="37"/>
      <c r="M59" s="37"/>
      <c r="Q59" s="37"/>
      <c r="U59" s="37"/>
      <c r="Y59" s="37"/>
      <c r="AC59" s="37"/>
      <c r="AG59" s="37"/>
      <c r="AK59" s="37"/>
      <c r="AN59" s="37"/>
      <c r="AQ59" s="37"/>
      <c r="AT59" s="37"/>
      <c r="AW59" s="37"/>
      <c r="AZ59" s="37"/>
      <c r="BC59" s="37"/>
      <c r="BF59" s="37"/>
      <c r="BG59" s="45"/>
      <c r="BH59" s="45"/>
      <c r="BI59" s="37"/>
      <c r="BJ59" s="45"/>
      <c r="BK59" s="45"/>
      <c r="BL59" s="37"/>
      <c r="BM59" s="45"/>
      <c r="BN59" s="45"/>
      <c r="BO59" s="37"/>
      <c r="BP59" s="45"/>
      <c r="BQ59" s="45"/>
      <c r="BR59" s="37"/>
      <c r="BS59" s="45"/>
      <c r="BT59" s="45"/>
      <c r="BU59" s="37"/>
      <c r="BV59" s="45"/>
      <c r="BW59" s="45"/>
      <c r="BX59" s="37"/>
      <c r="BY59" s="45"/>
      <c r="BZ59" s="45"/>
      <c r="CA59" s="37"/>
      <c r="CB59" s="45"/>
      <c r="CC59" s="45"/>
      <c r="CD59" s="37"/>
      <c r="CE59" s="45"/>
      <c r="CF59" s="45"/>
      <c r="CG59" s="37"/>
      <c r="CH59" s="45"/>
      <c r="CI59" s="45"/>
      <c r="CJ59" s="37"/>
      <c r="CK59" s="45"/>
      <c r="CL59" s="45"/>
      <c r="CM59" s="37"/>
      <c r="CN59" s="45"/>
      <c r="CO59" s="45"/>
      <c r="CP59" s="37"/>
      <c r="CQ59" s="45"/>
      <c r="CR59" s="45"/>
      <c r="CS59" s="37"/>
      <c r="CT59" s="45"/>
      <c r="CU59" s="45"/>
      <c r="CV59" s="37"/>
      <c r="CW59" s="45"/>
      <c r="CX59" s="45"/>
      <c r="CY59" s="37"/>
      <c r="CZ59" s="45"/>
      <c r="DB59" s="37"/>
      <c r="DE59" s="37"/>
      <c r="DH59" s="37"/>
      <c r="DK59" s="37"/>
      <c r="DN59" s="37"/>
      <c r="DQ59" s="37"/>
      <c r="DT59" s="37"/>
      <c r="DW59" s="37"/>
      <c r="DZ59" s="37"/>
      <c r="EC59" s="37"/>
      <c r="EF59" s="37"/>
      <c r="EI59" s="37"/>
      <c r="EL59" s="37"/>
      <c r="EO59" s="37"/>
      <c r="ER59" s="37"/>
      <c r="EU59" s="37"/>
      <c r="EV59" s="45"/>
      <c r="EW59" s="45"/>
      <c r="EX59" s="37"/>
      <c r="EY59" s="45"/>
      <c r="EZ59" s="45"/>
      <c r="FA59" s="37"/>
      <c r="FB59" s="45"/>
      <c r="FC59" s="45"/>
      <c r="FD59" s="37"/>
      <c r="FE59" s="45"/>
      <c r="FF59" s="45"/>
      <c r="FG59" s="37"/>
      <c r="FH59" s="45"/>
      <c r="FI59" s="45"/>
      <c r="FJ59" s="37"/>
      <c r="FK59" s="45"/>
      <c r="FL59" s="45"/>
      <c r="FM59" s="37"/>
      <c r="FN59" s="45"/>
      <c r="FO59" s="45"/>
      <c r="FP59" s="37"/>
      <c r="FQ59" s="45"/>
      <c r="FR59" s="45"/>
      <c r="FS59" s="37"/>
      <c r="FT59" s="45"/>
      <c r="FU59" s="45"/>
      <c r="FV59" s="37"/>
      <c r="FW59" s="45"/>
      <c r="FX59" s="45"/>
      <c r="FY59" s="37"/>
      <c r="FZ59" s="45"/>
      <c r="GA59" s="45"/>
      <c r="GB59" s="37"/>
      <c r="GC59" s="45"/>
      <c r="GD59" s="45"/>
      <c r="GE59" s="37"/>
      <c r="GF59" s="45"/>
      <c r="GG59" s="45"/>
      <c r="GH59" s="37"/>
      <c r="GI59" s="45"/>
      <c r="GJ59" s="45"/>
      <c r="GK59" s="37"/>
      <c r="GL59" s="45"/>
      <c r="GM59" s="45"/>
      <c r="GN59" s="37"/>
      <c r="GO59" s="45"/>
      <c r="HE59" s="56"/>
    </row>
    <row r="60" ht="12.0" customHeight="1">
      <c r="A60" s="37"/>
      <c r="D60" s="37"/>
      <c r="E60" s="37"/>
      <c r="I60" s="37"/>
      <c r="M60" s="37"/>
      <c r="Q60" s="37"/>
      <c r="U60" s="37"/>
      <c r="Y60" s="37"/>
      <c r="AC60" s="37"/>
      <c r="AG60" s="37"/>
      <c r="AK60" s="37"/>
      <c r="AN60" s="37"/>
      <c r="AQ60" s="37"/>
      <c r="AT60" s="37"/>
      <c r="AW60" s="37"/>
      <c r="AZ60" s="37"/>
      <c r="BC60" s="37"/>
      <c r="BF60" s="37"/>
      <c r="BG60" s="45"/>
      <c r="BH60" s="45"/>
      <c r="BI60" s="37"/>
      <c r="BJ60" s="45"/>
      <c r="BK60" s="45"/>
      <c r="BL60" s="37"/>
      <c r="BM60" s="45"/>
      <c r="BN60" s="45"/>
      <c r="BO60" s="37"/>
      <c r="BP60" s="45"/>
      <c r="BQ60" s="45"/>
      <c r="BR60" s="37"/>
      <c r="BS60" s="45"/>
      <c r="BT60" s="45"/>
      <c r="BU60" s="37"/>
      <c r="BV60" s="45"/>
      <c r="BW60" s="45"/>
      <c r="BX60" s="37"/>
      <c r="BY60" s="45"/>
      <c r="BZ60" s="45"/>
      <c r="CA60" s="37"/>
      <c r="CB60" s="45"/>
      <c r="CC60" s="45"/>
      <c r="CD60" s="37"/>
      <c r="CE60" s="45"/>
      <c r="CF60" s="45"/>
      <c r="CG60" s="37"/>
      <c r="CH60" s="45"/>
      <c r="CI60" s="45"/>
      <c r="CJ60" s="37"/>
      <c r="CK60" s="45"/>
      <c r="CL60" s="45"/>
      <c r="CM60" s="37"/>
      <c r="CN60" s="45"/>
      <c r="CO60" s="45"/>
      <c r="CP60" s="37"/>
      <c r="CQ60" s="45"/>
      <c r="CR60" s="45"/>
      <c r="CS60" s="37"/>
      <c r="CT60" s="45"/>
      <c r="CU60" s="45"/>
      <c r="CV60" s="37"/>
      <c r="CW60" s="45"/>
      <c r="CX60" s="45"/>
      <c r="CY60" s="37"/>
      <c r="CZ60" s="45"/>
      <c r="DB60" s="37"/>
      <c r="DE60" s="37"/>
      <c r="DH60" s="37"/>
      <c r="DK60" s="37"/>
      <c r="DN60" s="37"/>
      <c r="DQ60" s="37"/>
      <c r="DT60" s="37"/>
      <c r="DW60" s="37"/>
      <c r="DZ60" s="37"/>
      <c r="EC60" s="37"/>
      <c r="EF60" s="37"/>
      <c r="EI60" s="37"/>
      <c r="EL60" s="37"/>
      <c r="EO60" s="37"/>
      <c r="ER60" s="37"/>
      <c r="EU60" s="37"/>
      <c r="EV60" s="45"/>
      <c r="EW60" s="45"/>
      <c r="EX60" s="37"/>
      <c r="EY60" s="45"/>
      <c r="EZ60" s="45"/>
      <c r="FA60" s="37"/>
      <c r="FB60" s="45"/>
      <c r="FC60" s="45"/>
      <c r="FD60" s="37"/>
      <c r="FE60" s="45"/>
      <c r="FF60" s="45"/>
      <c r="FG60" s="37"/>
      <c r="FH60" s="45"/>
      <c r="FI60" s="45"/>
      <c r="FJ60" s="37"/>
      <c r="FK60" s="45"/>
      <c r="FL60" s="45"/>
      <c r="FM60" s="37"/>
      <c r="FN60" s="45"/>
      <c r="FO60" s="45"/>
      <c r="FP60" s="37"/>
      <c r="FQ60" s="45"/>
      <c r="FR60" s="45"/>
      <c r="FS60" s="37"/>
      <c r="FT60" s="45"/>
      <c r="FU60" s="45"/>
      <c r="FV60" s="37"/>
      <c r="FW60" s="45"/>
      <c r="FX60" s="45"/>
      <c r="FY60" s="37"/>
      <c r="FZ60" s="45"/>
      <c r="GA60" s="45"/>
      <c r="GB60" s="37"/>
      <c r="GC60" s="45"/>
      <c r="GD60" s="45"/>
      <c r="GE60" s="37"/>
      <c r="GF60" s="45"/>
      <c r="GG60" s="45"/>
      <c r="GH60" s="37"/>
      <c r="GI60" s="45"/>
      <c r="GJ60" s="45"/>
      <c r="GK60" s="37"/>
      <c r="GL60" s="45"/>
      <c r="GM60" s="45"/>
      <c r="GN60" s="37"/>
      <c r="GO60" s="45"/>
      <c r="HE60" s="56"/>
    </row>
    <row r="61" ht="12.0" customHeight="1">
      <c r="A61" s="37"/>
      <c r="D61" s="37"/>
      <c r="E61" s="37"/>
      <c r="I61" s="37"/>
      <c r="M61" s="37"/>
      <c r="Q61" s="37"/>
      <c r="U61" s="37"/>
      <c r="Y61" s="37"/>
      <c r="AC61" s="37"/>
      <c r="AG61" s="37"/>
      <c r="AK61" s="37"/>
      <c r="AN61" s="37"/>
      <c r="AQ61" s="37"/>
      <c r="AT61" s="37"/>
      <c r="AW61" s="37"/>
      <c r="AZ61" s="37"/>
      <c r="BC61" s="37"/>
      <c r="BF61" s="37"/>
      <c r="BG61" s="45"/>
      <c r="BH61" s="45"/>
      <c r="BI61" s="37"/>
      <c r="BJ61" s="45"/>
      <c r="BK61" s="45"/>
      <c r="BL61" s="37"/>
      <c r="BM61" s="45"/>
      <c r="BN61" s="45"/>
      <c r="BO61" s="37"/>
      <c r="BP61" s="45"/>
      <c r="BQ61" s="45"/>
      <c r="BR61" s="37"/>
      <c r="BS61" s="45"/>
      <c r="BT61" s="45"/>
      <c r="BU61" s="37"/>
      <c r="BV61" s="45"/>
      <c r="BW61" s="45"/>
      <c r="BX61" s="37"/>
      <c r="BY61" s="45"/>
      <c r="BZ61" s="45"/>
      <c r="CA61" s="37"/>
      <c r="CB61" s="45"/>
      <c r="CC61" s="45"/>
      <c r="CD61" s="37"/>
      <c r="CE61" s="45"/>
      <c r="CF61" s="45"/>
      <c r="CG61" s="37"/>
      <c r="CH61" s="45"/>
      <c r="CI61" s="45"/>
      <c r="CJ61" s="37"/>
      <c r="CK61" s="45"/>
      <c r="CL61" s="45"/>
      <c r="CM61" s="37"/>
      <c r="CN61" s="45"/>
      <c r="CO61" s="45"/>
      <c r="CP61" s="37"/>
      <c r="CQ61" s="45"/>
      <c r="CR61" s="45"/>
      <c r="CS61" s="37"/>
      <c r="CT61" s="45"/>
      <c r="CU61" s="45"/>
      <c r="CV61" s="37"/>
      <c r="CW61" s="45"/>
      <c r="CX61" s="45"/>
      <c r="CY61" s="37"/>
      <c r="CZ61" s="45"/>
      <c r="DB61" s="37"/>
      <c r="DE61" s="37"/>
      <c r="DH61" s="37"/>
      <c r="DK61" s="37"/>
      <c r="DN61" s="37"/>
      <c r="DQ61" s="37"/>
      <c r="DT61" s="37"/>
      <c r="DW61" s="37"/>
      <c r="DZ61" s="37"/>
      <c r="EC61" s="37"/>
      <c r="EF61" s="37"/>
      <c r="EI61" s="37"/>
      <c r="EL61" s="37"/>
      <c r="EO61" s="37"/>
      <c r="ER61" s="37"/>
      <c r="EU61" s="37"/>
      <c r="EV61" s="45"/>
      <c r="EW61" s="45"/>
      <c r="EX61" s="37"/>
      <c r="EY61" s="45"/>
      <c r="EZ61" s="45"/>
      <c r="FA61" s="37"/>
      <c r="FB61" s="45"/>
      <c r="FC61" s="45"/>
      <c r="FD61" s="37"/>
      <c r="FE61" s="45"/>
      <c r="FF61" s="45"/>
      <c r="FG61" s="37"/>
      <c r="FH61" s="45"/>
      <c r="FI61" s="45"/>
      <c r="FJ61" s="37"/>
      <c r="FK61" s="45"/>
      <c r="FL61" s="45"/>
      <c r="FM61" s="37"/>
      <c r="FN61" s="45"/>
      <c r="FO61" s="45"/>
      <c r="FP61" s="37"/>
      <c r="FQ61" s="45"/>
      <c r="FR61" s="45"/>
      <c r="FS61" s="37"/>
      <c r="FT61" s="45"/>
      <c r="FU61" s="45"/>
      <c r="FV61" s="37"/>
      <c r="FW61" s="45"/>
      <c r="FX61" s="45"/>
      <c r="FY61" s="37"/>
      <c r="FZ61" s="45"/>
      <c r="GA61" s="45"/>
      <c r="GB61" s="37"/>
      <c r="GC61" s="45"/>
      <c r="GD61" s="45"/>
      <c r="GE61" s="37"/>
      <c r="GF61" s="45"/>
      <c r="GG61" s="45"/>
      <c r="GH61" s="37"/>
      <c r="GI61" s="45"/>
      <c r="GJ61" s="45"/>
      <c r="GK61" s="37"/>
      <c r="GL61" s="45"/>
      <c r="GM61" s="45"/>
      <c r="GN61" s="37"/>
      <c r="GO61" s="45"/>
      <c r="HE61" s="56"/>
    </row>
    <row r="62" ht="12.0" customHeight="1">
      <c r="A62" s="37"/>
      <c r="D62" s="37"/>
      <c r="E62" s="37"/>
      <c r="I62" s="37"/>
      <c r="M62" s="37"/>
      <c r="Q62" s="37"/>
      <c r="U62" s="37"/>
      <c r="Y62" s="37"/>
      <c r="AC62" s="37"/>
      <c r="AG62" s="37"/>
      <c r="AK62" s="37"/>
      <c r="AN62" s="37"/>
      <c r="AQ62" s="37"/>
      <c r="AT62" s="37"/>
      <c r="AW62" s="37"/>
      <c r="AZ62" s="37"/>
      <c r="BC62" s="37"/>
      <c r="BF62" s="37"/>
      <c r="BG62" s="45"/>
      <c r="BH62" s="45"/>
      <c r="BI62" s="37"/>
      <c r="BJ62" s="45"/>
      <c r="BK62" s="45"/>
      <c r="BL62" s="37"/>
      <c r="BM62" s="45"/>
      <c r="BN62" s="45"/>
      <c r="BO62" s="37"/>
      <c r="BP62" s="45"/>
      <c r="BQ62" s="45"/>
      <c r="BR62" s="37"/>
      <c r="BS62" s="45"/>
      <c r="BT62" s="45"/>
      <c r="BU62" s="37"/>
      <c r="BV62" s="45"/>
      <c r="BW62" s="45"/>
      <c r="BX62" s="37"/>
      <c r="BY62" s="45"/>
      <c r="BZ62" s="45"/>
      <c r="CA62" s="37"/>
      <c r="CB62" s="45"/>
      <c r="CC62" s="45"/>
      <c r="CD62" s="37"/>
      <c r="CE62" s="45"/>
      <c r="CF62" s="45"/>
      <c r="CG62" s="37"/>
      <c r="CH62" s="45"/>
      <c r="CI62" s="45"/>
      <c r="CJ62" s="37"/>
      <c r="CK62" s="45"/>
      <c r="CL62" s="45"/>
      <c r="CM62" s="37"/>
      <c r="CN62" s="45"/>
      <c r="CO62" s="45"/>
      <c r="CP62" s="37"/>
      <c r="CQ62" s="45"/>
      <c r="CR62" s="45"/>
      <c r="CS62" s="37"/>
      <c r="CT62" s="45"/>
      <c r="CU62" s="45"/>
      <c r="CV62" s="37"/>
      <c r="CW62" s="45"/>
      <c r="CX62" s="45"/>
      <c r="CY62" s="37"/>
      <c r="CZ62" s="45"/>
      <c r="DB62" s="37"/>
      <c r="DE62" s="37"/>
      <c r="DH62" s="37"/>
      <c r="DK62" s="37"/>
      <c r="DN62" s="37"/>
      <c r="DQ62" s="37"/>
      <c r="DT62" s="37"/>
      <c r="DW62" s="37"/>
      <c r="DZ62" s="37"/>
      <c r="EC62" s="37"/>
      <c r="EF62" s="37"/>
      <c r="EI62" s="37"/>
      <c r="EL62" s="37"/>
      <c r="EO62" s="37"/>
      <c r="ER62" s="37"/>
      <c r="EU62" s="37"/>
      <c r="EV62" s="45"/>
      <c r="EW62" s="45"/>
      <c r="EX62" s="37"/>
      <c r="EY62" s="45"/>
      <c r="EZ62" s="45"/>
      <c r="FA62" s="37"/>
      <c r="FB62" s="45"/>
      <c r="FC62" s="45"/>
      <c r="FD62" s="37"/>
      <c r="FE62" s="45"/>
      <c r="FF62" s="45"/>
      <c r="FG62" s="37"/>
      <c r="FH62" s="45"/>
      <c r="FI62" s="45"/>
      <c r="FJ62" s="37"/>
      <c r="FK62" s="45"/>
      <c r="FL62" s="45"/>
      <c r="FM62" s="37"/>
      <c r="FN62" s="45"/>
      <c r="FO62" s="45"/>
      <c r="FP62" s="37"/>
      <c r="FQ62" s="45"/>
      <c r="FR62" s="45"/>
      <c r="FS62" s="37"/>
      <c r="FT62" s="45"/>
      <c r="FU62" s="45"/>
      <c r="FV62" s="37"/>
      <c r="FW62" s="45"/>
      <c r="FX62" s="45"/>
      <c r="FY62" s="37"/>
      <c r="FZ62" s="45"/>
      <c r="GA62" s="45"/>
      <c r="GB62" s="37"/>
      <c r="GC62" s="45"/>
      <c r="GD62" s="45"/>
      <c r="GE62" s="37"/>
      <c r="GF62" s="45"/>
      <c r="GG62" s="45"/>
      <c r="GH62" s="37"/>
      <c r="GI62" s="45"/>
      <c r="GJ62" s="45"/>
      <c r="GK62" s="37"/>
      <c r="GL62" s="45"/>
      <c r="GM62" s="45"/>
      <c r="GN62" s="37"/>
      <c r="GO62" s="45"/>
      <c r="HE62" s="56"/>
    </row>
    <row r="63" ht="12.0" customHeight="1">
      <c r="A63" s="37"/>
      <c r="D63" s="37"/>
      <c r="E63" s="37"/>
      <c r="I63" s="37"/>
      <c r="M63" s="37"/>
      <c r="Q63" s="37"/>
      <c r="U63" s="37"/>
      <c r="Y63" s="37"/>
      <c r="AC63" s="37"/>
      <c r="AG63" s="37"/>
      <c r="AK63" s="37"/>
      <c r="AN63" s="37"/>
      <c r="AQ63" s="37"/>
      <c r="AT63" s="37"/>
      <c r="AW63" s="37"/>
      <c r="AZ63" s="37"/>
      <c r="BC63" s="37"/>
      <c r="BF63" s="37"/>
      <c r="BG63" s="45"/>
      <c r="BH63" s="45"/>
      <c r="BI63" s="37"/>
      <c r="BJ63" s="45"/>
      <c r="BK63" s="45"/>
      <c r="BL63" s="37"/>
      <c r="BM63" s="45"/>
      <c r="BN63" s="45"/>
      <c r="BO63" s="37"/>
      <c r="BP63" s="45"/>
      <c r="BQ63" s="45"/>
      <c r="BR63" s="37"/>
      <c r="BS63" s="45"/>
      <c r="BT63" s="45"/>
      <c r="BU63" s="37"/>
      <c r="BV63" s="45"/>
      <c r="BW63" s="45"/>
      <c r="BX63" s="37"/>
      <c r="BY63" s="45"/>
      <c r="BZ63" s="45"/>
      <c r="CA63" s="37"/>
      <c r="CB63" s="45"/>
      <c r="CC63" s="45"/>
      <c r="CD63" s="37"/>
      <c r="CE63" s="45"/>
      <c r="CF63" s="45"/>
      <c r="CG63" s="37"/>
      <c r="CH63" s="45"/>
      <c r="CI63" s="45"/>
      <c r="CJ63" s="37"/>
      <c r="CK63" s="45"/>
      <c r="CL63" s="45"/>
      <c r="CM63" s="37"/>
      <c r="CN63" s="45"/>
      <c r="CO63" s="45"/>
      <c r="CP63" s="37"/>
      <c r="CQ63" s="45"/>
      <c r="CR63" s="45"/>
      <c r="CS63" s="37"/>
      <c r="CT63" s="45"/>
      <c r="CU63" s="45"/>
      <c r="CV63" s="37"/>
      <c r="CW63" s="45"/>
      <c r="CX63" s="45"/>
      <c r="CY63" s="37"/>
      <c r="CZ63" s="45"/>
      <c r="DB63" s="37"/>
      <c r="DE63" s="37"/>
      <c r="DH63" s="37"/>
      <c r="DK63" s="37"/>
      <c r="DN63" s="37"/>
      <c r="DQ63" s="37"/>
      <c r="DT63" s="37"/>
      <c r="DW63" s="37"/>
      <c r="DZ63" s="37"/>
      <c r="EC63" s="37"/>
      <c r="EF63" s="37"/>
      <c r="EI63" s="37"/>
      <c r="EL63" s="37"/>
      <c r="EO63" s="37"/>
      <c r="ER63" s="37"/>
      <c r="EU63" s="37"/>
      <c r="EV63" s="45"/>
      <c r="EW63" s="45"/>
      <c r="EX63" s="37"/>
      <c r="EY63" s="45"/>
      <c r="EZ63" s="45"/>
      <c r="FA63" s="37"/>
      <c r="FB63" s="45"/>
      <c r="FC63" s="45"/>
      <c r="FD63" s="37"/>
      <c r="FE63" s="45"/>
      <c r="FF63" s="45"/>
      <c r="FG63" s="37"/>
      <c r="FH63" s="45"/>
      <c r="FI63" s="45"/>
      <c r="FJ63" s="37"/>
      <c r="FK63" s="45"/>
      <c r="FL63" s="45"/>
      <c r="FM63" s="37"/>
      <c r="FN63" s="45"/>
      <c r="FO63" s="45"/>
      <c r="FP63" s="37"/>
      <c r="FQ63" s="45"/>
      <c r="FR63" s="45"/>
      <c r="FS63" s="37"/>
      <c r="FT63" s="45"/>
      <c r="FU63" s="45"/>
      <c r="FV63" s="37"/>
      <c r="FW63" s="45"/>
      <c r="FX63" s="45"/>
      <c r="FY63" s="37"/>
      <c r="FZ63" s="45"/>
      <c r="GA63" s="45"/>
      <c r="GB63" s="37"/>
      <c r="GC63" s="45"/>
      <c r="GD63" s="45"/>
      <c r="GE63" s="37"/>
      <c r="GF63" s="45"/>
      <c r="GG63" s="45"/>
      <c r="GH63" s="37"/>
      <c r="GI63" s="45"/>
      <c r="GJ63" s="45"/>
      <c r="GK63" s="37"/>
      <c r="GL63" s="45"/>
      <c r="GM63" s="45"/>
      <c r="GN63" s="37"/>
      <c r="GO63" s="45"/>
      <c r="HE63" s="56"/>
    </row>
    <row r="64" ht="12.0" customHeight="1">
      <c r="A64" s="37"/>
      <c r="D64" s="37"/>
      <c r="E64" s="37"/>
      <c r="I64" s="37"/>
      <c r="M64" s="37"/>
      <c r="Q64" s="37"/>
      <c r="U64" s="37"/>
      <c r="Y64" s="37"/>
      <c r="AC64" s="37"/>
      <c r="AG64" s="37"/>
      <c r="AK64" s="37"/>
      <c r="AN64" s="37"/>
      <c r="AQ64" s="37"/>
      <c r="AT64" s="37"/>
      <c r="AW64" s="37"/>
      <c r="AZ64" s="37"/>
      <c r="BC64" s="37"/>
      <c r="BF64" s="37"/>
      <c r="BG64" s="45"/>
      <c r="BH64" s="45"/>
      <c r="BI64" s="37"/>
      <c r="BJ64" s="45"/>
      <c r="BK64" s="45"/>
      <c r="BL64" s="37"/>
      <c r="BM64" s="45"/>
      <c r="BN64" s="45"/>
      <c r="BO64" s="37"/>
      <c r="BP64" s="45"/>
      <c r="BQ64" s="45"/>
      <c r="BR64" s="37"/>
      <c r="BS64" s="45"/>
      <c r="BT64" s="45"/>
      <c r="BU64" s="37"/>
      <c r="BV64" s="45"/>
      <c r="BW64" s="45"/>
      <c r="BX64" s="37"/>
      <c r="BY64" s="45"/>
      <c r="BZ64" s="45"/>
      <c r="CA64" s="37"/>
      <c r="CB64" s="45"/>
      <c r="CC64" s="45"/>
      <c r="CD64" s="37"/>
      <c r="CE64" s="45"/>
      <c r="CF64" s="45"/>
      <c r="CG64" s="37"/>
      <c r="CH64" s="45"/>
      <c r="CI64" s="45"/>
      <c r="CJ64" s="37"/>
      <c r="CK64" s="45"/>
      <c r="CL64" s="45"/>
      <c r="CM64" s="37"/>
      <c r="CN64" s="45"/>
      <c r="CO64" s="45"/>
      <c r="CP64" s="37"/>
      <c r="CQ64" s="45"/>
      <c r="CR64" s="45"/>
      <c r="CS64" s="37"/>
      <c r="CT64" s="45"/>
      <c r="CU64" s="45"/>
      <c r="CV64" s="37"/>
      <c r="CW64" s="45"/>
      <c r="CX64" s="45"/>
      <c r="CY64" s="37"/>
      <c r="CZ64" s="45"/>
      <c r="DB64" s="37"/>
      <c r="DE64" s="37"/>
      <c r="DH64" s="37"/>
      <c r="DK64" s="37"/>
      <c r="DN64" s="37"/>
      <c r="DQ64" s="37"/>
      <c r="DT64" s="37"/>
      <c r="DW64" s="37"/>
      <c r="DZ64" s="37"/>
      <c r="EC64" s="37"/>
      <c r="EF64" s="37"/>
      <c r="EI64" s="37"/>
      <c r="EL64" s="37"/>
      <c r="EO64" s="37"/>
      <c r="ER64" s="37"/>
      <c r="EU64" s="37"/>
      <c r="EV64" s="45"/>
      <c r="EW64" s="45"/>
      <c r="EX64" s="37"/>
      <c r="EY64" s="45"/>
      <c r="EZ64" s="45"/>
      <c r="FA64" s="37"/>
      <c r="FB64" s="45"/>
      <c r="FC64" s="45"/>
      <c r="FD64" s="37"/>
      <c r="FE64" s="45"/>
      <c r="FF64" s="45"/>
      <c r="FG64" s="37"/>
      <c r="FH64" s="45"/>
      <c r="FI64" s="45"/>
      <c r="FJ64" s="37"/>
      <c r="FK64" s="45"/>
      <c r="FL64" s="45"/>
      <c r="FM64" s="37"/>
      <c r="FN64" s="45"/>
      <c r="FO64" s="45"/>
      <c r="FP64" s="37"/>
      <c r="FQ64" s="45"/>
      <c r="FR64" s="45"/>
      <c r="FS64" s="37"/>
      <c r="FT64" s="45"/>
      <c r="FU64" s="45"/>
      <c r="FV64" s="37"/>
      <c r="FW64" s="45"/>
      <c r="FX64" s="45"/>
      <c r="FY64" s="37"/>
      <c r="FZ64" s="45"/>
      <c r="GA64" s="45"/>
      <c r="GB64" s="37"/>
      <c r="GC64" s="45"/>
      <c r="GD64" s="45"/>
      <c r="GE64" s="37"/>
      <c r="GF64" s="45"/>
      <c r="GG64" s="45"/>
      <c r="GH64" s="37"/>
      <c r="GI64" s="45"/>
      <c r="GJ64" s="45"/>
      <c r="GK64" s="37"/>
      <c r="GL64" s="45"/>
      <c r="GM64" s="45"/>
      <c r="GN64" s="37"/>
      <c r="GO64" s="45"/>
      <c r="HE64" s="56"/>
    </row>
    <row r="65" ht="12.0" customHeight="1">
      <c r="A65" s="37"/>
      <c r="D65" s="37"/>
      <c r="E65" s="37"/>
      <c r="I65" s="37"/>
      <c r="M65" s="37"/>
      <c r="Q65" s="37"/>
      <c r="U65" s="37"/>
      <c r="Y65" s="37"/>
      <c r="AC65" s="37"/>
      <c r="AG65" s="37"/>
      <c r="AK65" s="37"/>
      <c r="AN65" s="37"/>
      <c r="AQ65" s="37"/>
      <c r="AT65" s="37"/>
      <c r="AW65" s="37"/>
      <c r="AZ65" s="37"/>
      <c r="BC65" s="37"/>
      <c r="BF65" s="37"/>
      <c r="BG65" s="45"/>
      <c r="BH65" s="45"/>
      <c r="BI65" s="37"/>
      <c r="BJ65" s="45"/>
      <c r="BK65" s="45"/>
      <c r="BL65" s="37"/>
      <c r="BM65" s="45"/>
      <c r="BN65" s="45"/>
      <c r="BO65" s="37"/>
      <c r="BP65" s="45"/>
      <c r="BQ65" s="45"/>
      <c r="BR65" s="37"/>
      <c r="BS65" s="45"/>
      <c r="BT65" s="45"/>
      <c r="BU65" s="37"/>
      <c r="BV65" s="45"/>
      <c r="BW65" s="45"/>
      <c r="BX65" s="37"/>
      <c r="BY65" s="45"/>
      <c r="BZ65" s="45"/>
      <c r="CA65" s="37"/>
      <c r="CB65" s="45"/>
      <c r="CC65" s="45"/>
      <c r="CD65" s="37"/>
      <c r="CE65" s="45"/>
      <c r="CF65" s="45"/>
      <c r="CG65" s="37"/>
      <c r="CH65" s="45"/>
      <c r="CI65" s="45"/>
      <c r="CJ65" s="37"/>
      <c r="CK65" s="45"/>
      <c r="CL65" s="45"/>
      <c r="CM65" s="37"/>
      <c r="CN65" s="45"/>
      <c r="CO65" s="45"/>
      <c r="CP65" s="37"/>
      <c r="CQ65" s="45"/>
      <c r="CR65" s="45"/>
      <c r="CS65" s="37"/>
      <c r="CT65" s="45"/>
      <c r="CU65" s="45"/>
      <c r="CV65" s="37"/>
      <c r="CW65" s="45"/>
      <c r="CX65" s="45"/>
      <c r="CY65" s="37"/>
      <c r="CZ65" s="45"/>
      <c r="DB65" s="37"/>
      <c r="DE65" s="37"/>
      <c r="DH65" s="37"/>
      <c r="DK65" s="37"/>
      <c r="DN65" s="37"/>
      <c r="DQ65" s="37"/>
      <c r="DT65" s="37"/>
      <c r="DW65" s="37"/>
      <c r="DZ65" s="37"/>
      <c r="EC65" s="37"/>
      <c r="EF65" s="37"/>
      <c r="EI65" s="37"/>
      <c r="EL65" s="37"/>
      <c r="EO65" s="37"/>
      <c r="ER65" s="37"/>
      <c r="EU65" s="37"/>
      <c r="EV65" s="45"/>
      <c r="EW65" s="45"/>
      <c r="EX65" s="37"/>
      <c r="EY65" s="45"/>
      <c r="EZ65" s="45"/>
      <c r="FA65" s="37"/>
      <c r="FB65" s="45"/>
      <c r="FC65" s="45"/>
      <c r="FD65" s="37"/>
      <c r="FE65" s="45"/>
      <c r="FF65" s="45"/>
      <c r="FG65" s="37"/>
      <c r="FH65" s="45"/>
      <c r="FI65" s="45"/>
      <c r="FJ65" s="37"/>
      <c r="FK65" s="45"/>
      <c r="FL65" s="45"/>
      <c r="FM65" s="37"/>
      <c r="FN65" s="45"/>
      <c r="FO65" s="45"/>
      <c r="FP65" s="37"/>
      <c r="FQ65" s="45"/>
      <c r="FR65" s="45"/>
      <c r="FS65" s="37"/>
      <c r="FT65" s="45"/>
      <c r="FU65" s="45"/>
      <c r="FV65" s="37"/>
      <c r="FW65" s="45"/>
      <c r="FX65" s="45"/>
      <c r="FY65" s="37"/>
      <c r="FZ65" s="45"/>
      <c r="GA65" s="45"/>
      <c r="GB65" s="37"/>
      <c r="GC65" s="45"/>
      <c r="GD65" s="45"/>
      <c r="GE65" s="37"/>
      <c r="GF65" s="45"/>
      <c r="GG65" s="45"/>
      <c r="GH65" s="37"/>
      <c r="GI65" s="45"/>
      <c r="GJ65" s="45"/>
      <c r="GK65" s="37"/>
      <c r="GL65" s="45"/>
      <c r="GM65" s="45"/>
      <c r="GN65" s="37"/>
      <c r="GO65" s="45"/>
      <c r="HE65" s="56"/>
    </row>
    <row r="66" ht="12.0" customHeight="1">
      <c r="A66" s="37"/>
      <c r="D66" s="37"/>
      <c r="E66" s="37"/>
      <c r="I66" s="37"/>
      <c r="M66" s="37"/>
      <c r="Q66" s="37"/>
      <c r="U66" s="37"/>
      <c r="Y66" s="37"/>
      <c r="AC66" s="37"/>
      <c r="AG66" s="37"/>
      <c r="AK66" s="37"/>
      <c r="AN66" s="37"/>
      <c r="AQ66" s="37"/>
      <c r="AT66" s="37"/>
      <c r="AW66" s="37"/>
      <c r="AZ66" s="37"/>
      <c r="BC66" s="37"/>
      <c r="BF66" s="37"/>
      <c r="BG66" s="45"/>
      <c r="BH66" s="45"/>
      <c r="BI66" s="37"/>
      <c r="BJ66" s="45"/>
      <c r="BK66" s="45"/>
      <c r="BL66" s="37"/>
      <c r="BM66" s="45"/>
      <c r="BN66" s="45"/>
      <c r="BO66" s="37"/>
      <c r="BP66" s="45"/>
      <c r="BQ66" s="45"/>
      <c r="BR66" s="37"/>
      <c r="BS66" s="45"/>
      <c r="BT66" s="45"/>
      <c r="BU66" s="37"/>
      <c r="BV66" s="45"/>
      <c r="BW66" s="45"/>
      <c r="BX66" s="37"/>
      <c r="BY66" s="45"/>
      <c r="BZ66" s="45"/>
      <c r="CA66" s="37"/>
      <c r="CB66" s="45"/>
      <c r="CC66" s="45"/>
      <c r="CD66" s="37"/>
      <c r="CE66" s="45"/>
      <c r="CF66" s="45"/>
      <c r="CG66" s="37"/>
      <c r="CH66" s="45"/>
      <c r="CI66" s="45"/>
      <c r="CJ66" s="37"/>
      <c r="CK66" s="45"/>
      <c r="CL66" s="45"/>
      <c r="CM66" s="37"/>
      <c r="CN66" s="45"/>
      <c r="CO66" s="45"/>
      <c r="CP66" s="37"/>
      <c r="CQ66" s="45"/>
      <c r="CR66" s="45"/>
      <c r="CS66" s="37"/>
      <c r="CT66" s="45"/>
      <c r="CU66" s="45"/>
      <c r="CV66" s="37"/>
      <c r="CW66" s="45"/>
      <c r="CX66" s="45"/>
      <c r="CY66" s="37"/>
      <c r="CZ66" s="45"/>
      <c r="DB66" s="37"/>
      <c r="DE66" s="37"/>
      <c r="DH66" s="37"/>
      <c r="DK66" s="37"/>
      <c r="DN66" s="37"/>
      <c r="DQ66" s="37"/>
      <c r="DT66" s="37"/>
      <c r="DW66" s="37"/>
      <c r="DZ66" s="37"/>
      <c r="EC66" s="37"/>
      <c r="EF66" s="37"/>
      <c r="EI66" s="37"/>
      <c r="EL66" s="37"/>
      <c r="EO66" s="37"/>
      <c r="ER66" s="37"/>
      <c r="EU66" s="37"/>
      <c r="EV66" s="45"/>
      <c r="EW66" s="45"/>
      <c r="EX66" s="37"/>
      <c r="EY66" s="45"/>
      <c r="EZ66" s="45"/>
      <c r="FA66" s="37"/>
      <c r="FB66" s="45"/>
      <c r="FC66" s="45"/>
      <c r="FD66" s="37"/>
      <c r="FE66" s="45"/>
      <c r="FF66" s="45"/>
      <c r="FG66" s="37"/>
      <c r="FH66" s="45"/>
      <c r="FI66" s="45"/>
      <c r="FJ66" s="37"/>
      <c r="FK66" s="45"/>
      <c r="FL66" s="45"/>
      <c r="FM66" s="37"/>
      <c r="FN66" s="45"/>
      <c r="FO66" s="45"/>
      <c r="FP66" s="37"/>
      <c r="FQ66" s="45"/>
      <c r="FR66" s="45"/>
      <c r="FS66" s="37"/>
      <c r="FT66" s="45"/>
      <c r="FU66" s="45"/>
      <c r="FV66" s="37"/>
      <c r="FW66" s="45"/>
      <c r="FX66" s="45"/>
      <c r="FY66" s="37"/>
      <c r="FZ66" s="45"/>
      <c r="GA66" s="45"/>
      <c r="GB66" s="37"/>
      <c r="GC66" s="45"/>
      <c r="GD66" s="45"/>
      <c r="GE66" s="37"/>
      <c r="GF66" s="45"/>
      <c r="GG66" s="45"/>
      <c r="GH66" s="37"/>
      <c r="GI66" s="45"/>
      <c r="GJ66" s="45"/>
      <c r="GK66" s="37"/>
      <c r="GL66" s="45"/>
      <c r="GM66" s="45"/>
      <c r="GN66" s="37"/>
      <c r="GO66" s="45"/>
      <c r="HE66" s="56"/>
    </row>
    <row r="67" ht="12.0" customHeight="1">
      <c r="A67" s="37"/>
      <c r="D67" s="37"/>
      <c r="E67" s="37"/>
      <c r="I67" s="37"/>
      <c r="M67" s="37"/>
      <c r="Q67" s="37"/>
      <c r="U67" s="37"/>
      <c r="Y67" s="37"/>
      <c r="AC67" s="37"/>
      <c r="AG67" s="37"/>
      <c r="AK67" s="37"/>
      <c r="AN67" s="37"/>
      <c r="AQ67" s="37"/>
      <c r="AT67" s="37"/>
      <c r="AW67" s="37"/>
      <c r="AZ67" s="37"/>
      <c r="BC67" s="37"/>
      <c r="BF67" s="37"/>
      <c r="BG67" s="45"/>
      <c r="BH67" s="45"/>
      <c r="BI67" s="37"/>
      <c r="BJ67" s="45"/>
      <c r="BK67" s="45"/>
      <c r="BL67" s="37"/>
      <c r="BM67" s="45"/>
      <c r="BN67" s="45"/>
      <c r="BO67" s="37"/>
      <c r="BP67" s="45"/>
      <c r="BQ67" s="45"/>
      <c r="BR67" s="37"/>
      <c r="BS67" s="45"/>
      <c r="BT67" s="45"/>
      <c r="BU67" s="37"/>
      <c r="BV67" s="45"/>
      <c r="BW67" s="45"/>
      <c r="BX67" s="37"/>
      <c r="BY67" s="45"/>
      <c r="BZ67" s="45"/>
      <c r="CA67" s="37"/>
      <c r="CB67" s="45"/>
      <c r="CC67" s="45"/>
      <c r="CD67" s="37"/>
      <c r="CE67" s="45"/>
      <c r="CF67" s="45"/>
      <c r="CG67" s="37"/>
      <c r="CH67" s="45"/>
      <c r="CI67" s="45"/>
      <c r="CJ67" s="37"/>
      <c r="CK67" s="45"/>
      <c r="CL67" s="45"/>
      <c r="CM67" s="37"/>
      <c r="CN67" s="45"/>
      <c r="CO67" s="45"/>
      <c r="CP67" s="37"/>
      <c r="CQ67" s="45"/>
      <c r="CR67" s="45"/>
      <c r="CS67" s="37"/>
      <c r="CT67" s="45"/>
      <c r="CU67" s="45"/>
      <c r="CV67" s="37"/>
      <c r="CW67" s="45"/>
      <c r="CX67" s="45"/>
      <c r="CY67" s="37"/>
      <c r="CZ67" s="45"/>
      <c r="DB67" s="37"/>
      <c r="DE67" s="37"/>
      <c r="DH67" s="37"/>
      <c r="DK67" s="37"/>
      <c r="DN67" s="37"/>
      <c r="DQ67" s="37"/>
      <c r="DT67" s="37"/>
      <c r="DW67" s="37"/>
      <c r="DZ67" s="37"/>
      <c r="EC67" s="37"/>
      <c r="EF67" s="37"/>
      <c r="EI67" s="37"/>
      <c r="EL67" s="37"/>
      <c r="EO67" s="37"/>
      <c r="ER67" s="37"/>
      <c r="EU67" s="37"/>
      <c r="EV67" s="45"/>
      <c r="EW67" s="45"/>
      <c r="EX67" s="37"/>
      <c r="EY67" s="45"/>
      <c r="EZ67" s="45"/>
      <c r="FA67" s="37"/>
      <c r="FB67" s="45"/>
      <c r="FC67" s="45"/>
      <c r="FD67" s="37"/>
      <c r="FE67" s="45"/>
      <c r="FF67" s="45"/>
      <c r="FG67" s="37"/>
      <c r="FH67" s="45"/>
      <c r="FI67" s="45"/>
      <c r="FJ67" s="37"/>
      <c r="FK67" s="45"/>
      <c r="FL67" s="45"/>
      <c r="FM67" s="37"/>
      <c r="FN67" s="45"/>
      <c r="FO67" s="45"/>
      <c r="FP67" s="37"/>
      <c r="FQ67" s="45"/>
      <c r="FR67" s="45"/>
      <c r="FS67" s="37"/>
      <c r="FT67" s="45"/>
      <c r="FU67" s="45"/>
      <c r="FV67" s="37"/>
      <c r="FW67" s="45"/>
      <c r="FX67" s="45"/>
      <c r="FY67" s="37"/>
      <c r="FZ67" s="45"/>
      <c r="GA67" s="45"/>
      <c r="GB67" s="37"/>
      <c r="GC67" s="45"/>
      <c r="GD67" s="45"/>
      <c r="GE67" s="37"/>
      <c r="GF67" s="45"/>
      <c r="GG67" s="45"/>
      <c r="GH67" s="37"/>
      <c r="GI67" s="45"/>
      <c r="GJ67" s="45"/>
      <c r="GK67" s="37"/>
      <c r="GL67" s="45"/>
      <c r="GM67" s="45"/>
      <c r="GN67" s="37"/>
      <c r="GO67" s="45"/>
      <c r="HE67" s="56"/>
    </row>
    <row r="68" ht="12.0" customHeight="1">
      <c r="A68" s="37"/>
      <c r="D68" s="37"/>
      <c r="E68" s="37"/>
      <c r="I68" s="37"/>
      <c r="M68" s="37"/>
      <c r="Q68" s="37"/>
      <c r="U68" s="37"/>
      <c r="Y68" s="37"/>
      <c r="AC68" s="37"/>
      <c r="AG68" s="37"/>
      <c r="AK68" s="37"/>
      <c r="AN68" s="37"/>
      <c r="AQ68" s="37"/>
      <c r="AT68" s="37"/>
      <c r="AW68" s="37"/>
      <c r="AZ68" s="37"/>
      <c r="BC68" s="37"/>
      <c r="BF68" s="37"/>
      <c r="BG68" s="45"/>
      <c r="BH68" s="45"/>
      <c r="BI68" s="37"/>
      <c r="BJ68" s="45"/>
      <c r="BK68" s="45"/>
      <c r="BL68" s="37"/>
      <c r="BM68" s="45"/>
      <c r="BN68" s="45"/>
      <c r="BO68" s="37"/>
      <c r="BP68" s="45"/>
      <c r="BQ68" s="45"/>
      <c r="BR68" s="37"/>
      <c r="BS68" s="45"/>
      <c r="BT68" s="45"/>
      <c r="BU68" s="37"/>
      <c r="BV68" s="45"/>
      <c r="BW68" s="45"/>
      <c r="BX68" s="37"/>
      <c r="BY68" s="45"/>
      <c r="BZ68" s="45"/>
      <c r="CA68" s="37"/>
      <c r="CB68" s="45"/>
      <c r="CC68" s="45"/>
      <c r="CD68" s="37"/>
      <c r="CE68" s="45"/>
      <c r="CF68" s="45"/>
      <c r="CG68" s="37"/>
      <c r="CH68" s="45"/>
      <c r="CI68" s="45"/>
      <c r="CJ68" s="37"/>
      <c r="CK68" s="45"/>
      <c r="CL68" s="45"/>
      <c r="CM68" s="37"/>
      <c r="CN68" s="45"/>
      <c r="CO68" s="45"/>
      <c r="CP68" s="37"/>
      <c r="CQ68" s="45"/>
      <c r="CR68" s="45"/>
      <c r="CS68" s="37"/>
      <c r="CT68" s="45"/>
      <c r="CU68" s="45"/>
      <c r="CV68" s="37"/>
      <c r="CW68" s="45"/>
      <c r="CX68" s="45"/>
      <c r="CY68" s="37"/>
      <c r="CZ68" s="45"/>
      <c r="DB68" s="37"/>
      <c r="DE68" s="37"/>
      <c r="DH68" s="37"/>
      <c r="DK68" s="37"/>
      <c r="DN68" s="37"/>
      <c r="DQ68" s="37"/>
      <c r="DT68" s="37"/>
      <c r="DW68" s="37"/>
      <c r="DZ68" s="37"/>
      <c r="EC68" s="37"/>
      <c r="EF68" s="37"/>
      <c r="EI68" s="37"/>
      <c r="EL68" s="37"/>
      <c r="EO68" s="37"/>
      <c r="ER68" s="37"/>
      <c r="EU68" s="37"/>
      <c r="EV68" s="45"/>
      <c r="EW68" s="45"/>
      <c r="EX68" s="37"/>
      <c r="EY68" s="45"/>
      <c r="EZ68" s="45"/>
      <c r="FA68" s="37"/>
      <c r="FB68" s="45"/>
      <c r="FC68" s="45"/>
      <c r="FD68" s="37"/>
      <c r="FE68" s="45"/>
      <c r="FF68" s="45"/>
      <c r="FG68" s="37"/>
      <c r="FH68" s="45"/>
      <c r="FI68" s="45"/>
      <c r="FJ68" s="37"/>
      <c r="FK68" s="45"/>
      <c r="FL68" s="45"/>
      <c r="FM68" s="37"/>
      <c r="FN68" s="45"/>
      <c r="FO68" s="45"/>
      <c r="FP68" s="37"/>
      <c r="FQ68" s="45"/>
      <c r="FR68" s="45"/>
      <c r="FS68" s="37"/>
      <c r="FT68" s="45"/>
      <c r="FU68" s="45"/>
      <c r="FV68" s="37"/>
      <c r="FW68" s="45"/>
      <c r="FX68" s="45"/>
      <c r="FY68" s="37"/>
      <c r="FZ68" s="45"/>
      <c r="GA68" s="45"/>
      <c r="GB68" s="37"/>
      <c r="GC68" s="45"/>
      <c r="GD68" s="45"/>
      <c r="GE68" s="37"/>
      <c r="GF68" s="45"/>
      <c r="GG68" s="45"/>
      <c r="GH68" s="37"/>
      <c r="GI68" s="45"/>
      <c r="GJ68" s="45"/>
      <c r="GK68" s="37"/>
      <c r="GL68" s="45"/>
      <c r="GM68" s="45"/>
      <c r="GN68" s="37"/>
      <c r="GO68" s="45"/>
      <c r="HE68" s="56"/>
    </row>
    <row r="69" ht="12.0" customHeight="1">
      <c r="A69" s="37"/>
      <c r="D69" s="37"/>
      <c r="E69" s="37"/>
      <c r="I69" s="37"/>
      <c r="M69" s="37"/>
      <c r="Q69" s="37"/>
      <c r="U69" s="37"/>
      <c r="Y69" s="37"/>
      <c r="AC69" s="37"/>
      <c r="AG69" s="37"/>
      <c r="AK69" s="37"/>
      <c r="AN69" s="37"/>
      <c r="AQ69" s="37"/>
      <c r="AT69" s="37"/>
      <c r="AW69" s="37"/>
      <c r="AZ69" s="37"/>
      <c r="BC69" s="37"/>
      <c r="BF69" s="37"/>
      <c r="BG69" s="45"/>
      <c r="BH69" s="45"/>
      <c r="BI69" s="37"/>
      <c r="BJ69" s="45"/>
      <c r="BK69" s="45"/>
      <c r="BL69" s="37"/>
      <c r="BM69" s="45"/>
      <c r="BN69" s="45"/>
      <c r="BO69" s="37"/>
      <c r="BP69" s="45"/>
      <c r="BQ69" s="45"/>
      <c r="BR69" s="37"/>
      <c r="BS69" s="45"/>
      <c r="BT69" s="45"/>
      <c r="BU69" s="37"/>
      <c r="BV69" s="45"/>
      <c r="BW69" s="45"/>
      <c r="BX69" s="37"/>
      <c r="BY69" s="45"/>
      <c r="BZ69" s="45"/>
      <c r="CA69" s="37"/>
      <c r="CB69" s="45"/>
      <c r="CC69" s="45"/>
      <c r="CD69" s="37"/>
      <c r="CE69" s="45"/>
      <c r="CF69" s="45"/>
      <c r="CG69" s="37"/>
      <c r="CH69" s="45"/>
      <c r="CI69" s="45"/>
      <c r="CJ69" s="37"/>
      <c r="CK69" s="45"/>
      <c r="CL69" s="45"/>
      <c r="CM69" s="37"/>
      <c r="CN69" s="45"/>
      <c r="CO69" s="45"/>
      <c r="CP69" s="37"/>
      <c r="CQ69" s="45"/>
      <c r="CR69" s="45"/>
      <c r="CS69" s="37"/>
      <c r="CT69" s="45"/>
      <c r="CU69" s="45"/>
      <c r="CV69" s="37"/>
      <c r="CW69" s="45"/>
      <c r="CX69" s="45"/>
      <c r="CY69" s="37"/>
      <c r="CZ69" s="45"/>
      <c r="DB69" s="37"/>
      <c r="DE69" s="37"/>
      <c r="DH69" s="37"/>
      <c r="DK69" s="37"/>
      <c r="DN69" s="37"/>
      <c r="DQ69" s="37"/>
      <c r="DT69" s="37"/>
      <c r="DW69" s="37"/>
      <c r="DZ69" s="37"/>
      <c r="EC69" s="37"/>
      <c r="EF69" s="37"/>
      <c r="EI69" s="37"/>
      <c r="EL69" s="37"/>
      <c r="EO69" s="37"/>
      <c r="ER69" s="37"/>
      <c r="EU69" s="37"/>
      <c r="EV69" s="45"/>
      <c r="EW69" s="45"/>
      <c r="EX69" s="37"/>
      <c r="EY69" s="45"/>
      <c r="EZ69" s="45"/>
      <c r="FA69" s="37"/>
      <c r="FB69" s="45"/>
      <c r="FC69" s="45"/>
      <c r="FD69" s="37"/>
      <c r="FE69" s="45"/>
      <c r="FF69" s="45"/>
      <c r="FG69" s="37"/>
      <c r="FH69" s="45"/>
      <c r="FI69" s="45"/>
      <c r="FJ69" s="37"/>
      <c r="FK69" s="45"/>
      <c r="FL69" s="45"/>
      <c r="FM69" s="37"/>
      <c r="FN69" s="45"/>
      <c r="FO69" s="45"/>
      <c r="FP69" s="37"/>
      <c r="FQ69" s="45"/>
      <c r="FR69" s="45"/>
      <c r="FS69" s="37"/>
      <c r="FT69" s="45"/>
      <c r="FU69" s="45"/>
      <c r="FV69" s="37"/>
      <c r="FW69" s="45"/>
      <c r="FX69" s="45"/>
      <c r="FY69" s="37"/>
      <c r="FZ69" s="45"/>
      <c r="GA69" s="45"/>
      <c r="GB69" s="37"/>
      <c r="GC69" s="45"/>
      <c r="GD69" s="45"/>
      <c r="GE69" s="37"/>
      <c r="GF69" s="45"/>
      <c r="GG69" s="45"/>
      <c r="GH69" s="37"/>
      <c r="GI69" s="45"/>
      <c r="GJ69" s="45"/>
      <c r="GK69" s="37"/>
      <c r="GL69" s="45"/>
      <c r="GM69" s="45"/>
      <c r="GN69" s="37"/>
      <c r="GO69" s="45"/>
      <c r="HE69" s="56"/>
    </row>
    <row r="70" ht="12.0" customHeight="1">
      <c r="A70" s="37"/>
      <c r="D70" s="37"/>
      <c r="E70" s="37"/>
      <c r="I70" s="37"/>
      <c r="M70" s="37"/>
      <c r="Q70" s="37"/>
      <c r="U70" s="37"/>
      <c r="Y70" s="37"/>
      <c r="AC70" s="37"/>
      <c r="AG70" s="37"/>
      <c r="AK70" s="37"/>
      <c r="AN70" s="37"/>
      <c r="AQ70" s="37"/>
      <c r="AT70" s="37"/>
      <c r="AW70" s="37"/>
      <c r="AZ70" s="37"/>
      <c r="BC70" s="37"/>
      <c r="BF70" s="37"/>
      <c r="BG70" s="45"/>
      <c r="BH70" s="45"/>
      <c r="BI70" s="37"/>
      <c r="BJ70" s="45"/>
      <c r="BK70" s="45"/>
      <c r="BL70" s="37"/>
      <c r="BM70" s="45"/>
      <c r="BN70" s="45"/>
      <c r="BO70" s="37"/>
      <c r="BP70" s="45"/>
      <c r="BQ70" s="45"/>
      <c r="BR70" s="37"/>
      <c r="BS70" s="45"/>
      <c r="BT70" s="45"/>
      <c r="BU70" s="37"/>
      <c r="BV70" s="45"/>
      <c r="BW70" s="45"/>
      <c r="BX70" s="37"/>
      <c r="BY70" s="45"/>
      <c r="BZ70" s="45"/>
      <c r="CA70" s="37"/>
      <c r="CB70" s="45"/>
      <c r="CC70" s="45"/>
      <c r="CD70" s="37"/>
      <c r="CE70" s="45"/>
      <c r="CF70" s="45"/>
      <c r="CG70" s="37"/>
      <c r="CH70" s="45"/>
      <c r="CI70" s="45"/>
      <c r="CJ70" s="37"/>
      <c r="CK70" s="45"/>
      <c r="CL70" s="45"/>
      <c r="CM70" s="37"/>
      <c r="CN70" s="45"/>
      <c r="CO70" s="45"/>
      <c r="CP70" s="37"/>
      <c r="CQ70" s="45"/>
      <c r="CR70" s="45"/>
      <c r="CS70" s="37"/>
      <c r="CT70" s="45"/>
      <c r="CU70" s="45"/>
      <c r="CV70" s="37"/>
      <c r="CW70" s="45"/>
      <c r="CX70" s="45"/>
      <c r="CY70" s="37"/>
      <c r="CZ70" s="45"/>
      <c r="DB70" s="37"/>
      <c r="DE70" s="37"/>
      <c r="DH70" s="37"/>
      <c r="DK70" s="37"/>
      <c r="DN70" s="37"/>
      <c r="DQ70" s="37"/>
      <c r="DT70" s="37"/>
      <c r="DW70" s="37"/>
      <c r="DZ70" s="37"/>
      <c r="EC70" s="37"/>
      <c r="EF70" s="37"/>
      <c r="EI70" s="37"/>
      <c r="EL70" s="37"/>
      <c r="EO70" s="37"/>
      <c r="ER70" s="37"/>
      <c r="EU70" s="37"/>
      <c r="EV70" s="45"/>
      <c r="EW70" s="45"/>
      <c r="EX70" s="37"/>
      <c r="EY70" s="45"/>
      <c r="EZ70" s="45"/>
      <c r="FA70" s="37"/>
      <c r="FB70" s="45"/>
      <c r="FC70" s="45"/>
      <c r="FD70" s="37"/>
      <c r="FE70" s="45"/>
      <c r="FF70" s="45"/>
      <c r="FG70" s="37"/>
      <c r="FH70" s="45"/>
      <c r="FI70" s="45"/>
      <c r="FJ70" s="37"/>
      <c r="FK70" s="45"/>
      <c r="FL70" s="45"/>
      <c r="FM70" s="37"/>
      <c r="FN70" s="45"/>
      <c r="FO70" s="45"/>
      <c r="FP70" s="37"/>
      <c r="FQ70" s="45"/>
      <c r="FR70" s="45"/>
      <c r="FS70" s="37"/>
      <c r="FT70" s="45"/>
      <c r="FU70" s="45"/>
      <c r="FV70" s="37"/>
      <c r="FW70" s="45"/>
      <c r="FX70" s="45"/>
      <c r="FY70" s="37"/>
      <c r="FZ70" s="45"/>
      <c r="GA70" s="45"/>
      <c r="GB70" s="37"/>
      <c r="GC70" s="45"/>
      <c r="GD70" s="45"/>
      <c r="GE70" s="37"/>
      <c r="GF70" s="45"/>
      <c r="GG70" s="45"/>
      <c r="GH70" s="37"/>
      <c r="GI70" s="45"/>
      <c r="GJ70" s="45"/>
      <c r="GK70" s="37"/>
      <c r="GL70" s="45"/>
      <c r="GM70" s="45"/>
      <c r="GN70" s="37"/>
      <c r="GO70" s="45"/>
      <c r="HE70" s="56"/>
    </row>
    <row r="71" ht="12.0" customHeight="1">
      <c r="A71" s="37"/>
      <c r="D71" s="37"/>
      <c r="E71" s="37"/>
      <c r="I71" s="37"/>
      <c r="M71" s="37"/>
      <c r="Q71" s="37"/>
      <c r="U71" s="37"/>
      <c r="Y71" s="37"/>
      <c r="AC71" s="37"/>
      <c r="AG71" s="37"/>
      <c r="AK71" s="37"/>
      <c r="AN71" s="37"/>
      <c r="AQ71" s="37"/>
      <c r="AT71" s="37"/>
      <c r="AW71" s="37"/>
      <c r="AZ71" s="37"/>
      <c r="BC71" s="37"/>
      <c r="BF71" s="37"/>
      <c r="BG71" s="45"/>
      <c r="BH71" s="45"/>
      <c r="BI71" s="37"/>
      <c r="BJ71" s="45"/>
      <c r="BK71" s="45"/>
      <c r="BL71" s="37"/>
      <c r="BM71" s="45"/>
      <c r="BN71" s="45"/>
      <c r="BO71" s="37"/>
      <c r="BP71" s="45"/>
      <c r="BQ71" s="45"/>
      <c r="BR71" s="37"/>
      <c r="BS71" s="45"/>
      <c r="BT71" s="45"/>
      <c r="BU71" s="37"/>
      <c r="BV71" s="45"/>
      <c r="BW71" s="45"/>
      <c r="BX71" s="37"/>
      <c r="BY71" s="45"/>
      <c r="BZ71" s="45"/>
      <c r="CA71" s="37"/>
      <c r="CB71" s="45"/>
      <c r="CC71" s="45"/>
      <c r="CD71" s="37"/>
      <c r="CE71" s="45"/>
      <c r="CF71" s="45"/>
      <c r="CG71" s="37"/>
      <c r="CH71" s="45"/>
      <c r="CI71" s="45"/>
      <c r="CJ71" s="37"/>
      <c r="CK71" s="45"/>
      <c r="CL71" s="45"/>
      <c r="CM71" s="37"/>
      <c r="CN71" s="45"/>
      <c r="CO71" s="45"/>
      <c r="CP71" s="37"/>
      <c r="CQ71" s="45"/>
      <c r="CR71" s="45"/>
      <c r="CS71" s="37"/>
      <c r="CT71" s="45"/>
      <c r="CU71" s="45"/>
      <c r="CV71" s="37"/>
      <c r="CW71" s="45"/>
      <c r="CX71" s="45"/>
      <c r="CY71" s="37"/>
      <c r="CZ71" s="45"/>
      <c r="DB71" s="37"/>
      <c r="DE71" s="37"/>
      <c r="DH71" s="37"/>
      <c r="DK71" s="37"/>
      <c r="DN71" s="37"/>
      <c r="DQ71" s="37"/>
      <c r="DT71" s="37"/>
      <c r="DW71" s="37"/>
      <c r="DZ71" s="37"/>
      <c r="EC71" s="37"/>
      <c r="EF71" s="37"/>
      <c r="EI71" s="37"/>
      <c r="EL71" s="37"/>
      <c r="EO71" s="37"/>
      <c r="ER71" s="37"/>
      <c r="EU71" s="37"/>
      <c r="EV71" s="45"/>
      <c r="EW71" s="45"/>
      <c r="EX71" s="37"/>
      <c r="EY71" s="45"/>
      <c r="EZ71" s="45"/>
      <c r="FA71" s="37"/>
      <c r="FB71" s="45"/>
      <c r="FC71" s="45"/>
      <c r="FD71" s="37"/>
      <c r="FE71" s="45"/>
      <c r="FF71" s="45"/>
      <c r="FG71" s="37"/>
      <c r="FH71" s="45"/>
      <c r="FI71" s="45"/>
      <c r="FJ71" s="37"/>
      <c r="FK71" s="45"/>
      <c r="FL71" s="45"/>
      <c r="FM71" s="37"/>
      <c r="FN71" s="45"/>
      <c r="FO71" s="45"/>
      <c r="FP71" s="37"/>
      <c r="FQ71" s="45"/>
      <c r="FR71" s="45"/>
      <c r="FS71" s="37"/>
      <c r="FT71" s="45"/>
      <c r="FU71" s="45"/>
      <c r="FV71" s="37"/>
      <c r="FW71" s="45"/>
      <c r="FX71" s="45"/>
      <c r="FY71" s="37"/>
      <c r="FZ71" s="45"/>
      <c r="GA71" s="45"/>
      <c r="GB71" s="37"/>
      <c r="GC71" s="45"/>
      <c r="GD71" s="45"/>
      <c r="GE71" s="37"/>
      <c r="GF71" s="45"/>
      <c r="GG71" s="45"/>
      <c r="GH71" s="37"/>
      <c r="GI71" s="45"/>
      <c r="GJ71" s="45"/>
      <c r="GK71" s="37"/>
      <c r="GL71" s="45"/>
      <c r="GM71" s="45"/>
      <c r="GN71" s="37"/>
      <c r="GO71" s="45"/>
      <c r="HE71" s="56"/>
    </row>
    <row r="72" ht="12.0" customHeight="1">
      <c r="A72" s="37"/>
      <c r="D72" s="37"/>
      <c r="E72" s="37"/>
      <c r="I72" s="37"/>
      <c r="M72" s="37"/>
      <c r="Q72" s="37"/>
      <c r="U72" s="37"/>
      <c r="Y72" s="37"/>
      <c r="AC72" s="37"/>
      <c r="AG72" s="37"/>
      <c r="AK72" s="37"/>
      <c r="AN72" s="37"/>
      <c r="AQ72" s="37"/>
      <c r="AT72" s="37"/>
      <c r="AW72" s="37"/>
      <c r="AZ72" s="37"/>
      <c r="BC72" s="37"/>
      <c r="BF72" s="37"/>
      <c r="BG72" s="45"/>
      <c r="BH72" s="45"/>
      <c r="BI72" s="37"/>
      <c r="BJ72" s="45"/>
      <c r="BK72" s="45"/>
      <c r="BL72" s="37"/>
      <c r="BM72" s="45"/>
      <c r="BN72" s="45"/>
      <c r="BO72" s="37"/>
      <c r="BP72" s="45"/>
      <c r="BQ72" s="45"/>
      <c r="BR72" s="37"/>
      <c r="BS72" s="45"/>
      <c r="BT72" s="45"/>
      <c r="BU72" s="37"/>
      <c r="BV72" s="45"/>
      <c r="BW72" s="45"/>
      <c r="BX72" s="37"/>
      <c r="BY72" s="45"/>
      <c r="BZ72" s="45"/>
      <c r="CA72" s="37"/>
      <c r="CB72" s="45"/>
      <c r="CC72" s="45"/>
      <c r="CD72" s="37"/>
      <c r="CE72" s="45"/>
      <c r="CF72" s="45"/>
      <c r="CG72" s="37"/>
      <c r="CH72" s="45"/>
      <c r="CI72" s="45"/>
      <c r="CJ72" s="37"/>
      <c r="CK72" s="45"/>
      <c r="CL72" s="45"/>
      <c r="CM72" s="37"/>
      <c r="CN72" s="45"/>
      <c r="CO72" s="45"/>
      <c r="CP72" s="37"/>
      <c r="CQ72" s="45"/>
      <c r="CR72" s="45"/>
      <c r="CS72" s="37"/>
      <c r="CT72" s="45"/>
      <c r="CU72" s="45"/>
      <c r="CV72" s="37"/>
      <c r="CW72" s="45"/>
      <c r="CX72" s="45"/>
      <c r="CY72" s="37"/>
      <c r="CZ72" s="45"/>
      <c r="DB72" s="37"/>
      <c r="DE72" s="37"/>
      <c r="DH72" s="37"/>
      <c r="DK72" s="37"/>
      <c r="DN72" s="37"/>
      <c r="DQ72" s="37"/>
      <c r="DT72" s="37"/>
      <c r="DW72" s="37"/>
      <c r="DZ72" s="37"/>
      <c r="EC72" s="37"/>
      <c r="EF72" s="37"/>
      <c r="EI72" s="37"/>
      <c r="EL72" s="37"/>
      <c r="EO72" s="37"/>
      <c r="ER72" s="37"/>
      <c r="EU72" s="37"/>
      <c r="EV72" s="45"/>
      <c r="EW72" s="45"/>
      <c r="EX72" s="37"/>
      <c r="EY72" s="45"/>
      <c r="EZ72" s="45"/>
      <c r="FA72" s="37"/>
      <c r="FB72" s="45"/>
      <c r="FC72" s="45"/>
      <c r="FD72" s="37"/>
      <c r="FE72" s="45"/>
      <c r="FF72" s="45"/>
      <c r="FG72" s="37"/>
      <c r="FH72" s="45"/>
      <c r="FI72" s="45"/>
      <c r="FJ72" s="37"/>
      <c r="FK72" s="45"/>
      <c r="FL72" s="45"/>
      <c r="FM72" s="37"/>
      <c r="FN72" s="45"/>
      <c r="FO72" s="45"/>
      <c r="FP72" s="37"/>
      <c r="FQ72" s="45"/>
      <c r="FR72" s="45"/>
      <c r="FS72" s="37"/>
      <c r="FT72" s="45"/>
      <c r="FU72" s="45"/>
      <c r="FV72" s="37"/>
      <c r="FW72" s="45"/>
      <c r="FX72" s="45"/>
      <c r="FY72" s="37"/>
      <c r="FZ72" s="45"/>
      <c r="GA72" s="45"/>
      <c r="GB72" s="37"/>
      <c r="GC72" s="45"/>
      <c r="GD72" s="45"/>
      <c r="GE72" s="37"/>
      <c r="GF72" s="45"/>
      <c r="GG72" s="45"/>
      <c r="GH72" s="37"/>
      <c r="GI72" s="45"/>
      <c r="GJ72" s="45"/>
      <c r="GK72" s="37"/>
      <c r="GL72" s="45"/>
      <c r="GM72" s="45"/>
      <c r="GN72" s="37"/>
      <c r="GO72" s="45"/>
      <c r="HE72" s="56"/>
    </row>
    <row r="73" ht="12.0" customHeight="1">
      <c r="A73" s="37"/>
      <c r="D73" s="37"/>
      <c r="E73" s="37"/>
      <c r="I73" s="37"/>
      <c r="M73" s="37"/>
      <c r="Q73" s="37"/>
      <c r="U73" s="37"/>
      <c r="Y73" s="37"/>
      <c r="AC73" s="37"/>
      <c r="AG73" s="37"/>
      <c r="AK73" s="37"/>
      <c r="AN73" s="37"/>
      <c r="AQ73" s="37"/>
      <c r="AT73" s="37"/>
      <c r="AW73" s="37"/>
      <c r="AZ73" s="37"/>
      <c r="BC73" s="37"/>
      <c r="BF73" s="37"/>
      <c r="BG73" s="45"/>
      <c r="BH73" s="45"/>
      <c r="BI73" s="37"/>
      <c r="BJ73" s="45"/>
      <c r="BK73" s="45"/>
      <c r="BL73" s="37"/>
      <c r="BM73" s="45"/>
      <c r="BN73" s="45"/>
      <c r="BO73" s="37"/>
      <c r="BP73" s="45"/>
      <c r="BQ73" s="45"/>
      <c r="BR73" s="37"/>
      <c r="BS73" s="45"/>
      <c r="BT73" s="45"/>
      <c r="BU73" s="37"/>
      <c r="BV73" s="45"/>
      <c r="BW73" s="45"/>
      <c r="BX73" s="37"/>
      <c r="BY73" s="45"/>
      <c r="BZ73" s="45"/>
      <c r="CA73" s="37"/>
      <c r="CB73" s="45"/>
      <c r="CC73" s="45"/>
      <c r="CD73" s="37"/>
      <c r="CE73" s="45"/>
      <c r="CF73" s="45"/>
      <c r="CG73" s="37"/>
      <c r="CH73" s="45"/>
      <c r="CI73" s="45"/>
      <c r="CJ73" s="37"/>
      <c r="CK73" s="45"/>
      <c r="CL73" s="45"/>
      <c r="CM73" s="37"/>
      <c r="CN73" s="45"/>
      <c r="CO73" s="45"/>
      <c r="CP73" s="37"/>
      <c r="CQ73" s="45"/>
      <c r="CR73" s="45"/>
      <c r="CS73" s="37"/>
      <c r="CT73" s="45"/>
      <c r="CU73" s="45"/>
      <c r="CV73" s="37"/>
      <c r="CW73" s="45"/>
      <c r="CX73" s="45"/>
      <c r="CY73" s="37"/>
      <c r="CZ73" s="45"/>
      <c r="DB73" s="37"/>
      <c r="DE73" s="37"/>
      <c r="DH73" s="37"/>
      <c r="DK73" s="37"/>
      <c r="DN73" s="37"/>
      <c r="DQ73" s="37"/>
      <c r="DT73" s="37"/>
      <c r="DW73" s="37"/>
      <c r="DZ73" s="37"/>
      <c r="EC73" s="37"/>
      <c r="EF73" s="37"/>
      <c r="EI73" s="37"/>
      <c r="EL73" s="37"/>
      <c r="EO73" s="37"/>
      <c r="ER73" s="37"/>
      <c r="EU73" s="37"/>
      <c r="EV73" s="45"/>
      <c r="EW73" s="45"/>
      <c r="EX73" s="37"/>
      <c r="EY73" s="45"/>
      <c r="EZ73" s="45"/>
      <c r="FA73" s="37"/>
      <c r="FB73" s="45"/>
      <c r="FC73" s="45"/>
      <c r="FD73" s="37"/>
      <c r="FE73" s="45"/>
      <c r="FF73" s="45"/>
      <c r="FG73" s="37"/>
      <c r="FH73" s="45"/>
      <c r="FI73" s="45"/>
      <c r="FJ73" s="37"/>
      <c r="FK73" s="45"/>
      <c r="FL73" s="45"/>
      <c r="FM73" s="37"/>
      <c r="FN73" s="45"/>
      <c r="FO73" s="45"/>
      <c r="FP73" s="37"/>
      <c r="FQ73" s="45"/>
      <c r="FR73" s="45"/>
      <c r="FS73" s="37"/>
      <c r="FT73" s="45"/>
      <c r="FU73" s="45"/>
      <c r="FV73" s="37"/>
      <c r="FW73" s="45"/>
      <c r="FX73" s="45"/>
      <c r="FY73" s="37"/>
      <c r="FZ73" s="45"/>
      <c r="GA73" s="45"/>
      <c r="GB73" s="37"/>
      <c r="GC73" s="45"/>
      <c r="GD73" s="45"/>
      <c r="GE73" s="37"/>
      <c r="GF73" s="45"/>
      <c r="GG73" s="45"/>
      <c r="GH73" s="37"/>
      <c r="GI73" s="45"/>
      <c r="GJ73" s="45"/>
      <c r="GK73" s="37"/>
      <c r="GL73" s="45"/>
      <c r="GM73" s="45"/>
      <c r="GN73" s="37"/>
      <c r="GO73" s="45"/>
      <c r="HE73" s="56"/>
    </row>
    <row r="74" ht="12.0" customHeight="1">
      <c r="A74" s="37"/>
      <c r="D74" s="37"/>
      <c r="E74" s="37"/>
      <c r="I74" s="37"/>
      <c r="M74" s="37"/>
      <c r="Q74" s="37"/>
      <c r="U74" s="37"/>
      <c r="Y74" s="37"/>
      <c r="AC74" s="37"/>
      <c r="AG74" s="37"/>
      <c r="AK74" s="37"/>
      <c r="AN74" s="37"/>
      <c r="AQ74" s="37"/>
      <c r="AT74" s="37"/>
      <c r="AW74" s="37"/>
      <c r="AZ74" s="37"/>
      <c r="BC74" s="37"/>
      <c r="BF74" s="37"/>
      <c r="BG74" s="45"/>
      <c r="BH74" s="45"/>
      <c r="BI74" s="37"/>
      <c r="BJ74" s="45"/>
      <c r="BK74" s="45"/>
      <c r="BL74" s="37"/>
      <c r="BM74" s="45"/>
      <c r="BN74" s="45"/>
      <c r="BO74" s="37"/>
      <c r="BP74" s="45"/>
      <c r="BQ74" s="45"/>
      <c r="BR74" s="37"/>
      <c r="BS74" s="45"/>
      <c r="BT74" s="45"/>
      <c r="BU74" s="37"/>
      <c r="BV74" s="45"/>
      <c r="BW74" s="45"/>
      <c r="BX74" s="37"/>
      <c r="BY74" s="45"/>
      <c r="BZ74" s="45"/>
      <c r="CA74" s="37"/>
      <c r="CB74" s="45"/>
      <c r="CC74" s="45"/>
      <c r="CD74" s="37"/>
      <c r="CE74" s="45"/>
      <c r="CF74" s="45"/>
      <c r="CG74" s="37"/>
      <c r="CH74" s="45"/>
      <c r="CI74" s="45"/>
      <c r="CJ74" s="37"/>
      <c r="CK74" s="45"/>
      <c r="CL74" s="45"/>
      <c r="CM74" s="37"/>
      <c r="CN74" s="45"/>
      <c r="CO74" s="45"/>
      <c r="CP74" s="37"/>
      <c r="CQ74" s="45"/>
      <c r="CR74" s="45"/>
      <c r="CS74" s="37"/>
      <c r="CT74" s="45"/>
      <c r="CU74" s="45"/>
      <c r="CV74" s="37"/>
      <c r="CW74" s="45"/>
      <c r="CX74" s="45"/>
      <c r="CY74" s="37"/>
      <c r="CZ74" s="45"/>
      <c r="DB74" s="37"/>
      <c r="DE74" s="37"/>
      <c r="DH74" s="37"/>
      <c r="DK74" s="37"/>
      <c r="DN74" s="37"/>
      <c r="DQ74" s="37"/>
      <c r="DT74" s="37"/>
      <c r="DW74" s="37"/>
      <c r="DZ74" s="37"/>
      <c r="EC74" s="37"/>
      <c r="EF74" s="37"/>
      <c r="EI74" s="37"/>
      <c r="EL74" s="37"/>
      <c r="EO74" s="37"/>
      <c r="ER74" s="37"/>
      <c r="EU74" s="37"/>
      <c r="EV74" s="45"/>
      <c r="EW74" s="45"/>
      <c r="EX74" s="37"/>
      <c r="EY74" s="45"/>
      <c r="EZ74" s="45"/>
      <c r="FA74" s="37"/>
      <c r="FB74" s="45"/>
      <c r="FC74" s="45"/>
      <c r="FD74" s="37"/>
      <c r="FE74" s="45"/>
      <c r="FF74" s="45"/>
      <c r="FG74" s="37"/>
      <c r="FH74" s="45"/>
      <c r="FI74" s="45"/>
      <c r="FJ74" s="37"/>
      <c r="FK74" s="45"/>
      <c r="FL74" s="45"/>
      <c r="FM74" s="37"/>
      <c r="FN74" s="45"/>
      <c r="FO74" s="45"/>
      <c r="FP74" s="37"/>
      <c r="FQ74" s="45"/>
      <c r="FR74" s="45"/>
      <c r="FS74" s="37"/>
      <c r="FT74" s="45"/>
      <c r="FU74" s="45"/>
      <c r="FV74" s="37"/>
      <c r="FW74" s="45"/>
      <c r="FX74" s="45"/>
      <c r="FY74" s="37"/>
      <c r="FZ74" s="45"/>
      <c r="GA74" s="45"/>
      <c r="GB74" s="37"/>
      <c r="GC74" s="45"/>
      <c r="GD74" s="45"/>
      <c r="GE74" s="37"/>
      <c r="GF74" s="45"/>
      <c r="GG74" s="45"/>
      <c r="GH74" s="37"/>
      <c r="GI74" s="45"/>
      <c r="GJ74" s="45"/>
      <c r="GK74" s="37"/>
      <c r="GL74" s="45"/>
      <c r="GM74" s="45"/>
      <c r="GN74" s="37"/>
      <c r="GO74" s="45"/>
      <c r="HE74" s="56"/>
    </row>
    <row r="75" ht="12.0" customHeight="1">
      <c r="A75" s="37"/>
      <c r="D75" s="37"/>
      <c r="E75" s="37"/>
      <c r="I75" s="37"/>
      <c r="M75" s="37"/>
      <c r="Q75" s="37"/>
      <c r="U75" s="37"/>
      <c r="Y75" s="37"/>
      <c r="AC75" s="37"/>
      <c r="AG75" s="37"/>
      <c r="AK75" s="37"/>
      <c r="AN75" s="37"/>
      <c r="AQ75" s="37"/>
      <c r="AT75" s="37"/>
      <c r="AW75" s="37"/>
      <c r="AZ75" s="37"/>
      <c r="BC75" s="37"/>
      <c r="BF75" s="37"/>
      <c r="BG75" s="45"/>
      <c r="BH75" s="45"/>
      <c r="BI75" s="37"/>
      <c r="BJ75" s="45"/>
      <c r="BK75" s="45"/>
      <c r="BL75" s="37"/>
      <c r="BM75" s="45"/>
      <c r="BN75" s="45"/>
      <c r="BO75" s="37"/>
      <c r="BP75" s="45"/>
      <c r="BQ75" s="45"/>
      <c r="BR75" s="37"/>
      <c r="BS75" s="45"/>
      <c r="BT75" s="45"/>
      <c r="BU75" s="37"/>
      <c r="BV75" s="45"/>
      <c r="BW75" s="45"/>
      <c r="BX75" s="37"/>
      <c r="BY75" s="45"/>
      <c r="BZ75" s="45"/>
      <c r="CA75" s="37"/>
      <c r="CB75" s="45"/>
      <c r="CC75" s="45"/>
      <c r="CD75" s="37"/>
      <c r="CE75" s="45"/>
      <c r="CF75" s="45"/>
      <c r="CG75" s="37"/>
      <c r="CH75" s="45"/>
      <c r="CI75" s="45"/>
      <c r="CJ75" s="37"/>
      <c r="CK75" s="45"/>
      <c r="CL75" s="45"/>
      <c r="CM75" s="37"/>
      <c r="CN75" s="45"/>
      <c r="CO75" s="45"/>
      <c r="CP75" s="37"/>
      <c r="CQ75" s="45"/>
      <c r="CR75" s="45"/>
      <c r="CS75" s="37"/>
      <c r="CT75" s="45"/>
      <c r="CU75" s="45"/>
      <c r="CV75" s="37"/>
      <c r="CW75" s="45"/>
      <c r="CX75" s="45"/>
      <c r="CY75" s="37"/>
      <c r="CZ75" s="45"/>
      <c r="DB75" s="37"/>
      <c r="DE75" s="37"/>
      <c r="DH75" s="37"/>
      <c r="DK75" s="37"/>
      <c r="DN75" s="37"/>
      <c r="DQ75" s="37"/>
      <c r="DT75" s="37"/>
      <c r="DW75" s="37"/>
      <c r="DZ75" s="37"/>
      <c r="EC75" s="37"/>
      <c r="EF75" s="37"/>
      <c r="EI75" s="37"/>
      <c r="EL75" s="37"/>
      <c r="EO75" s="37"/>
      <c r="ER75" s="37"/>
      <c r="EU75" s="37"/>
      <c r="EV75" s="45"/>
      <c r="EW75" s="45"/>
      <c r="EX75" s="37"/>
      <c r="EY75" s="45"/>
      <c r="EZ75" s="45"/>
      <c r="FA75" s="37"/>
      <c r="FB75" s="45"/>
      <c r="FC75" s="45"/>
      <c r="FD75" s="37"/>
      <c r="FE75" s="45"/>
      <c r="FF75" s="45"/>
      <c r="FG75" s="37"/>
      <c r="FH75" s="45"/>
      <c r="FI75" s="45"/>
      <c r="FJ75" s="37"/>
      <c r="FK75" s="45"/>
      <c r="FL75" s="45"/>
      <c r="FM75" s="37"/>
      <c r="FN75" s="45"/>
      <c r="FO75" s="45"/>
      <c r="FP75" s="37"/>
      <c r="FQ75" s="45"/>
      <c r="FR75" s="45"/>
      <c r="FS75" s="37"/>
      <c r="FT75" s="45"/>
      <c r="FU75" s="45"/>
      <c r="FV75" s="37"/>
      <c r="FW75" s="45"/>
      <c r="FX75" s="45"/>
      <c r="FY75" s="37"/>
      <c r="FZ75" s="45"/>
      <c r="GA75" s="45"/>
      <c r="GB75" s="37"/>
      <c r="GC75" s="45"/>
      <c r="GD75" s="45"/>
      <c r="GE75" s="37"/>
      <c r="GF75" s="45"/>
      <c r="GG75" s="45"/>
      <c r="GH75" s="37"/>
      <c r="GI75" s="45"/>
      <c r="GJ75" s="45"/>
      <c r="GK75" s="37"/>
      <c r="GL75" s="45"/>
      <c r="GM75" s="45"/>
      <c r="GN75" s="37"/>
      <c r="GO75" s="45"/>
      <c r="HE75" s="56"/>
    </row>
    <row r="76" ht="12.0" customHeight="1">
      <c r="A76" s="37"/>
      <c r="D76" s="37"/>
      <c r="E76" s="37"/>
      <c r="I76" s="37"/>
      <c r="M76" s="37"/>
      <c r="Q76" s="37"/>
      <c r="U76" s="37"/>
      <c r="Y76" s="37"/>
      <c r="AC76" s="37"/>
      <c r="AG76" s="37"/>
      <c r="AK76" s="37"/>
      <c r="AN76" s="37"/>
      <c r="AQ76" s="37"/>
      <c r="AT76" s="37"/>
      <c r="AW76" s="37"/>
      <c r="AZ76" s="37"/>
      <c r="BC76" s="37"/>
      <c r="BF76" s="37"/>
      <c r="BG76" s="45"/>
      <c r="BH76" s="45"/>
      <c r="BI76" s="37"/>
      <c r="BJ76" s="45"/>
      <c r="BK76" s="45"/>
      <c r="BL76" s="37"/>
      <c r="BM76" s="45"/>
      <c r="BN76" s="45"/>
      <c r="BO76" s="37"/>
      <c r="BP76" s="45"/>
      <c r="BQ76" s="45"/>
      <c r="BR76" s="37"/>
      <c r="BS76" s="45"/>
      <c r="BT76" s="45"/>
      <c r="BU76" s="37"/>
      <c r="BV76" s="45"/>
      <c r="BW76" s="45"/>
      <c r="BX76" s="37"/>
      <c r="BY76" s="45"/>
      <c r="BZ76" s="45"/>
      <c r="CA76" s="37"/>
      <c r="CB76" s="45"/>
      <c r="CC76" s="45"/>
      <c r="CD76" s="37"/>
      <c r="CE76" s="45"/>
      <c r="CF76" s="45"/>
      <c r="CG76" s="37"/>
      <c r="CH76" s="45"/>
      <c r="CI76" s="45"/>
      <c r="CJ76" s="37"/>
      <c r="CK76" s="45"/>
      <c r="CL76" s="45"/>
      <c r="CM76" s="37"/>
      <c r="CN76" s="45"/>
      <c r="CO76" s="45"/>
      <c r="CP76" s="37"/>
      <c r="CQ76" s="45"/>
      <c r="CR76" s="45"/>
      <c r="CS76" s="37"/>
      <c r="CT76" s="45"/>
      <c r="CU76" s="45"/>
      <c r="CV76" s="37"/>
      <c r="CW76" s="45"/>
      <c r="CX76" s="45"/>
      <c r="CY76" s="37"/>
      <c r="CZ76" s="45"/>
      <c r="DB76" s="37"/>
      <c r="DE76" s="37"/>
      <c r="DH76" s="37"/>
      <c r="DK76" s="37"/>
      <c r="DN76" s="37"/>
      <c r="DQ76" s="37"/>
      <c r="DT76" s="37"/>
      <c r="DW76" s="37"/>
      <c r="DZ76" s="37"/>
      <c r="EC76" s="37"/>
      <c r="EF76" s="37"/>
      <c r="EI76" s="37"/>
      <c r="EL76" s="37"/>
      <c r="EO76" s="37"/>
      <c r="ER76" s="37"/>
      <c r="EU76" s="37"/>
      <c r="EV76" s="45"/>
      <c r="EW76" s="45"/>
      <c r="EX76" s="37"/>
      <c r="EY76" s="45"/>
      <c r="EZ76" s="45"/>
      <c r="FA76" s="37"/>
      <c r="FB76" s="45"/>
      <c r="FC76" s="45"/>
      <c r="FD76" s="37"/>
      <c r="FE76" s="45"/>
      <c r="FF76" s="45"/>
      <c r="FG76" s="37"/>
      <c r="FH76" s="45"/>
      <c r="FI76" s="45"/>
      <c r="FJ76" s="37"/>
      <c r="FK76" s="45"/>
      <c r="FL76" s="45"/>
      <c r="FM76" s="37"/>
      <c r="FN76" s="45"/>
      <c r="FO76" s="45"/>
      <c r="FP76" s="37"/>
      <c r="FQ76" s="45"/>
      <c r="FR76" s="45"/>
      <c r="FS76" s="37"/>
      <c r="FT76" s="45"/>
      <c r="FU76" s="45"/>
      <c r="FV76" s="37"/>
      <c r="FW76" s="45"/>
      <c r="FX76" s="45"/>
      <c r="FY76" s="37"/>
      <c r="FZ76" s="45"/>
      <c r="GA76" s="45"/>
      <c r="GB76" s="37"/>
      <c r="GC76" s="45"/>
      <c r="GD76" s="45"/>
      <c r="GE76" s="37"/>
      <c r="GF76" s="45"/>
      <c r="GG76" s="45"/>
      <c r="GH76" s="37"/>
      <c r="GI76" s="45"/>
      <c r="GJ76" s="45"/>
      <c r="GK76" s="37"/>
      <c r="GL76" s="45"/>
      <c r="GM76" s="45"/>
      <c r="GN76" s="37"/>
      <c r="GO76" s="45"/>
      <c r="HE76" s="56"/>
    </row>
    <row r="77" ht="12.0" customHeight="1">
      <c r="A77" s="37"/>
      <c r="D77" s="37"/>
      <c r="E77" s="37"/>
      <c r="I77" s="37"/>
      <c r="M77" s="37"/>
      <c r="Q77" s="37"/>
      <c r="U77" s="37"/>
      <c r="Y77" s="37"/>
      <c r="AC77" s="37"/>
      <c r="AG77" s="37"/>
      <c r="AK77" s="37"/>
      <c r="AN77" s="37"/>
      <c r="AQ77" s="37"/>
      <c r="AT77" s="37"/>
      <c r="AW77" s="37"/>
      <c r="AZ77" s="37"/>
      <c r="BC77" s="37"/>
      <c r="BF77" s="37"/>
      <c r="BG77" s="45"/>
      <c r="BH77" s="45"/>
      <c r="BI77" s="37"/>
      <c r="BJ77" s="45"/>
      <c r="BK77" s="45"/>
      <c r="BL77" s="37"/>
      <c r="BM77" s="45"/>
      <c r="BN77" s="45"/>
      <c r="BO77" s="37"/>
      <c r="BP77" s="45"/>
      <c r="BQ77" s="45"/>
      <c r="BR77" s="37"/>
      <c r="BS77" s="45"/>
      <c r="BT77" s="45"/>
      <c r="BU77" s="37"/>
      <c r="BV77" s="45"/>
      <c r="BW77" s="45"/>
      <c r="BX77" s="37"/>
      <c r="BY77" s="45"/>
      <c r="BZ77" s="45"/>
      <c r="CA77" s="37"/>
      <c r="CB77" s="45"/>
      <c r="CC77" s="45"/>
      <c r="CD77" s="37"/>
      <c r="CE77" s="45"/>
      <c r="CF77" s="45"/>
      <c r="CG77" s="37"/>
      <c r="CH77" s="45"/>
      <c r="CI77" s="45"/>
      <c r="CJ77" s="37"/>
      <c r="CK77" s="45"/>
      <c r="CL77" s="45"/>
      <c r="CM77" s="37"/>
      <c r="CN77" s="45"/>
      <c r="CO77" s="45"/>
      <c r="CP77" s="37"/>
      <c r="CQ77" s="45"/>
      <c r="CR77" s="45"/>
      <c r="CS77" s="37"/>
      <c r="CT77" s="45"/>
      <c r="CU77" s="45"/>
      <c r="CV77" s="37"/>
      <c r="CW77" s="45"/>
      <c r="CX77" s="45"/>
      <c r="CY77" s="37"/>
      <c r="CZ77" s="45"/>
      <c r="DB77" s="37"/>
      <c r="DE77" s="37"/>
      <c r="DH77" s="37"/>
      <c r="DK77" s="37"/>
      <c r="DN77" s="37"/>
      <c r="DQ77" s="37"/>
      <c r="DT77" s="37"/>
      <c r="DW77" s="37"/>
      <c r="DZ77" s="37"/>
      <c r="EC77" s="37"/>
      <c r="EF77" s="37"/>
      <c r="EI77" s="37"/>
      <c r="EL77" s="37"/>
      <c r="EO77" s="37"/>
      <c r="ER77" s="37"/>
      <c r="EU77" s="37"/>
      <c r="EV77" s="45"/>
      <c r="EW77" s="45"/>
      <c r="EX77" s="37"/>
      <c r="EY77" s="45"/>
      <c r="EZ77" s="45"/>
      <c r="FA77" s="37"/>
      <c r="FB77" s="45"/>
      <c r="FC77" s="45"/>
      <c r="FD77" s="37"/>
      <c r="FE77" s="45"/>
      <c r="FF77" s="45"/>
      <c r="FG77" s="37"/>
      <c r="FH77" s="45"/>
      <c r="FI77" s="45"/>
      <c r="FJ77" s="37"/>
      <c r="FK77" s="45"/>
      <c r="FL77" s="45"/>
      <c r="FM77" s="37"/>
      <c r="FN77" s="45"/>
      <c r="FO77" s="45"/>
      <c r="FP77" s="37"/>
      <c r="FQ77" s="45"/>
      <c r="FR77" s="45"/>
      <c r="FS77" s="37"/>
      <c r="FT77" s="45"/>
      <c r="FU77" s="45"/>
      <c r="FV77" s="37"/>
      <c r="FW77" s="45"/>
      <c r="FX77" s="45"/>
      <c r="FY77" s="37"/>
      <c r="FZ77" s="45"/>
      <c r="GA77" s="45"/>
      <c r="GB77" s="37"/>
      <c r="GC77" s="45"/>
      <c r="GD77" s="45"/>
      <c r="GE77" s="37"/>
      <c r="GF77" s="45"/>
      <c r="GG77" s="45"/>
      <c r="GH77" s="37"/>
      <c r="GI77" s="45"/>
      <c r="GJ77" s="45"/>
      <c r="GK77" s="37"/>
      <c r="GL77" s="45"/>
      <c r="GM77" s="45"/>
      <c r="GN77" s="37"/>
      <c r="GO77" s="45"/>
      <c r="HE77" s="56"/>
    </row>
    <row r="78" ht="12.0" customHeight="1">
      <c r="A78" s="37"/>
      <c r="D78" s="37"/>
      <c r="E78" s="37"/>
      <c r="I78" s="37"/>
      <c r="M78" s="37"/>
      <c r="Q78" s="37"/>
      <c r="U78" s="37"/>
      <c r="Y78" s="37"/>
      <c r="AC78" s="37"/>
      <c r="AG78" s="37"/>
      <c r="AK78" s="37"/>
      <c r="AN78" s="37"/>
      <c r="AQ78" s="37"/>
      <c r="AT78" s="37"/>
      <c r="AW78" s="37"/>
      <c r="AZ78" s="37"/>
      <c r="BC78" s="37"/>
      <c r="BF78" s="37"/>
      <c r="BG78" s="45"/>
      <c r="BH78" s="45"/>
      <c r="BI78" s="37"/>
      <c r="BJ78" s="45"/>
      <c r="BK78" s="45"/>
      <c r="BL78" s="37"/>
      <c r="BM78" s="45"/>
      <c r="BN78" s="45"/>
      <c r="BO78" s="37"/>
      <c r="BP78" s="45"/>
      <c r="BQ78" s="45"/>
      <c r="BR78" s="37"/>
      <c r="BS78" s="45"/>
      <c r="BT78" s="45"/>
      <c r="BU78" s="37"/>
      <c r="BV78" s="45"/>
      <c r="BW78" s="45"/>
      <c r="BX78" s="37"/>
      <c r="BY78" s="45"/>
      <c r="BZ78" s="45"/>
      <c r="CA78" s="37"/>
      <c r="CB78" s="45"/>
      <c r="CC78" s="45"/>
      <c r="CD78" s="37"/>
      <c r="CE78" s="45"/>
      <c r="CF78" s="45"/>
      <c r="CG78" s="37"/>
      <c r="CH78" s="45"/>
      <c r="CI78" s="45"/>
      <c r="CJ78" s="37"/>
      <c r="CK78" s="45"/>
      <c r="CL78" s="45"/>
      <c r="CM78" s="37"/>
      <c r="CN78" s="45"/>
      <c r="CO78" s="45"/>
      <c r="CP78" s="37"/>
      <c r="CQ78" s="45"/>
      <c r="CR78" s="45"/>
      <c r="CS78" s="37"/>
      <c r="CT78" s="45"/>
      <c r="CU78" s="45"/>
      <c r="CV78" s="37"/>
      <c r="CW78" s="45"/>
      <c r="CX78" s="45"/>
      <c r="CY78" s="37"/>
      <c r="CZ78" s="45"/>
      <c r="DB78" s="37"/>
      <c r="DE78" s="37"/>
      <c r="DH78" s="37"/>
      <c r="DK78" s="37"/>
      <c r="DN78" s="37"/>
      <c r="DQ78" s="37"/>
      <c r="DT78" s="37"/>
      <c r="DW78" s="37"/>
      <c r="DZ78" s="37"/>
      <c r="EC78" s="37"/>
      <c r="EF78" s="37"/>
      <c r="EI78" s="37"/>
      <c r="EL78" s="37"/>
      <c r="EO78" s="37"/>
      <c r="ER78" s="37"/>
      <c r="EU78" s="37"/>
      <c r="EV78" s="45"/>
      <c r="EW78" s="45"/>
      <c r="EX78" s="37"/>
      <c r="EY78" s="45"/>
      <c r="EZ78" s="45"/>
      <c r="FA78" s="37"/>
      <c r="FB78" s="45"/>
      <c r="FC78" s="45"/>
      <c r="FD78" s="37"/>
      <c r="FE78" s="45"/>
      <c r="FF78" s="45"/>
      <c r="FG78" s="37"/>
      <c r="FH78" s="45"/>
      <c r="FI78" s="45"/>
      <c r="FJ78" s="37"/>
      <c r="FK78" s="45"/>
      <c r="FL78" s="45"/>
      <c r="FM78" s="37"/>
      <c r="FN78" s="45"/>
      <c r="FO78" s="45"/>
      <c r="FP78" s="37"/>
      <c r="FQ78" s="45"/>
      <c r="FR78" s="45"/>
      <c r="FS78" s="37"/>
      <c r="FT78" s="45"/>
      <c r="FU78" s="45"/>
      <c r="FV78" s="37"/>
      <c r="FW78" s="45"/>
      <c r="FX78" s="45"/>
      <c r="FY78" s="37"/>
      <c r="FZ78" s="45"/>
      <c r="GA78" s="45"/>
      <c r="GB78" s="37"/>
      <c r="GC78" s="45"/>
      <c r="GD78" s="45"/>
      <c r="GE78" s="37"/>
      <c r="GF78" s="45"/>
      <c r="GG78" s="45"/>
      <c r="GH78" s="37"/>
      <c r="GI78" s="45"/>
      <c r="GJ78" s="45"/>
      <c r="GK78" s="37"/>
      <c r="GL78" s="45"/>
      <c r="GM78" s="45"/>
      <c r="GN78" s="37"/>
      <c r="GO78" s="45"/>
      <c r="HE78" s="56"/>
    </row>
    <row r="79" ht="12.0" customHeight="1">
      <c r="A79" s="37"/>
      <c r="D79" s="37"/>
      <c r="E79" s="37"/>
      <c r="I79" s="37"/>
      <c r="M79" s="37"/>
      <c r="Q79" s="37"/>
      <c r="U79" s="37"/>
      <c r="Y79" s="37"/>
      <c r="AC79" s="37"/>
      <c r="AG79" s="37"/>
      <c r="AK79" s="37"/>
      <c r="AN79" s="37"/>
      <c r="AQ79" s="37"/>
      <c r="AT79" s="37"/>
      <c r="AW79" s="37"/>
      <c r="AZ79" s="37"/>
      <c r="BC79" s="37"/>
      <c r="BF79" s="37"/>
      <c r="BG79" s="45"/>
      <c r="BH79" s="45"/>
      <c r="BI79" s="37"/>
      <c r="BJ79" s="45"/>
      <c r="BK79" s="45"/>
      <c r="BL79" s="37"/>
      <c r="BM79" s="45"/>
      <c r="BN79" s="45"/>
      <c r="BO79" s="37"/>
      <c r="BP79" s="45"/>
      <c r="BQ79" s="45"/>
      <c r="BR79" s="37"/>
      <c r="BS79" s="45"/>
      <c r="BT79" s="45"/>
      <c r="BU79" s="37"/>
      <c r="BV79" s="45"/>
      <c r="BW79" s="45"/>
      <c r="BX79" s="37"/>
      <c r="BY79" s="45"/>
      <c r="BZ79" s="45"/>
      <c r="CA79" s="37"/>
      <c r="CB79" s="45"/>
      <c r="CC79" s="45"/>
      <c r="CD79" s="37"/>
      <c r="CE79" s="45"/>
      <c r="CF79" s="45"/>
      <c r="CG79" s="37"/>
      <c r="CH79" s="45"/>
      <c r="CI79" s="45"/>
      <c r="CJ79" s="37"/>
      <c r="CK79" s="45"/>
      <c r="CL79" s="45"/>
      <c r="CM79" s="37"/>
      <c r="CN79" s="45"/>
      <c r="CO79" s="45"/>
      <c r="CP79" s="37"/>
      <c r="CQ79" s="45"/>
      <c r="CR79" s="45"/>
      <c r="CS79" s="37"/>
      <c r="CT79" s="45"/>
      <c r="CU79" s="45"/>
      <c r="CV79" s="37"/>
      <c r="CW79" s="45"/>
      <c r="CX79" s="45"/>
      <c r="CY79" s="37"/>
      <c r="CZ79" s="45"/>
      <c r="DB79" s="37"/>
      <c r="DE79" s="37"/>
      <c r="DH79" s="37"/>
      <c r="DK79" s="37"/>
      <c r="DN79" s="37"/>
      <c r="DQ79" s="37"/>
      <c r="DT79" s="37"/>
      <c r="DW79" s="37"/>
      <c r="DZ79" s="37"/>
      <c r="EC79" s="37"/>
      <c r="EF79" s="37"/>
      <c r="EI79" s="37"/>
      <c r="EL79" s="37"/>
      <c r="EO79" s="37"/>
      <c r="ER79" s="37"/>
      <c r="EU79" s="37"/>
      <c r="EV79" s="45"/>
      <c r="EW79" s="45"/>
      <c r="EX79" s="37"/>
      <c r="EY79" s="45"/>
      <c r="EZ79" s="45"/>
      <c r="FA79" s="37"/>
      <c r="FB79" s="45"/>
      <c r="FC79" s="45"/>
      <c r="FD79" s="37"/>
      <c r="FE79" s="45"/>
      <c r="FF79" s="45"/>
      <c r="FG79" s="37"/>
      <c r="FH79" s="45"/>
      <c r="FI79" s="45"/>
      <c r="FJ79" s="37"/>
      <c r="FK79" s="45"/>
      <c r="FL79" s="45"/>
      <c r="FM79" s="37"/>
      <c r="FN79" s="45"/>
      <c r="FO79" s="45"/>
      <c r="FP79" s="37"/>
      <c r="FQ79" s="45"/>
      <c r="FR79" s="45"/>
      <c r="FS79" s="37"/>
      <c r="FT79" s="45"/>
      <c r="FU79" s="45"/>
      <c r="FV79" s="37"/>
      <c r="FW79" s="45"/>
      <c r="FX79" s="45"/>
      <c r="FY79" s="37"/>
      <c r="FZ79" s="45"/>
      <c r="GA79" s="45"/>
      <c r="GB79" s="37"/>
      <c r="GC79" s="45"/>
      <c r="GD79" s="45"/>
      <c r="GE79" s="37"/>
      <c r="GF79" s="45"/>
      <c r="GG79" s="45"/>
      <c r="GH79" s="37"/>
      <c r="GI79" s="45"/>
      <c r="GJ79" s="45"/>
      <c r="GK79" s="37"/>
      <c r="GL79" s="45"/>
      <c r="GM79" s="45"/>
      <c r="GN79" s="37"/>
      <c r="GO79" s="45"/>
      <c r="HE79" s="56"/>
    </row>
    <row r="80" ht="12.0" customHeight="1">
      <c r="A80" s="37"/>
      <c r="D80" s="37"/>
      <c r="E80" s="37"/>
      <c r="I80" s="37"/>
      <c r="M80" s="37"/>
      <c r="Q80" s="37"/>
      <c r="U80" s="37"/>
      <c r="Y80" s="37"/>
      <c r="AC80" s="37"/>
      <c r="AG80" s="37"/>
      <c r="AK80" s="37"/>
      <c r="AN80" s="37"/>
      <c r="AQ80" s="37"/>
      <c r="AT80" s="37"/>
      <c r="AW80" s="37"/>
      <c r="AZ80" s="37"/>
      <c r="BC80" s="37"/>
      <c r="BF80" s="37"/>
      <c r="BG80" s="45"/>
      <c r="BH80" s="45"/>
      <c r="BI80" s="37"/>
      <c r="BJ80" s="45"/>
      <c r="BK80" s="45"/>
      <c r="BL80" s="37"/>
      <c r="BM80" s="45"/>
      <c r="BN80" s="45"/>
      <c r="BO80" s="37"/>
      <c r="BP80" s="45"/>
      <c r="BQ80" s="45"/>
      <c r="BR80" s="37"/>
      <c r="BS80" s="45"/>
      <c r="BT80" s="45"/>
      <c r="BU80" s="37"/>
      <c r="BV80" s="45"/>
      <c r="BW80" s="45"/>
      <c r="BX80" s="37"/>
      <c r="BY80" s="45"/>
      <c r="BZ80" s="45"/>
      <c r="CA80" s="37"/>
      <c r="CB80" s="45"/>
      <c r="CC80" s="45"/>
      <c r="CD80" s="37"/>
      <c r="CE80" s="45"/>
      <c r="CF80" s="45"/>
      <c r="CG80" s="37"/>
      <c r="CH80" s="45"/>
      <c r="CI80" s="45"/>
      <c r="CJ80" s="37"/>
      <c r="CK80" s="45"/>
      <c r="CL80" s="45"/>
      <c r="CM80" s="37"/>
      <c r="CN80" s="45"/>
      <c r="CO80" s="45"/>
      <c r="CP80" s="37"/>
      <c r="CQ80" s="45"/>
      <c r="CR80" s="45"/>
      <c r="CS80" s="37"/>
      <c r="CT80" s="45"/>
      <c r="CU80" s="45"/>
      <c r="CV80" s="37"/>
      <c r="CW80" s="45"/>
      <c r="CX80" s="45"/>
      <c r="CY80" s="37"/>
      <c r="CZ80" s="45"/>
      <c r="DB80" s="37"/>
      <c r="DE80" s="37"/>
      <c r="DH80" s="37"/>
      <c r="DK80" s="37"/>
      <c r="DN80" s="37"/>
      <c r="DQ80" s="37"/>
      <c r="DT80" s="37"/>
      <c r="DW80" s="37"/>
      <c r="DZ80" s="37"/>
      <c r="EC80" s="37"/>
      <c r="EF80" s="37"/>
      <c r="EI80" s="37"/>
      <c r="EL80" s="37"/>
      <c r="EO80" s="37"/>
      <c r="ER80" s="37"/>
      <c r="EU80" s="37"/>
      <c r="EV80" s="45"/>
      <c r="EW80" s="45"/>
      <c r="EX80" s="37"/>
      <c r="EY80" s="45"/>
      <c r="EZ80" s="45"/>
      <c r="FA80" s="37"/>
      <c r="FB80" s="45"/>
      <c r="FC80" s="45"/>
      <c r="FD80" s="37"/>
      <c r="FE80" s="45"/>
      <c r="FF80" s="45"/>
      <c r="FG80" s="37"/>
      <c r="FH80" s="45"/>
      <c r="FI80" s="45"/>
      <c r="FJ80" s="37"/>
      <c r="FK80" s="45"/>
      <c r="FL80" s="45"/>
      <c r="FM80" s="37"/>
      <c r="FN80" s="45"/>
      <c r="FO80" s="45"/>
      <c r="FP80" s="37"/>
      <c r="FQ80" s="45"/>
      <c r="FR80" s="45"/>
      <c r="FS80" s="37"/>
      <c r="FT80" s="45"/>
      <c r="FU80" s="45"/>
      <c r="FV80" s="37"/>
      <c r="FW80" s="45"/>
      <c r="FX80" s="45"/>
      <c r="FY80" s="37"/>
      <c r="FZ80" s="45"/>
      <c r="GA80" s="45"/>
      <c r="GB80" s="37"/>
      <c r="GC80" s="45"/>
      <c r="GD80" s="45"/>
      <c r="GE80" s="37"/>
      <c r="GF80" s="45"/>
      <c r="GG80" s="45"/>
      <c r="GH80" s="37"/>
      <c r="GI80" s="45"/>
      <c r="GJ80" s="45"/>
      <c r="GK80" s="37"/>
      <c r="GL80" s="45"/>
      <c r="GM80" s="45"/>
      <c r="GN80" s="37"/>
      <c r="GO80" s="45"/>
      <c r="HE80" s="56"/>
    </row>
    <row r="81" ht="12.0" customHeight="1">
      <c r="A81" s="37"/>
      <c r="D81" s="37"/>
      <c r="E81" s="37"/>
      <c r="I81" s="37"/>
      <c r="M81" s="37"/>
      <c r="Q81" s="37"/>
      <c r="U81" s="37"/>
      <c r="Y81" s="37"/>
      <c r="AC81" s="37"/>
      <c r="AG81" s="37"/>
      <c r="AK81" s="37"/>
      <c r="AN81" s="37"/>
      <c r="AQ81" s="37"/>
      <c r="AT81" s="37"/>
      <c r="AW81" s="37"/>
      <c r="AZ81" s="37"/>
      <c r="BC81" s="37"/>
      <c r="BF81" s="37"/>
      <c r="BG81" s="45"/>
      <c r="BH81" s="45"/>
      <c r="BI81" s="37"/>
      <c r="BJ81" s="45"/>
      <c r="BK81" s="45"/>
      <c r="BL81" s="37"/>
      <c r="BM81" s="45"/>
      <c r="BN81" s="45"/>
      <c r="BO81" s="37"/>
      <c r="BP81" s="45"/>
      <c r="BQ81" s="45"/>
      <c r="BR81" s="37"/>
      <c r="BS81" s="45"/>
      <c r="BT81" s="45"/>
      <c r="BU81" s="37"/>
      <c r="BV81" s="45"/>
      <c r="BW81" s="45"/>
      <c r="BX81" s="37"/>
      <c r="BY81" s="45"/>
      <c r="BZ81" s="45"/>
      <c r="CA81" s="37"/>
      <c r="CB81" s="45"/>
      <c r="CC81" s="45"/>
      <c r="CD81" s="37"/>
      <c r="CE81" s="45"/>
      <c r="CF81" s="45"/>
      <c r="CG81" s="37"/>
      <c r="CH81" s="45"/>
      <c r="CI81" s="45"/>
      <c r="CJ81" s="37"/>
      <c r="CK81" s="45"/>
      <c r="CL81" s="45"/>
      <c r="CM81" s="37"/>
      <c r="CN81" s="45"/>
      <c r="CO81" s="45"/>
      <c r="CP81" s="37"/>
      <c r="CQ81" s="45"/>
      <c r="CR81" s="45"/>
      <c r="CS81" s="37"/>
      <c r="CT81" s="45"/>
      <c r="CU81" s="45"/>
      <c r="CV81" s="37"/>
      <c r="CW81" s="45"/>
      <c r="CX81" s="45"/>
      <c r="CY81" s="37"/>
      <c r="CZ81" s="45"/>
      <c r="DB81" s="37"/>
      <c r="DE81" s="37"/>
      <c r="DH81" s="37"/>
      <c r="DK81" s="37"/>
      <c r="DN81" s="37"/>
      <c r="DQ81" s="37"/>
      <c r="DT81" s="37"/>
      <c r="DW81" s="37"/>
      <c r="DZ81" s="37"/>
      <c r="EC81" s="37"/>
      <c r="EF81" s="37"/>
      <c r="EI81" s="37"/>
      <c r="EL81" s="37"/>
      <c r="EO81" s="37"/>
      <c r="ER81" s="37"/>
      <c r="EU81" s="37"/>
      <c r="EV81" s="45"/>
      <c r="EW81" s="45"/>
      <c r="EX81" s="37"/>
      <c r="EY81" s="45"/>
      <c r="EZ81" s="45"/>
      <c r="FA81" s="37"/>
      <c r="FB81" s="45"/>
      <c r="FC81" s="45"/>
      <c r="FD81" s="37"/>
      <c r="FE81" s="45"/>
      <c r="FF81" s="45"/>
      <c r="FG81" s="37"/>
      <c r="FH81" s="45"/>
      <c r="FI81" s="45"/>
      <c r="FJ81" s="37"/>
      <c r="FK81" s="45"/>
      <c r="FL81" s="45"/>
      <c r="FM81" s="37"/>
      <c r="FN81" s="45"/>
      <c r="FO81" s="45"/>
      <c r="FP81" s="37"/>
      <c r="FQ81" s="45"/>
      <c r="FR81" s="45"/>
      <c r="FS81" s="37"/>
      <c r="FT81" s="45"/>
      <c r="FU81" s="45"/>
      <c r="FV81" s="37"/>
      <c r="FW81" s="45"/>
      <c r="FX81" s="45"/>
      <c r="FY81" s="37"/>
      <c r="FZ81" s="45"/>
      <c r="GA81" s="45"/>
      <c r="GB81" s="37"/>
      <c r="GC81" s="45"/>
      <c r="GD81" s="45"/>
      <c r="GE81" s="37"/>
      <c r="GF81" s="45"/>
      <c r="GG81" s="45"/>
      <c r="GH81" s="37"/>
      <c r="GI81" s="45"/>
      <c r="GJ81" s="45"/>
      <c r="GK81" s="37"/>
      <c r="GL81" s="45"/>
      <c r="GM81" s="45"/>
      <c r="GN81" s="37"/>
      <c r="GO81" s="45"/>
      <c r="HE81" s="56"/>
    </row>
    <row r="82" ht="12.0" customHeight="1">
      <c r="A82" s="37"/>
      <c r="D82" s="37"/>
      <c r="E82" s="37"/>
      <c r="I82" s="37"/>
      <c r="M82" s="37"/>
      <c r="Q82" s="37"/>
      <c r="U82" s="37"/>
      <c r="Y82" s="37"/>
      <c r="AC82" s="37"/>
      <c r="AG82" s="37"/>
      <c r="AK82" s="37"/>
      <c r="AN82" s="37"/>
      <c r="AQ82" s="37"/>
      <c r="AT82" s="37"/>
      <c r="AW82" s="37"/>
      <c r="AZ82" s="37"/>
      <c r="BC82" s="37"/>
      <c r="BF82" s="37"/>
      <c r="BG82" s="45"/>
      <c r="BH82" s="45"/>
      <c r="BI82" s="37"/>
      <c r="BJ82" s="45"/>
      <c r="BK82" s="45"/>
      <c r="BL82" s="37"/>
      <c r="BM82" s="45"/>
      <c r="BN82" s="45"/>
      <c r="BO82" s="37"/>
      <c r="BP82" s="45"/>
      <c r="BQ82" s="45"/>
      <c r="BR82" s="37"/>
      <c r="BS82" s="45"/>
      <c r="BT82" s="45"/>
      <c r="BU82" s="37"/>
      <c r="BV82" s="45"/>
      <c r="BW82" s="45"/>
      <c r="BX82" s="37"/>
      <c r="BY82" s="45"/>
      <c r="BZ82" s="45"/>
      <c r="CA82" s="37"/>
      <c r="CB82" s="45"/>
      <c r="CC82" s="45"/>
      <c r="CD82" s="37"/>
      <c r="CE82" s="45"/>
      <c r="CF82" s="45"/>
      <c r="CG82" s="37"/>
      <c r="CH82" s="45"/>
      <c r="CI82" s="45"/>
      <c r="CJ82" s="37"/>
      <c r="CK82" s="45"/>
      <c r="CL82" s="45"/>
      <c r="CM82" s="37"/>
      <c r="CN82" s="45"/>
      <c r="CO82" s="45"/>
      <c r="CP82" s="37"/>
      <c r="CQ82" s="45"/>
      <c r="CR82" s="45"/>
      <c r="CS82" s="37"/>
      <c r="CT82" s="45"/>
      <c r="CU82" s="45"/>
      <c r="CV82" s="37"/>
      <c r="CW82" s="45"/>
      <c r="CX82" s="45"/>
      <c r="CY82" s="37"/>
      <c r="CZ82" s="45"/>
      <c r="DB82" s="37"/>
      <c r="DE82" s="37"/>
      <c r="DH82" s="37"/>
      <c r="DK82" s="37"/>
      <c r="DN82" s="37"/>
      <c r="DQ82" s="37"/>
      <c r="DT82" s="37"/>
      <c r="DW82" s="37"/>
      <c r="DZ82" s="37"/>
      <c r="EC82" s="37"/>
      <c r="EF82" s="37"/>
      <c r="EI82" s="37"/>
      <c r="EL82" s="37"/>
      <c r="EO82" s="37"/>
      <c r="ER82" s="37"/>
      <c r="EU82" s="37"/>
      <c r="EV82" s="45"/>
      <c r="EW82" s="45"/>
      <c r="EX82" s="37"/>
      <c r="EY82" s="45"/>
      <c r="EZ82" s="45"/>
      <c r="FA82" s="37"/>
      <c r="FB82" s="45"/>
      <c r="FC82" s="45"/>
      <c r="FD82" s="37"/>
      <c r="FE82" s="45"/>
      <c r="FF82" s="45"/>
      <c r="FG82" s="37"/>
      <c r="FH82" s="45"/>
      <c r="FI82" s="45"/>
      <c r="FJ82" s="37"/>
      <c r="FK82" s="45"/>
      <c r="FL82" s="45"/>
      <c r="FM82" s="37"/>
      <c r="FN82" s="45"/>
      <c r="FO82" s="45"/>
      <c r="FP82" s="37"/>
      <c r="FQ82" s="45"/>
      <c r="FR82" s="45"/>
      <c r="FS82" s="37"/>
      <c r="FT82" s="45"/>
      <c r="FU82" s="45"/>
      <c r="FV82" s="37"/>
      <c r="FW82" s="45"/>
      <c r="FX82" s="45"/>
      <c r="FY82" s="37"/>
      <c r="FZ82" s="45"/>
      <c r="GA82" s="45"/>
      <c r="GB82" s="37"/>
      <c r="GC82" s="45"/>
      <c r="GD82" s="45"/>
      <c r="GE82" s="37"/>
      <c r="GF82" s="45"/>
      <c r="GG82" s="45"/>
      <c r="GH82" s="37"/>
      <c r="GI82" s="45"/>
      <c r="GJ82" s="45"/>
      <c r="GK82" s="37"/>
      <c r="GL82" s="45"/>
      <c r="GM82" s="45"/>
      <c r="GN82" s="37"/>
      <c r="GO82" s="45"/>
      <c r="HE82" s="56"/>
    </row>
    <row r="83" ht="12.0" customHeight="1">
      <c r="A83" s="37"/>
      <c r="D83" s="37"/>
      <c r="E83" s="37"/>
      <c r="I83" s="37"/>
      <c r="M83" s="37"/>
      <c r="Q83" s="37"/>
      <c r="U83" s="37"/>
      <c r="Y83" s="37"/>
      <c r="AC83" s="37"/>
      <c r="AG83" s="37"/>
      <c r="AK83" s="37"/>
      <c r="AN83" s="37"/>
      <c r="AQ83" s="37"/>
      <c r="AT83" s="37"/>
      <c r="AW83" s="37"/>
      <c r="AZ83" s="37"/>
      <c r="BC83" s="37"/>
      <c r="BF83" s="37"/>
      <c r="BG83" s="45"/>
      <c r="BH83" s="45"/>
      <c r="BI83" s="37"/>
      <c r="BJ83" s="45"/>
      <c r="BK83" s="45"/>
      <c r="BL83" s="37"/>
      <c r="BM83" s="45"/>
      <c r="BN83" s="45"/>
      <c r="BO83" s="37"/>
      <c r="BP83" s="45"/>
      <c r="BQ83" s="45"/>
      <c r="BR83" s="37"/>
      <c r="BS83" s="45"/>
      <c r="BT83" s="45"/>
      <c r="BU83" s="37"/>
      <c r="BV83" s="45"/>
      <c r="BW83" s="45"/>
      <c r="BX83" s="37"/>
      <c r="BY83" s="45"/>
      <c r="BZ83" s="45"/>
      <c r="CA83" s="37"/>
      <c r="CB83" s="45"/>
      <c r="CC83" s="45"/>
      <c r="CD83" s="37"/>
      <c r="CE83" s="45"/>
      <c r="CF83" s="45"/>
      <c r="CG83" s="37"/>
      <c r="CH83" s="45"/>
      <c r="CI83" s="45"/>
      <c r="CJ83" s="37"/>
      <c r="CK83" s="45"/>
      <c r="CL83" s="45"/>
      <c r="CM83" s="37"/>
      <c r="CN83" s="45"/>
      <c r="CO83" s="45"/>
      <c r="CP83" s="37"/>
      <c r="CQ83" s="45"/>
      <c r="CR83" s="45"/>
      <c r="CS83" s="37"/>
      <c r="CT83" s="45"/>
      <c r="CU83" s="45"/>
      <c r="CV83" s="37"/>
      <c r="CW83" s="45"/>
      <c r="CX83" s="45"/>
      <c r="CY83" s="37"/>
      <c r="CZ83" s="45"/>
      <c r="DB83" s="37"/>
      <c r="DE83" s="37"/>
      <c r="DH83" s="37"/>
      <c r="DK83" s="37"/>
      <c r="DN83" s="37"/>
      <c r="DQ83" s="37"/>
      <c r="DT83" s="37"/>
      <c r="DW83" s="37"/>
      <c r="DZ83" s="37"/>
      <c r="EC83" s="37"/>
      <c r="EF83" s="37"/>
      <c r="EI83" s="37"/>
      <c r="EL83" s="37"/>
      <c r="EO83" s="37"/>
      <c r="ER83" s="37"/>
      <c r="EU83" s="37"/>
      <c r="EV83" s="45"/>
      <c r="EW83" s="45"/>
      <c r="EX83" s="37"/>
      <c r="EY83" s="45"/>
      <c r="EZ83" s="45"/>
      <c r="FA83" s="37"/>
      <c r="FB83" s="45"/>
      <c r="FC83" s="45"/>
      <c r="FD83" s="37"/>
      <c r="FE83" s="45"/>
      <c r="FF83" s="45"/>
      <c r="FG83" s="37"/>
      <c r="FH83" s="45"/>
      <c r="FI83" s="45"/>
      <c r="FJ83" s="37"/>
      <c r="FK83" s="45"/>
      <c r="FL83" s="45"/>
      <c r="FM83" s="37"/>
      <c r="FN83" s="45"/>
      <c r="FO83" s="45"/>
      <c r="FP83" s="37"/>
      <c r="FQ83" s="45"/>
      <c r="FR83" s="45"/>
      <c r="FS83" s="37"/>
      <c r="FT83" s="45"/>
      <c r="FU83" s="45"/>
      <c r="FV83" s="37"/>
      <c r="FW83" s="45"/>
      <c r="FX83" s="45"/>
      <c r="FY83" s="37"/>
      <c r="FZ83" s="45"/>
      <c r="GA83" s="45"/>
      <c r="GB83" s="37"/>
      <c r="GC83" s="45"/>
      <c r="GD83" s="45"/>
      <c r="GE83" s="37"/>
      <c r="GF83" s="45"/>
      <c r="GG83" s="45"/>
      <c r="GH83" s="37"/>
      <c r="GI83" s="45"/>
      <c r="GJ83" s="45"/>
      <c r="GK83" s="37"/>
      <c r="GL83" s="45"/>
      <c r="GM83" s="45"/>
      <c r="GN83" s="37"/>
      <c r="GO83" s="45"/>
      <c r="HE83" s="56"/>
    </row>
    <row r="84" ht="12.0" customHeight="1">
      <c r="A84" s="37"/>
      <c r="D84" s="37"/>
      <c r="E84" s="37"/>
      <c r="I84" s="37"/>
      <c r="M84" s="37"/>
      <c r="Q84" s="37"/>
      <c r="U84" s="37"/>
      <c r="Y84" s="37"/>
      <c r="AC84" s="37"/>
      <c r="AG84" s="37"/>
      <c r="AK84" s="37"/>
      <c r="AN84" s="37"/>
      <c r="AQ84" s="37"/>
      <c r="AT84" s="37"/>
      <c r="AW84" s="37"/>
      <c r="AZ84" s="37"/>
      <c r="BC84" s="37"/>
      <c r="BF84" s="37"/>
      <c r="BG84" s="45"/>
      <c r="BH84" s="45"/>
      <c r="BI84" s="37"/>
      <c r="BJ84" s="45"/>
      <c r="BK84" s="45"/>
      <c r="BL84" s="37"/>
      <c r="BM84" s="45"/>
      <c r="BN84" s="45"/>
      <c r="BO84" s="37"/>
      <c r="BP84" s="45"/>
      <c r="BQ84" s="45"/>
      <c r="BR84" s="37"/>
      <c r="BS84" s="45"/>
      <c r="BT84" s="45"/>
      <c r="BU84" s="37"/>
      <c r="BV84" s="45"/>
      <c r="BW84" s="45"/>
      <c r="BX84" s="37"/>
      <c r="BY84" s="45"/>
      <c r="BZ84" s="45"/>
      <c r="CA84" s="37"/>
      <c r="CB84" s="45"/>
      <c r="CC84" s="45"/>
      <c r="CD84" s="37"/>
      <c r="CE84" s="45"/>
      <c r="CF84" s="45"/>
      <c r="CG84" s="37"/>
      <c r="CH84" s="45"/>
      <c r="CI84" s="45"/>
      <c r="CJ84" s="37"/>
      <c r="CK84" s="45"/>
      <c r="CL84" s="45"/>
      <c r="CM84" s="37"/>
      <c r="CN84" s="45"/>
      <c r="CO84" s="45"/>
      <c r="CP84" s="37"/>
      <c r="CQ84" s="45"/>
      <c r="CR84" s="45"/>
      <c r="CS84" s="37"/>
      <c r="CT84" s="45"/>
      <c r="CU84" s="45"/>
      <c r="CV84" s="37"/>
      <c r="CW84" s="45"/>
      <c r="CX84" s="45"/>
      <c r="CY84" s="37"/>
      <c r="CZ84" s="45"/>
      <c r="DB84" s="37"/>
      <c r="DE84" s="37"/>
      <c r="DH84" s="37"/>
      <c r="DK84" s="37"/>
      <c r="DN84" s="37"/>
      <c r="DQ84" s="37"/>
      <c r="DT84" s="37"/>
      <c r="DW84" s="37"/>
      <c r="DZ84" s="37"/>
      <c r="EC84" s="37"/>
      <c r="EF84" s="37"/>
      <c r="EI84" s="37"/>
      <c r="EL84" s="37"/>
      <c r="EO84" s="37"/>
      <c r="ER84" s="37"/>
      <c r="EU84" s="37"/>
      <c r="EV84" s="45"/>
      <c r="EW84" s="45"/>
      <c r="EX84" s="37"/>
      <c r="EY84" s="45"/>
      <c r="EZ84" s="45"/>
      <c r="FA84" s="37"/>
      <c r="FB84" s="45"/>
      <c r="FC84" s="45"/>
      <c r="FD84" s="37"/>
      <c r="FE84" s="45"/>
      <c r="FF84" s="45"/>
      <c r="FG84" s="37"/>
      <c r="FH84" s="45"/>
      <c r="FI84" s="45"/>
      <c r="FJ84" s="37"/>
      <c r="FK84" s="45"/>
      <c r="FL84" s="45"/>
      <c r="FM84" s="37"/>
      <c r="FN84" s="45"/>
      <c r="FO84" s="45"/>
      <c r="FP84" s="37"/>
      <c r="FQ84" s="45"/>
      <c r="FR84" s="45"/>
      <c r="FS84" s="37"/>
      <c r="FT84" s="45"/>
      <c r="FU84" s="45"/>
      <c r="FV84" s="37"/>
      <c r="FW84" s="45"/>
      <c r="FX84" s="45"/>
      <c r="FY84" s="37"/>
      <c r="FZ84" s="45"/>
      <c r="GA84" s="45"/>
      <c r="GB84" s="37"/>
      <c r="GC84" s="45"/>
      <c r="GD84" s="45"/>
      <c r="GE84" s="37"/>
      <c r="GF84" s="45"/>
      <c r="GG84" s="45"/>
      <c r="GH84" s="37"/>
      <c r="GI84" s="45"/>
      <c r="GJ84" s="45"/>
      <c r="GK84" s="37"/>
      <c r="GL84" s="45"/>
      <c r="GM84" s="45"/>
      <c r="GN84" s="37"/>
      <c r="GO84" s="45"/>
      <c r="HE84" s="56"/>
    </row>
    <row r="85" ht="12.0" customHeight="1">
      <c r="A85" s="37"/>
      <c r="D85" s="37"/>
      <c r="E85" s="37"/>
      <c r="I85" s="37"/>
      <c r="M85" s="37"/>
      <c r="Q85" s="37"/>
      <c r="U85" s="37"/>
      <c r="Y85" s="37"/>
      <c r="AC85" s="37"/>
      <c r="AG85" s="37"/>
      <c r="AK85" s="37"/>
      <c r="AN85" s="37"/>
      <c r="AQ85" s="37"/>
      <c r="AT85" s="37"/>
      <c r="AW85" s="37"/>
      <c r="AZ85" s="37"/>
      <c r="BC85" s="37"/>
      <c r="BF85" s="37"/>
      <c r="BG85" s="45"/>
      <c r="BH85" s="45"/>
      <c r="BI85" s="37"/>
      <c r="BJ85" s="45"/>
      <c r="BK85" s="45"/>
      <c r="BL85" s="37"/>
      <c r="BM85" s="45"/>
      <c r="BN85" s="45"/>
      <c r="BO85" s="37"/>
      <c r="BP85" s="45"/>
      <c r="BQ85" s="45"/>
      <c r="BR85" s="37"/>
      <c r="BS85" s="45"/>
      <c r="BT85" s="45"/>
      <c r="BU85" s="37"/>
      <c r="BV85" s="45"/>
      <c r="BW85" s="45"/>
      <c r="BX85" s="37"/>
      <c r="BY85" s="45"/>
      <c r="BZ85" s="45"/>
      <c r="CA85" s="37"/>
      <c r="CB85" s="45"/>
      <c r="CC85" s="45"/>
      <c r="CD85" s="37"/>
      <c r="CE85" s="45"/>
      <c r="CF85" s="45"/>
      <c r="CG85" s="37"/>
      <c r="CH85" s="45"/>
      <c r="CI85" s="45"/>
      <c r="CJ85" s="37"/>
      <c r="CK85" s="45"/>
      <c r="CL85" s="45"/>
      <c r="CM85" s="37"/>
      <c r="CN85" s="45"/>
      <c r="CO85" s="45"/>
      <c r="CP85" s="37"/>
      <c r="CQ85" s="45"/>
      <c r="CR85" s="45"/>
      <c r="CS85" s="37"/>
      <c r="CT85" s="45"/>
      <c r="CU85" s="45"/>
      <c r="CV85" s="37"/>
      <c r="CW85" s="45"/>
      <c r="CX85" s="45"/>
      <c r="CY85" s="37"/>
      <c r="CZ85" s="45"/>
      <c r="DB85" s="37"/>
      <c r="DE85" s="37"/>
      <c r="DH85" s="37"/>
      <c r="DK85" s="37"/>
      <c r="DN85" s="37"/>
      <c r="DQ85" s="37"/>
      <c r="DT85" s="37"/>
      <c r="DW85" s="37"/>
      <c r="DZ85" s="37"/>
      <c r="EC85" s="37"/>
      <c r="EF85" s="37"/>
      <c r="EI85" s="37"/>
      <c r="EL85" s="37"/>
      <c r="EO85" s="37"/>
      <c r="ER85" s="37"/>
      <c r="EU85" s="37"/>
      <c r="EV85" s="45"/>
      <c r="EW85" s="45"/>
      <c r="EX85" s="37"/>
      <c r="EY85" s="45"/>
      <c r="EZ85" s="45"/>
      <c r="FA85" s="37"/>
      <c r="FB85" s="45"/>
      <c r="FC85" s="45"/>
      <c r="FD85" s="37"/>
      <c r="FE85" s="45"/>
      <c r="FF85" s="45"/>
      <c r="FG85" s="37"/>
      <c r="FH85" s="45"/>
      <c r="FI85" s="45"/>
      <c r="FJ85" s="37"/>
      <c r="FK85" s="45"/>
      <c r="FL85" s="45"/>
      <c r="FM85" s="37"/>
      <c r="FN85" s="45"/>
      <c r="FO85" s="45"/>
      <c r="FP85" s="37"/>
      <c r="FQ85" s="45"/>
      <c r="FR85" s="45"/>
      <c r="FS85" s="37"/>
      <c r="FT85" s="45"/>
      <c r="FU85" s="45"/>
      <c r="FV85" s="37"/>
      <c r="FW85" s="45"/>
      <c r="FX85" s="45"/>
      <c r="FY85" s="37"/>
      <c r="FZ85" s="45"/>
      <c r="GA85" s="45"/>
      <c r="GB85" s="37"/>
      <c r="GC85" s="45"/>
      <c r="GD85" s="45"/>
      <c r="GE85" s="37"/>
      <c r="GF85" s="45"/>
      <c r="GG85" s="45"/>
      <c r="GH85" s="37"/>
      <c r="GI85" s="45"/>
      <c r="GJ85" s="45"/>
      <c r="GK85" s="37"/>
      <c r="GL85" s="45"/>
      <c r="GM85" s="45"/>
      <c r="GN85" s="37"/>
      <c r="GO85" s="45"/>
      <c r="HE85" s="56"/>
    </row>
    <row r="86" ht="12.0" customHeight="1">
      <c r="A86" s="37"/>
      <c r="D86" s="37"/>
      <c r="E86" s="37"/>
      <c r="I86" s="37"/>
      <c r="M86" s="37"/>
      <c r="Q86" s="37"/>
      <c r="U86" s="37"/>
      <c r="Y86" s="37"/>
      <c r="AC86" s="37"/>
      <c r="AG86" s="37"/>
      <c r="AK86" s="37"/>
      <c r="AN86" s="37"/>
      <c r="AQ86" s="37"/>
      <c r="AT86" s="37"/>
      <c r="AW86" s="37"/>
      <c r="AZ86" s="37"/>
      <c r="BC86" s="37"/>
      <c r="BF86" s="37"/>
      <c r="BG86" s="45"/>
      <c r="BH86" s="45"/>
      <c r="BI86" s="37"/>
      <c r="BJ86" s="45"/>
      <c r="BK86" s="45"/>
      <c r="BL86" s="37"/>
      <c r="BM86" s="45"/>
      <c r="BN86" s="45"/>
      <c r="BO86" s="37"/>
      <c r="BP86" s="45"/>
      <c r="BQ86" s="45"/>
      <c r="BR86" s="37"/>
      <c r="BS86" s="45"/>
      <c r="BT86" s="45"/>
      <c r="BU86" s="37"/>
      <c r="BV86" s="45"/>
      <c r="BW86" s="45"/>
      <c r="BX86" s="37"/>
      <c r="BY86" s="45"/>
      <c r="BZ86" s="45"/>
      <c r="CA86" s="37"/>
      <c r="CB86" s="45"/>
      <c r="CC86" s="45"/>
      <c r="CD86" s="37"/>
      <c r="CE86" s="45"/>
      <c r="CF86" s="45"/>
      <c r="CG86" s="37"/>
      <c r="CH86" s="45"/>
      <c r="CI86" s="45"/>
      <c r="CJ86" s="37"/>
      <c r="CK86" s="45"/>
      <c r="CL86" s="45"/>
      <c r="CM86" s="37"/>
      <c r="CN86" s="45"/>
      <c r="CO86" s="45"/>
      <c r="CP86" s="37"/>
      <c r="CQ86" s="45"/>
      <c r="CR86" s="45"/>
      <c r="CS86" s="37"/>
      <c r="CT86" s="45"/>
      <c r="CU86" s="45"/>
      <c r="CV86" s="37"/>
      <c r="CW86" s="45"/>
      <c r="CX86" s="45"/>
      <c r="CY86" s="37"/>
      <c r="CZ86" s="45"/>
      <c r="DB86" s="37"/>
      <c r="DE86" s="37"/>
      <c r="DH86" s="37"/>
      <c r="DK86" s="37"/>
      <c r="DN86" s="37"/>
      <c r="DQ86" s="37"/>
      <c r="DT86" s="37"/>
      <c r="DW86" s="37"/>
      <c r="DZ86" s="37"/>
      <c r="EC86" s="37"/>
      <c r="EF86" s="37"/>
      <c r="EI86" s="37"/>
      <c r="EL86" s="37"/>
      <c r="EO86" s="37"/>
      <c r="ER86" s="37"/>
      <c r="EU86" s="37"/>
      <c r="EV86" s="45"/>
      <c r="EW86" s="45"/>
      <c r="EX86" s="37"/>
      <c r="EY86" s="45"/>
      <c r="EZ86" s="45"/>
      <c r="FA86" s="37"/>
      <c r="FB86" s="45"/>
      <c r="FC86" s="45"/>
      <c r="FD86" s="37"/>
      <c r="FE86" s="45"/>
      <c r="FF86" s="45"/>
      <c r="FG86" s="37"/>
      <c r="FH86" s="45"/>
      <c r="FI86" s="45"/>
      <c r="FJ86" s="37"/>
      <c r="FK86" s="45"/>
      <c r="FL86" s="45"/>
      <c r="FM86" s="37"/>
      <c r="FN86" s="45"/>
      <c r="FO86" s="45"/>
      <c r="FP86" s="37"/>
      <c r="FQ86" s="45"/>
      <c r="FR86" s="45"/>
      <c r="FS86" s="37"/>
      <c r="FT86" s="45"/>
      <c r="FU86" s="45"/>
      <c r="FV86" s="37"/>
      <c r="FW86" s="45"/>
      <c r="FX86" s="45"/>
      <c r="FY86" s="37"/>
      <c r="FZ86" s="45"/>
      <c r="GA86" s="45"/>
      <c r="GB86" s="37"/>
      <c r="GC86" s="45"/>
      <c r="GD86" s="45"/>
      <c r="GE86" s="37"/>
      <c r="GF86" s="45"/>
      <c r="GG86" s="45"/>
      <c r="GH86" s="37"/>
      <c r="GI86" s="45"/>
      <c r="GJ86" s="45"/>
      <c r="GK86" s="37"/>
      <c r="GL86" s="45"/>
      <c r="GM86" s="45"/>
      <c r="GN86" s="37"/>
      <c r="GO86" s="45"/>
      <c r="HE86" s="56"/>
    </row>
    <row r="87" ht="12.0" customHeight="1">
      <c r="A87" s="37"/>
      <c r="D87" s="37"/>
      <c r="E87" s="37"/>
      <c r="I87" s="37"/>
      <c r="M87" s="37"/>
      <c r="Q87" s="37"/>
      <c r="U87" s="37"/>
      <c r="Y87" s="37"/>
      <c r="AC87" s="37"/>
      <c r="AG87" s="37"/>
      <c r="AK87" s="37"/>
      <c r="AN87" s="37"/>
      <c r="AQ87" s="37"/>
      <c r="AT87" s="37"/>
      <c r="AW87" s="37"/>
      <c r="AZ87" s="37"/>
      <c r="BC87" s="37"/>
      <c r="BF87" s="37"/>
      <c r="BG87" s="45"/>
      <c r="BH87" s="45"/>
      <c r="BI87" s="37"/>
      <c r="BJ87" s="45"/>
      <c r="BK87" s="45"/>
      <c r="BL87" s="37"/>
      <c r="BM87" s="45"/>
      <c r="BN87" s="45"/>
      <c r="BO87" s="37"/>
      <c r="BP87" s="45"/>
      <c r="BQ87" s="45"/>
      <c r="BR87" s="37"/>
      <c r="BS87" s="45"/>
      <c r="BT87" s="45"/>
      <c r="BU87" s="37"/>
      <c r="BV87" s="45"/>
      <c r="BW87" s="45"/>
      <c r="BX87" s="37"/>
      <c r="BY87" s="45"/>
      <c r="BZ87" s="45"/>
      <c r="CA87" s="37"/>
      <c r="CB87" s="45"/>
      <c r="CC87" s="45"/>
      <c r="CD87" s="37"/>
      <c r="CE87" s="45"/>
      <c r="CF87" s="45"/>
      <c r="CG87" s="37"/>
      <c r="CH87" s="45"/>
      <c r="CI87" s="45"/>
      <c r="CJ87" s="37"/>
      <c r="CK87" s="45"/>
      <c r="CL87" s="45"/>
      <c r="CM87" s="37"/>
      <c r="CN87" s="45"/>
      <c r="CO87" s="45"/>
      <c r="CP87" s="37"/>
      <c r="CQ87" s="45"/>
      <c r="CR87" s="45"/>
      <c r="CS87" s="37"/>
      <c r="CT87" s="45"/>
      <c r="CU87" s="45"/>
      <c r="CV87" s="37"/>
      <c r="CW87" s="45"/>
      <c r="CX87" s="45"/>
      <c r="CY87" s="37"/>
      <c r="CZ87" s="45"/>
      <c r="DB87" s="37"/>
      <c r="DE87" s="37"/>
      <c r="DH87" s="37"/>
      <c r="DK87" s="37"/>
      <c r="DN87" s="37"/>
      <c r="DQ87" s="37"/>
      <c r="DT87" s="37"/>
      <c r="DW87" s="37"/>
      <c r="DZ87" s="37"/>
      <c r="EC87" s="37"/>
      <c r="EF87" s="37"/>
      <c r="EI87" s="37"/>
      <c r="EL87" s="37"/>
      <c r="EO87" s="37"/>
      <c r="ER87" s="37"/>
      <c r="EU87" s="37"/>
      <c r="EV87" s="45"/>
      <c r="EW87" s="45"/>
      <c r="EX87" s="37"/>
      <c r="EY87" s="45"/>
      <c r="EZ87" s="45"/>
      <c r="FA87" s="37"/>
      <c r="FB87" s="45"/>
      <c r="FC87" s="45"/>
      <c r="FD87" s="37"/>
      <c r="FE87" s="45"/>
      <c r="FF87" s="45"/>
      <c r="FG87" s="37"/>
      <c r="FH87" s="45"/>
      <c r="FI87" s="45"/>
      <c r="FJ87" s="37"/>
      <c r="FK87" s="45"/>
      <c r="FL87" s="45"/>
      <c r="FM87" s="37"/>
      <c r="FN87" s="45"/>
      <c r="FO87" s="45"/>
      <c r="FP87" s="37"/>
      <c r="FQ87" s="45"/>
      <c r="FR87" s="45"/>
      <c r="FS87" s="37"/>
      <c r="FT87" s="45"/>
      <c r="FU87" s="45"/>
      <c r="FV87" s="37"/>
      <c r="FW87" s="45"/>
      <c r="FX87" s="45"/>
      <c r="FY87" s="37"/>
      <c r="FZ87" s="45"/>
      <c r="GA87" s="45"/>
      <c r="GB87" s="37"/>
      <c r="GC87" s="45"/>
      <c r="GD87" s="45"/>
      <c r="GE87" s="37"/>
      <c r="GF87" s="45"/>
      <c r="GG87" s="45"/>
      <c r="GH87" s="37"/>
      <c r="GI87" s="45"/>
      <c r="GJ87" s="45"/>
      <c r="GK87" s="37"/>
      <c r="GL87" s="45"/>
      <c r="GM87" s="45"/>
      <c r="GN87" s="37"/>
      <c r="GO87" s="45"/>
      <c r="HE87" s="56"/>
    </row>
    <row r="88" ht="12.0" customHeight="1">
      <c r="A88" s="37"/>
      <c r="D88" s="37"/>
      <c r="E88" s="37"/>
      <c r="I88" s="37"/>
      <c r="M88" s="37"/>
      <c r="Q88" s="37"/>
      <c r="U88" s="37"/>
      <c r="Y88" s="37"/>
      <c r="AC88" s="37"/>
      <c r="AG88" s="37"/>
      <c r="AK88" s="37"/>
      <c r="AN88" s="37"/>
      <c r="AQ88" s="37"/>
      <c r="AT88" s="37"/>
      <c r="AW88" s="37"/>
      <c r="AZ88" s="37"/>
      <c r="BC88" s="37"/>
      <c r="BF88" s="37"/>
      <c r="BG88" s="45"/>
      <c r="BH88" s="45"/>
      <c r="BI88" s="37"/>
      <c r="BJ88" s="45"/>
      <c r="BK88" s="45"/>
      <c r="BL88" s="37"/>
      <c r="BM88" s="45"/>
      <c r="BN88" s="45"/>
      <c r="BO88" s="37"/>
      <c r="BP88" s="45"/>
      <c r="BQ88" s="45"/>
      <c r="BR88" s="37"/>
      <c r="BS88" s="45"/>
      <c r="BT88" s="45"/>
      <c r="BU88" s="37"/>
      <c r="BV88" s="45"/>
      <c r="BW88" s="45"/>
      <c r="BX88" s="37"/>
      <c r="BY88" s="45"/>
      <c r="BZ88" s="45"/>
      <c r="CA88" s="37"/>
      <c r="CB88" s="45"/>
      <c r="CC88" s="45"/>
      <c r="CD88" s="37"/>
      <c r="CE88" s="45"/>
      <c r="CF88" s="45"/>
      <c r="CG88" s="37"/>
      <c r="CH88" s="45"/>
      <c r="CI88" s="45"/>
      <c r="CJ88" s="37"/>
      <c r="CK88" s="45"/>
      <c r="CL88" s="45"/>
      <c r="CM88" s="37"/>
      <c r="CN88" s="45"/>
      <c r="CO88" s="45"/>
      <c r="CP88" s="37"/>
      <c r="CQ88" s="45"/>
      <c r="CR88" s="45"/>
      <c r="CS88" s="37"/>
      <c r="CT88" s="45"/>
      <c r="CU88" s="45"/>
      <c r="CV88" s="37"/>
      <c r="CW88" s="45"/>
      <c r="CX88" s="45"/>
      <c r="CY88" s="37"/>
      <c r="CZ88" s="45"/>
      <c r="DB88" s="37"/>
      <c r="DE88" s="37"/>
      <c r="DH88" s="37"/>
      <c r="DK88" s="37"/>
      <c r="DN88" s="37"/>
      <c r="DQ88" s="37"/>
      <c r="DT88" s="37"/>
      <c r="DW88" s="37"/>
      <c r="DZ88" s="37"/>
      <c r="EC88" s="37"/>
      <c r="EF88" s="37"/>
      <c r="EI88" s="37"/>
      <c r="EL88" s="37"/>
      <c r="EO88" s="37"/>
      <c r="ER88" s="37"/>
      <c r="EU88" s="37"/>
      <c r="EV88" s="45"/>
      <c r="EW88" s="45"/>
      <c r="EX88" s="37"/>
      <c r="EY88" s="45"/>
      <c r="EZ88" s="45"/>
      <c r="FA88" s="37"/>
      <c r="FB88" s="45"/>
      <c r="FC88" s="45"/>
      <c r="FD88" s="37"/>
      <c r="FE88" s="45"/>
      <c r="FF88" s="45"/>
      <c r="FG88" s="37"/>
      <c r="FH88" s="45"/>
      <c r="FI88" s="45"/>
      <c r="FJ88" s="37"/>
      <c r="FK88" s="45"/>
      <c r="FL88" s="45"/>
      <c r="FM88" s="37"/>
      <c r="FN88" s="45"/>
      <c r="FO88" s="45"/>
      <c r="FP88" s="37"/>
      <c r="FQ88" s="45"/>
      <c r="FR88" s="45"/>
      <c r="FS88" s="37"/>
      <c r="FT88" s="45"/>
      <c r="FU88" s="45"/>
      <c r="FV88" s="37"/>
      <c r="FW88" s="45"/>
      <c r="FX88" s="45"/>
      <c r="FY88" s="37"/>
      <c r="FZ88" s="45"/>
      <c r="GA88" s="45"/>
      <c r="GB88" s="37"/>
      <c r="GC88" s="45"/>
      <c r="GD88" s="45"/>
      <c r="GE88" s="37"/>
      <c r="GF88" s="45"/>
      <c r="GG88" s="45"/>
      <c r="GH88" s="37"/>
      <c r="GI88" s="45"/>
      <c r="GJ88" s="45"/>
      <c r="GK88" s="37"/>
      <c r="GL88" s="45"/>
      <c r="GM88" s="45"/>
      <c r="GN88" s="37"/>
      <c r="GO88" s="45"/>
      <c r="HE88" s="56"/>
    </row>
    <row r="89" ht="12.0" customHeight="1">
      <c r="A89" s="37"/>
      <c r="D89" s="37"/>
      <c r="E89" s="37"/>
      <c r="I89" s="37"/>
      <c r="M89" s="37"/>
      <c r="Q89" s="37"/>
      <c r="U89" s="37"/>
      <c r="Y89" s="37"/>
      <c r="AC89" s="37"/>
      <c r="AG89" s="37"/>
      <c r="AK89" s="37"/>
      <c r="AN89" s="37"/>
      <c r="AQ89" s="37"/>
      <c r="AT89" s="37"/>
      <c r="AW89" s="37"/>
      <c r="AZ89" s="37"/>
      <c r="BC89" s="37"/>
      <c r="BF89" s="37"/>
      <c r="BG89" s="45"/>
      <c r="BH89" s="45"/>
      <c r="BI89" s="37"/>
      <c r="BJ89" s="45"/>
      <c r="BK89" s="45"/>
      <c r="BL89" s="37"/>
      <c r="BM89" s="45"/>
      <c r="BN89" s="45"/>
      <c r="BO89" s="37"/>
      <c r="BP89" s="45"/>
      <c r="BQ89" s="45"/>
      <c r="BR89" s="37"/>
      <c r="BS89" s="45"/>
      <c r="BT89" s="45"/>
      <c r="BU89" s="37"/>
      <c r="BV89" s="45"/>
      <c r="BW89" s="45"/>
      <c r="BX89" s="37"/>
      <c r="BY89" s="45"/>
      <c r="BZ89" s="45"/>
      <c r="CA89" s="37"/>
      <c r="CB89" s="45"/>
      <c r="CC89" s="45"/>
      <c r="CD89" s="37"/>
      <c r="CE89" s="45"/>
      <c r="CF89" s="45"/>
      <c r="CG89" s="37"/>
      <c r="CH89" s="45"/>
      <c r="CI89" s="45"/>
      <c r="CJ89" s="37"/>
      <c r="CK89" s="45"/>
      <c r="CL89" s="45"/>
      <c r="CM89" s="37"/>
      <c r="CN89" s="45"/>
      <c r="CO89" s="45"/>
      <c r="CP89" s="37"/>
      <c r="CQ89" s="45"/>
      <c r="CR89" s="45"/>
      <c r="CS89" s="37"/>
      <c r="CT89" s="45"/>
      <c r="CU89" s="45"/>
      <c r="CV89" s="37"/>
      <c r="CW89" s="45"/>
      <c r="CX89" s="45"/>
      <c r="CY89" s="37"/>
      <c r="CZ89" s="45"/>
      <c r="DB89" s="37"/>
      <c r="DE89" s="37"/>
      <c r="DH89" s="37"/>
      <c r="DK89" s="37"/>
      <c r="DN89" s="37"/>
      <c r="DQ89" s="37"/>
      <c r="DT89" s="37"/>
      <c r="DW89" s="37"/>
      <c r="DZ89" s="37"/>
      <c r="EC89" s="37"/>
      <c r="EF89" s="37"/>
      <c r="EI89" s="37"/>
      <c r="EL89" s="37"/>
      <c r="EO89" s="37"/>
      <c r="ER89" s="37"/>
      <c r="EU89" s="37"/>
      <c r="EV89" s="45"/>
      <c r="EW89" s="45"/>
      <c r="EX89" s="37"/>
      <c r="EY89" s="45"/>
      <c r="EZ89" s="45"/>
      <c r="FA89" s="37"/>
      <c r="FB89" s="45"/>
      <c r="FC89" s="45"/>
      <c r="FD89" s="37"/>
      <c r="FE89" s="45"/>
      <c r="FF89" s="45"/>
      <c r="FG89" s="37"/>
      <c r="FH89" s="45"/>
      <c r="FI89" s="45"/>
      <c r="FJ89" s="37"/>
      <c r="FK89" s="45"/>
      <c r="FL89" s="45"/>
      <c r="FM89" s="37"/>
      <c r="FN89" s="45"/>
      <c r="FO89" s="45"/>
      <c r="FP89" s="37"/>
      <c r="FQ89" s="45"/>
      <c r="FR89" s="45"/>
      <c r="FS89" s="37"/>
      <c r="FT89" s="45"/>
      <c r="FU89" s="45"/>
      <c r="FV89" s="37"/>
      <c r="FW89" s="45"/>
      <c r="FX89" s="45"/>
      <c r="FY89" s="37"/>
      <c r="FZ89" s="45"/>
      <c r="GA89" s="45"/>
      <c r="GB89" s="37"/>
      <c r="GC89" s="45"/>
      <c r="GD89" s="45"/>
      <c r="GE89" s="37"/>
      <c r="GF89" s="45"/>
      <c r="GG89" s="45"/>
      <c r="GH89" s="37"/>
      <c r="GI89" s="45"/>
      <c r="GJ89" s="45"/>
      <c r="GK89" s="37"/>
      <c r="GL89" s="45"/>
      <c r="GM89" s="45"/>
      <c r="GN89" s="37"/>
      <c r="GO89" s="45"/>
      <c r="HE89" s="56"/>
    </row>
    <row r="90" ht="12.0" customHeight="1">
      <c r="A90" s="37"/>
      <c r="D90" s="37"/>
      <c r="E90" s="37"/>
      <c r="I90" s="37"/>
      <c r="M90" s="37"/>
      <c r="Q90" s="37"/>
      <c r="U90" s="37"/>
      <c r="Y90" s="37"/>
      <c r="AC90" s="37"/>
      <c r="AG90" s="37"/>
      <c r="AK90" s="37"/>
      <c r="AN90" s="37"/>
      <c r="AQ90" s="37"/>
      <c r="AT90" s="37"/>
      <c r="AW90" s="37"/>
      <c r="AZ90" s="37"/>
      <c r="BC90" s="37"/>
      <c r="BF90" s="37"/>
      <c r="BG90" s="45"/>
      <c r="BH90" s="45"/>
      <c r="BI90" s="37"/>
      <c r="BJ90" s="45"/>
      <c r="BK90" s="45"/>
      <c r="BL90" s="37"/>
      <c r="BM90" s="45"/>
      <c r="BN90" s="45"/>
      <c r="BO90" s="37"/>
      <c r="BP90" s="45"/>
      <c r="BQ90" s="45"/>
      <c r="BR90" s="37"/>
      <c r="BS90" s="45"/>
      <c r="BT90" s="45"/>
      <c r="BU90" s="37"/>
      <c r="BV90" s="45"/>
      <c r="BW90" s="45"/>
      <c r="BX90" s="37"/>
      <c r="BY90" s="45"/>
      <c r="BZ90" s="45"/>
      <c r="CA90" s="37"/>
      <c r="CB90" s="45"/>
      <c r="CC90" s="45"/>
      <c r="CD90" s="37"/>
      <c r="CE90" s="45"/>
      <c r="CF90" s="45"/>
      <c r="CG90" s="37"/>
      <c r="CH90" s="45"/>
      <c r="CI90" s="45"/>
      <c r="CJ90" s="37"/>
      <c r="CK90" s="45"/>
      <c r="CL90" s="45"/>
      <c r="CM90" s="37"/>
      <c r="CN90" s="45"/>
      <c r="CO90" s="45"/>
      <c r="CP90" s="37"/>
      <c r="CQ90" s="45"/>
      <c r="CR90" s="45"/>
      <c r="CS90" s="37"/>
      <c r="CT90" s="45"/>
      <c r="CU90" s="45"/>
      <c r="CV90" s="37"/>
      <c r="CW90" s="45"/>
      <c r="CX90" s="45"/>
      <c r="CY90" s="37"/>
      <c r="CZ90" s="45"/>
      <c r="DB90" s="37"/>
      <c r="DE90" s="37"/>
      <c r="DH90" s="37"/>
      <c r="DK90" s="37"/>
      <c r="DN90" s="37"/>
      <c r="DQ90" s="37"/>
      <c r="DT90" s="37"/>
      <c r="DW90" s="37"/>
      <c r="DZ90" s="37"/>
      <c r="EC90" s="37"/>
      <c r="EF90" s="37"/>
      <c r="EI90" s="37"/>
      <c r="EL90" s="37"/>
      <c r="EO90" s="37"/>
      <c r="ER90" s="37"/>
      <c r="EU90" s="37"/>
      <c r="EV90" s="45"/>
      <c r="EW90" s="45"/>
      <c r="EX90" s="37"/>
      <c r="EY90" s="45"/>
      <c r="EZ90" s="45"/>
      <c r="FA90" s="37"/>
      <c r="FB90" s="45"/>
      <c r="FC90" s="45"/>
      <c r="FD90" s="37"/>
      <c r="FE90" s="45"/>
      <c r="FF90" s="45"/>
      <c r="FG90" s="37"/>
      <c r="FH90" s="45"/>
      <c r="FI90" s="45"/>
      <c r="FJ90" s="37"/>
      <c r="FK90" s="45"/>
      <c r="FL90" s="45"/>
      <c r="FM90" s="37"/>
      <c r="FN90" s="45"/>
      <c r="FO90" s="45"/>
      <c r="FP90" s="37"/>
      <c r="FQ90" s="45"/>
      <c r="FR90" s="45"/>
      <c r="FS90" s="37"/>
      <c r="FT90" s="45"/>
      <c r="FU90" s="45"/>
      <c r="FV90" s="37"/>
      <c r="FW90" s="45"/>
      <c r="FX90" s="45"/>
      <c r="FY90" s="37"/>
      <c r="FZ90" s="45"/>
      <c r="GA90" s="45"/>
      <c r="GB90" s="37"/>
      <c r="GC90" s="45"/>
      <c r="GD90" s="45"/>
      <c r="GE90" s="37"/>
      <c r="GF90" s="45"/>
      <c r="GG90" s="45"/>
      <c r="GH90" s="37"/>
      <c r="GI90" s="45"/>
      <c r="GJ90" s="45"/>
      <c r="GK90" s="37"/>
      <c r="GL90" s="45"/>
      <c r="GM90" s="45"/>
      <c r="GN90" s="37"/>
      <c r="GO90" s="45"/>
      <c r="HE90" s="56"/>
    </row>
    <row r="91" ht="12.0" customHeight="1">
      <c r="A91" s="37"/>
      <c r="D91" s="37"/>
      <c r="E91" s="37"/>
      <c r="I91" s="37"/>
      <c r="M91" s="37"/>
      <c r="Q91" s="37"/>
      <c r="U91" s="37"/>
      <c r="Y91" s="37"/>
      <c r="AC91" s="37"/>
      <c r="AG91" s="37"/>
      <c r="AK91" s="37"/>
      <c r="AN91" s="37"/>
      <c r="AQ91" s="37"/>
      <c r="AT91" s="37"/>
      <c r="AW91" s="37"/>
      <c r="AZ91" s="37"/>
      <c r="BC91" s="37"/>
      <c r="BF91" s="37"/>
      <c r="BG91" s="45"/>
      <c r="BH91" s="45"/>
      <c r="BI91" s="37"/>
      <c r="BJ91" s="45"/>
      <c r="BK91" s="45"/>
      <c r="BL91" s="37"/>
      <c r="BM91" s="45"/>
      <c r="BN91" s="45"/>
      <c r="BO91" s="37"/>
      <c r="BP91" s="45"/>
      <c r="BQ91" s="45"/>
      <c r="BR91" s="37"/>
      <c r="BS91" s="45"/>
      <c r="BT91" s="45"/>
      <c r="BU91" s="37"/>
      <c r="BV91" s="45"/>
      <c r="BW91" s="45"/>
      <c r="BX91" s="37"/>
      <c r="BY91" s="45"/>
      <c r="BZ91" s="45"/>
      <c r="CA91" s="37"/>
      <c r="CB91" s="45"/>
      <c r="CC91" s="45"/>
      <c r="CD91" s="37"/>
      <c r="CE91" s="45"/>
      <c r="CF91" s="45"/>
      <c r="CG91" s="37"/>
      <c r="CH91" s="45"/>
      <c r="CI91" s="45"/>
      <c r="CJ91" s="37"/>
      <c r="CK91" s="45"/>
      <c r="CL91" s="45"/>
      <c r="CM91" s="37"/>
      <c r="CN91" s="45"/>
      <c r="CO91" s="45"/>
      <c r="CP91" s="37"/>
      <c r="CQ91" s="45"/>
      <c r="CR91" s="45"/>
      <c r="CS91" s="37"/>
      <c r="CT91" s="45"/>
      <c r="CU91" s="45"/>
      <c r="CV91" s="37"/>
      <c r="CW91" s="45"/>
      <c r="CX91" s="45"/>
      <c r="CY91" s="37"/>
      <c r="CZ91" s="45"/>
      <c r="DB91" s="37"/>
      <c r="DE91" s="37"/>
      <c r="DH91" s="37"/>
      <c r="DK91" s="37"/>
      <c r="DN91" s="37"/>
      <c r="DQ91" s="37"/>
      <c r="DT91" s="37"/>
      <c r="DW91" s="37"/>
      <c r="DZ91" s="37"/>
      <c r="EC91" s="37"/>
      <c r="EF91" s="37"/>
      <c r="EI91" s="37"/>
      <c r="EL91" s="37"/>
      <c r="EO91" s="37"/>
      <c r="ER91" s="37"/>
      <c r="EU91" s="37"/>
      <c r="EV91" s="45"/>
      <c r="EW91" s="45"/>
      <c r="EX91" s="37"/>
      <c r="EY91" s="45"/>
      <c r="EZ91" s="45"/>
      <c r="FA91" s="37"/>
      <c r="FB91" s="45"/>
      <c r="FC91" s="45"/>
      <c r="FD91" s="37"/>
      <c r="FE91" s="45"/>
      <c r="FF91" s="45"/>
      <c r="FG91" s="37"/>
      <c r="FH91" s="45"/>
      <c r="FI91" s="45"/>
      <c r="FJ91" s="37"/>
      <c r="FK91" s="45"/>
      <c r="FL91" s="45"/>
      <c r="FM91" s="37"/>
      <c r="FN91" s="45"/>
      <c r="FO91" s="45"/>
      <c r="FP91" s="37"/>
      <c r="FQ91" s="45"/>
      <c r="FR91" s="45"/>
      <c r="FS91" s="37"/>
      <c r="FT91" s="45"/>
      <c r="FU91" s="45"/>
      <c r="FV91" s="37"/>
      <c r="FW91" s="45"/>
      <c r="FX91" s="45"/>
      <c r="FY91" s="37"/>
      <c r="FZ91" s="45"/>
      <c r="GA91" s="45"/>
      <c r="GB91" s="37"/>
      <c r="GC91" s="45"/>
      <c r="GD91" s="45"/>
      <c r="GE91" s="37"/>
      <c r="GF91" s="45"/>
      <c r="GG91" s="45"/>
      <c r="GH91" s="37"/>
      <c r="GI91" s="45"/>
      <c r="GJ91" s="45"/>
      <c r="GK91" s="37"/>
      <c r="GL91" s="45"/>
      <c r="GM91" s="45"/>
      <c r="GN91" s="37"/>
      <c r="GO91" s="45"/>
      <c r="HE91" s="56"/>
    </row>
    <row r="92" ht="12.0" customHeight="1">
      <c r="A92" s="37"/>
      <c r="D92" s="37"/>
      <c r="E92" s="37"/>
      <c r="I92" s="37"/>
      <c r="M92" s="37"/>
      <c r="Q92" s="37"/>
      <c r="U92" s="37"/>
      <c r="Y92" s="37"/>
      <c r="AC92" s="37"/>
      <c r="AG92" s="37"/>
      <c r="AK92" s="37"/>
      <c r="AN92" s="37"/>
      <c r="AQ92" s="37"/>
      <c r="AT92" s="37"/>
      <c r="AW92" s="37"/>
      <c r="AZ92" s="37"/>
      <c r="BC92" s="37"/>
      <c r="BF92" s="37"/>
      <c r="BG92" s="45"/>
      <c r="BH92" s="45"/>
      <c r="BI92" s="37"/>
      <c r="BJ92" s="45"/>
      <c r="BK92" s="45"/>
      <c r="BL92" s="37"/>
      <c r="BM92" s="45"/>
      <c r="BN92" s="45"/>
      <c r="BO92" s="37"/>
      <c r="BP92" s="45"/>
      <c r="BQ92" s="45"/>
      <c r="BR92" s="37"/>
      <c r="BS92" s="45"/>
      <c r="BT92" s="45"/>
      <c r="BU92" s="37"/>
      <c r="BV92" s="45"/>
      <c r="BW92" s="45"/>
      <c r="BX92" s="37"/>
      <c r="BY92" s="45"/>
      <c r="BZ92" s="45"/>
      <c r="CA92" s="37"/>
      <c r="CB92" s="45"/>
      <c r="CC92" s="45"/>
      <c r="CD92" s="37"/>
      <c r="CE92" s="45"/>
      <c r="CF92" s="45"/>
      <c r="CG92" s="37"/>
      <c r="CH92" s="45"/>
      <c r="CI92" s="45"/>
      <c r="CJ92" s="37"/>
      <c r="CK92" s="45"/>
      <c r="CL92" s="45"/>
      <c r="CM92" s="37"/>
      <c r="CN92" s="45"/>
      <c r="CO92" s="45"/>
      <c r="CP92" s="37"/>
      <c r="CQ92" s="45"/>
      <c r="CR92" s="45"/>
      <c r="CS92" s="37"/>
      <c r="CT92" s="45"/>
      <c r="CU92" s="45"/>
      <c r="CV92" s="37"/>
      <c r="CW92" s="45"/>
      <c r="CX92" s="45"/>
      <c r="CY92" s="37"/>
      <c r="CZ92" s="45"/>
      <c r="DB92" s="37"/>
      <c r="DE92" s="37"/>
      <c r="DH92" s="37"/>
      <c r="DK92" s="37"/>
      <c r="DN92" s="37"/>
      <c r="DQ92" s="37"/>
      <c r="DT92" s="37"/>
      <c r="DW92" s="37"/>
      <c r="DZ92" s="37"/>
      <c r="EC92" s="37"/>
      <c r="EF92" s="37"/>
      <c r="EI92" s="37"/>
      <c r="EL92" s="37"/>
      <c r="EO92" s="37"/>
      <c r="ER92" s="37"/>
      <c r="EU92" s="37"/>
      <c r="EV92" s="45"/>
      <c r="EW92" s="45"/>
      <c r="EX92" s="37"/>
      <c r="EY92" s="45"/>
      <c r="EZ92" s="45"/>
      <c r="FA92" s="37"/>
      <c r="FB92" s="45"/>
      <c r="FC92" s="45"/>
      <c r="FD92" s="37"/>
      <c r="FE92" s="45"/>
      <c r="FF92" s="45"/>
      <c r="FG92" s="37"/>
      <c r="FH92" s="45"/>
      <c r="FI92" s="45"/>
      <c r="FJ92" s="37"/>
      <c r="FK92" s="45"/>
      <c r="FL92" s="45"/>
      <c r="FM92" s="37"/>
      <c r="FN92" s="45"/>
      <c r="FO92" s="45"/>
      <c r="FP92" s="37"/>
      <c r="FQ92" s="45"/>
      <c r="FR92" s="45"/>
      <c r="FS92" s="37"/>
      <c r="FT92" s="45"/>
      <c r="FU92" s="45"/>
      <c r="FV92" s="37"/>
      <c r="FW92" s="45"/>
      <c r="FX92" s="45"/>
      <c r="FY92" s="37"/>
      <c r="FZ92" s="45"/>
      <c r="GA92" s="45"/>
      <c r="GB92" s="37"/>
      <c r="GC92" s="45"/>
      <c r="GD92" s="45"/>
      <c r="GE92" s="37"/>
      <c r="GF92" s="45"/>
      <c r="GG92" s="45"/>
      <c r="GH92" s="37"/>
      <c r="GI92" s="45"/>
      <c r="GJ92" s="45"/>
      <c r="GK92" s="37"/>
      <c r="GL92" s="45"/>
      <c r="GM92" s="45"/>
      <c r="GN92" s="37"/>
      <c r="GO92" s="45"/>
      <c r="HE92" s="56"/>
    </row>
    <row r="93" ht="12.0" customHeight="1">
      <c r="A93" s="37"/>
      <c r="D93" s="37"/>
      <c r="E93" s="37"/>
      <c r="I93" s="37"/>
      <c r="M93" s="37"/>
      <c r="Q93" s="37"/>
      <c r="U93" s="37"/>
      <c r="Y93" s="37"/>
      <c r="AC93" s="37"/>
      <c r="AG93" s="37"/>
      <c r="AK93" s="37"/>
      <c r="AN93" s="37"/>
      <c r="AQ93" s="37"/>
      <c r="AT93" s="37"/>
      <c r="AW93" s="37"/>
      <c r="AZ93" s="37"/>
      <c r="BC93" s="37"/>
      <c r="BF93" s="37"/>
      <c r="BG93" s="45"/>
      <c r="BH93" s="45"/>
      <c r="BI93" s="37"/>
      <c r="BJ93" s="45"/>
      <c r="BK93" s="45"/>
      <c r="BL93" s="37"/>
      <c r="BM93" s="45"/>
      <c r="BN93" s="45"/>
      <c r="BO93" s="37"/>
      <c r="BP93" s="45"/>
      <c r="BQ93" s="45"/>
      <c r="BR93" s="37"/>
      <c r="BS93" s="45"/>
      <c r="BT93" s="45"/>
      <c r="BU93" s="37"/>
      <c r="BV93" s="45"/>
      <c r="BW93" s="45"/>
      <c r="BX93" s="37"/>
      <c r="BY93" s="45"/>
      <c r="BZ93" s="45"/>
      <c r="CA93" s="37"/>
      <c r="CB93" s="45"/>
      <c r="CC93" s="45"/>
      <c r="CD93" s="37"/>
      <c r="CE93" s="45"/>
      <c r="CF93" s="45"/>
      <c r="CG93" s="37"/>
      <c r="CH93" s="45"/>
      <c r="CI93" s="45"/>
      <c r="CJ93" s="37"/>
      <c r="CK93" s="45"/>
      <c r="CL93" s="45"/>
      <c r="CM93" s="37"/>
      <c r="CN93" s="45"/>
      <c r="CO93" s="45"/>
      <c r="CP93" s="37"/>
      <c r="CQ93" s="45"/>
      <c r="CR93" s="45"/>
      <c r="CS93" s="37"/>
      <c r="CT93" s="45"/>
      <c r="CU93" s="45"/>
      <c r="CV93" s="37"/>
      <c r="CW93" s="45"/>
      <c r="CX93" s="45"/>
      <c r="CY93" s="37"/>
      <c r="CZ93" s="45"/>
      <c r="DB93" s="37"/>
      <c r="DE93" s="37"/>
      <c r="DH93" s="37"/>
      <c r="DK93" s="37"/>
      <c r="DN93" s="37"/>
      <c r="DQ93" s="37"/>
      <c r="DT93" s="37"/>
      <c r="DW93" s="37"/>
      <c r="DZ93" s="37"/>
      <c r="EC93" s="37"/>
      <c r="EF93" s="37"/>
      <c r="EI93" s="37"/>
      <c r="EL93" s="37"/>
      <c r="EO93" s="37"/>
      <c r="ER93" s="37"/>
      <c r="EU93" s="37"/>
      <c r="EV93" s="45"/>
      <c r="EW93" s="45"/>
      <c r="EX93" s="37"/>
      <c r="EY93" s="45"/>
      <c r="EZ93" s="45"/>
      <c r="FA93" s="37"/>
      <c r="FB93" s="45"/>
      <c r="FC93" s="45"/>
      <c r="FD93" s="37"/>
      <c r="FE93" s="45"/>
      <c r="FF93" s="45"/>
      <c r="FG93" s="37"/>
      <c r="FH93" s="45"/>
      <c r="FI93" s="45"/>
      <c r="FJ93" s="37"/>
      <c r="FK93" s="45"/>
      <c r="FL93" s="45"/>
      <c r="FM93" s="37"/>
      <c r="FN93" s="45"/>
      <c r="FO93" s="45"/>
      <c r="FP93" s="37"/>
      <c r="FQ93" s="45"/>
      <c r="FR93" s="45"/>
      <c r="FS93" s="37"/>
      <c r="FT93" s="45"/>
      <c r="FU93" s="45"/>
      <c r="FV93" s="37"/>
      <c r="FW93" s="45"/>
      <c r="FX93" s="45"/>
      <c r="FY93" s="37"/>
      <c r="FZ93" s="45"/>
      <c r="GA93" s="45"/>
      <c r="GB93" s="37"/>
      <c r="GC93" s="45"/>
      <c r="GD93" s="45"/>
      <c r="GE93" s="37"/>
      <c r="GF93" s="45"/>
      <c r="GG93" s="45"/>
      <c r="GH93" s="37"/>
      <c r="GI93" s="45"/>
      <c r="GJ93" s="45"/>
      <c r="GK93" s="37"/>
      <c r="GL93" s="45"/>
      <c r="GM93" s="45"/>
      <c r="GN93" s="37"/>
      <c r="GO93" s="45"/>
      <c r="HE93" s="56"/>
    </row>
    <row r="94" ht="12.0" customHeight="1">
      <c r="A94" s="37"/>
      <c r="D94" s="37"/>
      <c r="E94" s="37"/>
      <c r="I94" s="37"/>
      <c r="M94" s="37"/>
      <c r="Q94" s="37"/>
      <c r="U94" s="37"/>
      <c r="Y94" s="37"/>
      <c r="AC94" s="37"/>
      <c r="AG94" s="37"/>
      <c r="AK94" s="37"/>
      <c r="AN94" s="37"/>
      <c r="AQ94" s="37"/>
      <c r="AT94" s="37"/>
      <c r="AW94" s="37"/>
      <c r="AZ94" s="37"/>
      <c r="BC94" s="37"/>
      <c r="BF94" s="37"/>
      <c r="BG94" s="45"/>
      <c r="BH94" s="45"/>
      <c r="BI94" s="37"/>
      <c r="BJ94" s="45"/>
      <c r="BK94" s="45"/>
      <c r="BL94" s="37"/>
      <c r="BM94" s="45"/>
      <c r="BN94" s="45"/>
      <c r="BO94" s="37"/>
      <c r="BP94" s="45"/>
      <c r="BQ94" s="45"/>
      <c r="BR94" s="37"/>
      <c r="BS94" s="45"/>
      <c r="BT94" s="45"/>
      <c r="BU94" s="37"/>
      <c r="BV94" s="45"/>
      <c r="BW94" s="45"/>
      <c r="BX94" s="37"/>
      <c r="BY94" s="45"/>
      <c r="BZ94" s="45"/>
      <c r="CA94" s="37"/>
      <c r="CB94" s="45"/>
      <c r="CC94" s="45"/>
      <c r="CD94" s="37"/>
      <c r="CE94" s="45"/>
      <c r="CF94" s="45"/>
      <c r="CG94" s="37"/>
      <c r="CH94" s="45"/>
      <c r="CI94" s="45"/>
      <c r="CJ94" s="37"/>
      <c r="CK94" s="45"/>
      <c r="CL94" s="45"/>
      <c r="CM94" s="37"/>
      <c r="CN94" s="45"/>
      <c r="CO94" s="45"/>
      <c r="CP94" s="37"/>
      <c r="CQ94" s="45"/>
      <c r="CR94" s="45"/>
      <c r="CS94" s="37"/>
      <c r="CT94" s="45"/>
      <c r="CU94" s="45"/>
      <c r="CV94" s="37"/>
      <c r="CW94" s="45"/>
      <c r="CX94" s="45"/>
      <c r="CY94" s="37"/>
      <c r="CZ94" s="45"/>
      <c r="DB94" s="37"/>
      <c r="DE94" s="37"/>
      <c r="DH94" s="37"/>
      <c r="DK94" s="37"/>
      <c r="DN94" s="37"/>
      <c r="DQ94" s="37"/>
      <c r="DT94" s="37"/>
      <c r="DW94" s="37"/>
      <c r="DZ94" s="37"/>
      <c r="EC94" s="37"/>
      <c r="EF94" s="37"/>
      <c r="EI94" s="37"/>
      <c r="EL94" s="37"/>
      <c r="EO94" s="37"/>
      <c r="ER94" s="37"/>
      <c r="EU94" s="37"/>
      <c r="EV94" s="45"/>
      <c r="EW94" s="45"/>
      <c r="EX94" s="37"/>
      <c r="EY94" s="45"/>
      <c r="EZ94" s="45"/>
      <c r="FA94" s="37"/>
      <c r="FB94" s="45"/>
      <c r="FC94" s="45"/>
      <c r="FD94" s="37"/>
      <c r="FE94" s="45"/>
      <c r="FF94" s="45"/>
      <c r="FG94" s="37"/>
      <c r="FH94" s="45"/>
      <c r="FI94" s="45"/>
      <c r="FJ94" s="37"/>
      <c r="FK94" s="45"/>
      <c r="FL94" s="45"/>
      <c r="FM94" s="37"/>
      <c r="FN94" s="45"/>
      <c r="FO94" s="45"/>
      <c r="FP94" s="37"/>
      <c r="FQ94" s="45"/>
      <c r="FR94" s="45"/>
      <c r="FS94" s="37"/>
      <c r="FT94" s="45"/>
      <c r="FU94" s="45"/>
      <c r="FV94" s="37"/>
      <c r="FW94" s="45"/>
      <c r="FX94" s="45"/>
      <c r="FY94" s="37"/>
      <c r="FZ94" s="45"/>
      <c r="GA94" s="45"/>
      <c r="GB94" s="37"/>
      <c r="GC94" s="45"/>
      <c r="GD94" s="45"/>
      <c r="GE94" s="37"/>
      <c r="GF94" s="45"/>
      <c r="GG94" s="45"/>
      <c r="GH94" s="37"/>
      <c r="GI94" s="45"/>
      <c r="GJ94" s="45"/>
      <c r="GK94" s="37"/>
      <c r="GL94" s="45"/>
      <c r="GM94" s="45"/>
      <c r="GN94" s="37"/>
      <c r="GO94" s="45"/>
      <c r="HE94" s="56"/>
    </row>
    <row r="95" ht="12.0" customHeight="1">
      <c r="A95" s="37"/>
      <c r="D95" s="37"/>
      <c r="E95" s="37"/>
      <c r="I95" s="37"/>
      <c r="M95" s="37"/>
      <c r="Q95" s="37"/>
      <c r="U95" s="37"/>
      <c r="Y95" s="37"/>
      <c r="AC95" s="37"/>
      <c r="AG95" s="37"/>
      <c r="AK95" s="37"/>
      <c r="AN95" s="37"/>
      <c r="AQ95" s="37"/>
      <c r="AT95" s="37"/>
      <c r="AW95" s="37"/>
      <c r="AZ95" s="37"/>
      <c r="BC95" s="37"/>
      <c r="BF95" s="37"/>
      <c r="BG95" s="45"/>
      <c r="BH95" s="45"/>
      <c r="BI95" s="37"/>
      <c r="BJ95" s="45"/>
      <c r="BK95" s="45"/>
      <c r="BL95" s="37"/>
      <c r="BM95" s="45"/>
      <c r="BN95" s="45"/>
      <c r="BO95" s="37"/>
      <c r="BP95" s="45"/>
      <c r="BQ95" s="45"/>
      <c r="BR95" s="37"/>
      <c r="BS95" s="45"/>
      <c r="BT95" s="45"/>
      <c r="BU95" s="37"/>
      <c r="BV95" s="45"/>
      <c r="BW95" s="45"/>
      <c r="BX95" s="37"/>
      <c r="BY95" s="45"/>
      <c r="BZ95" s="45"/>
      <c r="CA95" s="37"/>
      <c r="CB95" s="45"/>
      <c r="CC95" s="45"/>
      <c r="CD95" s="37"/>
      <c r="CE95" s="45"/>
      <c r="CF95" s="45"/>
      <c r="CG95" s="37"/>
      <c r="CH95" s="45"/>
      <c r="CI95" s="45"/>
      <c r="CJ95" s="37"/>
      <c r="CK95" s="45"/>
      <c r="CL95" s="45"/>
      <c r="CM95" s="37"/>
      <c r="CN95" s="45"/>
      <c r="CO95" s="45"/>
      <c r="CP95" s="37"/>
      <c r="CQ95" s="45"/>
      <c r="CR95" s="45"/>
      <c r="CS95" s="37"/>
      <c r="CT95" s="45"/>
      <c r="CU95" s="45"/>
      <c r="CV95" s="37"/>
      <c r="CW95" s="45"/>
      <c r="CX95" s="45"/>
      <c r="CY95" s="37"/>
      <c r="CZ95" s="45"/>
      <c r="DB95" s="37"/>
      <c r="DE95" s="37"/>
      <c r="DH95" s="37"/>
      <c r="DK95" s="37"/>
      <c r="DN95" s="37"/>
      <c r="DQ95" s="37"/>
      <c r="DT95" s="37"/>
      <c r="DW95" s="37"/>
      <c r="DZ95" s="37"/>
      <c r="EC95" s="37"/>
      <c r="EF95" s="37"/>
      <c r="EI95" s="37"/>
      <c r="EL95" s="37"/>
      <c r="EO95" s="37"/>
      <c r="ER95" s="37"/>
      <c r="EU95" s="37"/>
      <c r="EV95" s="45"/>
      <c r="EW95" s="45"/>
      <c r="EX95" s="37"/>
      <c r="EY95" s="45"/>
      <c r="EZ95" s="45"/>
      <c r="FA95" s="37"/>
      <c r="FB95" s="45"/>
      <c r="FC95" s="45"/>
      <c r="FD95" s="37"/>
      <c r="FE95" s="45"/>
      <c r="FF95" s="45"/>
      <c r="FG95" s="37"/>
      <c r="FH95" s="45"/>
      <c r="FI95" s="45"/>
      <c r="FJ95" s="37"/>
      <c r="FK95" s="45"/>
      <c r="FL95" s="45"/>
      <c r="FM95" s="37"/>
      <c r="FN95" s="45"/>
      <c r="FO95" s="45"/>
      <c r="FP95" s="37"/>
      <c r="FQ95" s="45"/>
      <c r="FR95" s="45"/>
      <c r="FS95" s="37"/>
      <c r="FT95" s="45"/>
      <c r="FU95" s="45"/>
      <c r="FV95" s="37"/>
      <c r="FW95" s="45"/>
      <c r="FX95" s="45"/>
      <c r="FY95" s="37"/>
      <c r="FZ95" s="45"/>
      <c r="GA95" s="45"/>
      <c r="GB95" s="37"/>
      <c r="GC95" s="45"/>
      <c r="GD95" s="45"/>
      <c r="GE95" s="37"/>
      <c r="GF95" s="45"/>
      <c r="GG95" s="45"/>
      <c r="GH95" s="37"/>
      <c r="GI95" s="45"/>
      <c r="GJ95" s="45"/>
      <c r="GK95" s="37"/>
      <c r="GL95" s="45"/>
      <c r="GM95" s="45"/>
      <c r="GN95" s="37"/>
      <c r="GO95" s="45"/>
      <c r="HE95" s="56"/>
    </row>
    <row r="96" ht="12.0" customHeight="1">
      <c r="A96" s="37"/>
      <c r="D96" s="37"/>
      <c r="E96" s="37"/>
      <c r="I96" s="37"/>
      <c r="M96" s="37"/>
      <c r="Q96" s="37"/>
      <c r="U96" s="37"/>
      <c r="Y96" s="37"/>
      <c r="AC96" s="37"/>
      <c r="AG96" s="37"/>
      <c r="AK96" s="37"/>
      <c r="AN96" s="37"/>
      <c r="AQ96" s="37"/>
      <c r="AT96" s="37"/>
      <c r="AW96" s="37"/>
      <c r="AZ96" s="37"/>
      <c r="BC96" s="37"/>
      <c r="BF96" s="37"/>
      <c r="BG96" s="45"/>
      <c r="BH96" s="45"/>
      <c r="BI96" s="37"/>
      <c r="BJ96" s="45"/>
      <c r="BK96" s="45"/>
      <c r="BL96" s="37"/>
      <c r="BM96" s="45"/>
      <c r="BN96" s="45"/>
      <c r="BO96" s="37"/>
      <c r="BP96" s="45"/>
      <c r="BQ96" s="45"/>
      <c r="BR96" s="37"/>
      <c r="BS96" s="45"/>
      <c r="BT96" s="45"/>
      <c r="BU96" s="37"/>
      <c r="BV96" s="45"/>
      <c r="BW96" s="45"/>
      <c r="BX96" s="37"/>
      <c r="BY96" s="45"/>
      <c r="BZ96" s="45"/>
      <c r="CA96" s="37"/>
      <c r="CB96" s="45"/>
      <c r="CC96" s="45"/>
      <c r="CD96" s="37"/>
      <c r="CE96" s="45"/>
      <c r="CF96" s="45"/>
      <c r="CG96" s="37"/>
      <c r="CH96" s="45"/>
      <c r="CI96" s="45"/>
      <c r="CJ96" s="37"/>
      <c r="CK96" s="45"/>
      <c r="CL96" s="45"/>
      <c r="CM96" s="37"/>
      <c r="CN96" s="45"/>
      <c r="CO96" s="45"/>
      <c r="CP96" s="37"/>
      <c r="CQ96" s="45"/>
      <c r="CR96" s="45"/>
      <c r="CS96" s="37"/>
      <c r="CT96" s="45"/>
      <c r="CU96" s="45"/>
      <c r="CV96" s="37"/>
      <c r="CW96" s="45"/>
      <c r="CX96" s="45"/>
      <c r="CY96" s="37"/>
      <c r="CZ96" s="45"/>
      <c r="DB96" s="37"/>
      <c r="DE96" s="37"/>
      <c r="DH96" s="37"/>
      <c r="DK96" s="37"/>
      <c r="DN96" s="37"/>
      <c r="DQ96" s="37"/>
      <c r="DT96" s="37"/>
      <c r="DW96" s="37"/>
      <c r="DZ96" s="37"/>
      <c r="EC96" s="37"/>
      <c r="EF96" s="37"/>
      <c r="EI96" s="37"/>
      <c r="EL96" s="37"/>
      <c r="EO96" s="37"/>
      <c r="ER96" s="37"/>
      <c r="EU96" s="37"/>
      <c r="EV96" s="45"/>
      <c r="EW96" s="45"/>
      <c r="EX96" s="37"/>
      <c r="EY96" s="45"/>
      <c r="EZ96" s="45"/>
      <c r="FA96" s="37"/>
      <c r="FB96" s="45"/>
      <c r="FC96" s="45"/>
      <c r="FD96" s="37"/>
      <c r="FE96" s="45"/>
      <c r="FF96" s="45"/>
      <c r="FG96" s="37"/>
      <c r="FH96" s="45"/>
      <c r="FI96" s="45"/>
      <c r="FJ96" s="37"/>
      <c r="FK96" s="45"/>
      <c r="FL96" s="45"/>
      <c r="FM96" s="37"/>
      <c r="FN96" s="45"/>
      <c r="FO96" s="45"/>
      <c r="FP96" s="37"/>
      <c r="FQ96" s="45"/>
      <c r="FR96" s="45"/>
      <c r="FS96" s="37"/>
      <c r="FT96" s="45"/>
      <c r="FU96" s="45"/>
      <c r="FV96" s="37"/>
      <c r="FW96" s="45"/>
      <c r="FX96" s="45"/>
      <c r="FY96" s="37"/>
      <c r="FZ96" s="45"/>
      <c r="GA96" s="45"/>
      <c r="GB96" s="37"/>
      <c r="GC96" s="45"/>
      <c r="GD96" s="45"/>
      <c r="GE96" s="37"/>
      <c r="GF96" s="45"/>
      <c r="GG96" s="45"/>
      <c r="GH96" s="37"/>
      <c r="GI96" s="45"/>
      <c r="GJ96" s="45"/>
      <c r="GK96" s="37"/>
      <c r="GL96" s="45"/>
      <c r="GM96" s="45"/>
      <c r="GN96" s="37"/>
      <c r="GO96" s="45"/>
      <c r="HE96" s="56"/>
    </row>
    <row r="97" ht="12.0" customHeight="1">
      <c r="A97" s="37"/>
      <c r="D97" s="37"/>
      <c r="E97" s="37"/>
      <c r="I97" s="37"/>
      <c r="M97" s="37"/>
      <c r="Q97" s="37"/>
      <c r="U97" s="37"/>
      <c r="Y97" s="37"/>
      <c r="AC97" s="37"/>
      <c r="AG97" s="37"/>
      <c r="AK97" s="37"/>
      <c r="AN97" s="37"/>
      <c r="AQ97" s="37"/>
      <c r="AT97" s="37"/>
      <c r="AW97" s="37"/>
      <c r="AZ97" s="37"/>
      <c r="BC97" s="37"/>
      <c r="BF97" s="37"/>
      <c r="BG97" s="45"/>
      <c r="BH97" s="45"/>
      <c r="BI97" s="37"/>
      <c r="BJ97" s="45"/>
      <c r="BK97" s="45"/>
      <c r="BL97" s="37"/>
      <c r="BM97" s="45"/>
      <c r="BN97" s="45"/>
      <c r="BO97" s="37"/>
      <c r="BP97" s="45"/>
      <c r="BQ97" s="45"/>
      <c r="BR97" s="37"/>
      <c r="BS97" s="45"/>
      <c r="BT97" s="45"/>
      <c r="BU97" s="37"/>
      <c r="BV97" s="45"/>
      <c r="BW97" s="45"/>
      <c r="BX97" s="37"/>
      <c r="BY97" s="45"/>
      <c r="BZ97" s="45"/>
      <c r="CA97" s="37"/>
      <c r="CB97" s="45"/>
      <c r="CC97" s="45"/>
      <c r="CD97" s="37"/>
      <c r="CE97" s="45"/>
      <c r="CF97" s="45"/>
      <c r="CG97" s="37"/>
      <c r="CH97" s="45"/>
      <c r="CI97" s="45"/>
      <c r="CJ97" s="37"/>
      <c r="CK97" s="45"/>
      <c r="CL97" s="45"/>
      <c r="CM97" s="37"/>
      <c r="CN97" s="45"/>
      <c r="CO97" s="45"/>
      <c r="CP97" s="37"/>
      <c r="CQ97" s="45"/>
      <c r="CR97" s="45"/>
      <c r="CS97" s="37"/>
      <c r="CT97" s="45"/>
      <c r="CU97" s="45"/>
      <c r="CV97" s="37"/>
      <c r="CW97" s="45"/>
      <c r="CX97" s="45"/>
      <c r="CY97" s="37"/>
      <c r="CZ97" s="45"/>
      <c r="DB97" s="37"/>
      <c r="DE97" s="37"/>
      <c r="DH97" s="37"/>
      <c r="DK97" s="37"/>
      <c r="DN97" s="37"/>
      <c r="DQ97" s="37"/>
      <c r="DT97" s="37"/>
      <c r="DW97" s="37"/>
      <c r="DZ97" s="37"/>
      <c r="EC97" s="37"/>
      <c r="EF97" s="37"/>
      <c r="EI97" s="37"/>
      <c r="EL97" s="37"/>
      <c r="EO97" s="37"/>
      <c r="ER97" s="37"/>
      <c r="EU97" s="37"/>
      <c r="EV97" s="45"/>
      <c r="EW97" s="45"/>
      <c r="EX97" s="37"/>
      <c r="EY97" s="45"/>
      <c r="EZ97" s="45"/>
      <c r="FA97" s="37"/>
      <c r="FB97" s="45"/>
      <c r="FC97" s="45"/>
      <c r="FD97" s="37"/>
      <c r="FE97" s="45"/>
      <c r="FF97" s="45"/>
      <c r="FG97" s="37"/>
      <c r="FH97" s="45"/>
      <c r="FI97" s="45"/>
      <c r="FJ97" s="37"/>
      <c r="FK97" s="45"/>
      <c r="FL97" s="45"/>
      <c r="FM97" s="37"/>
      <c r="FN97" s="45"/>
      <c r="FO97" s="45"/>
      <c r="FP97" s="37"/>
      <c r="FQ97" s="45"/>
      <c r="FR97" s="45"/>
      <c r="FS97" s="37"/>
      <c r="FT97" s="45"/>
      <c r="FU97" s="45"/>
      <c r="FV97" s="37"/>
      <c r="FW97" s="45"/>
      <c r="FX97" s="45"/>
      <c r="FY97" s="37"/>
      <c r="FZ97" s="45"/>
      <c r="GA97" s="45"/>
      <c r="GB97" s="37"/>
      <c r="GC97" s="45"/>
      <c r="GD97" s="45"/>
      <c r="GE97" s="37"/>
      <c r="GF97" s="45"/>
      <c r="GG97" s="45"/>
      <c r="GH97" s="37"/>
      <c r="GI97" s="45"/>
      <c r="GJ97" s="45"/>
      <c r="GK97" s="37"/>
      <c r="GL97" s="45"/>
      <c r="GM97" s="45"/>
      <c r="GN97" s="37"/>
      <c r="GO97" s="45"/>
      <c r="HE97" s="56"/>
    </row>
    <row r="98" ht="12.0" customHeight="1">
      <c r="A98" s="37"/>
      <c r="D98" s="37"/>
      <c r="E98" s="37"/>
      <c r="I98" s="37"/>
      <c r="M98" s="37"/>
      <c r="Q98" s="37"/>
      <c r="U98" s="37"/>
      <c r="Y98" s="37"/>
      <c r="AC98" s="37"/>
      <c r="AG98" s="37"/>
      <c r="AK98" s="37"/>
      <c r="AN98" s="37"/>
      <c r="AQ98" s="37"/>
      <c r="AT98" s="37"/>
      <c r="AW98" s="37"/>
      <c r="AZ98" s="37"/>
      <c r="BC98" s="37"/>
      <c r="BF98" s="37"/>
      <c r="BG98" s="45"/>
      <c r="BH98" s="45"/>
      <c r="BI98" s="37"/>
      <c r="BJ98" s="45"/>
      <c r="BK98" s="45"/>
      <c r="BL98" s="37"/>
      <c r="BM98" s="45"/>
      <c r="BN98" s="45"/>
      <c r="BO98" s="37"/>
      <c r="BP98" s="45"/>
      <c r="BQ98" s="45"/>
      <c r="BR98" s="37"/>
      <c r="BS98" s="45"/>
      <c r="BT98" s="45"/>
      <c r="BU98" s="37"/>
      <c r="BV98" s="45"/>
      <c r="BW98" s="45"/>
      <c r="BX98" s="37"/>
      <c r="BY98" s="45"/>
      <c r="BZ98" s="45"/>
      <c r="CA98" s="37"/>
      <c r="CB98" s="45"/>
      <c r="CC98" s="45"/>
      <c r="CD98" s="37"/>
      <c r="CE98" s="45"/>
      <c r="CF98" s="45"/>
      <c r="CG98" s="37"/>
      <c r="CH98" s="45"/>
      <c r="CI98" s="45"/>
      <c r="CJ98" s="37"/>
      <c r="CK98" s="45"/>
      <c r="CL98" s="45"/>
      <c r="CM98" s="37"/>
      <c r="CN98" s="45"/>
      <c r="CO98" s="45"/>
      <c r="CP98" s="37"/>
      <c r="CQ98" s="45"/>
      <c r="CR98" s="45"/>
      <c r="CS98" s="37"/>
      <c r="CT98" s="45"/>
      <c r="CU98" s="45"/>
      <c r="CV98" s="37"/>
      <c r="CW98" s="45"/>
      <c r="CX98" s="45"/>
      <c r="CY98" s="37"/>
      <c r="CZ98" s="45"/>
      <c r="DB98" s="37"/>
      <c r="DE98" s="37"/>
      <c r="DH98" s="37"/>
      <c r="DK98" s="37"/>
      <c r="DN98" s="37"/>
      <c r="DQ98" s="37"/>
      <c r="DT98" s="37"/>
      <c r="DW98" s="37"/>
      <c r="DZ98" s="37"/>
      <c r="EC98" s="37"/>
      <c r="EF98" s="37"/>
      <c r="EI98" s="37"/>
      <c r="EL98" s="37"/>
      <c r="EO98" s="37"/>
      <c r="ER98" s="37"/>
      <c r="EU98" s="37"/>
      <c r="EV98" s="45"/>
      <c r="EW98" s="45"/>
      <c r="EX98" s="37"/>
      <c r="EY98" s="45"/>
      <c r="EZ98" s="45"/>
      <c r="FA98" s="37"/>
      <c r="FB98" s="45"/>
      <c r="FC98" s="45"/>
      <c r="FD98" s="37"/>
      <c r="FE98" s="45"/>
      <c r="FF98" s="45"/>
      <c r="FG98" s="37"/>
      <c r="FH98" s="45"/>
      <c r="FI98" s="45"/>
      <c r="FJ98" s="37"/>
      <c r="FK98" s="45"/>
      <c r="FL98" s="45"/>
      <c r="FM98" s="37"/>
      <c r="FN98" s="45"/>
      <c r="FO98" s="45"/>
      <c r="FP98" s="37"/>
      <c r="FQ98" s="45"/>
      <c r="FR98" s="45"/>
      <c r="FS98" s="37"/>
      <c r="FT98" s="45"/>
      <c r="FU98" s="45"/>
      <c r="FV98" s="37"/>
      <c r="FW98" s="45"/>
      <c r="FX98" s="45"/>
      <c r="FY98" s="37"/>
      <c r="FZ98" s="45"/>
      <c r="GA98" s="45"/>
      <c r="GB98" s="37"/>
      <c r="GC98" s="45"/>
      <c r="GD98" s="45"/>
      <c r="GE98" s="37"/>
      <c r="GF98" s="45"/>
      <c r="GG98" s="45"/>
      <c r="GH98" s="37"/>
      <c r="GI98" s="45"/>
      <c r="GJ98" s="45"/>
      <c r="GK98" s="37"/>
      <c r="GL98" s="45"/>
      <c r="GM98" s="45"/>
      <c r="GN98" s="37"/>
      <c r="GO98" s="45"/>
      <c r="HE98" s="56"/>
    </row>
    <row r="99" ht="12.0" customHeight="1">
      <c r="A99" s="37"/>
      <c r="D99" s="37"/>
      <c r="E99" s="37"/>
      <c r="I99" s="37"/>
      <c r="M99" s="37"/>
      <c r="Q99" s="37"/>
      <c r="U99" s="37"/>
      <c r="Y99" s="37"/>
      <c r="AC99" s="37"/>
      <c r="AG99" s="37"/>
      <c r="AK99" s="37"/>
      <c r="AN99" s="37"/>
      <c r="AQ99" s="37"/>
      <c r="AT99" s="37"/>
      <c r="AW99" s="37"/>
      <c r="AZ99" s="37"/>
      <c r="BC99" s="37"/>
      <c r="BF99" s="37"/>
      <c r="BG99" s="45"/>
      <c r="BH99" s="45"/>
      <c r="BI99" s="37"/>
      <c r="BJ99" s="45"/>
      <c r="BK99" s="45"/>
      <c r="BL99" s="37"/>
      <c r="BM99" s="45"/>
      <c r="BN99" s="45"/>
      <c r="BO99" s="37"/>
      <c r="BP99" s="45"/>
      <c r="BQ99" s="45"/>
      <c r="BR99" s="37"/>
      <c r="BS99" s="45"/>
      <c r="BT99" s="45"/>
      <c r="BU99" s="37"/>
      <c r="BV99" s="45"/>
      <c r="BW99" s="45"/>
      <c r="BX99" s="37"/>
      <c r="BY99" s="45"/>
      <c r="BZ99" s="45"/>
      <c r="CA99" s="37"/>
      <c r="CB99" s="45"/>
      <c r="CC99" s="45"/>
      <c r="CD99" s="37"/>
      <c r="CE99" s="45"/>
      <c r="CF99" s="45"/>
      <c r="CG99" s="37"/>
      <c r="CH99" s="45"/>
      <c r="CI99" s="45"/>
      <c r="CJ99" s="37"/>
      <c r="CK99" s="45"/>
      <c r="CL99" s="45"/>
      <c r="CM99" s="37"/>
      <c r="CN99" s="45"/>
      <c r="CO99" s="45"/>
      <c r="CP99" s="37"/>
      <c r="CQ99" s="45"/>
      <c r="CR99" s="45"/>
      <c r="CS99" s="37"/>
      <c r="CT99" s="45"/>
      <c r="CU99" s="45"/>
      <c r="CV99" s="37"/>
      <c r="CW99" s="45"/>
      <c r="CX99" s="45"/>
      <c r="CY99" s="37"/>
      <c r="CZ99" s="45"/>
      <c r="DB99" s="37"/>
      <c r="DE99" s="37"/>
      <c r="DH99" s="37"/>
      <c r="DK99" s="37"/>
      <c r="DN99" s="37"/>
      <c r="DQ99" s="37"/>
      <c r="DT99" s="37"/>
      <c r="DW99" s="37"/>
      <c r="DZ99" s="37"/>
      <c r="EC99" s="37"/>
      <c r="EF99" s="37"/>
      <c r="EI99" s="37"/>
      <c r="EL99" s="37"/>
      <c r="EO99" s="37"/>
      <c r="ER99" s="37"/>
      <c r="EU99" s="37"/>
      <c r="EV99" s="45"/>
      <c r="EW99" s="45"/>
      <c r="EX99" s="37"/>
      <c r="EY99" s="45"/>
      <c r="EZ99" s="45"/>
      <c r="FA99" s="37"/>
      <c r="FB99" s="45"/>
      <c r="FC99" s="45"/>
      <c r="FD99" s="37"/>
      <c r="FE99" s="45"/>
      <c r="FF99" s="45"/>
      <c r="FG99" s="37"/>
      <c r="FH99" s="45"/>
      <c r="FI99" s="45"/>
      <c r="FJ99" s="37"/>
      <c r="FK99" s="45"/>
      <c r="FL99" s="45"/>
      <c r="FM99" s="37"/>
      <c r="FN99" s="45"/>
      <c r="FO99" s="45"/>
      <c r="FP99" s="37"/>
      <c r="FQ99" s="45"/>
      <c r="FR99" s="45"/>
      <c r="FS99" s="37"/>
      <c r="FT99" s="45"/>
      <c r="FU99" s="45"/>
      <c r="FV99" s="37"/>
      <c r="FW99" s="45"/>
      <c r="FX99" s="45"/>
      <c r="FY99" s="37"/>
      <c r="FZ99" s="45"/>
      <c r="GA99" s="45"/>
      <c r="GB99" s="37"/>
      <c r="GC99" s="45"/>
      <c r="GD99" s="45"/>
      <c r="GE99" s="37"/>
      <c r="GF99" s="45"/>
      <c r="GG99" s="45"/>
      <c r="GH99" s="37"/>
      <c r="GI99" s="45"/>
      <c r="GJ99" s="45"/>
      <c r="GK99" s="37"/>
      <c r="GL99" s="45"/>
      <c r="GM99" s="45"/>
      <c r="GN99" s="37"/>
      <c r="GO99" s="45"/>
      <c r="HE99" s="56"/>
    </row>
    <row r="100" ht="12.0" customHeight="1">
      <c r="A100" s="37"/>
      <c r="D100" s="37"/>
      <c r="E100" s="37"/>
      <c r="I100" s="37"/>
      <c r="M100" s="37"/>
      <c r="Q100" s="37"/>
      <c r="U100" s="37"/>
      <c r="Y100" s="37"/>
      <c r="AC100" s="37"/>
      <c r="AG100" s="37"/>
      <c r="AK100" s="37"/>
      <c r="AN100" s="37"/>
      <c r="AQ100" s="37"/>
      <c r="AT100" s="37"/>
      <c r="AW100" s="37"/>
      <c r="AZ100" s="37"/>
      <c r="BC100" s="37"/>
      <c r="BF100" s="37"/>
      <c r="BG100" s="45"/>
      <c r="BH100" s="45"/>
      <c r="BI100" s="37"/>
      <c r="BJ100" s="45"/>
      <c r="BK100" s="45"/>
      <c r="BL100" s="37"/>
      <c r="BM100" s="45"/>
      <c r="BN100" s="45"/>
      <c r="BO100" s="37"/>
      <c r="BP100" s="45"/>
      <c r="BQ100" s="45"/>
      <c r="BR100" s="37"/>
      <c r="BS100" s="45"/>
      <c r="BT100" s="45"/>
      <c r="BU100" s="37"/>
      <c r="BV100" s="45"/>
      <c r="BW100" s="45"/>
      <c r="BX100" s="37"/>
      <c r="BY100" s="45"/>
      <c r="BZ100" s="45"/>
      <c r="CA100" s="37"/>
      <c r="CB100" s="45"/>
      <c r="CC100" s="45"/>
      <c r="CD100" s="37"/>
      <c r="CE100" s="45"/>
      <c r="CF100" s="45"/>
      <c r="CG100" s="37"/>
      <c r="CH100" s="45"/>
      <c r="CI100" s="45"/>
      <c r="CJ100" s="37"/>
      <c r="CK100" s="45"/>
      <c r="CL100" s="45"/>
      <c r="CM100" s="37"/>
      <c r="CN100" s="45"/>
      <c r="CO100" s="45"/>
      <c r="CP100" s="37"/>
      <c r="CQ100" s="45"/>
      <c r="CR100" s="45"/>
      <c r="CS100" s="37"/>
      <c r="CT100" s="45"/>
      <c r="CU100" s="45"/>
      <c r="CV100" s="37"/>
      <c r="CW100" s="45"/>
      <c r="CX100" s="45"/>
      <c r="CY100" s="37"/>
      <c r="CZ100" s="45"/>
      <c r="DB100" s="37"/>
      <c r="DE100" s="37"/>
      <c r="DH100" s="37"/>
      <c r="DK100" s="37"/>
      <c r="DN100" s="37"/>
      <c r="DQ100" s="37"/>
      <c r="DT100" s="37"/>
      <c r="DW100" s="37"/>
      <c r="DZ100" s="37"/>
      <c r="EC100" s="37"/>
      <c r="EF100" s="37"/>
      <c r="EI100" s="37"/>
      <c r="EL100" s="37"/>
      <c r="EO100" s="37"/>
      <c r="ER100" s="37"/>
      <c r="EU100" s="37"/>
      <c r="EV100" s="45"/>
      <c r="EW100" s="45"/>
      <c r="EX100" s="37"/>
      <c r="EY100" s="45"/>
      <c r="EZ100" s="45"/>
      <c r="FA100" s="37"/>
      <c r="FB100" s="45"/>
      <c r="FC100" s="45"/>
      <c r="FD100" s="37"/>
      <c r="FE100" s="45"/>
      <c r="FF100" s="45"/>
      <c r="FG100" s="37"/>
      <c r="FH100" s="45"/>
      <c r="FI100" s="45"/>
      <c r="FJ100" s="37"/>
      <c r="FK100" s="45"/>
      <c r="FL100" s="45"/>
      <c r="FM100" s="37"/>
      <c r="FN100" s="45"/>
      <c r="FO100" s="45"/>
      <c r="FP100" s="37"/>
      <c r="FQ100" s="45"/>
      <c r="FR100" s="45"/>
      <c r="FS100" s="37"/>
      <c r="FT100" s="45"/>
      <c r="FU100" s="45"/>
      <c r="FV100" s="37"/>
      <c r="FW100" s="45"/>
      <c r="FX100" s="45"/>
      <c r="FY100" s="37"/>
      <c r="FZ100" s="45"/>
      <c r="GA100" s="45"/>
      <c r="GB100" s="37"/>
      <c r="GC100" s="45"/>
      <c r="GD100" s="45"/>
      <c r="GE100" s="37"/>
      <c r="GF100" s="45"/>
      <c r="GG100" s="45"/>
      <c r="GH100" s="37"/>
      <c r="GI100" s="45"/>
      <c r="GJ100" s="45"/>
      <c r="GK100" s="37"/>
      <c r="GL100" s="45"/>
      <c r="GM100" s="45"/>
      <c r="GN100" s="37"/>
      <c r="GO100" s="45"/>
      <c r="HE100" s="56"/>
    </row>
    <row r="101" ht="12.0" customHeight="1">
      <c r="A101" s="37"/>
      <c r="D101" s="37"/>
      <c r="E101" s="37"/>
      <c r="I101" s="37"/>
      <c r="M101" s="37"/>
      <c r="Q101" s="37"/>
      <c r="U101" s="37"/>
      <c r="Y101" s="37"/>
      <c r="AC101" s="37"/>
      <c r="AG101" s="37"/>
      <c r="AK101" s="37"/>
      <c r="AN101" s="37"/>
      <c r="AQ101" s="37"/>
      <c r="AT101" s="37"/>
      <c r="AW101" s="37"/>
      <c r="AZ101" s="37"/>
      <c r="BC101" s="37"/>
      <c r="BF101" s="37"/>
      <c r="BG101" s="45"/>
      <c r="BH101" s="45"/>
      <c r="BI101" s="37"/>
      <c r="BJ101" s="45"/>
      <c r="BK101" s="45"/>
      <c r="BL101" s="37"/>
      <c r="BM101" s="45"/>
      <c r="BN101" s="45"/>
      <c r="BO101" s="37"/>
      <c r="BP101" s="45"/>
      <c r="BQ101" s="45"/>
      <c r="BR101" s="37"/>
      <c r="BS101" s="45"/>
      <c r="BT101" s="45"/>
      <c r="BU101" s="37"/>
      <c r="BV101" s="45"/>
      <c r="BW101" s="45"/>
      <c r="BX101" s="37"/>
      <c r="BY101" s="45"/>
      <c r="BZ101" s="45"/>
      <c r="CA101" s="37"/>
      <c r="CB101" s="45"/>
      <c r="CC101" s="45"/>
      <c r="CD101" s="37"/>
      <c r="CE101" s="45"/>
      <c r="CF101" s="45"/>
      <c r="CG101" s="37"/>
      <c r="CH101" s="45"/>
      <c r="CI101" s="45"/>
      <c r="CJ101" s="37"/>
      <c r="CK101" s="45"/>
      <c r="CL101" s="45"/>
      <c r="CM101" s="37"/>
      <c r="CN101" s="45"/>
      <c r="CO101" s="45"/>
      <c r="CP101" s="37"/>
      <c r="CQ101" s="45"/>
      <c r="CR101" s="45"/>
      <c r="CS101" s="37"/>
      <c r="CT101" s="45"/>
      <c r="CU101" s="45"/>
      <c r="CV101" s="37"/>
      <c r="CW101" s="45"/>
      <c r="CX101" s="45"/>
      <c r="CY101" s="37"/>
      <c r="CZ101" s="45"/>
      <c r="DB101" s="37"/>
      <c r="DE101" s="37"/>
      <c r="DH101" s="37"/>
      <c r="DK101" s="37"/>
      <c r="DN101" s="37"/>
      <c r="DQ101" s="37"/>
      <c r="DT101" s="37"/>
      <c r="DW101" s="37"/>
      <c r="DZ101" s="37"/>
      <c r="EC101" s="37"/>
      <c r="EF101" s="37"/>
      <c r="EI101" s="37"/>
      <c r="EL101" s="37"/>
      <c r="EO101" s="37"/>
      <c r="ER101" s="37"/>
      <c r="EU101" s="37"/>
      <c r="EV101" s="45"/>
      <c r="EW101" s="45"/>
      <c r="EX101" s="37"/>
      <c r="EY101" s="45"/>
      <c r="EZ101" s="45"/>
      <c r="FA101" s="37"/>
      <c r="FB101" s="45"/>
      <c r="FC101" s="45"/>
      <c r="FD101" s="37"/>
      <c r="FE101" s="45"/>
      <c r="FF101" s="45"/>
      <c r="FG101" s="37"/>
      <c r="FH101" s="45"/>
      <c r="FI101" s="45"/>
      <c r="FJ101" s="37"/>
      <c r="FK101" s="45"/>
      <c r="FL101" s="45"/>
      <c r="FM101" s="37"/>
      <c r="FN101" s="45"/>
      <c r="FO101" s="45"/>
      <c r="FP101" s="37"/>
      <c r="FQ101" s="45"/>
      <c r="FR101" s="45"/>
      <c r="FS101" s="37"/>
      <c r="FT101" s="45"/>
      <c r="FU101" s="45"/>
      <c r="FV101" s="37"/>
      <c r="FW101" s="45"/>
      <c r="FX101" s="45"/>
      <c r="FY101" s="37"/>
      <c r="FZ101" s="45"/>
      <c r="GA101" s="45"/>
      <c r="GB101" s="37"/>
      <c r="GC101" s="45"/>
      <c r="GD101" s="45"/>
      <c r="GE101" s="37"/>
      <c r="GF101" s="45"/>
      <c r="GG101" s="45"/>
      <c r="GH101" s="37"/>
      <c r="GI101" s="45"/>
      <c r="GJ101" s="45"/>
      <c r="GK101" s="37"/>
      <c r="GL101" s="45"/>
      <c r="GM101" s="45"/>
      <c r="GN101" s="37"/>
      <c r="GO101" s="45"/>
      <c r="HE101" s="56"/>
    </row>
    <row r="102" ht="12.0" customHeight="1">
      <c r="A102" s="37"/>
      <c r="D102" s="37"/>
      <c r="E102" s="37"/>
      <c r="I102" s="37"/>
      <c r="M102" s="37"/>
      <c r="Q102" s="37"/>
      <c r="U102" s="37"/>
      <c r="Y102" s="37"/>
      <c r="AC102" s="37"/>
      <c r="AG102" s="37"/>
      <c r="AK102" s="37"/>
      <c r="AN102" s="37"/>
      <c r="AQ102" s="37"/>
      <c r="AT102" s="37"/>
      <c r="AW102" s="37"/>
      <c r="AZ102" s="37"/>
      <c r="BC102" s="37"/>
      <c r="BF102" s="37"/>
      <c r="BG102" s="45"/>
      <c r="BH102" s="45"/>
      <c r="BI102" s="37"/>
      <c r="BJ102" s="45"/>
      <c r="BK102" s="45"/>
      <c r="BL102" s="37"/>
      <c r="BM102" s="45"/>
      <c r="BN102" s="45"/>
      <c r="BO102" s="37"/>
      <c r="BP102" s="45"/>
      <c r="BQ102" s="45"/>
      <c r="BR102" s="37"/>
      <c r="BS102" s="45"/>
      <c r="BT102" s="45"/>
      <c r="BU102" s="37"/>
      <c r="BV102" s="45"/>
      <c r="BW102" s="45"/>
      <c r="BX102" s="37"/>
      <c r="BY102" s="45"/>
      <c r="BZ102" s="45"/>
      <c r="CA102" s="37"/>
      <c r="CB102" s="45"/>
      <c r="CC102" s="45"/>
      <c r="CD102" s="37"/>
      <c r="CE102" s="45"/>
      <c r="CF102" s="45"/>
      <c r="CG102" s="37"/>
      <c r="CH102" s="45"/>
      <c r="CI102" s="45"/>
      <c r="CJ102" s="37"/>
      <c r="CK102" s="45"/>
      <c r="CL102" s="45"/>
      <c r="CM102" s="37"/>
      <c r="CN102" s="45"/>
      <c r="CO102" s="45"/>
      <c r="CP102" s="37"/>
      <c r="CQ102" s="45"/>
      <c r="CR102" s="45"/>
      <c r="CS102" s="37"/>
      <c r="CT102" s="45"/>
      <c r="CU102" s="45"/>
      <c r="CV102" s="37"/>
      <c r="CW102" s="45"/>
      <c r="CX102" s="45"/>
      <c r="CY102" s="37"/>
      <c r="CZ102" s="45"/>
      <c r="DB102" s="37"/>
      <c r="DE102" s="37"/>
      <c r="DH102" s="37"/>
      <c r="DK102" s="37"/>
      <c r="DN102" s="37"/>
      <c r="DQ102" s="37"/>
      <c r="DT102" s="37"/>
      <c r="DW102" s="37"/>
      <c r="DZ102" s="37"/>
      <c r="EC102" s="37"/>
      <c r="EF102" s="37"/>
      <c r="EI102" s="37"/>
      <c r="EL102" s="37"/>
      <c r="EO102" s="37"/>
      <c r="ER102" s="37"/>
      <c r="EU102" s="37"/>
      <c r="EV102" s="45"/>
      <c r="EW102" s="45"/>
      <c r="EX102" s="37"/>
      <c r="EY102" s="45"/>
      <c r="EZ102" s="45"/>
      <c r="FA102" s="37"/>
      <c r="FB102" s="45"/>
      <c r="FC102" s="45"/>
      <c r="FD102" s="37"/>
      <c r="FE102" s="45"/>
      <c r="FF102" s="45"/>
      <c r="FG102" s="37"/>
      <c r="FH102" s="45"/>
      <c r="FI102" s="45"/>
      <c r="FJ102" s="37"/>
      <c r="FK102" s="45"/>
      <c r="FL102" s="45"/>
      <c r="FM102" s="37"/>
      <c r="FN102" s="45"/>
      <c r="FO102" s="45"/>
      <c r="FP102" s="37"/>
      <c r="FQ102" s="45"/>
      <c r="FR102" s="45"/>
      <c r="FS102" s="37"/>
      <c r="FT102" s="45"/>
      <c r="FU102" s="45"/>
      <c r="FV102" s="37"/>
      <c r="FW102" s="45"/>
      <c r="FX102" s="45"/>
      <c r="FY102" s="37"/>
      <c r="FZ102" s="45"/>
      <c r="GA102" s="45"/>
      <c r="GB102" s="37"/>
      <c r="GC102" s="45"/>
      <c r="GD102" s="45"/>
      <c r="GE102" s="37"/>
      <c r="GF102" s="45"/>
      <c r="GG102" s="45"/>
      <c r="GH102" s="37"/>
      <c r="GI102" s="45"/>
      <c r="GJ102" s="45"/>
      <c r="GK102" s="37"/>
      <c r="GL102" s="45"/>
      <c r="GM102" s="45"/>
      <c r="GN102" s="37"/>
      <c r="GO102" s="45"/>
      <c r="HE102" s="56"/>
    </row>
    <row r="103" ht="12.0" customHeight="1">
      <c r="A103" s="37"/>
      <c r="D103" s="37"/>
      <c r="E103" s="37"/>
      <c r="I103" s="37"/>
      <c r="M103" s="37"/>
      <c r="Q103" s="37"/>
      <c r="U103" s="37"/>
      <c r="Y103" s="37"/>
      <c r="AC103" s="37"/>
      <c r="AG103" s="37"/>
      <c r="AK103" s="37"/>
      <c r="AN103" s="37"/>
      <c r="AQ103" s="37"/>
      <c r="AT103" s="37"/>
      <c r="AW103" s="37"/>
      <c r="AZ103" s="37"/>
      <c r="BC103" s="37"/>
      <c r="BF103" s="37"/>
      <c r="BG103" s="45"/>
      <c r="BH103" s="45"/>
      <c r="BI103" s="37"/>
      <c r="BJ103" s="45"/>
      <c r="BK103" s="45"/>
      <c r="BL103" s="37"/>
      <c r="BM103" s="45"/>
      <c r="BN103" s="45"/>
      <c r="BO103" s="37"/>
      <c r="BP103" s="45"/>
      <c r="BQ103" s="45"/>
      <c r="BR103" s="37"/>
      <c r="BS103" s="45"/>
      <c r="BT103" s="45"/>
      <c r="BU103" s="37"/>
      <c r="BV103" s="45"/>
      <c r="BW103" s="45"/>
      <c r="BX103" s="37"/>
      <c r="BY103" s="45"/>
      <c r="BZ103" s="45"/>
      <c r="CA103" s="37"/>
      <c r="CB103" s="45"/>
      <c r="CC103" s="45"/>
      <c r="CD103" s="37"/>
      <c r="CE103" s="45"/>
      <c r="CF103" s="45"/>
      <c r="CG103" s="37"/>
      <c r="CH103" s="45"/>
      <c r="CI103" s="45"/>
      <c r="CJ103" s="37"/>
      <c r="CK103" s="45"/>
      <c r="CL103" s="45"/>
      <c r="CM103" s="37"/>
      <c r="CN103" s="45"/>
      <c r="CO103" s="45"/>
      <c r="CP103" s="37"/>
      <c r="CQ103" s="45"/>
      <c r="CR103" s="45"/>
      <c r="CS103" s="37"/>
      <c r="CT103" s="45"/>
      <c r="CU103" s="45"/>
      <c r="CV103" s="37"/>
      <c r="CW103" s="45"/>
      <c r="CX103" s="45"/>
      <c r="CY103" s="37"/>
      <c r="CZ103" s="45"/>
      <c r="DB103" s="37"/>
      <c r="DE103" s="37"/>
      <c r="DH103" s="37"/>
      <c r="DK103" s="37"/>
      <c r="DN103" s="37"/>
      <c r="DQ103" s="37"/>
      <c r="DT103" s="37"/>
      <c r="DW103" s="37"/>
      <c r="DZ103" s="37"/>
      <c r="EC103" s="37"/>
      <c r="EF103" s="37"/>
      <c r="EI103" s="37"/>
      <c r="EL103" s="37"/>
      <c r="EO103" s="37"/>
      <c r="ER103" s="37"/>
      <c r="EU103" s="37"/>
      <c r="EV103" s="45"/>
      <c r="EW103" s="45"/>
      <c r="EX103" s="37"/>
      <c r="EY103" s="45"/>
      <c r="EZ103" s="45"/>
      <c r="FA103" s="37"/>
      <c r="FB103" s="45"/>
      <c r="FC103" s="45"/>
      <c r="FD103" s="37"/>
      <c r="FE103" s="45"/>
      <c r="FF103" s="45"/>
      <c r="FG103" s="37"/>
      <c r="FH103" s="45"/>
      <c r="FI103" s="45"/>
      <c r="FJ103" s="37"/>
      <c r="FK103" s="45"/>
      <c r="FL103" s="45"/>
      <c r="FM103" s="37"/>
      <c r="FN103" s="45"/>
      <c r="FO103" s="45"/>
      <c r="FP103" s="37"/>
      <c r="FQ103" s="45"/>
      <c r="FR103" s="45"/>
      <c r="FS103" s="37"/>
      <c r="FT103" s="45"/>
      <c r="FU103" s="45"/>
      <c r="FV103" s="37"/>
      <c r="FW103" s="45"/>
      <c r="FX103" s="45"/>
      <c r="FY103" s="37"/>
      <c r="FZ103" s="45"/>
      <c r="GA103" s="45"/>
      <c r="GB103" s="37"/>
      <c r="GC103" s="45"/>
      <c r="GD103" s="45"/>
      <c r="GE103" s="37"/>
      <c r="GF103" s="45"/>
      <c r="GG103" s="45"/>
      <c r="GH103" s="37"/>
      <c r="GI103" s="45"/>
      <c r="GJ103" s="45"/>
      <c r="GK103" s="37"/>
      <c r="GL103" s="45"/>
      <c r="GM103" s="45"/>
      <c r="GN103" s="37"/>
      <c r="GO103" s="45"/>
      <c r="HE103" s="56"/>
    </row>
    <row r="104" ht="12.0" customHeight="1">
      <c r="A104" s="37"/>
      <c r="D104" s="37"/>
      <c r="E104" s="37"/>
      <c r="I104" s="37"/>
      <c r="M104" s="37"/>
      <c r="Q104" s="37"/>
      <c r="U104" s="37"/>
      <c r="Y104" s="37"/>
      <c r="AC104" s="37"/>
      <c r="AG104" s="37"/>
      <c r="AK104" s="37"/>
      <c r="AN104" s="37"/>
      <c r="AQ104" s="37"/>
      <c r="AT104" s="37"/>
      <c r="AW104" s="37"/>
      <c r="AZ104" s="37"/>
      <c r="BC104" s="37"/>
      <c r="BF104" s="37"/>
      <c r="BG104" s="45"/>
      <c r="BH104" s="45"/>
      <c r="BI104" s="37"/>
      <c r="BJ104" s="45"/>
      <c r="BK104" s="45"/>
      <c r="BL104" s="37"/>
      <c r="BM104" s="45"/>
      <c r="BN104" s="45"/>
      <c r="BO104" s="37"/>
      <c r="BP104" s="45"/>
      <c r="BQ104" s="45"/>
      <c r="BR104" s="37"/>
      <c r="BS104" s="45"/>
      <c r="BT104" s="45"/>
      <c r="BU104" s="37"/>
      <c r="BV104" s="45"/>
      <c r="BW104" s="45"/>
      <c r="BX104" s="37"/>
      <c r="BY104" s="45"/>
      <c r="BZ104" s="45"/>
      <c r="CA104" s="37"/>
      <c r="CB104" s="45"/>
      <c r="CC104" s="45"/>
      <c r="CD104" s="37"/>
      <c r="CE104" s="45"/>
      <c r="CF104" s="45"/>
      <c r="CG104" s="37"/>
      <c r="CH104" s="45"/>
      <c r="CI104" s="45"/>
      <c r="CJ104" s="37"/>
      <c r="CK104" s="45"/>
      <c r="CL104" s="45"/>
      <c r="CM104" s="37"/>
      <c r="CN104" s="45"/>
      <c r="CO104" s="45"/>
      <c r="CP104" s="37"/>
      <c r="CQ104" s="45"/>
      <c r="CR104" s="45"/>
      <c r="CS104" s="37"/>
      <c r="CT104" s="45"/>
      <c r="CU104" s="45"/>
      <c r="CV104" s="37"/>
      <c r="CW104" s="45"/>
      <c r="CX104" s="45"/>
      <c r="CY104" s="37"/>
      <c r="CZ104" s="45"/>
      <c r="DB104" s="37"/>
      <c r="DE104" s="37"/>
      <c r="DH104" s="37"/>
      <c r="DK104" s="37"/>
      <c r="DN104" s="37"/>
      <c r="DQ104" s="37"/>
      <c r="DT104" s="37"/>
      <c r="DW104" s="37"/>
      <c r="DZ104" s="37"/>
      <c r="EC104" s="37"/>
      <c r="EF104" s="37"/>
      <c r="EI104" s="37"/>
      <c r="EL104" s="37"/>
      <c r="EO104" s="37"/>
      <c r="ER104" s="37"/>
      <c r="EU104" s="37"/>
      <c r="EV104" s="45"/>
      <c r="EW104" s="45"/>
      <c r="EX104" s="37"/>
      <c r="EY104" s="45"/>
      <c r="EZ104" s="45"/>
      <c r="FA104" s="37"/>
      <c r="FB104" s="45"/>
      <c r="FC104" s="45"/>
      <c r="FD104" s="37"/>
      <c r="FE104" s="45"/>
      <c r="FF104" s="45"/>
      <c r="FG104" s="37"/>
      <c r="FH104" s="45"/>
      <c r="FI104" s="45"/>
      <c r="FJ104" s="37"/>
      <c r="FK104" s="45"/>
      <c r="FL104" s="45"/>
      <c r="FM104" s="37"/>
      <c r="FN104" s="45"/>
      <c r="FO104" s="45"/>
      <c r="FP104" s="37"/>
      <c r="FQ104" s="45"/>
      <c r="FR104" s="45"/>
      <c r="FS104" s="37"/>
      <c r="FT104" s="45"/>
      <c r="FU104" s="45"/>
      <c r="FV104" s="37"/>
      <c r="FW104" s="45"/>
      <c r="FX104" s="45"/>
      <c r="FY104" s="37"/>
      <c r="FZ104" s="45"/>
      <c r="GA104" s="45"/>
      <c r="GB104" s="37"/>
      <c r="GC104" s="45"/>
      <c r="GD104" s="45"/>
      <c r="GE104" s="37"/>
      <c r="GF104" s="45"/>
      <c r="GG104" s="45"/>
      <c r="GH104" s="37"/>
      <c r="GI104" s="45"/>
      <c r="GJ104" s="45"/>
      <c r="GK104" s="37"/>
      <c r="GL104" s="45"/>
      <c r="GM104" s="45"/>
      <c r="GN104" s="37"/>
      <c r="GO104" s="45"/>
      <c r="HE104" s="56"/>
    </row>
    <row r="105" ht="12.0" customHeight="1">
      <c r="A105" s="37"/>
      <c r="D105" s="37"/>
      <c r="E105" s="37"/>
      <c r="I105" s="37"/>
      <c r="M105" s="37"/>
      <c r="Q105" s="37"/>
      <c r="U105" s="37"/>
      <c r="Y105" s="37"/>
      <c r="AC105" s="37"/>
      <c r="AG105" s="37"/>
      <c r="AK105" s="37"/>
      <c r="AN105" s="37"/>
      <c r="AQ105" s="37"/>
      <c r="AT105" s="37"/>
      <c r="AW105" s="37"/>
      <c r="AZ105" s="37"/>
      <c r="BC105" s="37"/>
      <c r="BF105" s="37"/>
      <c r="BG105" s="45"/>
      <c r="BH105" s="45"/>
      <c r="BI105" s="37"/>
      <c r="BJ105" s="45"/>
      <c r="BK105" s="45"/>
      <c r="BL105" s="37"/>
      <c r="BM105" s="45"/>
      <c r="BN105" s="45"/>
      <c r="BO105" s="37"/>
      <c r="BP105" s="45"/>
      <c r="BQ105" s="45"/>
      <c r="BR105" s="37"/>
      <c r="BS105" s="45"/>
      <c r="BT105" s="45"/>
      <c r="BU105" s="37"/>
      <c r="BV105" s="45"/>
      <c r="BW105" s="45"/>
      <c r="BX105" s="37"/>
      <c r="BY105" s="45"/>
      <c r="BZ105" s="45"/>
      <c r="CA105" s="37"/>
      <c r="CB105" s="45"/>
      <c r="CC105" s="45"/>
      <c r="CD105" s="37"/>
      <c r="CE105" s="45"/>
      <c r="CF105" s="45"/>
      <c r="CG105" s="37"/>
      <c r="CH105" s="45"/>
      <c r="CI105" s="45"/>
      <c r="CJ105" s="37"/>
      <c r="CK105" s="45"/>
      <c r="CL105" s="45"/>
      <c r="CM105" s="37"/>
      <c r="CN105" s="45"/>
      <c r="CO105" s="45"/>
      <c r="CP105" s="37"/>
      <c r="CQ105" s="45"/>
      <c r="CR105" s="45"/>
      <c r="CS105" s="37"/>
      <c r="CT105" s="45"/>
      <c r="CU105" s="45"/>
      <c r="CV105" s="37"/>
      <c r="CW105" s="45"/>
      <c r="CX105" s="45"/>
      <c r="CY105" s="37"/>
      <c r="CZ105" s="45"/>
      <c r="DB105" s="37"/>
      <c r="DE105" s="37"/>
      <c r="DH105" s="37"/>
      <c r="DK105" s="37"/>
      <c r="DN105" s="37"/>
      <c r="DQ105" s="37"/>
      <c r="DT105" s="37"/>
      <c r="DW105" s="37"/>
      <c r="DZ105" s="37"/>
      <c r="EC105" s="37"/>
      <c r="EF105" s="37"/>
      <c r="EI105" s="37"/>
      <c r="EL105" s="37"/>
      <c r="EO105" s="37"/>
      <c r="ER105" s="37"/>
      <c r="EU105" s="37"/>
      <c r="EV105" s="45"/>
      <c r="EW105" s="45"/>
      <c r="EX105" s="37"/>
      <c r="EY105" s="45"/>
      <c r="EZ105" s="45"/>
      <c r="FA105" s="37"/>
      <c r="FB105" s="45"/>
      <c r="FC105" s="45"/>
      <c r="FD105" s="37"/>
      <c r="FE105" s="45"/>
      <c r="FF105" s="45"/>
      <c r="FG105" s="37"/>
      <c r="FH105" s="45"/>
      <c r="FI105" s="45"/>
      <c r="FJ105" s="37"/>
      <c r="FK105" s="45"/>
      <c r="FL105" s="45"/>
      <c r="FM105" s="37"/>
      <c r="FN105" s="45"/>
      <c r="FO105" s="45"/>
      <c r="FP105" s="37"/>
      <c r="FQ105" s="45"/>
      <c r="FR105" s="45"/>
      <c r="FS105" s="37"/>
      <c r="FT105" s="45"/>
      <c r="FU105" s="45"/>
      <c r="FV105" s="37"/>
      <c r="FW105" s="45"/>
      <c r="FX105" s="45"/>
      <c r="FY105" s="37"/>
      <c r="FZ105" s="45"/>
      <c r="GA105" s="45"/>
      <c r="GB105" s="37"/>
      <c r="GC105" s="45"/>
      <c r="GD105" s="45"/>
      <c r="GE105" s="37"/>
      <c r="GF105" s="45"/>
      <c r="GG105" s="45"/>
      <c r="GH105" s="37"/>
      <c r="GI105" s="45"/>
      <c r="GJ105" s="45"/>
      <c r="GK105" s="37"/>
      <c r="GL105" s="45"/>
      <c r="GM105" s="45"/>
      <c r="GN105" s="37"/>
      <c r="GO105" s="45"/>
      <c r="HE105" s="56"/>
    </row>
    <row r="106" ht="12.0" customHeight="1">
      <c r="A106" s="37"/>
      <c r="D106" s="37"/>
      <c r="E106" s="37"/>
      <c r="I106" s="37"/>
      <c r="M106" s="37"/>
      <c r="Q106" s="37"/>
      <c r="U106" s="37"/>
      <c r="Y106" s="37"/>
      <c r="AC106" s="37"/>
      <c r="AG106" s="37"/>
      <c r="AK106" s="37"/>
      <c r="AN106" s="37"/>
      <c r="AQ106" s="37"/>
      <c r="AT106" s="37"/>
      <c r="AW106" s="37"/>
      <c r="AZ106" s="37"/>
      <c r="BC106" s="37"/>
      <c r="BF106" s="37"/>
      <c r="BG106" s="45"/>
      <c r="BH106" s="45"/>
      <c r="BI106" s="37"/>
      <c r="BJ106" s="45"/>
      <c r="BK106" s="45"/>
      <c r="BL106" s="37"/>
      <c r="BM106" s="45"/>
      <c r="BN106" s="45"/>
      <c r="BO106" s="37"/>
      <c r="BP106" s="45"/>
      <c r="BQ106" s="45"/>
      <c r="BR106" s="37"/>
      <c r="BS106" s="45"/>
      <c r="BT106" s="45"/>
      <c r="BU106" s="37"/>
      <c r="BV106" s="45"/>
      <c r="BW106" s="45"/>
      <c r="BX106" s="37"/>
      <c r="BY106" s="45"/>
      <c r="BZ106" s="45"/>
      <c r="CA106" s="37"/>
      <c r="CB106" s="45"/>
      <c r="CC106" s="45"/>
      <c r="CD106" s="37"/>
      <c r="CE106" s="45"/>
      <c r="CF106" s="45"/>
      <c r="CG106" s="37"/>
      <c r="CH106" s="45"/>
      <c r="CI106" s="45"/>
      <c r="CJ106" s="37"/>
      <c r="CK106" s="45"/>
      <c r="CL106" s="45"/>
      <c r="CM106" s="37"/>
      <c r="CN106" s="45"/>
      <c r="CO106" s="45"/>
      <c r="CP106" s="37"/>
      <c r="CQ106" s="45"/>
      <c r="CR106" s="45"/>
      <c r="CS106" s="37"/>
      <c r="CT106" s="45"/>
      <c r="CU106" s="45"/>
      <c r="CV106" s="37"/>
      <c r="CW106" s="45"/>
      <c r="CX106" s="45"/>
      <c r="CY106" s="37"/>
      <c r="CZ106" s="45"/>
      <c r="DB106" s="37"/>
      <c r="DE106" s="37"/>
      <c r="DH106" s="37"/>
      <c r="DK106" s="37"/>
      <c r="DN106" s="37"/>
      <c r="DQ106" s="37"/>
      <c r="DT106" s="37"/>
      <c r="DW106" s="37"/>
      <c r="DZ106" s="37"/>
      <c r="EC106" s="37"/>
      <c r="EF106" s="37"/>
      <c r="EI106" s="37"/>
      <c r="EL106" s="37"/>
      <c r="EO106" s="37"/>
      <c r="ER106" s="37"/>
      <c r="EU106" s="37"/>
      <c r="EV106" s="45"/>
      <c r="EW106" s="45"/>
      <c r="EX106" s="37"/>
      <c r="EY106" s="45"/>
      <c r="EZ106" s="45"/>
      <c r="FA106" s="37"/>
      <c r="FB106" s="45"/>
      <c r="FC106" s="45"/>
      <c r="FD106" s="37"/>
      <c r="FE106" s="45"/>
      <c r="FF106" s="45"/>
      <c r="FG106" s="37"/>
      <c r="FH106" s="45"/>
      <c r="FI106" s="45"/>
      <c r="FJ106" s="37"/>
      <c r="FK106" s="45"/>
      <c r="FL106" s="45"/>
      <c r="FM106" s="37"/>
      <c r="FN106" s="45"/>
      <c r="FO106" s="45"/>
      <c r="FP106" s="37"/>
      <c r="FQ106" s="45"/>
      <c r="FR106" s="45"/>
      <c r="FS106" s="37"/>
      <c r="FT106" s="45"/>
      <c r="FU106" s="45"/>
      <c r="FV106" s="37"/>
      <c r="FW106" s="45"/>
      <c r="FX106" s="45"/>
      <c r="FY106" s="37"/>
      <c r="FZ106" s="45"/>
      <c r="GA106" s="45"/>
      <c r="GB106" s="37"/>
      <c r="GC106" s="45"/>
      <c r="GD106" s="45"/>
      <c r="GE106" s="37"/>
      <c r="GF106" s="45"/>
      <c r="GG106" s="45"/>
      <c r="GH106" s="37"/>
      <c r="GI106" s="45"/>
      <c r="GJ106" s="45"/>
      <c r="GK106" s="37"/>
      <c r="GL106" s="45"/>
      <c r="GM106" s="45"/>
      <c r="GN106" s="37"/>
      <c r="GO106" s="45"/>
      <c r="HE106" s="56"/>
    </row>
    <row r="107" ht="12.0" customHeight="1">
      <c r="A107" s="37"/>
      <c r="D107" s="37"/>
      <c r="E107" s="37"/>
      <c r="I107" s="37"/>
      <c r="M107" s="37"/>
      <c r="Q107" s="37"/>
      <c r="U107" s="37"/>
      <c r="Y107" s="37"/>
      <c r="AC107" s="37"/>
      <c r="AG107" s="37"/>
      <c r="AK107" s="37"/>
      <c r="AN107" s="37"/>
      <c r="AQ107" s="37"/>
      <c r="AT107" s="37"/>
      <c r="AW107" s="37"/>
      <c r="AZ107" s="37"/>
      <c r="BC107" s="37"/>
      <c r="BF107" s="37"/>
      <c r="BG107" s="45"/>
      <c r="BH107" s="45"/>
      <c r="BI107" s="37"/>
      <c r="BJ107" s="45"/>
      <c r="BK107" s="45"/>
      <c r="BL107" s="37"/>
      <c r="BM107" s="45"/>
      <c r="BN107" s="45"/>
      <c r="BO107" s="37"/>
      <c r="BP107" s="45"/>
      <c r="BQ107" s="45"/>
      <c r="BR107" s="37"/>
      <c r="BS107" s="45"/>
      <c r="BT107" s="45"/>
      <c r="BU107" s="37"/>
      <c r="BV107" s="45"/>
      <c r="BW107" s="45"/>
      <c r="BX107" s="37"/>
      <c r="BY107" s="45"/>
      <c r="BZ107" s="45"/>
      <c r="CA107" s="37"/>
      <c r="CB107" s="45"/>
      <c r="CC107" s="45"/>
      <c r="CD107" s="37"/>
      <c r="CE107" s="45"/>
      <c r="CF107" s="45"/>
      <c r="CG107" s="37"/>
      <c r="CH107" s="45"/>
      <c r="CI107" s="45"/>
      <c r="CJ107" s="37"/>
      <c r="CK107" s="45"/>
      <c r="CL107" s="45"/>
      <c r="CM107" s="37"/>
      <c r="CN107" s="45"/>
      <c r="CO107" s="45"/>
      <c r="CP107" s="37"/>
      <c r="CQ107" s="45"/>
      <c r="CR107" s="45"/>
      <c r="CS107" s="37"/>
      <c r="CT107" s="45"/>
      <c r="CU107" s="45"/>
      <c r="CV107" s="37"/>
      <c r="CW107" s="45"/>
      <c r="CX107" s="45"/>
      <c r="CY107" s="37"/>
      <c r="CZ107" s="45"/>
      <c r="DB107" s="37"/>
      <c r="DE107" s="37"/>
      <c r="DH107" s="37"/>
      <c r="DK107" s="37"/>
      <c r="DN107" s="37"/>
      <c r="DQ107" s="37"/>
      <c r="DT107" s="37"/>
      <c r="DW107" s="37"/>
      <c r="DZ107" s="37"/>
      <c r="EC107" s="37"/>
      <c r="EF107" s="37"/>
      <c r="EI107" s="37"/>
      <c r="EL107" s="37"/>
      <c r="EO107" s="37"/>
      <c r="ER107" s="37"/>
      <c r="EU107" s="37"/>
      <c r="EV107" s="45"/>
      <c r="EW107" s="45"/>
      <c r="EX107" s="37"/>
      <c r="EY107" s="45"/>
      <c r="EZ107" s="45"/>
      <c r="FA107" s="37"/>
      <c r="FB107" s="45"/>
      <c r="FC107" s="45"/>
      <c r="FD107" s="37"/>
      <c r="FE107" s="45"/>
      <c r="FF107" s="45"/>
      <c r="FG107" s="37"/>
      <c r="FH107" s="45"/>
      <c r="FI107" s="45"/>
      <c r="FJ107" s="37"/>
      <c r="FK107" s="45"/>
      <c r="FL107" s="45"/>
      <c r="FM107" s="37"/>
      <c r="FN107" s="45"/>
      <c r="FO107" s="45"/>
      <c r="FP107" s="37"/>
      <c r="FQ107" s="45"/>
      <c r="FR107" s="45"/>
      <c r="FS107" s="37"/>
      <c r="FT107" s="45"/>
      <c r="FU107" s="45"/>
      <c r="FV107" s="37"/>
      <c r="FW107" s="45"/>
      <c r="FX107" s="45"/>
      <c r="FY107" s="37"/>
      <c r="FZ107" s="45"/>
      <c r="GA107" s="45"/>
      <c r="GB107" s="37"/>
      <c r="GC107" s="45"/>
      <c r="GD107" s="45"/>
      <c r="GE107" s="37"/>
      <c r="GF107" s="45"/>
      <c r="GG107" s="45"/>
      <c r="GH107" s="37"/>
      <c r="GI107" s="45"/>
      <c r="GJ107" s="45"/>
      <c r="GK107" s="37"/>
      <c r="GL107" s="45"/>
      <c r="GM107" s="45"/>
      <c r="GN107" s="37"/>
      <c r="GO107" s="45"/>
      <c r="HE107" s="56"/>
    </row>
    <row r="108" ht="12.0" customHeight="1">
      <c r="A108" s="37"/>
      <c r="D108" s="37"/>
      <c r="E108" s="37"/>
      <c r="I108" s="37"/>
      <c r="M108" s="37"/>
      <c r="Q108" s="37"/>
      <c r="U108" s="37"/>
      <c r="Y108" s="37"/>
      <c r="AC108" s="37"/>
      <c r="AG108" s="37"/>
      <c r="AK108" s="37"/>
      <c r="AN108" s="37"/>
      <c r="AQ108" s="37"/>
      <c r="AT108" s="37"/>
      <c r="AW108" s="37"/>
      <c r="AZ108" s="37"/>
      <c r="BC108" s="37"/>
      <c r="BF108" s="37"/>
      <c r="BG108" s="45"/>
      <c r="BH108" s="45"/>
      <c r="BI108" s="37"/>
      <c r="BJ108" s="45"/>
      <c r="BK108" s="45"/>
      <c r="BL108" s="37"/>
      <c r="BM108" s="45"/>
      <c r="BN108" s="45"/>
      <c r="BO108" s="37"/>
      <c r="BP108" s="45"/>
      <c r="BQ108" s="45"/>
      <c r="BR108" s="37"/>
      <c r="BS108" s="45"/>
      <c r="BT108" s="45"/>
      <c r="BU108" s="37"/>
      <c r="BV108" s="45"/>
      <c r="BW108" s="45"/>
      <c r="BX108" s="37"/>
      <c r="BY108" s="45"/>
      <c r="BZ108" s="45"/>
      <c r="CA108" s="37"/>
      <c r="CB108" s="45"/>
      <c r="CC108" s="45"/>
      <c r="CD108" s="37"/>
      <c r="CE108" s="45"/>
      <c r="CF108" s="45"/>
      <c r="CG108" s="37"/>
      <c r="CH108" s="45"/>
      <c r="CI108" s="45"/>
      <c r="CJ108" s="37"/>
      <c r="CK108" s="45"/>
      <c r="CL108" s="45"/>
      <c r="CM108" s="37"/>
      <c r="CN108" s="45"/>
      <c r="CO108" s="45"/>
      <c r="CP108" s="37"/>
      <c r="CQ108" s="45"/>
      <c r="CR108" s="45"/>
      <c r="CS108" s="37"/>
      <c r="CT108" s="45"/>
      <c r="CU108" s="45"/>
      <c r="CV108" s="37"/>
      <c r="CW108" s="45"/>
      <c r="CX108" s="45"/>
      <c r="CY108" s="37"/>
      <c r="CZ108" s="45"/>
      <c r="DB108" s="37"/>
      <c r="DE108" s="37"/>
      <c r="DH108" s="37"/>
      <c r="DK108" s="37"/>
      <c r="DN108" s="37"/>
      <c r="DQ108" s="37"/>
      <c r="DT108" s="37"/>
      <c r="DW108" s="37"/>
      <c r="DZ108" s="37"/>
      <c r="EC108" s="37"/>
      <c r="EF108" s="37"/>
      <c r="EI108" s="37"/>
      <c r="EL108" s="37"/>
      <c r="EO108" s="37"/>
      <c r="ER108" s="37"/>
      <c r="EU108" s="37"/>
      <c r="EV108" s="45"/>
      <c r="EW108" s="45"/>
      <c r="EX108" s="37"/>
      <c r="EY108" s="45"/>
      <c r="EZ108" s="45"/>
      <c r="FA108" s="37"/>
      <c r="FB108" s="45"/>
      <c r="FC108" s="45"/>
      <c r="FD108" s="37"/>
      <c r="FE108" s="45"/>
      <c r="FF108" s="45"/>
      <c r="FG108" s="37"/>
      <c r="FH108" s="45"/>
      <c r="FI108" s="45"/>
      <c r="FJ108" s="37"/>
      <c r="FK108" s="45"/>
      <c r="FL108" s="45"/>
      <c r="FM108" s="37"/>
      <c r="FN108" s="45"/>
      <c r="FO108" s="45"/>
      <c r="FP108" s="37"/>
      <c r="FQ108" s="45"/>
      <c r="FR108" s="45"/>
      <c r="FS108" s="37"/>
      <c r="FT108" s="45"/>
      <c r="FU108" s="45"/>
      <c r="FV108" s="37"/>
      <c r="FW108" s="45"/>
      <c r="FX108" s="45"/>
      <c r="FY108" s="37"/>
      <c r="FZ108" s="45"/>
      <c r="GA108" s="45"/>
      <c r="GB108" s="37"/>
      <c r="GC108" s="45"/>
      <c r="GD108" s="45"/>
      <c r="GE108" s="37"/>
      <c r="GF108" s="45"/>
      <c r="GG108" s="45"/>
      <c r="GH108" s="37"/>
      <c r="GI108" s="45"/>
      <c r="GJ108" s="45"/>
      <c r="GK108" s="37"/>
      <c r="GL108" s="45"/>
      <c r="GM108" s="45"/>
      <c r="GN108" s="37"/>
      <c r="GO108" s="45"/>
      <c r="HE108" s="56"/>
    </row>
    <row r="109" ht="12.0" customHeight="1">
      <c r="A109" s="37"/>
      <c r="D109" s="37"/>
      <c r="E109" s="37"/>
      <c r="I109" s="37"/>
      <c r="M109" s="37"/>
      <c r="Q109" s="37"/>
      <c r="U109" s="37"/>
      <c r="Y109" s="37"/>
      <c r="AC109" s="37"/>
      <c r="AG109" s="37"/>
      <c r="AK109" s="37"/>
      <c r="AN109" s="37"/>
      <c r="AQ109" s="37"/>
      <c r="AT109" s="37"/>
      <c r="AW109" s="37"/>
      <c r="AZ109" s="37"/>
      <c r="BC109" s="37"/>
      <c r="BF109" s="37"/>
      <c r="BG109" s="45"/>
      <c r="BH109" s="45"/>
      <c r="BI109" s="37"/>
      <c r="BJ109" s="45"/>
      <c r="BK109" s="45"/>
      <c r="BL109" s="37"/>
      <c r="BM109" s="45"/>
      <c r="BN109" s="45"/>
      <c r="BO109" s="37"/>
      <c r="BP109" s="45"/>
      <c r="BQ109" s="45"/>
      <c r="BR109" s="37"/>
      <c r="BS109" s="45"/>
      <c r="BT109" s="45"/>
      <c r="BU109" s="37"/>
      <c r="BV109" s="45"/>
      <c r="BW109" s="45"/>
      <c r="BX109" s="37"/>
      <c r="BY109" s="45"/>
      <c r="BZ109" s="45"/>
      <c r="CA109" s="37"/>
      <c r="CB109" s="45"/>
      <c r="CC109" s="45"/>
      <c r="CD109" s="37"/>
      <c r="CE109" s="45"/>
      <c r="CF109" s="45"/>
      <c r="CG109" s="37"/>
      <c r="CH109" s="45"/>
      <c r="CI109" s="45"/>
      <c r="CJ109" s="37"/>
      <c r="CK109" s="45"/>
      <c r="CL109" s="45"/>
      <c r="CM109" s="37"/>
      <c r="CN109" s="45"/>
      <c r="CO109" s="45"/>
      <c r="CP109" s="37"/>
      <c r="CQ109" s="45"/>
      <c r="CR109" s="45"/>
      <c r="CS109" s="37"/>
      <c r="CT109" s="45"/>
      <c r="CU109" s="45"/>
      <c r="CV109" s="37"/>
      <c r="CW109" s="45"/>
      <c r="CX109" s="45"/>
      <c r="CY109" s="37"/>
      <c r="CZ109" s="45"/>
      <c r="DB109" s="37"/>
      <c r="DE109" s="37"/>
      <c r="DH109" s="37"/>
      <c r="DK109" s="37"/>
      <c r="DN109" s="37"/>
      <c r="DQ109" s="37"/>
      <c r="DT109" s="37"/>
      <c r="DW109" s="37"/>
      <c r="DZ109" s="37"/>
      <c r="EC109" s="37"/>
      <c r="EF109" s="37"/>
      <c r="EI109" s="37"/>
      <c r="EL109" s="37"/>
      <c r="EO109" s="37"/>
      <c r="ER109" s="37"/>
      <c r="EU109" s="37"/>
      <c r="EV109" s="45"/>
      <c r="EW109" s="45"/>
      <c r="EX109" s="37"/>
      <c r="EY109" s="45"/>
      <c r="EZ109" s="45"/>
      <c r="FA109" s="37"/>
      <c r="FB109" s="45"/>
      <c r="FC109" s="45"/>
      <c r="FD109" s="37"/>
      <c r="FE109" s="45"/>
      <c r="FF109" s="45"/>
      <c r="FG109" s="37"/>
      <c r="FH109" s="45"/>
      <c r="FI109" s="45"/>
      <c r="FJ109" s="37"/>
      <c r="FK109" s="45"/>
      <c r="FL109" s="45"/>
      <c r="FM109" s="37"/>
      <c r="FN109" s="45"/>
      <c r="FO109" s="45"/>
      <c r="FP109" s="37"/>
      <c r="FQ109" s="45"/>
      <c r="FR109" s="45"/>
      <c r="FS109" s="37"/>
      <c r="FT109" s="45"/>
      <c r="FU109" s="45"/>
      <c r="FV109" s="37"/>
      <c r="FW109" s="45"/>
      <c r="FX109" s="45"/>
      <c r="FY109" s="37"/>
      <c r="FZ109" s="45"/>
      <c r="GA109" s="45"/>
      <c r="GB109" s="37"/>
      <c r="GC109" s="45"/>
      <c r="GD109" s="45"/>
      <c r="GE109" s="37"/>
      <c r="GF109" s="45"/>
      <c r="GG109" s="45"/>
      <c r="GH109" s="37"/>
      <c r="GI109" s="45"/>
      <c r="GJ109" s="45"/>
      <c r="GK109" s="37"/>
      <c r="GL109" s="45"/>
      <c r="GM109" s="45"/>
      <c r="GN109" s="37"/>
      <c r="GO109" s="45"/>
      <c r="HE109" s="56"/>
    </row>
    <row r="110" ht="12.0" customHeight="1">
      <c r="A110" s="37"/>
      <c r="D110" s="37"/>
      <c r="E110" s="37"/>
      <c r="I110" s="37"/>
      <c r="M110" s="37"/>
      <c r="Q110" s="37"/>
      <c r="U110" s="37"/>
      <c r="Y110" s="37"/>
      <c r="AC110" s="37"/>
      <c r="AG110" s="37"/>
      <c r="AK110" s="37"/>
      <c r="AN110" s="37"/>
      <c r="AQ110" s="37"/>
      <c r="AT110" s="37"/>
      <c r="AW110" s="37"/>
      <c r="AZ110" s="37"/>
      <c r="BC110" s="37"/>
      <c r="BF110" s="37"/>
      <c r="BG110" s="45"/>
      <c r="BH110" s="45"/>
      <c r="BI110" s="37"/>
      <c r="BJ110" s="45"/>
      <c r="BK110" s="45"/>
      <c r="BL110" s="37"/>
      <c r="BM110" s="45"/>
      <c r="BN110" s="45"/>
      <c r="BO110" s="37"/>
      <c r="BP110" s="45"/>
      <c r="BQ110" s="45"/>
      <c r="BR110" s="37"/>
      <c r="BS110" s="45"/>
      <c r="BT110" s="45"/>
      <c r="BU110" s="37"/>
      <c r="BV110" s="45"/>
      <c r="BW110" s="45"/>
      <c r="BX110" s="37"/>
      <c r="BY110" s="45"/>
      <c r="BZ110" s="45"/>
      <c r="CA110" s="37"/>
      <c r="CB110" s="45"/>
      <c r="CC110" s="45"/>
      <c r="CD110" s="37"/>
      <c r="CE110" s="45"/>
      <c r="CF110" s="45"/>
      <c r="CG110" s="37"/>
      <c r="CH110" s="45"/>
      <c r="CI110" s="45"/>
      <c r="CJ110" s="37"/>
      <c r="CK110" s="45"/>
      <c r="CL110" s="45"/>
      <c r="CM110" s="37"/>
      <c r="CN110" s="45"/>
      <c r="CO110" s="45"/>
      <c r="CP110" s="37"/>
      <c r="CQ110" s="45"/>
      <c r="CR110" s="45"/>
      <c r="CS110" s="37"/>
      <c r="CT110" s="45"/>
      <c r="CU110" s="45"/>
      <c r="CV110" s="37"/>
      <c r="CW110" s="45"/>
      <c r="CX110" s="45"/>
      <c r="CY110" s="37"/>
      <c r="CZ110" s="45"/>
      <c r="DB110" s="37"/>
      <c r="DE110" s="37"/>
      <c r="DH110" s="37"/>
      <c r="DK110" s="37"/>
      <c r="DN110" s="37"/>
      <c r="DQ110" s="37"/>
      <c r="DT110" s="37"/>
      <c r="DW110" s="37"/>
      <c r="DZ110" s="37"/>
      <c r="EC110" s="37"/>
      <c r="EF110" s="37"/>
      <c r="EI110" s="37"/>
      <c r="EL110" s="37"/>
      <c r="EO110" s="37"/>
      <c r="ER110" s="37"/>
      <c r="EU110" s="37"/>
      <c r="EV110" s="45"/>
      <c r="EW110" s="45"/>
      <c r="EX110" s="37"/>
      <c r="EY110" s="45"/>
      <c r="EZ110" s="45"/>
      <c r="FA110" s="37"/>
      <c r="FB110" s="45"/>
      <c r="FC110" s="45"/>
      <c r="FD110" s="37"/>
      <c r="FE110" s="45"/>
      <c r="FF110" s="45"/>
      <c r="FG110" s="37"/>
      <c r="FH110" s="45"/>
      <c r="FI110" s="45"/>
      <c r="FJ110" s="37"/>
      <c r="FK110" s="45"/>
      <c r="FL110" s="45"/>
      <c r="FM110" s="37"/>
      <c r="FN110" s="45"/>
      <c r="FO110" s="45"/>
      <c r="FP110" s="37"/>
      <c r="FQ110" s="45"/>
      <c r="FR110" s="45"/>
      <c r="FS110" s="37"/>
      <c r="FT110" s="45"/>
      <c r="FU110" s="45"/>
      <c r="FV110" s="37"/>
      <c r="FW110" s="45"/>
      <c r="FX110" s="45"/>
      <c r="FY110" s="37"/>
      <c r="FZ110" s="45"/>
      <c r="GA110" s="45"/>
      <c r="GB110" s="37"/>
      <c r="GC110" s="45"/>
      <c r="GD110" s="45"/>
      <c r="GE110" s="37"/>
      <c r="GF110" s="45"/>
      <c r="GG110" s="45"/>
      <c r="GH110" s="37"/>
      <c r="GI110" s="45"/>
      <c r="GJ110" s="45"/>
      <c r="GK110" s="37"/>
      <c r="GL110" s="45"/>
      <c r="GM110" s="45"/>
      <c r="GN110" s="37"/>
      <c r="GO110" s="45"/>
      <c r="HE110" s="56"/>
    </row>
    <row r="111" ht="12.0" customHeight="1">
      <c r="A111" s="37"/>
      <c r="D111" s="37"/>
      <c r="E111" s="37"/>
      <c r="I111" s="37"/>
      <c r="M111" s="37"/>
      <c r="Q111" s="37"/>
      <c r="U111" s="37"/>
      <c r="Y111" s="37"/>
      <c r="AC111" s="37"/>
      <c r="AG111" s="37"/>
      <c r="AK111" s="37"/>
      <c r="AN111" s="37"/>
      <c r="AQ111" s="37"/>
      <c r="AT111" s="37"/>
      <c r="AW111" s="37"/>
      <c r="AZ111" s="37"/>
      <c r="BC111" s="37"/>
      <c r="BF111" s="37"/>
      <c r="BG111" s="45"/>
      <c r="BH111" s="45"/>
      <c r="BI111" s="37"/>
      <c r="BJ111" s="45"/>
      <c r="BK111" s="45"/>
      <c r="BL111" s="37"/>
      <c r="BM111" s="45"/>
      <c r="BN111" s="45"/>
      <c r="BO111" s="37"/>
      <c r="BP111" s="45"/>
      <c r="BQ111" s="45"/>
      <c r="BR111" s="37"/>
      <c r="BS111" s="45"/>
      <c r="BT111" s="45"/>
      <c r="BU111" s="37"/>
      <c r="BV111" s="45"/>
      <c r="BW111" s="45"/>
      <c r="BX111" s="37"/>
      <c r="BY111" s="45"/>
      <c r="BZ111" s="45"/>
      <c r="CA111" s="37"/>
      <c r="CB111" s="45"/>
      <c r="CC111" s="45"/>
      <c r="CD111" s="37"/>
      <c r="CE111" s="45"/>
      <c r="CF111" s="45"/>
      <c r="CG111" s="37"/>
      <c r="CH111" s="45"/>
      <c r="CI111" s="45"/>
      <c r="CJ111" s="37"/>
      <c r="CK111" s="45"/>
      <c r="CL111" s="45"/>
      <c r="CM111" s="37"/>
      <c r="CN111" s="45"/>
      <c r="CO111" s="45"/>
      <c r="CP111" s="37"/>
      <c r="CQ111" s="45"/>
      <c r="CR111" s="45"/>
      <c r="CS111" s="37"/>
      <c r="CT111" s="45"/>
      <c r="CU111" s="45"/>
      <c r="CV111" s="37"/>
      <c r="CW111" s="45"/>
      <c r="CX111" s="45"/>
      <c r="CY111" s="37"/>
      <c r="CZ111" s="45"/>
      <c r="DB111" s="37"/>
      <c r="DE111" s="37"/>
      <c r="DH111" s="37"/>
      <c r="DK111" s="37"/>
      <c r="DN111" s="37"/>
      <c r="DQ111" s="37"/>
      <c r="DT111" s="37"/>
      <c r="DW111" s="37"/>
      <c r="DZ111" s="37"/>
      <c r="EC111" s="37"/>
      <c r="EF111" s="37"/>
      <c r="EI111" s="37"/>
      <c r="EL111" s="37"/>
      <c r="EO111" s="37"/>
      <c r="ER111" s="37"/>
      <c r="EU111" s="37"/>
      <c r="EV111" s="45"/>
      <c r="EW111" s="45"/>
      <c r="EX111" s="37"/>
      <c r="EY111" s="45"/>
      <c r="EZ111" s="45"/>
      <c r="FA111" s="37"/>
      <c r="FB111" s="45"/>
      <c r="FC111" s="45"/>
      <c r="FD111" s="37"/>
      <c r="FE111" s="45"/>
      <c r="FF111" s="45"/>
      <c r="FG111" s="37"/>
      <c r="FH111" s="45"/>
      <c r="FI111" s="45"/>
      <c r="FJ111" s="37"/>
      <c r="FK111" s="45"/>
      <c r="FL111" s="45"/>
      <c r="FM111" s="37"/>
      <c r="FN111" s="45"/>
      <c r="FO111" s="45"/>
      <c r="FP111" s="37"/>
      <c r="FQ111" s="45"/>
      <c r="FR111" s="45"/>
      <c r="FS111" s="37"/>
      <c r="FT111" s="45"/>
      <c r="FU111" s="45"/>
      <c r="FV111" s="37"/>
      <c r="FW111" s="45"/>
      <c r="FX111" s="45"/>
      <c r="FY111" s="37"/>
      <c r="FZ111" s="45"/>
      <c r="GA111" s="45"/>
      <c r="GB111" s="37"/>
      <c r="GC111" s="45"/>
      <c r="GD111" s="45"/>
      <c r="GE111" s="37"/>
      <c r="GF111" s="45"/>
      <c r="GG111" s="45"/>
      <c r="GH111" s="37"/>
      <c r="GI111" s="45"/>
      <c r="GJ111" s="45"/>
      <c r="GK111" s="37"/>
      <c r="GL111" s="45"/>
      <c r="GM111" s="45"/>
      <c r="GN111" s="37"/>
      <c r="GO111" s="45"/>
      <c r="HE111" s="56"/>
    </row>
    <row r="112" ht="12.0" customHeight="1">
      <c r="A112" s="37"/>
      <c r="D112" s="37"/>
      <c r="E112" s="37"/>
      <c r="I112" s="37"/>
      <c r="M112" s="37"/>
      <c r="Q112" s="37"/>
      <c r="U112" s="37"/>
      <c r="Y112" s="37"/>
      <c r="AC112" s="37"/>
      <c r="AG112" s="37"/>
      <c r="AK112" s="37"/>
      <c r="AN112" s="37"/>
      <c r="AQ112" s="37"/>
      <c r="AT112" s="37"/>
      <c r="AW112" s="37"/>
      <c r="AZ112" s="37"/>
      <c r="BC112" s="37"/>
      <c r="BF112" s="37"/>
      <c r="BG112" s="45"/>
      <c r="BH112" s="45"/>
      <c r="BI112" s="37"/>
      <c r="BJ112" s="45"/>
      <c r="BK112" s="45"/>
      <c r="BL112" s="37"/>
      <c r="BM112" s="45"/>
      <c r="BN112" s="45"/>
      <c r="BO112" s="37"/>
      <c r="BP112" s="45"/>
      <c r="BQ112" s="45"/>
      <c r="BR112" s="37"/>
      <c r="BS112" s="45"/>
      <c r="BT112" s="45"/>
      <c r="BU112" s="37"/>
      <c r="BV112" s="45"/>
      <c r="BW112" s="45"/>
      <c r="BX112" s="37"/>
      <c r="BY112" s="45"/>
      <c r="BZ112" s="45"/>
      <c r="CA112" s="37"/>
      <c r="CB112" s="45"/>
      <c r="CC112" s="45"/>
      <c r="CD112" s="37"/>
      <c r="CE112" s="45"/>
      <c r="CF112" s="45"/>
      <c r="CG112" s="37"/>
      <c r="CH112" s="45"/>
      <c r="CI112" s="45"/>
      <c r="CJ112" s="37"/>
      <c r="CK112" s="45"/>
      <c r="CL112" s="45"/>
      <c r="CM112" s="37"/>
      <c r="CN112" s="45"/>
      <c r="CO112" s="45"/>
      <c r="CP112" s="37"/>
      <c r="CQ112" s="45"/>
      <c r="CR112" s="45"/>
      <c r="CS112" s="37"/>
      <c r="CT112" s="45"/>
      <c r="CU112" s="45"/>
      <c r="CV112" s="37"/>
      <c r="CW112" s="45"/>
      <c r="CX112" s="45"/>
      <c r="CY112" s="37"/>
      <c r="CZ112" s="45"/>
      <c r="DB112" s="37"/>
      <c r="DE112" s="37"/>
      <c r="DH112" s="37"/>
      <c r="DK112" s="37"/>
      <c r="DN112" s="37"/>
      <c r="DQ112" s="37"/>
      <c r="DT112" s="37"/>
      <c r="DW112" s="37"/>
      <c r="DZ112" s="37"/>
      <c r="EC112" s="37"/>
      <c r="EF112" s="37"/>
      <c r="EI112" s="37"/>
      <c r="EL112" s="37"/>
      <c r="EO112" s="37"/>
      <c r="ER112" s="37"/>
      <c r="EU112" s="37"/>
      <c r="EV112" s="45"/>
      <c r="EW112" s="45"/>
      <c r="EX112" s="37"/>
      <c r="EY112" s="45"/>
      <c r="EZ112" s="45"/>
      <c r="FA112" s="37"/>
      <c r="FB112" s="45"/>
      <c r="FC112" s="45"/>
      <c r="FD112" s="37"/>
      <c r="FE112" s="45"/>
      <c r="FF112" s="45"/>
      <c r="FG112" s="37"/>
      <c r="FH112" s="45"/>
      <c r="FI112" s="45"/>
      <c r="FJ112" s="37"/>
      <c r="FK112" s="45"/>
      <c r="FL112" s="45"/>
      <c r="FM112" s="37"/>
      <c r="FN112" s="45"/>
      <c r="FO112" s="45"/>
      <c r="FP112" s="37"/>
      <c r="FQ112" s="45"/>
      <c r="FR112" s="45"/>
      <c r="FS112" s="37"/>
      <c r="FT112" s="45"/>
      <c r="FU112" s="45"/>
      <c r="FV112" s="37"/>
      <c r="FW112" s="45"/>
      <c r="FX112" s="45"/>
      <c r="FY112" s="37"/>
      <c r="FZ112" s="45"/>
      <c r="GA112" s="45"/>
      <c r="GB112" s="37"/>
      <c r="GC112" s="45"/>
      <c r="GD112" s="45"/>
      <c r="GE112" s="37"/>
      <c r="GF112" s="45"/>
      <c r="GG112" s="45"/>
      <c r="GH112" s="37"/>
      <c r="GI112" s="45"/>
      <c r="GJ112" s="45"/>
      <c r="GK112" s="37"/>
      <c r="GL112" s="45"/>
      <c r="GM112" s="45"/>
      <c r="GN112" s="37"/>
      <c r="GO112" s="45"/>
      <c r="HE112" s="56"/>
    </row>
    <row r="113" ht="12.0" customHeight="1">
      <c r="A113" s="37"/>
      <c r="D113" s="37"/>
      <c r="E113" s="37"/>
      <c r="I113" s="37"/>
      <c r="M113" s="37"/>
      <c r="Q113" s="37"/>
      <c r="U113" s="37"/>
      <c r="Y113" s="37"/>
      <c r="AC113" s="37"/>
      <c r="AG113" s="37"/>
      <c r="AK113" s="37"/>
      <c r="AN113" s="37"/>
      <c r="AQ113" s="37"/>
      <c r="AT113" s="37"/>
      <c r="AW113" s="37"/>
      <c r="AZ113" s="37"/>
      <c r="BC113" s="37"/>
      <c r="BF113" s="37"/>
      <c r="BG113" s="45"/>
      <c r="BH113" s="45"/>
      <c r="BI113" s="37"/>
      <c r="BJ113" s="45"/>
      <c r="BK113" s="45"/>
      <c r="BL113" s="37"/>
      <c r="BM113" s="45"/>
      <c r="BN113" s="45"/>
      <c r="BO113" s="37"/>
      <c r="BP113" s="45"/>
      <c r="BQ113" s="45"/>
      <c r="BR113" s="37"/>
      <c r="BS113" s="45"/>
      <c r="BT113" s="45"/>
      <c r="BU113" s="37"/>
      <c r="BV113" s="45"/>
      <c r="BW113" s="45"/>
      <c r="BX113" s="37"/>
      <c r="BY113" s="45"/>
      <c r="BZ113" s="45"/>
      <c r="CA113" s="37"/>
      <c r="CB113" s="45"/>
      <c r="CC113" s="45"/>
      <c r="CD113" s="37"/>
      <c r="CE113" s="45"/>
      <c r="CF113" s="45"/>
      <c r="CG113" s="37"/>
      <c r="CH113" s="45"/>
      <c r="CI113" s="45"/>
      <c r="CJ113" s="37"/>
      <c r="CK113" s="45"/>
      <c r="CL113" s="45"/>
      <c r="CM113" s="37"/>
      <c r="CN113" s="45"/>
      <c r="CO113" s="45"/>
      <c r="CP113" s="37"/>
      <c r="CQ113" s="45"/>
      <c r="CR113" s="45"/>
      <c r="CS113" s="37"/>
      <c r="CT113" s="45"/>
      <c r="CU113" s="45"/>
      <c r="CV113" s="37"/>
      <c r="CW113" s="45"/>
      <c r="CX113" s="45"/>
      <c r="CY113" s="37"/>
      <c r="CZ113" s="45"/>
      <c r="DB113" s="37"/>
      <c r="DE113" s="37"/>
      <c r="DH113" s="37"/>
      <c r="DK113" s="37"/>
      <c r="DN113" s="37"/>
      <c r="DQ113" s="37"/>
      <c r="DT113" s="37"/>
      <c r="DW113" s="37"/>
      <c r="DZ113" s="37"/>
      <c r="EC113" s="37"/>
      <c r="EF113" s="37"/>
      <c r="EI113" s="37"/>
      <c r="EL113" s="37"/>
      <c r="EO113" s="37"/>
      <c r="ER113" s="37"/>
      <c r="EU113" s="37"/>
      <c r="EV113" s="45"/>
      <c r="EW113" s="45"/>
      <c r="EX113" s="37"/>
      <c r="EY113" s="45"/>
      <c r="EZ113" s="45"/>
      <c r="FA113" s="37"/>
      <c r="FB113" s="45"/>
      <c r="FC113" s="45"/>
      <c r="FD113" s="37"/>
      <c r="FE113" s="45"/>
      <c r="FF113" s="45"/>
      <c r="FG113" s="37"/>
      <c r="FH113" s="45"/>
      <c r="FI113" s="45"/>
      <c r="FJ113" s="37"/>
      <c r="FK113" s="45"/>
      <c r="FL113" s="45"/>
      <c r="FM113" s="37"/>
      <c r="FN113" s="45"/>
      <c r="FO113" s="45"/>
      <c r="FP113" s="37"/>
      <c r="FQ113" s="45"/>
      <c r="FR113" s="45"/>
      <c r="FS113" s="37"/>
      <c r="FT113" s="45"/>
      <c r="FU113" s="45"/>
      <c r="FV113" s="37"/>
      <c r="FW113" s="45"/>
      <c r="FX113" s="45"/>
      <c r="FY113" s="37"/>
      <c r="FZ113" s="45"/>
      <c r="GA113" s="45"/>
      <c r="GB113" s="37"/>
      <c r="GC113" s="45"/>
      <c r="GD113" s="45"/>
      <c r="GE113" s="37"/>
      <c r="GF113" s="45"/>
      <c r="GG113" s="45"/>
      <c r="GH113" s="37"/>
      <c r="GI113" s="45"/>
      <c r="GJ113" s="45"/>
      <c r="GK113" s="37"/>
      <c r="GL113" s="45"/>
      <c r="GM113" s="45"/>
      <c r="GN113" s="37"/>
      <c r="GO113" s="45"/>
      <c r="HE113" s="56"/>
    </row>
    <row r="114" ht="12.0" customHeight="1">
      <c r="A114" s="37"/>
      <c r="D114" s="37"/>
      <c r="E114" s="37"/>
      <c r="I114" s="37"/>
      <c r="M114" s="37"/>
      <c r="Q114" s="37"/>
      <c r="U114" s="37"/>
      <c r="Y114" s="37"/>
      <c r="AC114" s="37"/>
      <c r="AG114" s="37"/>
      <c r="AK114" s="37"/>
      <c r="AN114" s="37"/>
      <c r="AQ114" s="37"/>
      <c r="AT114" s="37"/>
      <c r="AW114" s="37"/>
      <c r="AZ114" s="37"/>
      <c r="BC114" s="37"/>
      <c r="BF114" s="37"/>
      <c r="BG114" s="45"/>
      <c r="BH114" s="45"/>
      <c r="BI114" s="37"/>
      <c r="BJ114" s="45"/>
      <c r="BK114" s="45"/>
      <c r="BL114" s="37"/>
      <c r="BM114" s="45"/>
      <c r="BN114" s="45"/>
      <c r="BO114" s="37"/>
      <c r="BP114" s="45"/>
      <c r="BQ114" s="45"/>
      <c r="BR114" s="37"/>
      <c r="BS114" s="45"/>
      <c r="BT114" s="45"/>
      <c r="BU114" s="37"/>
      <c r="BV114" s="45"/>
      <c r="BW114" s="45"/>
      <c r="BX114" s="37"/>
      <c r="BY114" s="45"/>
      <c r="BZ114" s="45"/>
      <c r="CA114" s="37"/>
      <c r="CB114" s="45"/>
      <c r="CC114" s="45"/>
      <c r="CD114" s="37"/>
      <c r="CE114" s="45"/>
      <c r="CF114" s="45"/>
      <c r="CG114" s="37"/>
      <c r="CH114" s="45"/>
      <c r="CI114" s="45"/>
      <c r="CJ114" s="37"/>
      <c r="CK114" s="45"/>
      <c r="CL114" s="45"/>
      <c r="CM114" s="37"/>
      <c r="CN114" s="45"/>
      <c r="CO114" s="45"/>
      <c r="CP114" s="37"/>
      <c r="CQ114" s="45"/>
      <c r="CR114" s="45"/>
      <c r="CS114" s="37"/>
      <c r="CT114" s="45"/>
      <c r="CU114" s="45"/>
      <c r="CV114" s="37"/>
      <c r="CW114" s="45"/>
      <c r="CX114" s="45"/>
      <c r="CY114" s="37"/>
      <c r="CZ114" s="45"/>
      <c r="DB114" s="37"/>
      <c r="DE114" s="37"/>
      <c r="DH114" s="37"/>
      <c r="DK114" s="37"/>
      <c r="DN114" s="37"/>
      <c r="DQ114" s="37"/>
      <c r="DT114" s="37"/>
      <c r="DW114" s="37"/>
      <c r="DZ114" s="37"/>
      <c r="EC114" s="37"/>
      <c r="EF114" s="37"/>
      <c r="EI114" s="37"/>
      <c r="EL114" s="37"/>
      <c r="EO114" s="37"/>
      <c r="ER114" s="37"/>
      <c r="EU114" s="37"/>
      <c r="EV114" s="45"/>
      <c r="EW114" s="45"/>
      <c r="EX114" s="37"/>
      <c r="EY114" s="45"/>
      <c r="EZ114" s="45"/>
      <c r="FA114" s="37"/>
      <c r="FB114" s="45"/>
      <c r="FC114" s="45"/>
      <c r="FD114" s="37"/>
      <c r="FE114" s="45"/>
      <c r="FF114" s="45"/>
      <c r="FG114" s="37"/>
      <c r="FH114" s="45"/>
      <c r="FI114" s="45"/>
      <c r="FJ114" s="37"/>
      <c r="FK114" s="45"/>
      <c r="FL114" s="45"/>
      <c r="FM114" s="37"/>
      <c r="FN114" s="45"/>
      <c r="FO114" s="45"/>
      <c r="FP114" s="37"/>
      <c r="FQ114" s="45"/>
      <c r="FR114" s="45"/>
      <c r="FS114" s="37"/>
      <c r="FT114" s="45"/>
      <c r="FU114" s="45"/>
      <c r="FV114" s="37"/>
      <c r="FW114" s="45"/>
      <c r="FX114" s="45"/>
      <c r="FY114" s="37"/>
      <c r="FZ114" s="45"/>
      <c r="GA114" s="45"/>
      <c r="GB114" s="37"/>
      <c r="GC114" s="45"/>
      <c r="GD114" s="45"/>
      <c r="GE114" s="37"/>
      <c r="GF114" s="45"/>
      <c r="GG114" s="45"/>
      <c r="GH114" s="37"/>
      <c r="GI114" s="45"/>
      <c r="GJ114" s="45"/>
      <c r="GK114" s="37"/>
      <c r="GL114" s="45"/>
      <c r="GM114" s="45"/>
      <c r="GN114" s="37"/>
      <c r="GO114" s="45"/>
      <c r="HE114" s="56"/>
    </row>
    <row r="115" ht="12.0" customHeight="1">
      <c r="A115" s="37"/>
      <c r="D115" s="37"/>
      <c r="E115" s="37"/>
      <c r="I115" s="37"/>
      <c r="M115" s="37"/>
      <c r="Q115" s="37"/>
      <c r="U115" s="37"/>
      <c r="Y115" s="37"/>
      <c r="AC115" s="37"/>
      <c r="AG115" s="37"/>
      <c r="AK115" s="37"/>
      <c r="AN115" s="37"/>
      <c r="AQ115" s="37"/>
      <c r="AT115" s="37"/>
      <c r="AW115" s="37"/>
      <c r="AZ115" s="37"/>
      <c r="BC115" s="37"/>
      <c r="BF115" s="37"/>
      <c r="BG115" s="45"/>
      <c r="BH115" s="45"/>
      <c r="BI115" s="37"/>
      <c r="BJ115" s="45"/>
      <c r="BK115" s="45"/>
      <c r="BL115" s="37"/>
      <c r="BM115" s="45"/>
      <c r="BN115" s="45"/>
      <c r="BO115" s="37"/>
      <c r="BP115" s="45"/>
      <c r="BQ115" s="45"/>
      <c r="BR115" s="37"/>
      <c r="BS115" s="45"/>
      <c r="BT115" s="45"/>
      <c r="BU115" s="37"/>
      <c r="BV115" s="45"/>
      <c r="BW115" s="45"/>
      <c r="BX115" s="37"/>
      <c r="BY115" s="45"/>
      <c r="BZ115" s="45"/>
      <c r="CA115" s="37"/>
      <c r="CB115" s="45"/>
      <c r="CC115" s="45"/>
      <c r="CD115" s="37"/>
      <c r="CE115" s="45"/>
      <c r="CF115" s="45"/>
      <c r="CG115" s="37"/>
      <c r="CH115" s="45"/>
      <c r="CI115" s="45"/>
      <c r="CJ115" s="37"/>
      <c r="CK115" s="45"/>
      <c r="CL115" s="45"/>
      <c r="CM115" s="37"/>
      <c r="CN115" s="45"/>
      <c r="CO115" s="45"/>
      <c r="CP115" s="37"/>
      <c r="CQ115" s="45"/>
      <c r="CR115" s="45"/>
      <c r="CS115" s="37"/>
      <c r="CT115" s="45"/>
      <c r="CU115" s="45"/>
      <c r="CV115" s="37"/>
      <c r="CW115" s="45"/>
      <c r="CX115" s="45"/>
      <c r="CY115" s="37"/>
      <c r="CZ115" s="45"/>
      <c r="DB115" s="37"/>
      <c r="DE115" s="37"/>
      <c r="DH115" s="37"/>
      <c r="DK115" s="37"/>
      <c r="DN115" s="37"/>
      <c r="DQ115" s="37"/>
      <c r="DT115" s="37"/>
      <c r="DW115" s="37"/>
      <c r="DZ115" s="37"/>
      <c r="EC115" s="37"/>
      <c r="EF115" s="37"/>
      <c r="EI115" s="37"/>
      <c r="EL115" s="37"/>
      <c r="EO115" s="37"/>
      <c r="ER115" s="37"/>
      <c r="EU115" s="37"/>
      <c r="EV115" s="45"/>
      <c r="EW115" s="45"/>
      <c r="EX115" s="37"/>
      <c r="EY115" s="45"/>
      <c r="EZ115" s="45"/>
      <c r="FA115" s="37"/>
      <c r="FB115" s="45"/>
      <c r="FC115" s="45"/>
      <c r="FD115" s="37"/>
      <c r="FE115" s="45"/>
      <c r="FF115" s="45"/>
      <c r="FG115" s="37"/>
      <c r="FH115" s="45"/>
      <c r="FI115" s="45"/>
      <c r="FJ115" s="37"/>
      <c r="FK115" s="45"/>
      <c r="FL115" s="45"/>
      <c r="FM115" s="37"/>
      <c r="FN115" s="45"/>
      <c r="FO115" s="45"/>
      <c r="FP115" s="37"/>
      <c r="FQ115" s="45"/>
      <c r="FR115" s="45"/>
      <c r="FS115" s="37"/>
      <c r="FT115" s="45"/>
      <c r="FU115" s="45"/>
      <c r="FV115" s="37"/>
      <c r="FW115" s="45"/>
      <c r="FX115" s="45"/>
      <c r="FY115" s="37"/>
      <c r="FZ115" s="45"/>
      <c r="GA115" s="45"/>
      <c r="GB115" s="37"/>
      <c r="GC115" s="45"/>
      <c r="GD115" s="45"/>
      <c r="GE115" s="37"/>
      <c r="GF115" s="45"/>
      <c r="GG115" s="45"/>
      <c r="GH115" s="37"/>
      <c r="GI115" s="45"/>
      <c r="GJ115" s="45"/>
      <c r="GK115" s="37"/>
      <c r="GL115" s="45"/>
      <c r="GM115" s="45"/>
      <c r="GN115" s="37"/>
      <c r="GO115" s="45"/>
      <c r="HE115" s="56"/>
    </row>
    <row r="116" ht="12.0" customHeight="1">
      <c r="A116" s="37"/>
      <c r="D116" s="37"/>
      <c r="E116" s="37"/>
      <c r="I116" s="37"/>
      <c r="M116" s="37"/>
      <c r="Q116" s="37"/>
      <c r="U116" s="37"/>
      <c r="Y116" s="37"/>
      <c r="AC116" s="37"/>
      <c r="AG116" s="37"/>
      <c r="AK116" s="37"/>
      <c r="AN116" s="37"/>
      <c r="AQ116" s="37"/>
      <c r="AT116" s="37"/>
      <c r="AW116" s="37"/>
      <c r="AZ116" s="37"/>
      <c r="BC116" s="37"/>
      <c r="BF116" s="37"/>
      <c r="BG116" s="45"/>
      <c r="BH116" s="45"/>
      <c r="BI116" s="37"/>
      <c r="BJ116" s="45"/>
      <c r="BK116" s="45"/>
      <c r="BL116" s="37"/>
      <c r="BM116" s="45"/>
      <c r="BN116" s="45"/>
      <c r="BO116" s="37"/>
      <c r="BP116" s="45"/>
      <c r="BQ116" s="45"/>
      <c r="BR116" s="37"/>
      <c r="BS116" s="45"/>
      <c r="BT116" s="45"/>
      <c r="BU116" s="37"/>
      <c r="BV116" s="45"/>
      <c r="BW116" s="45"/>
      <c r="BX116" s="37"/>
      <c r="BY116" s="45"/>
      <c r="BZ116" s="45"/>
      <c r="CA116" s="37"/>
      <c r="CB116" s="45"/>
      <c r="CC116" s="45"/>
      <c r="CD116" s="37"/>
      <c r="CE116" s="45"/>
      <c r="CF116" s="45"/>
      <c r="CG116" s="37"/>
      <c r="CH116" s="45"/>
      <c r="CI116" s="45"/>
      <c r="CJ116" s="37"/>
      <c r="CK116" s="45"/>
      <c r="CL116" s="45"/>
      <c r="CM116" s="37"/>
      <c r="CN116" s="45"/>
      <c r="CO116" s="45"/>
      <c r="CP116" s="37"/>
      <c r="CQ116" s="45"/>
      <c r="CR116" s="45"/>
      <c r="CS116" s="37"/>
      <c r="CT116" s="45"/>
      <c r="CU116" s="45"/>
      <c r="CV116" s="37"/>
      <c r="CW116" s="45"/>
      <c r="CX116" s="45"/>
      <c r="CY116" s="37"/>
      <c r="CZ116" s="45"/>
      <c r="DB116" s="37"/>
      <c r="DE116" s="37"/>
      <c r="DH116" s="37"/>
      <c r="DK116" s="37"/>
      <c r="DN116" s="37"/>
      <c r="DQ116" s="37"/>
      <c r="DT116" s="37"/>
      <c r="DW116" s="37"/>
      <c r="DZ116" s="37"/>
      <c r="EC116" s="37"/>
      <c r="EF116" s="37"/>
      <c r="EI116" s="37"/>
      <c r="EL116" s="37"/>
      <c r="EO116" s="37"/>
      <c r="ER116" s="37"/>
      <c r="EU116" s="37"/>
      <c r="EV116" s="45"/>
      <c r="EW116" s="45"/>
      <c r="EX116" s="37"/>
      <c r="EY116" s="45"/>
      <c r="EZ116" s="45"/>
      <c r="FA116" s="37"/>
      <c r="FB116" s="45"/>
      <c r="FC116" s="45"/>
      <c r="FD116" s="37"/>
      <c r="FE116" s="45"/>
      <c r="FF116" s="45"/>
      <c r="FG116" s="37"/>
      <c r="FH116" s="45"/>
      <c r="FI116" s="45"/>
      <c r="FJ116" s="37"/>
      <c r="FK116" s="45"/>
      <c r="FL116" s="45"/>
      <c r="FM116" s="37"/>
      <c r="FN116" s="45"/>
      <c r="FO116" s="45"/>
      <c r="FP116" s="37"/>
      <c r="FQ116" s="45"/>
      <c r="FR116" s="45"/>
      <c r="FS116" s="37"/>
      <c r="FT116" s="45"/>
      <c r="FU116" s="45"/>
      <c r="FV116" s="37"/>
      <c r="FW116" s="45"/>
      <c r="FX116" s="45"/>
      <c r="FY116" s="37"/>
      <c r="FZ116" s="45"/>
      <c r="GA116" s="45"/>
      <c r="GB116" s="37"/>
      <c r="GC116" s="45"/>
      <c r="GD116" s="45"/>
      <c r="GE116" s="37"/>
      <c r="GF116" s="45"/>
      <c r="GG116" s="45"/>
      <c r="GH116" s="37"/>
      <c r="GI116" s="45"/>
      <c r="GJ116" s="45"/>
      <c r="GK116" s="37"/>
      <c r="GL116" s="45"/>
      <c r="GM116" s="45"/>
      <c r="GN116" s="37"/>
      <c r="GO116" s="45"/>
      <c r="HE116" s="56"/>
    </row>
    <row r="117" ht="12.0" customHeight="1">
      <c r="A117" s="37"/>
      <c r="D117" s="37"/>
      <c r="E117" s="37"/>
      <c r="I117" s="37"/>
      <c r="M117" s="37"/>
      <c r="Q117" s="37"/>
      <c r="U117" s="37"/>
      <c r="Y117" s="37"/>
      <c r="AC117" s="37"/>
      <c r="AG117" s="37"/>
      <c r="AK117" s="37"/>
      <c r="AN117" s="37"/>
      <c r="AQ117" s="37"/>
      <c r="AT117" s="37"/>
      <c r="AW117" s="37"/>
      <c r="AZ117" s="37"/>
      <c r="BC117" s="37"/>
      <c r="BF117" s="37"/>
      <c r="BG117" s="45"/>
      <c r="BH117" s="45"/>
      <c r="BI117" s="37"/>
      <c r="BJ117" s="45"/>
      <c r="BK117" s="45"/>
      <c r="BL117" s="37"/>
      <c r="BM117" s="45"/>
      <c r="BN117" s="45"/>
      <c r="BO117" s="37"/>
      <c r="BP117" s="45"/>
      <c r="BQ117" s="45"/>
      <c r="BR117" s="37"/>
      <c r="BS117" s="45"/>
      <c r="BT117" s="45"/>
      <c r="BU117" s="37"/>
      <c r="BV117" s="45"/>
      <c r="BW117" s="45"/>
      <c r="BX117" s="37"/>
      <c r="BY117" s="45"/>
      <c r="BZ117" s="45"/>
      <c r="CA117" s="37"/>
      <c r="CB117" s="45"/>
      <c r="CC117" s="45"/>
      <c r="CD117" s="37"/>
      <c r="CE117" s="45"/>
      <c r="CF117" s="45"/>
      <c r="CG117" s="37"/>
      <c r="CH117" s="45"/>
      <c r="CI117" s="45"/>
      <c r="CJ117" s="37"/>
      <c r="CK117" s="45"/>
      <c r="CL117" s="45"/>
      <c r="CM117" s="37"/>
      <c r="CN117" s="45"/>
      <c r="CO117" s="45"/>
      <c r="CP117" s="37"/>
      <c r="CQ117" s="45"/>
      <c r="CR117" s="45"/>
      <c r="CS117" s="37"/>
      <c r="CT117" s="45"/>
      <c r="CU117" s="45"/>
      <c r="CV117" s="37"/>
      <c r="CW117" s="45"/>
      <c r="CX117" s="45"/>
      <c r="CY117" s="37"/>
      <c r="CZ117" s="45"/>
      <c r="DB117" s="37"/>
      <c r="DE117" s="37"/>
      <c r="DH117" s="37"/>
      <c r="DK117" s="37"/>
      <c r="DN117" s="37"/>
      <c r="DQ117" s="37"/>
      <c r="DT117" s="37"/>
      <c r="DW117" s="37"/>
      <c r="DZ117" s="37"/>
      <c r="EC117" s="37"/>
      <c r="EF117" s="37"/>
      <c r="EI117" s="37"/>
      <c r="EL117" s="37"/>
      <c r="EO117" s="37"/>
      <c r="ER117" s="37"/>
      <c r="EU117" s="37"/>
      <c r="EV117" s="45"/>
      <c r="EW117" s="45"/>
      <c r="EX117" s="37"/>
      <c r="EY117" s="45"/>
      <c r="EZ117" s="45"/>
      <c r="FA117" s="37"/>
      <c r="FB117" s="45"/>
      <c r="FC117" s="45"/>
      <c r="FD117" s="37"/>
      <c r="FE117" s="45"/>
      <c r="FF117" s="45"/>
      <c r="FG117" s="37"/>
      <c r="FH117" s="45"/>
      <c r="FI117" s="45"/>
      <c r="FJ117" s="37"/>
      <c r="FK117" s="45"/>
      <c r="FL117" s="45"/>
      <c r="FM117" s="37"/>
      <c r="FN117" s="45"/>
      <c r="FO117" s="45"/>
      <c r="FP117" s="37"/>
      <c r="FQ117" s="45"/>
      <c r="FR117" s="45"/>
      <c r="FS117" s="37"/>
      <c r="FT117" s="45"/>
      <c r="FU117" s="45"/>
      <c r="FV117" s="37"/>
      <c r="FW117" s="45"/>
      <c r="FX117" s="45"/>
      <c r="FY117" s="37"/>
      <c r="FZ117" s="45"/>
      <c r="GA117" s="45"/>
      <c r="GB117" s="37"/>
      <c r="GC117" s="45"/>
      <c r="GD117" s="45"/>
      <c r="GE117" s="37"/>
      <c r="GF117" s="45"/>
      <c r="GG117" s="45"/>
      <c r="GH117" s="37"/>
      <c r="GI117" s="45"/>
      <c r="GJ117" s="45"/>
      <c r="GK117" s="37"/>
      <c r="GL117" s="45"/>
      <c r="GM117" s="45"/>
      <c r="GN117" s="37"/>
      <c r="GO117" s="45"/>
      <c r="HE117" s="56"/>
    </row>
    <row r="118" ht="12.0" customHeight="1">
      <c r="A118" s="37"/>
      <c r="D118" s="37"/>
      <c r="E118" s="37"/>
      <c r="I118" s="37"/>
      <c r="M118" s="37"/>
      <c r="Q118" s="37"/>
      <c r="U118" s="37"/>
      <c r="Y118" s="37"/>
      <c r="AC118" s="37"/>
      <c r="AG118" s="37"/>
      <c r="AK118" s="37"/>
      <c r="AN118" s="37"/>
      <c r="AQ118" s="37"/>
      <c r="AT118" s="37"/>
      <c r="AW118" s="37"/>
      <c r="AZ118" s="37"/>
      <c r="BC118" s="37"/>
      <c r="BF118" s="37"/>
      <c r="BG118" s="45"/>
      <c r="BH118" s="45"/>
      <c r="BI118" s="37"/>
      <c r="BJ118" s="45"/>
      <c r="BK118" s="45"/>
      <c r="BL118" s="37"/>
      <c r="BM118" s="45"/>
      <c r="BN118" s="45"/>
      <c r="BO118" s="37"/>
      <c r="BP118" s="45"/>
      <c r="BQ118" s="45"/>
      <c r="BR118" s="37"/>
      <c r="BS118" s="45"/>
      <c r="BT118" s="45"/>
      <c r="BU118" s="37"/>
      <c r="BV118" s="45"/>
      <c r="BW118" s="45"/>
      <c r="BX118" s="37"/>
      <c r="BY118" s="45"/>
      <c r="BZ118" s="45"/>
      <c r="CA118" s="37"/>
      <c r="CB118" s="45"/>
      <c r="CC118" s="45"/>
      <c r="CD118" s="37"/>
      <c r="CE118" s="45"/>
      <c r="CF118" s="45"/>
      <c r="CG118" s="37"/>
      <c r="CH118" s="45"/>
      <c r="CI118" s="45"/>
      <c r="CJ118" s="37"/>
      <c r="CK118" s="45"/>
      <c r="CL118" s="45"/>
      <c r="CM118" s="37"/>
      <c r="CN118" s="45"/>
      <c r="CO118" s="45"/>
      <c r="CP118" s="37"/>
      <c r="CQ118" s="45"/>
      <c r="CR118" s="45"/>
      <c r="CS118" s="37"/>
      <c r="CT118" s="45"/>
      <c r="CU118" s="45"/>
      <c r="CV118" s="37"/>
      <c r="CW118" s="45"/>
      <c r="CX118" s="45"/>
      <c r="CY118" s="37"/>
      <c r="CZ118" s="45"/>
      <c r="DB118" s="37"/>
      <c r="DE118" s="37"/>
      <c r="DH118" s="37"/>
      <c r="DK118" s="37"/>
      <c r="DN118" s="37"/>
      <c r="DQ118" s="37"/>
      <c r="DT118" s="37"/>
      <c r="DW118" s="37"/>
      <c r="DZ118" s="37"/>
      <c r="EC118" s="37"/>
      <c r="EF118" s="37"/>
      <c r="EI118" s="37"/>
      <c r="EL118" s="37"/>
      <c r="EO118" s="37"/>
      <c r="ER118" s="37"/>
      <c r="EU118" s="37"/>
      <c r="EV118" s="45"/>
      <c r="EW118" s="45"/>
      <c r="EX118" s="37"/>
      <c r="EY118" s="45"/>
      <c r="EZ118" s="45"/>
      <c r="FA118" s="37"/>
      <c r="FB118" s="45"/>
      <c r="FC118" s="45"/>
      <c r="FD118" s="37"/>
      <c r="FE118" s="45"/>
      <c r="FF118" s="45"/>
      <c r="FG118" s="37"/>
      <c r="FH118" s="45"/>
      <c r="FI118" s="45"/>
      <c r="FJ118" s="37"/>
      <c r="FK118" s="45"/>
      <c r="FL118" s="45"/>
      <c r="FM118" s="37"/>
      <c r="FN118" s="45"/>
      <c r="FO118" s="45"/>
      <c r="FP118" s="37"/>
      <c r="FQ118" s="45"/>
      <c r="FR118" s="45"/>
      <c r="FS118" s="37"/>
      <c r="FT118" s="45"/>
      <c r="FU118" s="45"/>
      <c r="FV118" s="37"/>
      <c r="FW118" s="45"/>
      <c r="FX118" s="45"/>
      <c r="FY118" s="37"/>
      <c r="FZ118" s="45"/>
      <c r="GA118" s="45"/>
      <c r="GB118" s="37"/>
      <c r="GC118" s="45"/>
      <c r="GD118" s="45"/>
      <c r="GE118" s="37"/>
      <c r="GF118" s="45"/>
      <c r="GG118" s="45"/>
      <c r="GH118" s="37"/>
      <c r="GI118" s="45"/>
      <c r="GJ118" s="45"/>
      <c r="GK118" s="37"/>
      <c r="GL118" s="45"/>
      <c r="GM118" s="45"/>
      <c r="GN118" s="37"/>
      <c r="GO118" s="45"/>
      <c r="HE118" s="56"/>
    </row>
    <row r="119" ht="12.0" customHeight="1">
      <c r="A119" s="37"/>
      <c r="D119" s="37"/>
      <c r="E119" s="37"/>
      <c r="I119" s="37"/>
      <c r="M119" s="37"/>
      <c r="Q119" s="37"/>
      <c r="U119" s="37"/>
      <c r="Y119" s="37"/>
      <c r="AC119" s="37"/>
      <c r="AG119" s="37"/>
      <c r="AK119" s="37"/>
      <c r="AN119" s="37"/>
      <c r="AQ119" s="37"/>
      <c r="AT119" s="37"/>
      <c r="AW119" s="37"/>
      <c r="AZ119" s="37"/>
      <c r="BC119" s="37"/>
      <c r="BF119" s="37"/>
      <c r="BG119" s="45"/>
      <c r="BH119" s="45"/>
      <c r="BI119" s="37"/>
      <c r="BJ119" s="45"/>
      <c r="BK119" s="45"/>
      <c r="BL119" s="37"/>
      <c r="BM119" s="45"/>
      <c r="BN119" s="45"/>
      <c r="BO119" s="37"/>
      <c r="BP119" s="45"/>
      <c r="BQ119" s="45"/>
      <c r="BR119" s="37"/>
      <c r="BS119" s="45"/>
      <c r="BT119" s="45"/>
      <c r="BU119" s="37"/>
      <c r="BV119" s="45"/>
      <c r="BW119" s="45"/>
      <c r="BX119" s="37"/>
      <c r="BY119" s="45"/>
      <c r="BZ119" s="45"/>
      <c r="CA119" s="37"/>
      <c r="CB119" s="45"/>
      <c r="CC119" s="45"/>
      <c r="CD119" s="37"/>
      <c r="CE119" s="45"/>
      <c r="CF119" s="45"/>
      <c r="CG119" s="37"/>
      <c r="CH119" s="45"/>
      <c r="CI119" s="45"/>
      <c r="CJ119" s="37"/>
      <c r="CK119" s="45"/>
      <c r="CL119" s="45"/>
      <c r="CM119" s="37"/>
      <c r="CN119" s="45"/>
      <c r="CO119" s="45"/>
      <c r="CP119" s="37"/>
      <c r="CQ119" s="45"/>
      <c r="CR119" s="45"/>
      <c r="CS119" s="37"/>
      <c r="CT119" s="45"/>
      <c r="CU119" s="45"/>
      <c r="CV119" s="37"/>
      <c r="CW119" s="45"/>
      <c r="CX119" s="45"/>
      <c r="CY119" s="37"/>
      <c r="CZ119" s="45"/>
      <c r="DB119" s="37"/>
      <c r="DE119" s="37"/>
      <c r="DH119" s="37"/>
      <c r="DK119" s="37"/>
      <c r="DN119" s="37"/>
      <c r="DQ119" s="37"/>
      <c r="DT119" s="37"/>
      <c r="DW119" s="37"/>
      <c r="DZ119" s="37"/>
      <c r="EC119" s="37"/>
      <c r="EF119" s="37"/>
      <c r="EI119" s="37"/>
      <c r="EL119" s="37"/>
      <c r="EO119" s="37"/>
      <c r="ER119" s="37"/>
      <c r="EU119" s="37"/>
      <c r="EV119" s="45"/>
      <c r="EW119" s="45"/>
      <c r="EX119" s="37"/>
      <c r="EY119" s="45"/>
      <c r="EZ119" s="45"/>
      <c r="FA119" s="37"/>
      <c r="FB119" s="45"/>
      <c r="FC119" s="45"/>
      <c r="FD119" s="37"/>
      <c r="FE119" s="45"/>
      <c r="FF119" s="45"/>
      <c r="FG119" s="37"/>
      <c r="FH119" s="45"/>
      <c r="FI119" s="45"/>
      <c r="FJ119" s="37"/>
      <c r="FK119" s="45"/>
      <c r="FL119" s="45"/>
      <c r="FM119" s="37"/>
      <c r="FN119" s="45"/>
      <c r="FO119" s="45"/>
      <c r="FP119" s="37"/>
      <c r="FQ119" s="45"/>
      <c r="FR119" s="45"/>
      <c r="FS119" s="37"/>
      <c r="FT119" s="45"/>
      <c r="FU119" s="45"/>
      <c r="FV119" s="37"/>
      <c r="FW119" s="45"/>
      <c r="FX119" s="45"/>
      <c r="FY119" s="37"/>
      <c r="FZ119" s="45"/>
      <c r="GA119" s="45"/>
      <c r="GB119" s="37"/>
      <c r="GC119" s="45"/>
      <c r="GD119" s="45"/>
      <c r="GE119" s="37"/>
      <c r="GF119" s="45"/>
      <c r="GG119" s="45"/>
      <c r="GH119" s="37"/>
      <c r="GI119" s="45"/>
      <c r="GJ119" s="45"/>
      <c r="GK119" s="37"/>
      <c r="GL119" s="45"/>
      <c r="GM119" s="45"/>
      <c r="GN119" s="37"/>
      <c r="GO119" s="45"/>
      <c r="HE119" s="56"/>
    </row>
    <row r="120" ht="12.0" customHeight="1">
      <c r="A120" s="37"/>
      <c r="D120" s="37"/>
      <c r="E120" s="37"/>
      <c r="I120" s="37"/>
      <c r="M120" s="37"/>
      <c r="Q120" s="37"/>
      <c r="U120" s="37"/>
      <c r="Y120" s="37"/>
      <c r="AC120" s="37"/>
      <c r="AG120" s="37"/>
      <c r="AK120" s="37"/>
      <c r="AN120" s="37"/>
      <c r="AQ120" s="37"/>
      <c r="AT120" s="37"/>
      <c r="AW120" s="37"/>
      <c r="AZ120" s="37"/>
      <c r="BC120" s="37"/>
      <c r="BF120" s="37"/>
      <c r="BG120" s="45"/>
      <c r="BH120" s="45"/>
      <c r="BI120" s="37"/>
      <c r="BJ120" s="45"/>
      <c r="BK120" s="45"/>
      <c r="BL120" s="37"/>
      <c r="BM120" s="45"/>
      <c r="BN120" s="45"/>
      <c r="BO120" s="37"/>
      <c r="BP120" s="45"/>
      <c r="BQ120" s="45"/>
      <c r="BR120" s="37"/>
      <c r="BS120" s="45"/>
      <c r="BT120" s="45"/>
      <c r="BU120" s="37"/>
      <c r="BV120" s="45"/>
      <c r="BW120" s="45"/>
      <c r="BX120" s="37"/>
      <c r="BY120" s="45"/>
      <c r="BZ120" s="45"/>
      <c r="CA120" s="37"/>
      <c r="CB120" s="45"/>
      <c r="CC120" s="45"/>
      <c r="CD120" s="37"/>
      <c r="CE120" s="45"/>
      <c r="CF120" s="45"/>
      <c r="CG120" s="37"/>
      <c r="CH120" s="45"/>
      <c r="CI120" s="45"/>
      <c r="CJ120" s="37"/>
      <c r="CK120" s="45"/>
      <c r="CL120" s="45"/>
      <c r="CM120" s="37"/>
      <c r="CN120" s="45"/>
      <c r="CO120" s="45"/>
      <c r="CP120" s="37"/>
      <c r="CQ120" s="45"/>
      <c r="CR120" s="45"/>
      <c r="CS120" s="37"/>
      <c r="CT120" s="45"/>
      <c r="CU120" s="45"/>
      <c r="CV120" s="37"/>
      <c r="CW120" s="45"/>
      <c r="CX120" s="45"/>
      <c r="CY120" s="37"/>
      <c r="CZ120" s="45"/>
      <c r="DB120" s="37"/>
      <c r="DE120" s="37"/>
      <c r="DH120" s="37"/>
      <c r="DK120" s="37"/>
      <c r="DN120" s="37"/>
      <c r="DQ120" s="37"/>
      <c r="DT120" s="37"/>
      <c r="DW120" s="37"/>
      <c r="DZ120" s="37"/>
      <c r="EC120" s="37"/>
      <c r="EF120" s="37"/>
      <c r="EI120" s="37"/>
      <c r="EL120" s="37"/>
      <c r="EO120" s="37"/>
      <c r="ER120" s="37"/>
      <c r="EU120" s="37"/>
      <c r="EV120" s="45"/>
      <c r="EW120" s="45"/>
      <c r="EX120" s="37"/>
      <c r="EY120" s="45"/>
      <c r="EZ120" s="45"/>
      <c r="FA120" s="37"/>
      <c r="FB120" s="45"/>
      <c r="FC120" s="45"/>
      <c r="FD120" s="37"/>
      <c r="FE120" s="45"/>
      <c r="FF120" s="45"/>
      <c r="FG120" s="37"/>
      <c r="FH120" s="45"/>
      <c r="FI120" s="45"/>
      <c r="FJ120" s="37"/>
      <c r="FK120" s="45"/>
      <c r="FL120" s="45"/>
      <c r="FM120" s="37"/>
      <c r="FN120" s="45"/>
      <c r="FO120" s="45"/>
      <c r="FP120" s="37"/>
      <c r="FQ120" s="45"/>
      <c r="FR120" s="45"/>
      <c r="FS120" s="37"/>
      <c r="FT120" s="45"/>
      <c r="FU120" s="45"/>
      <c r="FV120" s="37"/>
      <c r="FW120" s="45"/>
      <c r="FX120" s="45"/>
      <c r="FY120" s="37"/>
      <c r="FZ120" s="45"/>
      <c r="GA120" s="45"/>
      <c r="GB120" s="37"/>
      <c r="GC120" s="45"/>
      <c r="GD120" s="45"/>
      <c r="GE120" s="37"/>
      <c r="GF120" s="45"/>
      <c r="GG120" s="45"/>
      <c r="GH120" s="37"/>
      <c r="GI120" s="45"/>
      <c r="GJ120" s="45"/>
      <c r="GK120" s="37"/>
      <c r="GL120" s="45"/>
      <c r="GM120" s="45"/>
      <c r="GN120" s="37"/>
      <c r="GO120" s="45"/>
      <c r="HE120" s="56"/>
    </row>
    <row r="121" ht="12.0" customHeight="1">
      <c r="A121" s="37"/>
      <c r="D121" s="37"/>
      <c r="E121" s="37"/>
      <c r="I121" s="37"/>
      <c r="M121" s="37"/>
      <c r="Q121" s="37"/>
      <c r="U121" s="37"/>
      <c r="Y121" s="37"/>
      <c r="AC121" s="37"/>
      <c r="AG121" s="37"/>
      <c r="AK121" s="37"/>
      <c r="AN121" s="37"/>
      <c r="AQ121" s="37"/>
      <c r="AT121" s="37"/>
      <c r="AW121" s="37"/>
      <c r="AZ121" s="37"/>
      <c r="BC121" s="37"/>
      <c r="BF121" s="37"/>
      <c r="BG121" s="45"/>
      <c r="BH121" s="45"/>
      <c r="BI121" s="37"/>
      <c r="BJ121" s="45"/>
      <c r="BK121" s="45"/>
      <c r="BL121" s="37"/>
      <c r="BM121" s="45"/>
      <c r="BN121" s="45"/>
      <c r="BO121" s="37"/>
      <c r="BP121" s="45"/>
      <c r="BQ121" s="45"/>
      <c r="BR121" s="37"/>
      <c r="BS121" s="45"/>
      <c r="BT121" s="45"/>
      <c r="BU121" s="37"/>
      <c r="BV121" s="45"/>
      <c r="BW121" s="45"/>
      <c r="BX121" s="37"/>
      <c r="BY121" s="45"/>
      <c r="BZ121" s="45"/>
      <c r="CA121" s="37"/>
      <c r="CB121" s="45"/>
      <c r="CC121" s="45"/>
      <c r="CD121" s="37"/>
      <c r="CE121" s="45"/>
      <c r="CF121" s="45"/>
      <c r="CG121" s="37"/>
      <c r="CH121" s="45"/>
      <c r="CI121" s="45"/>
      <c r="CJ121" s="37"/>
      <c r="CK121" s="45"/>
      <c r="CL121" s="45"/>
      <c r="CM121" s="37"/>
      <c r="CN121" s="45"/>
      <c r="CO121" s="45"/>
      <c r="CP121" s="37"/>
      <c r="CQ121" s="45"/>
      <c r="CR121" s="45"/>
      <c r="CS121" s="37"/>
      <c r="CT121" s="45"/>
      <c r="CU121" s="45"/>
      <c r="CV121" s="37"/>
      <c r="CW121" s="45"/>
      <c r="CX121" s="45"/>
      <c r="CY121" s="37"/>
      <c r="CZ121" s="45"/>
      <c r="DB121" s="37"/>
      <c r="DE121" s="37"/>
      <c r="DH121" s="37"/>
      <c r="DK121" s="37"/>
      <c r="DN121" s="37"/>
      <c r="DQ121" s="37"/>
      <c r="DT121" s="37"/>
      <c r="DW121" s="37"/>
      <c r="DZ121" s="37"/>
      <c r="EC121" s="37"/>
      <c r="EF121" s="37"/>
      <c r="EI121" s="37"/>
      <c r="EL121" s="37"/>
      <c r="EO121" s="37"/>
      <c r="ER121" s="37"/>
      <c r="EU121" s="37"/>
      <c r="EV121" s="45"/>
      <c r="EW121" s="45"/>
      <c r="EX121" s="37"/>
      <c r="EY121" s="45"/>
      <c r="EZ121" s="45"/>
      <c r="FA121" s="37"/>
      <c r="FB121" s="45"/>
      <c r="FC121" s="45"/>
      <c r="FD121" s="37"/>
      <c r="FE121" s="45"/>
      <c r="FF121" s="45"/>
      <c r="FG121" s="37"/>
      <c r="FH121" s="45"/>
      <c r="FI121" s="45"/>
      <c r="FJ121" s="37"/>
      <c r="FK121" s="45"/>
      <c r="FL121" s="45"/>
      <c r="FM121" s="37"/>
      <c r="FN121" s="45"/>
      <c r="FO121" s="45"/>
      <c r="FP121" s="37"/>
      <c r="FQ121" s="45"/>
      <c r="FR121" s="45"/>
      <c r="FS121" s="37"/>
      <c r="FT121" s="45"/>
      <c r="FU121" s="45"/>
      <c r="FV121" s="37"/>
      <c r="FW121" s="45"/>
      <c r="FX121" s="45"/>
      <c r="FY121" s="37"/>
      <c r="FZ121" s="45"/>
      <c r="GA121" s="45"/>
      <c r="GB121" s="37"/>
      <c r="GC121" s="45"/>
      <c r="GD121" s="45"/>
      <c r="GE121" s="37"/>
      <c r="GF121" s="45"/>
      <c r="GG121" s="45"/>
      <c r="GH121" s="37"/>
      <c r="GI121" s="45"/>
      <c r="GJ121" s="45"/>
      <c r="GK121" s="37"/>
      <c r="GL121" s="45"/>
      <c r="GM121" s="45"/>
      <c r="GN121" s="37"/>
      <c r="GO121" s="45"/>
      <c r="HE121" s="56"/>
    </row>
    <row r="122" ht="12.0" customHeight="1">
      <c r="A122" s="37"/>
      <c r="D122" s="37"/>
      <c r="E122" s="37"/>
      <c r="I122" s="37"/>
      <c r="M122" s="37"/>
      <c r="Q122" s="37"/>
      <c r="U122" s="37"/>
      <c r="Y122" s="37"/>
      <c r="AC122" s="37"/>
      <c r="AG122" s="37"/>
      <c r="AK122" s="37"/>
      <c r="AN122" s="37"/>
      <c r="AQ122" s="37"/>
      <c r="AT122" s="37"/>
      <c r="AW122" s="37"/>
      <c r="AZ122" s="37"/>
      <c r="BC122" s="37"/>
      <c r="BF122" s="37"/>
      <c r="BG122" s="45"/>
      <c r="BH122" s="45"/>
      <c r="BI122" s="37"/>
      <c r="BJ122" s="45"/>
      <c r="BK122" s="45"/>
      <c r="BL122" s="37"/>
      <c r="BM122" s="45"/>
      <c r="BN122" s="45"/>
      <c r="BO122" s="37"/>
      <c r="BP122" s="45"/>
      <c r="BQ122" s="45"/>
      <c r="BR122" s="37"/>
      <c r="BS122" s="45"/>
      <c r="BT122" s="45"/>
      <c r="BU122" s="37"/>
      <c r="BV122" s="45"/>
      <c r="BW122" s="45"/>
      <c r="BX122" s="37"/>
      <c r="BY122" s="45"/>
      <c r="BZ122" s="45"/>
      <c r="CA122" s="37"/>
      <c r="CB122" s="45"/>
      <c r="CC122" s="45"/>
      <c r="CD122" s="37"/>
      <c r="CE122" s="45"/>
      <c r="CF122" s="45"/>
      <c r="CG122" s="37"/>
      <c r="CH122" s="45"/>
      <c r="CI122" s="45"/>
      <c r="CJ122" s="37"/>
      <c r="CK122" s="45"/>
      <c r="CL122" s="45"/>
      <c r="CM122" s="37"/>
      <c r="CN122" s="45"/>
      <c r="CO122" s="45"/>
      <c r="CP122" s="37"/>
      <c r="CQ122" s="45"/>
      <c r="CR122" s="45"/>
      <c r="CS122" s="37"/>
      <c r="CT122" s="45"/>
      <c r="CU122" s="45"/>
      <c r="CV122" s="37"/>
      <c r="CW122" s="45"/>
      <c r="CX122" s="45"/>
      <c r="CY122" s="37"/>
      <c r="CZ122" s="45"/>
      <c r="DB122" s="37"/>
      <c r="DE122" s="37"/>
      <c r="DH122" s="37"/>
      <c r="DK122" s="37"/>
      <c r="DN122" s="37"/>
      <c r="DQ122" s="37"/>
      <c r="DT122" s="37"/>
      <c r="DW122" s="37"/>
      <c r="DZ122" s="37"/>
      <c r="EC122" s="37"/>
      <c r="EF122" s="37"/>
      <c r="EI122" s="37"/>
      <c r="EL122" s="37"/>
      <c r="EO122" s="37"/>
      <c r="ER122" s="37"/>
      <c r="EU122" s="37"/>
      <c r="EV122" s="45"/>
      <c r="EW122" s="45"/>
      <c r="EX122" s="37"/>
      <c r="EY122" s="45"/>
      <c r="EZ122" s="45"/>
      <c r="FA122" s="37"/>
      <c r="FB122" s="45"/>
      <c r="FC122" s="45"/>
      <c r="FD122" s="37"/>
      <c r="FE122" s="45"/>
      <c r="FF122" s="45"/>
      <c r="FG122" s="37"/>
      <c r="FH122" s="45"/>
      <c r="FI122" s="45"/>
      <c r="FJ122" s="37"/>
      <c r="FK122" s="45"/>
      <c r="FL122" s="45"/>
      <c r="FM122" s="37"/>
      <c r="FN122" s="45"/>
      <c r="FO122" s="45"/>
      <c r="FP122" s="37"/>
      <c r="FQ122" s="45"/>
      <c r="FR122" s="45"/>
      <c r="FS122" s="37"/>
      <c r="FT122" s="45"/>
      <c r="FU122" s="45"/>
      <c r="FV122" s="37"/>
      <c r="FW122" s="45"/>
      <c r="FX122" s="45"/>
      <c r="FY122" s="37"/>
      <c r="FZ122" s="45"/>
      <c r="GA122" s="45"/>
      <c r="GB122" s="37"/>
      <c r="GC122" s="45"/>
      <c r="GD122" s="45"/>
      <c r="GE122" s="37"/>
      <c r="GF122" s="45"/>
      <c r="GG122" s="45"/>
      <c r="GH122" s="37"/>
      <c r="GI122" s="45"/>
      <c r="GJ122" s="45"/>
      <c r="GK122" s="37"/>
      <c r="GL122" s="45"/>
      <c r="GM122" s="45"/>
      <c r="GN122" s="37"/>
      <c r="GO122" s="45"/>
      <c r="HE122" s="56"/>
    </row>
    <row r="123" ht="12.0" customHeight="1">
      <c r="A123" s="37"/>
      <c r="D123" s="37"/>
      <c r="E123" s="37"/>
      <c r="I123" s="37"/>
      <c r="M123" s="37"/>
      <c r="Q123" s="37"/>
      <c r="U123" s="37"/>
      <c r="Y123" s="37"/>
      <c r="AC123" s="37"/>
      <c r="AG123" s="37"/>
      <c r="AK123" s="37"/>
      <c r="AN123" s="37"/>
      <c r="AQ123" s="37"/>
      <c r="AT123" s="37"/>
      <c r="AW123" s="37"/>
      <c r="AZ123" s="37"/>
      <c r="BC123" s="37"/>
      <c r="BF123" s="37"/>
      <c r="BG123" s="45"/>
      <c r="BH123" s="45"/>
      <c r="BI123" s="37"/>
      <c r="BJ123" s="45"/>
      <c r="BK123" s="45"/>
      <c r="BL123" s="37"/>
      <c r="BM123" s="45"/>
      <c r="BN123" s="45"/>
      <c r="BO123" s="37"/>
      <c r="BP123" s="45"/>
      <c r="BQ123" s="45"/>
      <c r="BR123" s="37"/>
      <c r="BS123" s="45"/>
      <c r="BT123" s="45"/>
      <c r="BU123" s="37"/>
      <c r="BV123" s="45"/>
      <c r="BW123" s="45"/>
      <c r="BX123" s="37"/>
      <c r="BY123" s="45"/>
      <c r="BZ123" s="45"/>
      <c r="CA123" s="37"/>
      <c r="CB123" s="45"/>
      <c r="CC123" s="45"/>
      <c r="CD123" s="37"/>
      <c r="CE123" s="45"/>
      <c r="CF123" s="45"/>
      <c r="CG123" s="37"/>
      <c r="CH123" s="45"/>
      <c r="CI123" s="45"/>
      <c r="CJ123" s="37"/>
      <c r="CK123" s="45"/>
      <c r="CL123" s="45"/>
      <c r="CM123" s="37"/>
      <c r="CN123" s="45"/>
      <c r="CO123" s="45"/>
      <c r="CP123" s="37"/>
      <c r="CQ123" s="45"/>
      <c r="CR123" s="45"/>
      <c r="CS123" s="37"/>
      <c r="CT123" s="45"/>
      <c r="CU123" s="45"/>
      <c r="CV123" s="37"/>
      <c r="CW123" s="45"/>
      <c r="CX123" s="45"/>
      <c r="CY123" s="37"/>
      <c r="CZ123" s="45"/>
      <c r="DB123" s="37"/>
      <c r="DE123" s="37"/>
      <c r="DH123" s="37"/>
      <c r="DK123" s="37"/>
      <c r="DN123" s="37"/>
      <c r="DQ123" s="37"/>
      <c r="DT123" s="37"/>
      <c r="DW123" s="37"/>
      <c r="DZ123" s="37"/>
      <c r="EC123" s="37"/>
      <c r="EF123" s="37"/>
      <c r="EI123" s="37"/>
      <c r="EL123" s="37"/>
      <c r="EO123" s="37"/>
      <c r="ER123" s="37"/>
      <c r="EU123" s="37"/>
      <c r="EV123" s="45"/>
      <c r="EW123" s="45"/>
      <c r="EX123" s="37"/>
      <c r="EY123" s="45"/>
      <c r="EZ123" s="45"/>
      <c r="FA123" s="37"/>
      <c r="FB123" s="45"/>
      <c r="FC123" s="45"/>
      <c r="FD123" s="37"/>
      <c r="FE123" s="45"/>
      <c r="FF123" s="45"/>
      <c r="FG123" s="37"/>
      <c r="FH123" s="45"/>
      <c r="FI123" s="45"/>
      <c r="FJ123" s="37"/>
      <c r="FK123" s="45"/>
      <c r="FL123" s="45"/>
      <c r="FM123" s="37"/>
      <c r="FN123" s="45"/>
      <c r="FO123" s="45"/>
      <c r="FP123" s="37"/>
      <c r="FQ123" s="45"/>
      <c r="FR123" s="45"/>
      <c r="FS123" s="37"/>
      <c r="FT123" s="45"/>
      <c r="FU123" s="45"/>
      <c r="FV123" s="37"/>
      <c r="FW123" s="45"/>
      <c r="FX123" s="45"/>
      <c r="FY123" s="37"/>
      <c r="FZ123" s="45"/>
      <c r="GA123" s="45"/>
      <c r="GB123" s="37"/>
      <c r="GC123" s="45"/>
      <c r="GD123" s="45"/>
      <c r="GE123" s="37"/>
      <c r="GF123" s="45"/>
      <c r="GG123" s="45"/>
      <c r="GH123" s="37"/>
      <c r="GI123" s="45"/>
      <c r="GJ123" s="45"/>
      <c r="GK123" s="37"/>
      <c r="GL123" s="45"/>
      <c r="GM123" s="45"/>
      <c r="GN123" s="37"/>
      <c r="GO123" s="45"/>
      <c r="HE123" s="56"/>
    </row>
    <row r="124" ht="12.0" customHeight="1">
      <c r="A124" s="37"/>
      <c r="D124" s="37"/>
      <c r="E124" s="37"/>
      <c r="I124" s="37"/>
      <c r="M124" s="37"/>
      <c r="Q124" s="37"/>
      <c r="U124" s="37"/>
      <c r="Y124" s="37"/>
      <c r="AC124" s="37"/>
      <c r="AG124" s="37"/>
      <c r="AK124" s="37"/>
      <c r="AN124" s="37"/>
      <c r="AQ124" s="37"/>
      <c r="AT124" s="37"/>
      <c r="AW124" s="37"/>
      <c r="AZ124" s="37"/>
      <c r="BC124" s="37"/>
      <c r="BF124" s="37"/>
      <c r="BG124" s="45"/>
      <c r="BH124" s="45"/>
      <c r="BI124" s="37"/>
      <c r="BJ124" s="45"/>
      <c r="BK124" s="45"/>
      <c r="BL124" s="37"/>
      <c r="BM124" s="45"/>
      <c r="BN124" s="45"/>
      <c r="BO124" s="37"/>
      <c r="BP124" s="45"/>
      <c r="BQ124" s="45"/>
      <c r="BR124" s="37"/>
      <c r="BS124" s="45"/>
      <c r="BT124" s="45"/>
      <c r="BU124" s="37"/>
      <c r="BV124" s="45"/>
      <c r="BW124" s="45"/>
      <c r="BX124" s="37"/>
      <c r="BY124" s="45"/>
      <c r="BZ124" s="45"/>
      <c r="CA124" s="37"/>
      <c r="CB124" s="45"/>
      <c r="CC124" s="45"/>
      <c r="CD124" s="37"/>
      <c r="CE124" s="45"/>
      <c r="CF124" s="45"/>
      <c r="CG124" s="37"/>
      <c r="CH124" s="45"/>
      <c r="CI124" s="45"/>
      <c r="CJ124" s="37"/>
      <c r="CK124" s="45"/>
      <c r="CL124" s="45"/>
      <c r="CM124" s="37"/>
      <c r="CN124" s="45"/>
      <c r="CO124" s="45"/>
      <c r="CP124" s="37"/>
      <c r="CQ124" s="45"/>
      <c r="CR124" s="45"/>
      <c r="CS124" s="37"/>
      <c r="CT124" s="45"/>
      <c r="CU124" s="45"/>
      <c r="CV124" s="37"/>
      <c r="CW124" s="45"/>
      <c r="CX124" s="45"/>
      <c r="CY124" s="37"/>
      <c r="CZ124" s="45"/>
      <c r="DB124" s="37"/>
      <c r="DE124" s="37"/>
      <c r="DH124" s="37"/>
      <c r="DK124" s="37"/>
      <c r="DN124" s="37"/>
      <c r="DQ124" s="37"/>
      <c r="DT124" s="37"/>
      <c r="DW124" s="37"/>
      <c r="DZ124" s="37"/>
      <c r="EC124" s="37"/>
      <c r="EF124" s="37"/>
      <c r="EI124" s="37"/>
      <c r="EL124" s="37"/>
      <c r="EO124" s="37"/>
      <c r="ER124" s="37"/>
      <c r="EU124" s="37"/>
      <c r="EV124" s="45"/>
      <c r="EW124" s="45"/>
      <c r="EX124" s="37"/>
      <c r="EY124" s="45"/>
      <c r="EZ124" s="45"/>
      <c r="FA124" s="37"/>
      <c r="FB124" s="45"/>
      <c r="FC124" s="45"/>
      <c r="FD124" s="37"/>
      <c r="FE124" s="45"/>
      <c r="FF124" s="45"/>
      <c r="FG124" s="37"/>
      <c r="FH124" s="45"/>
      <c r="FI124" s="45"/>
      <c r="FJ124" s="37"/>
      <c r="FK124" s="45"/>
      <c r="FL124" s="45"/>
      <c r="FM124" s="37"/>
      <c r="FN124" s="45"/>
      <c r="FO124" s="45"/>
      <c r="FP124" s="37"/>
      <c r="FQ124" s="45"/>
      <c r="FR124" s="45"/>
      <c r="FS124" s="37"/>
      <c r="FT124" s="45"/>
      <c r="FU124" s="45"/>
      <c r="FV124" s="37"/>
      <c r="FW124" s="45"/>
      <c r="FX124" s="45"/>
      <c r="FY124" s="37"/>
      <c r="FZ124" s="45"/>
      <c r="GA124" s="45"/>
      <c r="GB124" s="37"/>
      <c r="GC124" s="45"/>
      <c r="GD124" s="45"/>
      <c r="GE124" s="37"/>
      <c r="GF124" s="45"/>
      <c r="GG124" s="45"/>
      <c r="GH124" s="37"/>
      <c r="GI124" s="45"/>
      <c r="GJ124" s="45"/>
      <c r="GK124" s="37"/>
      <c r="GL124" s="45"/>
      <c r="GM124" s="45"/>
      <c r="GN124" s="37"/>
      <c r="GO124" s="45"/>
      <c r="HE124" s="56"/>
    </row>
    <row r="125" ht="12.0" customHeight="1">
      <c r="A125" s="37"/>
      <c r="D125" s="37"/>
      <c r="E125" s="37"/>
      <c r="I125" s="37"/>
      <c r="M125" s="37"/>
      <c r="Q125" s="37"/>
      <c r="U125" s="37"/>
      <c r="Y125" s="37"/>
      <c r="AC125" s="37"/>
      <c r="AG125" s="37"/>
      <c r="AK125" s="37"/>
      <c r="AN125" s="37"/>
      <c r="AQ125" s="37"/>
      <c r="AT125" s="37"/>
      <c r="AW125" s="37"/>
      <c r="AZ125" s="37"/>
      <c r="BC125" s="37"/>
      <c r="BF125" s="37"/>
      <c r="BG125" s="45"/>
      <c r="BH125" s="45"/>
      <c r="BI125" s="37"/>
      <c r="BJ125" s="45"/>
      <c r="BK125" s="45"/>
      <c r="BL125" s="37"/>
      <c r="BM125" s="45"/>
      <c r="BN125" s="45"/>
      <c r="BO125" s="37"/>
      <c r="BP125" s="45"/>
      <c r="BQ125" s="45"/>
      <c r="BR125" s="37"/>
      <c r="BS125" s="45"/>
      <c r="BT125" s="45"/>
      <c r="BU125" s="37"/>
      <c r="BV125" s="45"/>
      <c r="BW125" s="45"/>
      <c r="BX125" s="37"/>
      <c r="BY125" s="45"/>
      <c r="BZ125" s="45"/>
      <c r="CA125" s="37"/>
      <c r="CB125" s="45"/>
      <c r="CC125" s="45"/>
      <c r="CD125" s="37"/>
      <c r="CE125" s="45"/>
      <c r="CF125" s="45"/>
      <c r="CG125" s="37"/>
      <c r="CH125" s="45"/>
      <c r="CI125" s="45"/>
      <c r="CJ125" s="37"/>
      <c r="CK125" s="45"/>
      <c r="CL125" s="45"/>
      <c r="CM125" s="37"/>
      <c r="CN125" s="45"/>
      <c r="CO125" s="45"/>
      <c r="CP125" s="37"/>
      <c r="CQ125" s="45"/>
      <c r="CR125" s="45"/>
      <c r="CS125" s="37"/>
      <c r="CT125" s="45"/>
      <c r="CU125" s="45"/>
      <c r="CV125" s="37"/>
      <c r="CW125" s="45"/>
      <c r="CX125" s="45"/>
      <c r="CY125" s="37"/>
      <c r="CZ125" s="45"/>
      <c r="DB125" s="37"/>
      <c r="DE125" s="37"/>
      <c r="DH125" s="37"/>
      <c r="DK125" s="37"/>
      <c r="DN125" s="37"/>
      <c r="DQ125" s="37"/>
      <c r="DT125" s="37"/>
      <c r="DW125" s="37"/>
      <c r="DZ125" s="37"/>
      <c r="EC125" s="37"/>
      <c r="EF125" s="37"/>
      <c r="EI125" s="37"/>
      <c r="EL125" s="37"/>
      <c r="EO125" s="37"/>
      <c r="ER125" s="37"/>
      <c r="EU125" s="37"/>
      <c r="EV125" s="45"/>
      <c r="EW125" s="45"/>
      <c r="EX125" s="37"/>
      <c r="EY125" s="45"/>
      <c r="EZ125" s="45"/>
      <c r="FA125" s="37"/>
      <c r="FB125" s="45"/>
      <c r="FC125" s="45"/>
      <c r="FD125" s="37"/>
      <c r="FE125" s="45"/>
      <c r="FF125" s="45"/>
      <c r="FG125" s="37"/>
      <c r="FH125" s="45"/>
      <c r="FI125" s="45"/>
      <c r="FJ125" s="37"/>
      <c r="FK125" s="45"/>
      <c r="FL125" s="45"/>
      <c r="FM125" s="37"/>
      <c r="FN125" s="45"/>
      <c r="FO125" s="45"/>
      <c r="FP125" s="37"/>
      <c r="FQ125" s="45"/>
      <c r="FR125" s="45"/>
      <c r="FS125" s="37"/>
      <c r="FT125" s="45"/>
      <c r="FU125" s="45"/>
      <c r="FV125" s="37"/>
      <c r="FW125" s="45"/>
      <c r="FX125" s="45"/>
      <c r="FY125" s="37"/>
      <c r="FZ125" s="45"/>
      <c r="GA125" s="45"/>
      <c r="GB125" s="37"/>
      <c r="GC125" s="45"/>
      <c r="GD125" s="45"/>
      <c r="GE125" s="37"/>
      <c r="GF125" s="45"/>
      <c r="GG125" s="45"/>
      <c r="GH125" s="37"/>
      <c r="GI125" s="45"/>
      <c r="GJ125" s="45"/>
      <c r="GK125" s="37"/>
      <c r="GL125" s="45"/>
      <c r="GM125" s="45"/>
      <c r="GN125" s="37"/>
      <c r="GO125" s="45"/>
      <c r="HE125" s="56"/>
    </row>
    <row r="126" ht="12.0" customHeight="1">
      <c r="A126" s="37"/>
      <c r="D126" s="37"/>
      <c r="E126" s="37"/>
      <c r="I126" s="37"/>
      <c r="M126" s="37"/>
      <c r="Q126" s="37"/>
      <c r="U126" s="37"/>
      <c r="Y126" s="37"/>
      <c r="AC126" s="37"/>
      <c r="AG126" s="37"/>
      <c r="AK126" s="37"/>
      <c r="AN126" s="37"/>
      <c r="AQ126" s="37"/>
      <c r="AT126" s="37"/>
      <c r="AW126" s="37"/>
      <c r="AZ126" s="37"/>
      <c r="BC126" s="37"/>
      <c r="BF126" s="37"/>
      <c r="BG126" s="45"/>
      <c r="BH126" s="45"/>
      <c r="BI126" s="37"/>
      <c r="BJ126" s="45"/>
      <c r="BK126" s="45"/>
      <c r="BL126" s="37"/>
      <c r="BM126" s="45"/>
      <c r="BN126" s="45"/>
      <c r="BO126" s="37"/>
      <c r="BP126" s="45"/>
      <c r="BQ126" s="45"/>
      <c r="BR126" s="37"/>
      <c r="BS126" s="45"/>
      <c r="BT126" s="45"/>
      <c r="BU126" s="37"/>
      <c r="BV126" s="45"/>
      <c r="BW126" s="45"/>
      <c r="BX126" s="37"/>
      <c r="BY126" s="45"/>
      <c r="BZ126" s="45"/>
      <c r="CA126" s="37"/>
      <c r="CB126" s="45"/>
      <c r="CC126" s="45"/>
      <c r="CD126" s="37"/>
      <c r="CE126" s="45"/>
      <c r="CF126" s="45"/>
      <c r="CG126" s="37"/>
      <c r="CH126" s="45"/>
      <c r="CI126" s="45"/>
      <c r="CJ126" s="37"/>
      <c r="CK126" s="45"/>
      <c r="CL126" s="45"/>
      <c r="CM126" s="37"/>
      <c r="CN126" s="45"/>
      <c r="CO126" s="45"/>
      <c r="CP126" s="37"/>
      <c r="CQ126" s="45"/>
      <c r="CR126" s="45"/>
      <c r="CS126" s="37"/>
      <c r="CT126" s="45"/>
      <c r="CU126" s="45"/>
      <c r="CV126" s="37"/>
      <c r="CW126" s="45"/>
      <c r="CX126" s="45"/>
      <c r="CY126" s="37"/>
      <c r="CZ126" s="45"/>
      <c r="DB126" s="37"/>
      <c r="DE126" s="37"/>
      <c r="DH126" s="37"/>
      <c r="DK126" s="37"/>
      <c r="DN126" s="37"/>
      <c r="DQ126" s="37"/>
      <c r="DT126" s="37"/>
      <c r="DW126" s="37"/>
      <c r="DZ126" s="37"/>
      <c r="EC126" s="37"/>
      <c r="EF126" s="37"/>
      <c r="EI126" s="37"/>
      <c r="EL126" s="37"/>
      <c r="EO126" s="37"/>
      <c r="ER126" s="37"/>
      <c r="EU126" s="37"/>
      <c r="EV126" s="45"/>
      <c r="EW126" s="45"/>
      <c r="EX126" s="37"/>
      <c r="EY126" s="45"/>
      <c r="EZ126" s="45"/>
      <c r="FA126" s="37"/>
      <c r="FB126" s="45"/>
      <c r="FC126" s="45"/>
      <c r="FD126" s="37"/>
      <c r="FE126" s="45"/>
      <c r="FF126" s="45"/>
      <c r="FG126" s="37"/>
      <c r="FH126" s="45"/>
      <c r="FI126" s="45"/>
      <c r="FJ126" s="37"/>
      <c r="FK126" s="45"/>
      <c r="FL126" s="45"/>
      <c r="FM126" s="37"/>
      <c r="FN126" s="45"/>
      <c r="FO126" s="45"/>
      <c r="FP126" s="37"/>
      <c r="FQ126" s="45"/>
      <c r="FR126" s="45"/>
      <c r="FS126" s="37"/>
      <c r="FT126" s="45"/>
      <c r="FU126" s="45"/>
      <c r="FV126" s="37"/>
      <c r="FW126" s="45"/>
      <c r="FX126" s="45"/>
      <c r="FY126" s="37"/>
      <c r="FZ126" s="45"/>
      <c r="GA126" s="45"/>
      <c r="GB126" s="37"/>
      <c r="GC126" s="45"/>
      <c r="GD126" s="45"/>
      <c r="GE126" s="37"/>
      <c r="GF126" s="45"/>
      <c r="GG126" s="45"/>
      <c r="GH126" s="37"/>
      <c r="GI126" s="45"/>
      <c r="GJ126" s="45"/>
      <c r="GK126" s="37"/>
      <c r="GL126" s="45"/>
      <c r="GM126" s="45"/>
      <c r="GN126" s="37"/>
      <c r="GO126" s="45"/>
      <c r="HE126" s="56"/>
    </row>
    <row r="127" ht="12.0" customHeight="1">
      <c r="A127" s="37"/>
      <c r="D127" s="37"/>
      <c r="E127" s="37"/>
      <c r="I127" s="37"/>
      <c r="M127" s="37"/>
      <c r="Q127" s="37"/>
      <c r="U127" s="37"/>
      <c r="Y127" s="37"/>
      <c r="AC127" s="37"/>
      <c r="AG127" s="37"/>
      <c r="AK127" s="37"/>
      <c r="AN127" s="37"/>
      <c r="AQ127" s="37"/>
      <c r="AT127" s="37"/>
      <c r="AW127" s="37"/>
      <c r="AZ127" s="37"/>
      <c r="BC127" s="37"/>
      <c r="BF127" s="37"/>
      <c r="BG127" s="45"/>
      <c r="BH127" s="45"/>
      <c r="BI127" s="37"/>
      <c r="BJ127" s="45"/>
      <c r="BK127" s="45"/>
      <c r="BL127" s="37"/>
      <c r="BM127" s="45"/>
      <c r="BN127" s="45"/>
      <c r="BO127" s="37"/>
      <c r="BP127" s="45"/>
      <c r="BQ127" s="45"/>
      <c r="BR127" s="37"/>
      <c r="BS127" s="45"/>
      <c r="BT127" s="45"/>
      <c r="BU127" s="37"/>
      <c r="BV127" s="45"/>
      <c r="BW127" s="45"/>
      <c r="BX127" s="37"/>
      <c r="BY127" s="45"/>
      <c r="BZ127" s="45"/>
      <c r="CA127" s="37"/>
      <c r="CB127" s="45"/>
      <c r="CC127" s="45"/>
      <c r="CD127" s="37"/>
      <c r="CE127" s="45"/>
      <c r="CF127" s="45"/>
      <c r="CG127" s="37"/>
      <c r="CH127" s="45"/>
      <c r="CI127" s="45"/>
      <c r="CJ127" s="37"/>
      <c r="CK127" s="45"/>
      <c r="CL127" s="45"/>
      <c r="CM127" s="37"/>
      <c r="CN127" s="45"/>
      <c r="CO127" s="45"/>
      <c r="CP127" s="37"/>
      <c r="CQ127" s="45"/>
      <c r="CR127" s="45"/>
      <c r="CS127" s="37"/>
      <c r="CT127" s="45"/>
      <c r="CU127" s="45"/>
      <c r="CV127" s="37"/>
      <c r="CW127" s="45"/>
      <c r="CX127" s="45"/>
      <c r="CY127" s="37"/>
      <c r="CZ127" s="45"/>
      <c r="DB127" s="37"/>
      <c r="DE127" s="37"/>
      <c r="DH127" s="37"/>
      <c r="DK127" s="37"/>
      <c r="DN127" s="37"/>
      <c r="DQ127" s="37"/>
      <c r="DT127" s="37"/>
      <c r="DW127" s="37"/>
      <c r="DZ127" s="37"/>
      <c r="EC127" s="37"/>
      <c r="EF127" s="37"/>
      <c r="EI127" s="37"/>
      <c r="EL127" s="37"/>
      <c r="EO127" s="37"/>
      <c r="ER127" s="37"/>
      <c r="EU127" s="37"/>
      <c r="EV127" s="45"/>
      <c r="EW127" s="45"/>
      <c r="EX127" s="37"/>
      <c r="EY127" s="45"/>
      <c r="EZ127" s="45"/>
      <c r="FA127" s="37"/>
      <c r="FB127" s="45"/>
      <c r="FC127" s="45"/>
      <c r="FD127" s="37"/>
      <c r="FE127" s="45"/>
      <c r="FF127" s="45"/>
      <c r="FG127" s="37"/>
      <c r="FH127" s="45"/>
      <c r="FI127" s="45"/>
      <c r="FJ127" s="37"/>
      <c r="FK127" s="45"/>
      <c r="FL127" s="45"/>
      <c r="FM127" s="37"/>
      <c r="FN127" s="45"/>
      <c r="FO127" s="45"/>
      <c r="FP127" s="37"/>
      <c r="FQ127" s="45"/>
      <c r="FR127" s="45"/>
      <c r="FS127" s="37"/>
      <c r="FT127" s="45"/>
      <c r="FU127" s="45"/>
      <c r="FV127" s="37"/>
      <c r="FW127" s="45"/>
      <c r="FX127" s="45"/>
      <c r="FY127" s="37"/>
      <c r="FZ127" s="45"/>
      <c r="GA127" s="45"/>
      <c r="GB127" s="37"/>
      <c r="GC127" s="45"/>
      <c r="GD127" s="45"/>
      <c r="GE127" s="37"/>
      <c r="GF127" s="45"/>
      <c r="GG127" s="45"/>
      <c r="GH127" s="37"/>
      <c r="GI127" s="45"/>
      <c r="GJ127" s="45"/>
      <c r="GK127" s="37"/>
      <c r="GL127" s="45"/>
      <c r="GM127" s="45"/>
      <c r="GN127" s="37"/>
      <c r="GO127" s="45"/>
      <c r="HE127" s="56"/>
    </row>
    <row r="128" ht="12.0" customHeight="1">
      <c r="A128" s="37"/>
      <c r="D128" s="37"/>
      <c r="E128" s="37"/>
      <c r="I128" s="37"/>
      <c r="M128" s="37"/>
      <c r="Q128" s="37"/>
      <c r="U128" s="37"/>
      <c r="Y128" s="37"/>
      <c r="AC128" s="37"/>
      <c r="AG128" s="37"/>
      <c r="AK128" s="37"/>
      <c r="AN128" s="37"/>
      <c r="AQ128" s="37"/>
      <c r="AT128" s="37"/>
      <c r="AW128" s="37"/>
      <c r="AZ128" s="37"/>
      <c r="BC128" s="37"/>
      <c r="BF128" s="37"/>
      <c r="BG128" s="45"/>
      <c r="BH128" s="45"/>
      <c r="BI128" s="37"/>
      <c r="BJ128" s="45"/>
      <c r="BK128" s="45"/>
      <c r="BL128" s="37"/>
      <c r="BM128" s="45"/>
      <c r="BN128" s="45"/>
      <c r="BO128" s="37"/>
      <c r="BP128" s="45"/>
      <c r="BQ128" s="45"/>
      <c r="BR128" s="37"/>
      <c r="BS128" s="45"/>
      <c r="BT128" s="45"/>
      <c r="BU128" s="37"/>
      <c r="BV128" s="45"/>
      <c r="BW128" s="45"/>
      <c r="BX128" s="37"/>
      <c r="BY128" s="45"/>
      <c r="BZ128" s="45"/>
      <c r="CA128" s="37"/>
      <c r="CB128" s="45"/>
      <c r="CC128" s="45"/>
      <c r="CD128" s="37"/>
      <c r="CE128" s="45"/>
      <c r="CF128" s="45"/>
      <c r="CG128" s="37"/>
      <c r="CH128" s="45"/>
      <c r="CI128" s="45"/>
      <c r="CJ128" s="37"/>
      <c r="CK128" s="45"/>
      <c r="CL128" s="45"/>
      <c r="CM128" s="37"/>
      <c r="CN128" s="45"/>
      <c r="CO128" s="45"/>
      <c r="CP128" s="37"/>
      <c r="CQ128" s="45"/>
      <c r="CR128" s="45"/>
      <c r="CS128" s="37"/>
      <c r="CT128" s="45"/>
      <c r="CU128" s="45"/>
      <c r="CV128" s="37"/>
      <c r="CW128" s="45"/>
      <c r="CX128" s="45"/>
      <c r="CY128" s="37"/>
      <c r="CZ128" s="45"/>
      <c r="DB128" s="37"/>
      <c r="DE128" s="37"/>
      <c r="DH128" s="37"/>
      <c r="DK128" s="37"/>
      <c r="DN128" s="37"/>
      <c r="DQ128" s="37"/>
      <c r="DT128" s="37"/>
      <c r="DW128" s="37"/>
      <c r="DZ128" s="37"/>
      <c r="EC128" s="37"/>
      <c r="EF128" s="37"/>
      <c r="EI128" s="37"/>
      <c r="EL128" s="37"/>
      <c r="EO128" s="37"/>
      <c r="ER128" s="37"/>
      <c r="EU128" s="37"/>
      <c r="EV128" s="45"/>
      <c r="EW128" s="45"/>
      <c r="EX128" s="37"/>
      <c r="EY128" s="45"/>
      <c r="EZ128" s="45"/>
      <c r="FA128" s="37"/>
      <c r="FB128" s="45"/>
      <c r="FC128" s="45"/>
      <c r="FD128" s="37"/>
      <c r="FE128" s="45"/>
      <c r="FF128" s="45"/>
      <c r="FG128" s="37"/>
      <c r="FH128" s="45"/>
      <c r="FI128" s="45"/>
      <c r="FJ128" s="37"/>
      <c r="FK128" s="45"/>
      <c r="FL128" s="45"/>
      <c r="FM128" s="37"/>
      <c r="FN128" s="45"/>
      <c r="FO128" s="45"/>
      <c r="FP128" s="37"/>
      <c r="FQ128" s="45"/>
      <c r="FR128" s="45"/>
      <c r="FS128" s="37"/>
      <c r="FT128" s="45"/>
      <c r="FU128" s="45"/>
      <c r="FV128" s="37"/>
      <c r="FW128" s="45"/>
      <c r="FX128" s="45"/>
      <c r="FY128" s="37"/>
      <c r="FZ128" s="45"/>
      <c r="GA128" s="45"/>
      <c r="GB128" s="37"/>
      <c r="GC128" s="45"/>
      <c r="GD128" s="45"/>
      <c r="GE128" s="37"/>
      <c r="GF128" s="45"/>
      <c r="GG128" s="45"/>
      <c r="GH128" s="37"/>
      <c r="GI128" s="45"/>
      <c r="GJ128" s="45"/>
      <c r="GK128" s="37"/>
      <c r="GL128" s="45"/>
      <c r="GM128" s="45"/>
      <c r="GN128" s="37"/>
      <c r="GO128" s="45"/>
      <c r="HE128" s="56"/>
    </row>
    <row r="129" ht="12.0" customHeight="1">
      <c r="A129" s="37"/>
      <c r="D129" s="37"/>
      <c r="E129" s="37"/>
      <c r="I129" s="37"/>
      <c r="M129" s="37"/>
      <c r="Q129" s="37"/>
      <c r="U129" s="37"/>
      <c r="Y129" s="37"/>
      <c r="AC129" s="37"/>
      <c r="AG129" s="37"/>
      <c r="AK129" s="37"/>
      <c r="AN129" s="37"/>
      <c r="AQ129" s="37"/>
      <c r="AT129" s="37"/>
      <c r="AW129" s="37"/>
      <c r="AZ129" s="37"/>
      <c r="BC129" s="37"/>
      <c r="BF129" s="37"/>
      <c r="BG129" s="45"/>
      <c r="BH129" s="45"/>
      <c r="BI129" s="37"/>
      <c r="BJ129" s="45"/>
      <c r="BK129" s="45"/>
      <c r="BL129" s="37"/>
      <c r="BM129" s="45"/>
      <c r="BN129" s="45"/>
      <c r="BO129" s="37"/>
      <c r="BP129" s="45"/>
      <c r="BQ129" s="45"/>
      <c r="BR129" s="37"/>
      <c r="BS129" s="45"/>
      <c r="BT129" s="45"/>
      <c r="BU129" s="37"/>
      <c r="BV129" s="45"/>
      <c r="BW129" s="45"/>
      <c r="BX129" s="37"/>
      <c r="BY129" s="45"/>
      <c r="BZ129" s="45"/>
      <c r="CA129" s="37"/>
      <c r="CB129" s="45"/>
      <c r="CC129" s="45"/>
      <c r="CD129" s="37"/>
      <c r="CE129" s="45"/>
      <c r="CF129" s="45"/>
      <c r="CG129" s="37"/>
      <c r="CH129" s="45"/>
      <c r="CI129" s="45"/>
      <c r="CJ129" s="37"/>
      <c r="CK129" s="45"/>
      <c r="CL129" s="45"/>
      <c r="CM129" s="37"/>
      <c r="CN129" s="45"/>
      <c r="CO129" s="45"/>
      <c r="CP129" s="37"/>
      <c r="CQ129" s="45"/>
      <c r="CR129" s="45"/>
      <c r="CS129" s="37"/>
      <c r="CT129" s="45"/>
      <c r="CU129" s="45"/>
      <c r="CV129" s="37"/>
      <c r="CW129" s="45"/>
      <c r="CX129" s="45"/>
      <c r="CY129" s="37"/>
      <c r="CZ129" s="45"/>
      <c r="DB129" s="37"/>
      <c r="DE129" s="37"/>
      <c r="DH129" s="37"/>
      <c r="DK129" s="37"/>
      <c r="DN129" s="37"/>
      <c r="DQ129" s="37"/>
      <c r="DT129" s="37"/>
      <c r="DW129" s="37"/>
      <c r="DZ129" s="37"/>
      <c r="EC129" s="37"/>
      <c r="EF129" s="37"/>
      <c r="EI129" s="37"/>
      <c r="EL129" s="37"/>
      <c r="EO129" s="37"/>
      <c r="ER129" s="37"/>
      <c r="EU129" s="37"/>
      <c r="EV129" s="45"/>
      <c r="EW129" s="45"/>
      <c r="EX129" s="37"/>
      <c r="EY129" s="45"/>
      <c r="EZ129" s="45"/>
      <c r="FA129" s="37"/>
      <c r="FB129" s="45"/>
      <c r="FC129" s="45"/>
      <c r="FD129" s="37"/>
      <c r="FE129" s="45"/>
      <c r="FF129" s="45"/>
      <c r="FG129" s="37"/>
      <c r="FH129" s="45"/>
      <c r="FI129" s="45"/>
      <c r="FJ129" s="37"/>
      <c r="FK129" s="45"/>
      <c r="FL129" s="45"/>
      <c r="FM129" s="37"/>
      <c r="FN129" s="45"/>
      <c r="FO129" s="45"/>
      <c r="FP129" s="37"/>
      <c r="FQ129" s="45"/>
      <c r="FR129" s="45"/>
      <c r="FS129" s="37"/>
      <c r="FT129" s="45"/>
      <c r="FU129" s="45"/>
      <c r="FV129" s="37"/>
      <c r="FW129" s="45"/>
      <c r="FX129" s="45"/>
      <c r="FY129" s="37"/>
      <c r="FZ129" s="45"/>
      <c r="GA129" s="45"/>
      <c r="GB129" s="37"/>
      <c r="GC129" s="45"/>
      <c r="GD129" s="45"/>
      <c r="GE129" s="37"/>
      <c r="GF129" s="45"/>
      <c r="GG129" s="45"/>
      <c r="GH129" s="37"/>
      <c r="GI129" s="45"/>
      <c r="GJ129" s="45"/>
      <c r="GK129" s="37"/>
      <c r="GL129" s="45"/>
      <c r="GM129" s="45"/>
      <c r="GN129" s="37"/>
      <c r="GO129" s="45"/>
      <c r="HE129" s="56"/>
    </row>
    <row r="130" ht="12.0" customHeight="1">
      <c r="A130" s="37"/>
      <c r="D130" s="37"/>
      <c r="E130" s="37"/>
      <c r="I130" s="37"/>
      <c r="M130" s="37"/>
      <c r="Q130" s="37"/>
      <c r="U130" s="37"/>
      <c r="Y130" s="37"/>
      <c r="AC130" s="37"/>
      <c r="AG130" s="37"/>
      <c r="AK130" s="37"/>
      <c r="AN130" s="37"/>
      <c r="AQ130" s="37"/>
      <c r="AT130" s="37"/>
      <c r="AW130" s="37"/>
      <c r="AZ130" s="37"/>
      <c r="BC130" s="37"/>
      <c r="BF130" s="37"/>
      <c r="BG130" s="45"/>
      <c r="BH130" s="45"/>
      <c r="BI130" s="37"/>
      <c r="BJ130" s="45"/>
      <c r="BK130" s="45"/>
      <c r="BL130" s="37"/>
      <c r="BM130" s="45"/>
      <c r="BN130" s="45"/>
      <c r="BO130" s="37"/>
      <c r="BP130" s="45"/>
      <c r="BQ130" s="45"/>
      <c r="BR130" s="37"/>
      <c r="BS130" s="45"/>
      <c r="BT130" s="45"/>
      <c r="BU130" s="37"/>
      <c r="BV130" s="45"/>
      <c r="BW130" s="45"/>
      <c r="BX130" s="37"/>
      <c r="BY130" s="45"/>
      <c r="BZ130" s="45"/>
      <c r="CA130" s="37"/>
      <c r="CB130" s="45"/>
      <c r="CC130" s="45"/>
      <c r="CD130" s="37"/>
      <c r="CE130" s="45"/>
      <c r="CF130" s="45"/>
      <c r="CG130" s="37"/>
      <c r="CH130" s="45"/>
      <c r="CI130" s="45"/>
      <c r="CJ130" s="37"/>
      <c r="CK130" s="45"/>
      <c r="CL130" s="45"/>
      <c r="CM130" s="37"/>
      <c r="CN130" s="45"/>
      <c r="CO130" s="45"/>
      <c r="CP130" s="37"/>
      <c r="CQ130" s="45"/>
      <c r="CR130" s="45"/>
      <c r="CS130" s="37"/>
      <c r="CT130" s="45"/>
      <c r="CU130" s="45"/>
      <c r="CV130" s="37"/>
      <c r="CW130" s="45"/>
      <c r="CX130" s="45"/>
      <c r="CY130" s="37"/>
      <c r="CZ130" s="45"/>
      <c r="DB130" s="37"/>
      <c r="DE130" s="37"/>
      <c r="DH130" s="37"/>
      <c r="DK130" s="37"/>
      <c r="DN130" s="37"/>
      <c r="DQ130" s="37"/>
      <c r="DT130" s="37"/>
      <c r="DW130" s="37"/>
      <c r="DZ130" s="37"/>
      <c r="EC130" s="37"/>
      <c r="EF130" s="37"/>
      <c r="EI130" s="37"/>
      <c r="EL130" s="37"/>
      <c r="EO130" s="37"/>
      <c r="ER130" s="37"/>
      <c r="EU130" s="37"/>
      <c r="EV130" s="45"/>
      <c r="EW130" s="45"/>
      <c r="EX130" s="37"/>
      <c r="EY130" s="45"/>
      <c r="EZ130" s="45"/>
      <c r="FA130" s="37"/>
      <c r="FB130" s="45"/>
      <c r="FC130" s="45"/>
      <c r="FD130" s="37"/>
      <c r="FE130" s="45"/>
      <c r="FF130" s="45"/>
      <c r="FG130" s="37"/>
      <c r="FH130" s="45"/>
      <c r="FI130" s="45"/>
      <c r="FJ130" s="37"/>
      <c r="FK130" s="45"/>
      <c r="FL130" s="45"/>
      <c r="FM130" s="37"/>
      <c r="FN130" s="45"/>
      <c r="FO130" s="45"/>
      <c r="FP130" s="37"/>
      <c r="FQ130" s="45"/>
      <c r="FR130" s="45"/>
      <c r="FS130" s="37"/>
      <c r="FT130" s="45"/>
      <c r="FU130" s="45"/>
      <c r="FV130" s="37"/>
      <c r="FW130" s="45"/>
      <c r="FX130" s="45"/>
      <c r="FY130" s="37"/>
      <c r="FZ130" s="45"/>
      <c r="GA130" s="45"/>
      <c r="GB130" s="37"/>
      <c r="GC130" s="45"/>
      <c r="GD130" s="45"/>
      <c r="GE130" s="37"/>
      <c r="GF130" s="45"/>
      <c r="GG130" s="45"/>
      <c r="GH130" s="37"/>
      <c r="GI130" s="45"/>
      <c r="GJ130" s="45"/>
      <c r="GK130" s="37"/>
      <c r="GL130" s="45"/>
      <c r="GM130" s="45"/>
      <c r="GN130" s="37"/>
      <c r="GO130" s="45"/>
      <c r="HE130" s="56"/>
    </row>
    <row r="131" ht="12.0" customHeight="1">
      <c r="A131" s="37"/>
      <c r="D131" s="37"/>
      <c r="E131" s="37"/>
      <c r="I131" s="37"/>
      <c r="M131" s="37"/>
      <c r="Q131" s="37"/>
      <c r="U131" s="37"/>
      <c r="Y131" s="37"/>
      <c r="AC131" s="37"/>
      <c r="AG131" s="37"/>
      <c r="AK131" s="37"/>
      <c r="AN131" s="37"/>
      <c r="AQ131" s="37"/>
      <c r="AT131" s="37"/>
      <c r="AW131" s="37"/>
      <c r="AZ131" s="37"/>
      <c r="BC131" s="37"/>
      <c r="BF131" s="37"/>
      <c r="BG131" s="45"/>
      <c r="BH131" s="45"/>
      <c r="BI131" s="37"/>
      <c r="BJ131" s="45"/>
      <c r="BK131" s="45"/>
      <c r="BL131" s="37"/>
      <c r="BM131" s="45"/>
      <c r="BN131" s="45"/>
      <c r="BO131" s="37"/>
      <c r="BP131" s="45"/>
      <c r="BQ131" s="45"/>
      <c r="BR131" s="37"/>
      <c r="BS131" s="45"/>
      <c r="BT131" s="45"/>
      <c r="BU131" s="37"/>
      <c r="BV131" s="45"/>
      <c r="BW131" s="45"/>
      <c r="BX131" s="37"/>
      <c r="BY131" s="45"/>
      <c r="BZ131" s="45"/>
      <c r="CA131" s="37"/>
      <c r="CB131" s="45"/>
      <c r="CC131" s="45"/>
      <c r="CD131" s="37"/>
      <c r="CE131" s="45"/>
      <c r="CF131" s="45"/>
      <c r="CG131" s="37"/>
      <c r="CH131" s="45"/>
      <c r="CI131" s="45"/>
      <c r="CJ131" s="37"/>
      <c r="CK131" s="45"/>
      <c r="CL131" s="45"/>
      <c r="CM131" s="37"/>
      <c r="CN131" s="45"/>
      <c r="CO131" s="45"/>
      <c r="CP131" s="37"/>
      <c r="CQ131" s="45"/>
      <c r="CR131" s="45"/>
      <c r="CS131" s="37"/>
      <c r="CT131" s="45"/>
      <c r="CU131" s="45"/>
      <c r="CV131" s="37"/>
      <c r="CW131" s="45"/>
      <c r="CX131" s="45"/>
      <c r="CY131" s="37"/>
      <c r="CZ131" s="45"/>
      <c r="DB131" s="37"/>
      <c r="DE131" s="37"/>
      <c r="DH131" s="37"/>
      <c r="DK131" s="37"/>
      <c r="DN131" s="37"/>
      <c r="DQ131" s="37"/>
      <c r="DT131" s="37"/>
      <c r="DW131" s="37"/>
      <c r="DZ131" s="37"/>
      <c r="EC131" s="37"/>
      <c r="EF131" s="37"/>
      <c r="EI131" s="37"/>
      <c r="EL131" s="37"/>
      <c r="EO131" s="37"/>
      <c r="ER131" s="37"/>
      <c r="EU131" s="37"/>
      <c r="EV131" s="45"/>
      <c r="EW131" s="45"/>
      <c r="EX131" s="37"/>
      <c r="EY131" s="45"/>
      <c r="EZ131" s="45"/>
      <c r="FA131" s="37"/>
      <c r="FB131" s="45"/>
      <c r="FC131" s="45"/>
      <c r="FD131" s="37"/>
      <c r="FE131" s="45"/>
      <c r="FF131" s="45"/>
      <c r="FG131" s="37"/>
      <c r="FH131" s="45"/>
      <c r="FI131" s="45"/>
      <c r="FJ131" s="37"/>
      <c r="FK131" s="45"/>
      <c r="FL131" s="45"/>
      <c r="FM131" s="37"/>
      <c r="FN131" s="45"/>
      <c r="FO131" s="45"/>
      <c r="FP131" s="37"/>
      <c r="FQ131" s="45"/>
      <c r="FR131" s="45"/>
      <c r="FS131" s="37"/>
      <c r="FT131" s="45"/>
      <c r="FU131" s="45"/>
      <c r="FV131" s="37"/>
      <c r="FW131" s="45"/>
      <c r="FX131" s="45"/>
      <c r="FY131" s="37"/>
      <c r="FZ131" s="45"/>
      <c r="GA131" s="45"/>
      <c r="GB131" s="37"/>
      <c r="GC131" s="45"/>
      <c r="GD131" s="45"/>
      <c r="GE131" s="37"/>
      <c r="GF131" s="45"/>
      <c r="GG131" s="45"/>
      <c r="GH131" s="37"/>
      <c r="GI131" s="45"/>
      <c r="GJ131" s="45"/>
      <c r="GK131" s="37"/>
      <c r="GL131" s="45"/>
      <c r="GM131" s="45"/>
      <c r="GN131" s="37"/>
      <c r="GO131" s="45"/>
      <c r="HE131" s="56"/>
    </row>
    <row r="132" ht="12.0" customHeight="1">
      <c r="A132" s="37"/>
      <c r="D132" s="37"/>
      <c r="E132" s="37"/>
      <c r="I132" s="37"/>
      <c r="M132" s="37"/>
      <c r="Q132" s="37"/>
      <c r="U132" s="37"/>
      <c r="Y132" s="37"/>
      <c r="AC132" s="37"/>
      <c r="AG132" s="37"/>
      <c r="AK132" s="37"/>
      <c r="AN132" s="37"/>
      <c r="AQ132" s="37"/>
      <c r="AT132" s="37"/>
      <c r="AW132" s="37"/>
      <c r="AZ132" s="37"/>
      <c r="BC132" s="37"/>
      <c r="BF132" s="37"/>
      <c r="BG132" s="45"/>
      <c r="BH132" s="45"/>
      <c r="BI132" s="37"/>
      <c r="BJ132" s="45"/>
      <c r="BK132" s="45"/>
      <c r="BL132" s="37"/>
      <c r="BM132" s="45"/>
      <c r="BN132" s="45"/>
      <c r="BO132" s="37"/>
      <c r="BP132" s="45"/>
      <c r="BQ132" s="45"/>
      <c r="BR132" s="37"/>
      <c r="BS132" s="45"/>
      <c r="BT132" s="45"/>
      <c r="BU132" s="37"/>
      <c r="BV132" s="45"/>
      <c r="BW132" s="45"/>
      <c r="BX132" s="37"/>
      <c r="BY132" s="45"/>
      <c r="BZ132" s="45"/>
      <c r="CA132" s="37"/>
      <c r="CB132" s="45"/>
      <c r="CC132" s="45"/>
      <c r="CD132" s="37"/>
      <c r="CE132" s="45"/>
      <c r="CF132" s="45"/>
      <c r="CG132" s="37"/>
      <c r="CH132" s="45"/>
      <c r="CI132" s="45"/>
      <c r="CJ132" s="37"/>
      <c r="CK132" s="45"/>
      <c r="CL132" s="45"/>
      <c r="CM132" s="37"/>
      <c r="CN132" s="45"/>
      <c r="CO132" s="45"/>
      <c r="CP132" s="37"/>
      <c r="CQ132" s="45"/>
      <c r="CR132" s="45"/>
      <c r="CS132" s="37"/>
      <c r="CT132" s="45"/>
      <c r="CU132" s="45"/>
      <c r="CV132" s="37"/>
      <c r="CW132" s="45"/>
      <c r="CX132" s="45"/>
      <c r="CY132" s="37"/>
      <c r="CZ132" s="45"/>
      <c r="DB132" s="37"/>
      <c r="DE132" s="37"/>
      <c r="DH132" s="37"/>
      <c r="DK132" s="37"/>
      <c r="DN132" s="37"/>
      <c r="DQ132" s="37"/>
      <c r="DT132" s="37"/>
      <c r="DW132" s="37"/>
      <c r="DZ132" s="37"/>
      <c r="EC132" s="37"/>
      <c r="EF132" s="37"/>
      <c r="EI132" s="37"/>
      <c r="EL132" s="37"/>
      <c r="EO132" s="37"/>
      <c r="ER132" s="37"/>
      <c r="EU132" s="37"/>
      <c r="EV132" s="45"/>
      <c r="EW132" s="45"/>
      <c r="EX132" s="37"/>
      <c r="EY132" s="45"/>
      <c r="EZ132" s="45"/>
      <c r="FA132" s="37"/>
      <c r="FB132" s="45"/>
      <c r="FC132" s="45"/>
      <c r="FD132" s="37"/>
      <c r="FE132" s="45"/>
      <c r="FF132" s="45"/>
      <c r="FG132" s="37"/>
      <c r="FH132" s="45"/>
      <c r="FI132" s="45"/>
      <c r="FJ132" s="37"/>
      <c r="FK132" s="45"/>
      <c r="FL132" s="45"/>
      <c r="FM132" s="37"/>
      <c r="FN132" s="45"/>
      <c r="FO132" s="45"/>
      <c r="FP132" s="37"/>
      <c r="FQ132" s="45"/>
      <c r="FR132" s="45"/>
      <c r="FS132" s="37"/>
      <c r="FT132" s="45"/>
      <c r="FU132" s="45"/>
      <c r="FV132" s="37"/>
      <c r="FW132" s="45"/>
      <c r="FX132" s="45"/>
      <c r="FY132" s="37"/>
      <c r="FZ132" s="45"/>
      <c r="GA132" s="45"/>
      <c r="GB132" s="37"/>
      <c r="GC132" s="45"/>
      <c r="GD132" s="45"/>
      <c r="GE132" s="37"/>
      <c r="GF132" s="45"/>
      <c r="GG132" s="45"/>
      <c r="GH132" s="37"/>
      <c r="GI132" s="45"/>
      <c r="GJ132" s="45"/>
      <c r="GK132" s="37"/>
      <c r="GL132" s="45"/>
      <c r="GM132" s="45"/>
      <c r="GN132" s="37"/>
      <c r="GO132" s="45"/>
      <c r="HE132" s="56"/>
    </row>
    <row r="133" ht="12.0" customHeight="1">
      <c r="A133" s="37"/>
      <c r="D133" s="37"/>
      <c r="E133" s="37"/>
      <c r="I133" s="37"/>
      <c r="M133" s="37"/>
      <c r="Q133" s="37"/>
      <c r="U133" s="37"/>
      <c r="Y133" s="37"/>
      <c r="AC133" s="37"/>
      <c r="AG133" s="37"/>
      <c r="AK133" s="37"/>
      <c r="AN133" s="37"/>
      <c r="AQ133" s="37"/>
      <c r="AT133" s="37"/>
      <c r="AW133" s="37"/>
      <c r="AZ133" s="37"/>
      <c r="BC133" s="37"/>
      <c r="BF133" s="37"/>
      <c r="BG133" s="45"/>
      <c r="BH133" s="45"/>
      <c r="BI133" s="37"/>
      <c r="BJ133" s="45"/>
      <c r="BK133" s="45"/>
      <c r="BL133" s="37"/>
      <c r="BM133" s="45"/>
      <c r="BN133" s="45"/>
      <c r="BO133" s="37"/>
      <c r="BP133" s="45"/>
      <c r="BQ133" s="45"/>
      <c r="BR133" s="37"/>
      <c r="BS133" s="45"/>
      <c r="BT133" s="45"/>
      <c r="BU133" s="37"/>
      <c r="BV133" s="45"/>
      <c r="BW133" s="45"/>
      <c r="BX133" s="37"/>
      <c r="BY133" s="45"/>
      <c r="BZ133" s="45"/>
      <c r="CA133" s="37"/>
      <c r="CB133" s="45"/>
      <c r="CC133" s="45"/>
      <c r="CD133" s="37"/>
      <c r="CE133" s="45"/>
      <c r="CF133" s="45"/>
      <c r="CG133" s="37"/>
      <c r="CH133" s="45"/>
      <c r="CI133" s="45"/>
      <c r="CJ133" s="37"/>
      <c r="CK133" s="45"/>
      <c r="CL133" s="45"/>
      <c r="CM133" s="37"/>
      <c r="CN133" s="45"/>
      <c r="CO133" s="45"/>
      <c r="CP133" s="37"/>
      <c r="CQ133" s="45"/>
      <c r="CR133" s="45"/>
      <c r="CS133" s="37"/>
      <c r="CT133" s="45"/>
      <c r="CU133" s="45"/>
      <c r="CV133" s="37"/>
      <c r="CW133" s="45"/>
      <c r="CX133" s="45"/>
      <c r="CY133" s="37"/>
      <c r="CZ133" s="45"/>
      <c r="DB133" s="37"/>
      <c r="DE133" s="37"/>
      <c r="DH133" s="37"/>
      <c r="DK133" s="37"/>
      <c r="DN133" s="37"/>
      <c r="DQ133" s="37"/>
      <c r="DT133" s="37"/>
      <c r="DW133" s="37"/>
      <c r="DZ133" s="37"/>
      <c r="EC133" s="37"/>
      <c r="EF133" s="37"/>
      <c r="EI133" s="37"/>
      <c r="EL133" s="37"/>
      <c r="EO133" s="37"/>
      <c r="ER133" s="37"/>
      <c r="EU133" s="37"/>
      <c r="EV133" s="45"/>
      <c r="EW133" s="45"/>
      <c r="EX133" s="37"/>
      <c r="EY133" s="45"/>
      <c r="EZ133" s="45"/>
      <c r="FA133" s="37"/>
      <c r="FB133" s="45"/>
      <c r="FC133" s="45"/>
      <c r="FD133" s="37"/>
      <c r="FE133" s="45"/>
      <c r="FF133" s="45"/>
      <c r="FG133" s="37"/>
      <c r="FH133" s="45"/>
      <c r="FI133" s="45"/>
      <c r="FJ133" s="37"/>
      <c r="FK133" s="45"/>
      <c r="FL133" s="45"/>
      <c r="FM133" s="37"/>
      <c r="FN133" s="45"/>
      <c r="FO133" s="45"/>
      <c r="FP133" s="37"/>
      <c r="FQ133" s="45"/>
      <c r="FR133" s="45"/>
      <c r="FS133" s="37"/>
      <c r="FT133" s="45"/>
      <c r="FU133" s="45"/>
      <c r="FV133" s="37"/>
      <c r="FW133" s="45"/>
      <c r="FX133" s="45"/>
      <c r="FY133" s="37"/>
      <c r="FZ133" s="45"/>
      <c r="GA133" s="45"/>
      <c r="GB133" s="37"/>
      <c r="GC133" s="45"/>
      <c r="GD133" s="45"/>
      <c r="GE133" s="37"/>
      <c r="GF133" s="45"/>
      <c r="GG133" s="45"/>
      <c r="GH133" s="37"/>
      <c r="GI133" s="45"/>
      <c r="GJ133" s="45"/>
      <c r="GK133" s="37"/>
      <c r="GL133" s="45"/>
      <c r="GM133" s="45"/>
      <c r="GN133" s="37"/>
      <c r="GO133" s="45"/>
      <c r="HE133" s="56"/>
    </row>
    <row r="134" ht="12.0" customHeight="1">
      <c r="A134" s="37"/>
      <c r="D134" s="37"/>
      <c r="E134" s="37"/>
      <c r="I134" s="37"/>
      <c r="M134" s="37"/>
      <c r="Q134" s="37"/>
      <c r="U134" s="37"/>
      <c r="Y134" s="37"/>
      <c r="AC134" s="37"/>
      <c r="AG134" s="37"/>
      <c r="AK134" s="37"/>
      <c r="AN134" s="37"/>
      <c r="AQ134" s="37"/>
      <c r="AT134" s="37"/>
      <c r="AW134" s="37"/>
      <c r="AZ134" s="37"/>
      <c r="BC134" s="37"/>
      <c r="BF134" s="37"/>
      <c r="BG134" s="45"/>
      <c r="BH134" s="45"/>
      <c r="BI134" s="37"/>
      <c r="BJ134" s="45"/>
      <c r="BK134" s="45"/>
      <c r="BL134" s="37"/>
      <c r="BM134" s="45"/>
      <c r="BN134" s="45"/>
      <c r="BO134" s="37"/>
      <c r="BP134" s="45"/>
      <c r="BQ134" s="45"/>
      <c r="BR134" s="37"/>
      <c r="BS134" s="45"/>
      <c r="BT134" s="45"/>
      <c r="BU134" s="37"/>
      <c r="BV134" s="45"/>
      <c r="BW134" s="45"/>
      <c r="BX134" s="37"/>
      <c r="BY134" s="45"/>
      <c r="BZ134" s="45"/>
      <c r="CA134" s="37"/>
      <c r="CB134" s="45"/>
      <c r="CC134" s="45"/>
      <c r="CD134" s="37"/>
      <c r="CE134" s="45"/>
      <c r="CF134" s="45"/>
      <c r="CG134" s="37"/>
      <c r="CH134" s="45"/>
      <c r="CI134" s="45"/>
      <c r="CJ134" s="37"/>
      <c r="CK134" s="45"/>
      <c r="CL134" s="45"/>
      <c r="CM134" s="37"/>
      <c r="CN134" s="45"/>
      <c r="CO134" s="45"/>
      <c r="CP134" s="37"/>
      <c r="CQ134" s="45"/>
      <c r="CR134" s="45"/>
      <c r="CS134" s="37"/>
      <c r="CT134" s="45"/>
      <c r="CU134" s="45"/>
      <c r="CV134" s="37"/>
      <c r="CW134" s="45"/>
      <c r="CX134" s="45"/>
      <c r="CY134" s="37"/>
      <c r="CZ134" s="45"/>
      <c r="DB134" s="37"/>
      <c r="DE134" s="37"/>
      <c r="DH134" s="37"/>
      <c r="DK134" s="37"/>
      <c r="DN134" s="37"/>
      <c r="DQ134" s="37"/>
      <c r="DT134" s="37"/>
      <c r="DW134" s="37"/>
      <c r="DZ134" s="37"/>
      <c r="EC134" s="37"/>
      <c r="EF134" s="37"/>
      <c r="EI134" s="37"/>
      <c r="EL134" s="37"/>
      <c r="EO134" s="37"/>
      <c r="ER134" s="37"/>
      <c r="EU134" s="37"/>
      <c r="EV134" s="45"/>
      <c r="EW134" s="45"/>
      <c r="EX134" s="37"/>
      <c r="EY134" s="45"/>
      <c r="EZ134" s="45"/>
      <c r="FA134" s="37"/>
      <c r="FB134" s="45"/>
      <c r="FC134" s="45"/>
      <c r="FD134" s="37"/>
      <c r="FE134" s="45"/>
      <c r="FF134" s="45"/>
      <c r="FG134" s="37"/>
      <c r="FH134" s="45"/>
      <c r="FI134" s="45"/>
      <c r="FJ134" s="37"/>
      <c r="FK134" s="45"/>
      <c r="FL134" s="45"/>
      <c r="FM134" s="37"/>
      <c r="FN134" s="45"/>
      <c r="FO134" s="45"/>
      <c r="FP134" s="37"/>
      <c r="FQ134" s="45"/>
      <c r="FR134" s="45"/>
      <c r="FS134" s="37"/>
      <c r="FT134" s="45"/>
      <c r="FU134" s="45"/>
      <c r="FV134" s="37"/>
      <c r="FW134" s="45"/>
      <c r="FX134" s="45"/>
      <c r="FY134" s="37"/>
      <c r="FZ134" s="45"/>
      <c r="GA134" s="45"/>
      <c r="GB134" s="37"/>
      <c r="GC134" s="45"/>
      <c r="GD134" s="45"/>
      <c r="GE134" s="37"/>
      <c r="GF134" s="45"/>
      <c r="GG134" s="45"/>
      <c r="GH134" s="37"/>
      <c r="GI134" s="45"/>
      <c r="GJ134" s="45"/>
      <c r="GK134" s="37"/>
      <c r="GL134" s="45"/>
      <c r="GM134" s="45"/>
      <c r="GN134" s="37"/>
      <c r="GO134" s="45"/>
      <c r="HE134" s="56"/>
    </row>
    <row r="135" ht="12.0" customHeight="1">
      <c r="A135" s="37"/>
      <c r="D135" s="37"/>
      <c r="E135" s="37"/>
      <c r="I135" s="37"/>
      <c r="M135" s="37"/>
      <c r="Q135" s="37"/>
      <c r="U135" s="37"/>
      <c r="Y135" s="37"/>
      <c r="AC135" s="37"/>
      <c r="AG135" s="37"/>
      <c r="AK135" s="37"/>
      <c r="AN135" s="37"/>
      <c r="AQ135" s="37"/>
      <c r="AT135" s="37"/>
      <c r="AW135" s="37"/>
      <c r="AZ135" s="37"/>
      <c r="BC135" s="37"/>
      <c r="BF135" s="37"/>
      <c r="BG135" s="45"/>
      <c r="BH135" s="45"/>
      <c r="BI135" s="37"/>
      <c r="BJ135" s="45"/>
      <c r="BK135" s="45"/>
      <c r="BL135" s="37"/>
      <c r="BM135" s="45"/>
      <c r="BN135" s="45"/>
      <c r="BO135" s="37"/>
      <c r="BP135" s="45"/>
      <c r="BQ135" s="45"/>
      <c r="BR135" s="37"/>
      <c r="BS135" s="45"/>
      <c r="BT135" s="45"/>
      <c r="BU135" s="37"/>
      <c r="BV135" s="45"/>
      <c r="BW135" s="45"/>
      <c r="BX135" s="37"/>
      <c r="BY135" s="45"/>
      <c r="BZ135" s="45"/>
      <c r="CA135" s="37"/>
      <c r="CB135" s="45"/>
      <c r="CC135" s="45"/>
      <c r="CD135" s="37"/>
      <c r="CE135" s="45"/>
      <c r="CF135" s="45"/>
      <c r="CG135" s="37"/>
      <c r="CH135" s="45"/>
      <c r="CI135" s="45"/>
      <c r="CJ135" s="37"/>
      <c r="CK135" s="45"/>
      <c r="CL135" s="45"/>
      <c r="CM135" s="37"/>
      <c r="CN135" s="45"/>
      <c r="CO135" s="45"/>
      <c r="CP135" s="37"/>
      <c r="CQ135" s="45"/>
      <c r="CR135" s="45"/>
      <c r="CS135" s="37"/>
      <c r="CT135" s="45"/>
      <c r="CU135" s="45"/>
      <c r="CV135" s="37"/>
      <c r="CW135" s="45"/>
      <c r="CX135" s="45"/>
      <c r="CY135" s="37"/>
      <c r="CZ135" s="45"/>
      <c r="DB135" s="37"/>
      <c r="DE135" s="37"/>
      <c r="DH135" s="37"/>
      <c r="DK135" s="37"/>
      <c r="DN135" s="37"/>
      <c r="DQ135" s="37"/>
      <c r="DT135" s="37"/>
      <c r="DW135" s="37"/>
      <c r="DZ135" s="37"/>
      <c r="EC135" s="37"/>
      <c r="EF135" s="37"/>
      <c r="EI135" s="37"/>
      <c r="EL135" s="37"/>
      <c r="EO135" s="37"/>
      <c r="ER135" s="37"/>
      <c r="EU135" s="37"/>
      <c r="EV135" s="45"/>
      <c r="EW135" s="45"/>
      <c r="EX135" s="37"/>
      <c r="EY135" s="45"/>
      <c r="EZ135" s="45"/>
      <c r="FA135" s="37"/>
      <c r="FB135" s="45"/>
      <c r="FC135" s="45"/>
      <c r="FD135" s="37"/>
      <c r="FE135" s="45"/>
      <c r="FF135" s="45"/>
      <c r="FG135" s="37"/>
      <c r="FH135" s="45"/>
      <c r="FI135" s="45"/>
      <c r="FJ135" s="37"/>
      <c r="FK135" s="45"/>
      <c r="FL135" s="45"/>
      <c r="FM135" s="37"/>
      <c r="FN135" s="45"/>
      <c r="FO135" s="45"/>
      <c r="FP135" s="37"/>
      <c r="FQ135" s="45"/>
      <c r="FR135" s="45"/>
      <c r="FS135" s="37"/>
      <c r="FT135" s="45"/>
      <c r="FU135" s="45"/>
      <c r="FV135" s="37"/>
      <c r="FW135" s="45"/>
      <c r="FX135" s="45"/>
      <c r="FY135" s="37"/>
      <c r="FZ135" s="45"/>
      <c r="GA135" s="45"/>
      <c r="GB135" s="37"/>
      <c r="GC135" s="45"/>
      <c r="GD135" s="45"/>
      <c r="GE135" s="37"/>
      <c r="GF135" s="45"/>
      <c r="GG135" s="45"/>
      <c r="GH135" s="37"/>
      <c r="GI135" s="45"/>
      <c r="GJ135" s="45"/>
      <c r="GK135" s="37"/>
      <c r="GL135" s="45"/>
      <c r="GM135" s="45"/>
      <c r="GN135" s="37"/>
      <c r="GO135" s="45"/>
      <c r="HE135" s="56"/>
    </row>
    <row r="136" ht="12.0" customHeight="1">
      <c r="A136" s="37"/>
      <c r="D136" s="37"/>
      <c r="E136" s="37"/>
      <c r="I136" s="37"/>
      <c r="M136" s="37"/>
      <c r="Q136" s="37"/>
      <c r="U136" s="37"/>
      <c r="Y136" s="37"/>
      <c r="AC136" s="37"/>
      <c r="AG136" s="37"/>
      <c r="AK136" s="37"/>
      <c r="AN136" s="37"/>
      <c r="AQ136" s="37"/>
      <c r="AT136" s="37"/>
      <c r="AW136" s="37"/>
      <c r="AZ136" s="37"/>
      <c r="BC136" s="37"/>
      <c r="BF136" s="37"/>
      <c r="BG136" s="45"/>
      <c r="BH136" s="45"/>
      <c r="BI136" s="37"/>
      <c r="BJ136" s="45"/>
      <c r="BK136" s="45"/>
      <c r="BL136" s="37"/>
      <c r="BM136" s="45"/>
      <c r="BN136" s="45"/>
      <c r="BO136" s="37"/>
      <c r="BP136" s="45"/>
      <c r="BQ136" s="45"/>
      <c r="BR136" s="37"/>
      <c r="BS136" s="45"/>
      <c r="BT136" s="45"/>
      <c r="BU136" s="37"/>
      <c r="BV136" s="45"/>
      <c r="BW136" s="45"/>
      <c r="BX136" s="37"/>
      <c r="BY136" s="45"/>
      <c r="BZ136" s="45"/>
      <c r="CA136" s="37"/>
      <c r="CB136" s="45"/>
      <c r="CC136" s="45"/>
      <c r="CD136" s="37"/>
      <c r="CE136" s="45"/>
      <c r="CF136" s="45"/>
      <c r="CG136" s="37"/>
      <c r="CH136" s="45"/>
      <c r="CI136" s="45"/>
      <c r="CJ136" s="37"/>
      <c r="CK136" s="45"/>
      <c r="CL136" s="45"/>
      <c r="CM136" s="37"/>
      <c r="CN136" s="45"/>
      <c r="CO136" s="45"/>
      <c r="CP136" s="37"/>
      <c r="CQ136" s="45"/>
      <c r="CR136" s="45"/>
      <c r="CS136" s="37"/>
      <c r="CT136" s="45"/>
      <c r="CU136" s="45"/>
      <c r="CV136" s="37"/>
      <c r="CW136" s="45"/>
      <c r="CX136" s="45"/>
      <c r="CY136" s="37"/>
      <c r="CZ136" s="45"/>
      <c r="DB136" s="37"/>
      <c r="DE136" s="37"/>
      <c r="DH136" s="37"/>
      <c r="DK136" s="37"/>
      <c r="DN136" s="37"/>
      <c r="DQ136" s="37"/>
      <c r="DT136" s="37"/>
      <c r="DW136" s="37"/>
      <c r="DZ136" s="37"/>
      <c r="EC136" s="37"/>
      <c r="EF136" s="37"/>
      <c r="EI136" s="37"/>
      <c r="EL136" s="37"/>
      <c r="EO136" s="37"/>
      <c r="ER136" s="37"/>
      <c r="EU136" s="37"/>
      <c r="EV136" s="45"/>
      <c r="EW136" s="45"/>
      <c r="EX136" s="37"/>
      <c r="EY136" s="45"/>
      <c r="EZ136" s="45"/>
      <c r="FA136" s="37"/>
      <c r="FB136" s="45"/>
      <c r="FC136" s="45"/>
      <c r="FD136" s="37"/>
      <c r="FE136" s="45"/>
      <c r="FF136" s="45"/>
      <c r="FG136" s="37"/>
      <c r="FH136" s="45"/>
      <c r="FI136" s="45"/>
      <c r="FJ136" s="37"/>
      <c r="FK136" s="45"/>
      <c r="FL136" s="45"/>
      <c r="FM136" s="37"/>
      <c r="FN136" s="45"/>
      <c r="FO136" s="45"/>
      <c r="FP136" s="37"/>
      <c r="FQ136" s="45"/>
      <c r="FR136" s="45"/>
      <c r="FS136" s="37"/>
      <c r="FT136" s="45"/>
      <c r="FU136" s="45"/>
      <c r="FV136" s="37"/>
      <c r="FW136" s="45"/>
      <c r="FX136" s="45"/>
      <c r="FY136" s="37"/>
      <c r="FZ136" s="45"/>
      <c r="GA136" s="45"/>
      <c r="GB136" s="37"/>
      <c r="GC136" s="45"/>
      <c r="GD136" s="45"/>
      <c r="GE136" s="37"/>
      <c r="GF136" s="45"/>
      <c r="GG136" s="45"/>
      <c r="GH136" s="37"/>
      <c r="GI136" s="45"/>
      <c r="GJ136" s="45"/>
      <c r="GK136" s="37"/>
      <c r="GL136" s="45"/>
      <c r="GM136" s="45"/>
      <c r="GN136" s="37"/>
      <c r="GO136" s="45"/>
      <c r="HE136" s="56"/>
    </row>
    <row r="137" ht="12.0" customHeight="1">
      <c r="A137" s="37"/>
      <c r="D137" s="37"/>
      <c r="E137" s="37"/>
      <c r="I137" s="37"/>
      <c r="M137" s="37"/>
      <c r="Q137" s="37"/>
      <c r="U137" s="37"/>
      <c r="Y137" s="37"/>
      <c r="AC137" s="37"/>
      <c r="AG137" s="37"/>
      <c r="AK137" s="37"/>
      <c r="AN137" s="37"/>
      <c r="AQ137" s="37"/>
      <c r="AT137" s="37"/>
      <c r="AW137" s="37"/>
      <c r="AZ137" s="37"/>
      <c r="BC137" s="37"/>
      <c r="BF137" s="37"/>
      <c r="BG137" s="45"/>
      <c r="BH137" s="45"/>
      <c r="BI137" s="37"/>
      <c r="BJ137" s="45"/>
      <c r="BK137" s="45"/>
      <c r="BL137" s="37"/>
      <c r="BM137" s="45"/>
      <c r="BN137" s="45"/>
      <c r="BO137" s="37"/>
      <c r="BP137" s="45"/>
      <c r="BQ137" s="45"/>
      <c r="BR137" s="37"/>
      <c r="BS137" s="45"/>
      <c r="BT137" s="45"/>
      <c r="BU137" s="37"/>
      <c r="BV137" s="45"/>
      <c r="BW137" s="45"/>
      <c r="BX137" s="37"/>
      <c r="BY137" s="45"/>
      <c r="BZ137" s="45"/>
      <c r="CA137" s="37"/>
      <c r="CB137" s="45"/>
      <c r="CC137" s="45"/>
      <c r="CD137" s="37"/>
      <c r="CE137" s="45"/>
      <c r="CF137" s="45"/>
      <c r="CG137" s="37"/>
      <c r="CH137" s="45"/>
      <c r="CI137" s="45"/>
      <c r="CJ137" s="37"/>
      <c r="CK137" s="45"/>
      <c r="CL137" s="45"/>
      <c r="CM137" s="37"/>
      <c r="CN137" s="45"/>
      <c r="CO137" s="45"/>
      <c r="CP137" s="37"/>
      <c r="CQ137" s="45"/>
      <c r="CR137" s="45"/>
      <c r="CS137" s="37"/>
      <c r="CT137" s="45"/>
      <c r="CU137" s="45"/>
      <c r="CV137" s="37"/>
      <c r="CW137" s="45"/>
      <c r="CX137" s="45"/>
      <c r="CY137" s="37"/>
      <c r="CZ137" s="45"/>
      <c r="DB137" s="37"/>
      <c r="DE137" s="37"/>
      <c r="DH137" s="37"/>
      <c r="DK137" s="37"/>
      <c r="DN137" s="37"/>
      <c r="DQ137" s="37"/>
      <c r="DT137" s="37"/>
      <c r="DW137" s="37"/>
      <c r="DZ137" s="37"/>
      <c r="EC137" s="37"/>
      <c r="EF137" s="37"/>
      <c r="EI137" s="37"/>
      <c r="EL137" s="37"/>
      <c r="EO137" s="37"/>
      <c r="ER137" s="37"/>
      <c r="EU137" s="37"/>
      <c r="EV137" s="45"/>
      <c r="EW137" s="45"/>
      <c r="EX137" s="37"/>
      <c r="EY137" s="45"/>
      <c r="EZ137" s="45"/>
      <c r="FA137" s="37"/>
      <c r="FB137" s="45"/>
      <c r="FC137" s="45"/>
      <c r="FD137" s="37"/>
      <c r="FE137" s="45"/>
      <c r="FF137" s="45"/>
      <c r="FG137" s="37"/>
      <c r="FH137" s="45"/>
      <c r="FI137" s="45"/>
      <c r="FJ137" s="37"/>
      <c r="FK137" s="45"/>
      <c r="FL137" s="45"/>
      <c r="FM137" s="37"/>
      <c r="FN137" s="45"/>
      <c r="FO137" s="45"/>
      <c r="FP137" s="37"/>
      <c r="FQ137" s="45"/>
      <c r="FR137" s="45"/>
      <c r="FS137" s="37"/>
      <c r="FT137" s="45"/>
      <c r="FU137" s="45"/>
      <c r="FV137" s="37"/>
      <c r="FW137" s="45"/>
      <c r="FX137" s="45"/>
      <c r="FY137" s="37"/>
      <c r="FZ137" s="45"/>
      <c r="GA137" s="45"/>
      <c r="GB137" s="37"/>
      <c r="GC137" s="45"/>
      <c r="GD137" s="45"/>
      <c r="GE137" s="37"/>
      <c r="GF137" s="45"/>
      <c r="GG137" s="45"/>
      <c r="GH137" s="37"/>
      <c r="GI137" s="45"/>
      <c r="GJ137" s="45"/>
      <c r="GK137" s="37"/>
      <c r="GL137" s="45"/>
      <c r="GM137" s="45"/>
      <c r="GN137" s="37"/>
      <c r="GO137" s="45"/>
      <c r="HE137" s="56"/>
    </row>
    <row r="138" ht="12.0" customHeight="1">
      <c r="A138" s="37"/>
      <c r="D138" s="37"/>
      <c r="E138" s="37"/>
      <c r="I138" s="37"/>
      <c r="M138" s="37"/>
      <c r="Q138" s="37"/>
      <c r="U138" s="37"/>
      <c r="Y138" s="37"/>
      <c r="AC138" s="37"/>
      <c r="AG138" s="37"/>
      <c r="AK138" s="37"/>
      <c r="AN138" s="37"/>
      <c r="AQ138" s="37"/>
      <c r="AT138" s="37"/>
      <c r="AW138" s="37"/>
      <c r="AZ138" s="37"/>
      <c r="BC138" s="37"/>
      <c r="BF138" s="37"/>
      <c r="BG138" s="45"/>
      <c r="BH138" s="45"/>
      <c r="BI138" s="37"/>
      <c r="BJ138" s="45"/>
      <c r="BK138" s="45"/>
      <c r="BL138" s="37"/>
      <c r="BM138" s="45"/>
      <c r="BN138" s="45"/>
      <c r="BO138" s="37"/>
      <c r="BP138" s="45"/>
      <c r="BQ138" s="45"/>
      <c r="BR138" s="37"/>
      <c r="BS138" s="45"/>
      <c r="BT138" s="45"/>
      <c r="BU138" s="37"/>
      <c r="BV138" s="45"/>
      <c r="BW138" s="45"/>
      <c r="BX138" s="37"/>
      <c r="BY138" s="45"/>
      <c r="BZ138" s="45"/>
      <c r="CA138" s="37"/>
      <c r="CB138" s="45"/>
      <c r="CC138" s="45"/>
      <c r="CD138" s="37"/>
      <c r="CE138" s="45"/>
      <c r="CF138" s="45"/>
      <c r="CG138" s="37"/>
      <c r="CH138" s="45"/>
      <c r="CI138" s="45"/>
      <c r="CJ138" s="37"/>
      <c r="CK138" s="45"/>
      <c r="CL138" s="45"/>
      <c r="CM138" s="37"/>
      <c r="CN138" s="45"/>
      <c r="CO138" s="45"/>
      <c r="CP138" s="37"/>
      <c r="CQ138" s="45"/>
      <c r="CR138" s="45"/>
      <c r="CS138" s="37"/>
      <c r="CT138" s="45"/>
      <c r="CU138" s="45"/>
      <c r="CV138" s="37"/>
      <c r="CW138" s="45"/>
      <c r="CX138" s="45"/>
      <c r="CY138" s="37"/>
      <c r="CZ138" s="45"/>
      <c r="DB138" s="37"/>
      <c r="DE138" s="37"/>
      <c r="DH138" s="37"/>
      <c r="DK138" s="37"/>
      <c r="DN138" s="37"/>
      <c r="DQ138" s="37"/>
      <c r="DT138" s="37"/>
      <c r="DW138" s="37"/>
      <c r="DZ138" s="37"/>
      <c r="EC138" s="37"/>
      <c r="EF138" s="37"/>
      <c r="EI138" s="37"/>
      <c r="EL138" s="37"/>
      <c r="EO138" s="37"/>
      <c r="ER138" s="37"/>
      <c r="EU138" s="37"/>
      <c r="EV138" s="45"/>
      <c r="EW138" s="45"/>
      <c r="EX138" s="37"/>
      <c r="EY138" s="45"/>
      <c r="EZ138" s="45"/>
      <c r="FA138" s="37"/>
      <c r="FB138" s="45"/>
      <c r="FC138" s="45"/>
      <c r="FD138" s="37"/>
      <c r="FE138" s="45"/>
      <c r="FF138" s="45"/>
      <c r="FG138" s="37"/>
      <c r="FH138" s="45"/>
      <c r="FI138" s="45"/>
      <c r="FJ138" s="37"/>
      <c r="FK138" s="45"/>
      <c r="FL138" s="45"/>
      <c r="FM138" s="37"/>
      <c r="FN138" s="45"/>
      <c r="FO138" s="45"/>
      <c r="FP138" s="37"/>
      <c r="FQ138" s="45"/>
      <c r="FR138" s="45"/>
      <c r="FS138" s="37"/>
      <c r="FT138" s="45"/>
      <c r="FU138" s="45"/>
      <c r="FV138" s="37"/>
      <c r="FW138" s="45"/>
      <c r="FX138" s="45"/>
      <c r="FY138" s="37"/>
      <c r="FZ138" s="45"/>
      <c r="GA138" s="45"/>
      <c r="GB138" s="37"/>
      <c r="GC138" s="45"/>
      <c r="GD138" s="45"/>
      <c r="GE138" s="37"/>
      <c r="GF138" s="45"/>
      <c r="GG138" s="45"/>
      <c r="GH138" s="37"/>
      <c r="GI138" s="45"/>
      <c r="GJ138" s="45"/>
      <c r="GK138" s="37"/>
      <c r="GL138" s="45"/>
      <c r="GM138" s="45"/>
      <c r="GN138" s="37"/>
      <c r="GO138" s="45"/>
      <c r="HE138" s="56"/>
    </row>
    <row r="139" ht="12.0" customHeight="1">
      <c r="A139" s="37"/>
      <c r="D139" s="37"/>
      <c r="E139" s="37"/>
      <c r="I139" s="37"/>
      <c r="M139" s="37"/>
      <c r="Q139" s="37"/>
      <c r="U139" s="37"/>
      <c r="Y139" s="37"/>
      <c r="AC139" s="37"/>
      <c r="AG139" s="37"/>
      <c r="AK139" s="37"/>
      <c r="AN139" s="37"/>
      <c r="AQ139" s="37"/>
      <c r="AT139" s="37"/>
      <c r="AW139" s="37"/>
      <c r="AZ139" s="37"/>
      <c r="BC139" s="37"/>
      <c r="BF139" s="37"/>
      <c r="BG139" s="45"/>
      <c r="BH139" s="45"/>
      <c r="BI139" s="37"/>
      <c r="BJ139" s="45"/>
      <c r="BK139" s="45"/>
      <c r="BL139" s="37"/>
      <c r="BM139" s="45"/>
      <c r="BN139" s="45"/>
      <c r="BO139" s="37"/>
      <c r="BP139" s="45"/>
      <c r="BQ139" s="45"/>
      <c r="BR139" s="37"/>
      <c r="BS139" s="45"/>
      <c r="BT139" s="45"/>
      <c r="BU139" s="37"/>
      <c r="BV139" s="45"/>
      <c r="BW139" s="45"/>
      <c r="BX139" s="37"/>
      <c r="BY139" s="45"/>
      <c r="BZ139" s="45"/>
      <c r="CA139" s="37"/>
      <c r="CB139" s="45"/>
      <c r="CC139" s="45"/>
      <c r="CD139" s="37"/>
      <c r="CE139" s="45"/>
      <c r="CF139" s="45"/>
      <c r="CG139" s="37"/>
      <c r="CH139" s="45"/>
      <c r="CI139" s="45"/>
      <c r="CJ139" s="37"/>
      <c r="CK139" s="45"/>
      <c r="CL139" s="45"/>
      <c r="CM139" s="37"/>
      <c r="CN139" s="45"/>
      <c r="CO139" s="45"/>
      <c r="CP139" s="37"/>
      <c r="CQ139" s="45"/>
      <c r="CR139" s="45"/>
      <c r="CS139" s="37"/>
      <c r="CT139" s="45"/>
      <c r="CU139" s="45"/>
      <c r="CV139" s="37"/>
      <c r="CW139" s="45"/>
      <c r="CX139" s="45"/>
      <c r="CY139" s="37"/>
      <c r="CZ139" s="45"/>
      <c r="DB139" s="37"/>
      <c r="DE139" s="37"/>
      <c r="DH139" s="37"/>
      <c r="DK139" s="37"/>
      <c r="DN139" s="37"/>
      <c r="DQ139" s="37"/>
      <c r="DT139" s="37"/>
      <c r="DW139" s="37"/>
      <c r="DZ139" s="37"/>
      <c r="EC139" s="37"/>
      <c r="EF139" s="37"/>
      <c r="EI139" s="37"/>
      <c r="EL139" s="37"/>
      <c r="EO139" s="37"/>
      <c r="ER139" s="37"/>
      <c r="EU139" s="37"/>
      <c r="EV139" s="45"/>
      <c r="EW139" s="45"/>
      <c r="EX139" s="37"/>
      <c r="EY139" s="45"/>
      <c r="EZ139" s="45"/>
      <c r="FA139" s="37"/>
      <c r="FB139" s="45"/>
      <c r="FC139" s="45"/>
      <c r="FD139" s="37"/>
      <c r="FE139" s="45"/>
      <c r="FF139" s="45"/>
      <c r="FG139" s="37"/>
      <c r="FH139" s="45"/>
      <c r="FI139" s="45"/>
      <c r="FJ139" s="37"/>
      <c r="FK139" s="45"/>
      <c r="FL139" s="45"/>
      <c r="FM139" s="37"/>
      <c r="FN139" s="45"/>
      <c r="FO139" s="45"/>
      <c r="FP139" s="37"/>
      <c r="FQ139" s="45"/>
      <c r="FR139" s="45"/>
      <c r="FS139" s="37"/>
      <c r="FT139" s="45"/>
      <c r="FU139" s="45"/>
      <c r="FV139" s="37"/>
      <c r="FW139" s="45"/>
      <c r="FX139" s="45"/>
      <c r="FY139" s="37"/>
      <c r="FZ139" s="45"/>
      <c r="GA139" s="45"/>
      <c r="GB139" s="37"/>
      <c r="GC139" s="45"/>
      <c r="GD139" s="45"/>
      <c r="GE139" s="37"/>
      <c r="GF139" s="45"/>
      <c r="GG139" s="45"/>
      <c r="GH139" s="37"/>
      <c r="GI139" s="45"/>
      <c r="GJ139" s="45"/>
      <c r="GK139" s="37"/>
      <c r="GL139" s="45"/>
      <c r="GM139" s="45"/>
      <c r="GN139" s="37"/>
      <c r="GO139" s="45"/>
      <c r="HE139" s="56"/>
    </row>
    <row r="140" ht="12.0" customHeight="1">
      <c r="A140" s="37"/>
      <c r="D140" s="37"/>
      <c r="E140" s="37"/>
      <c r="I140" s="37"/>
      <c r="M140" s="37"/>
      <c r="Q140" s="37"/>
      <c r="U140" s="37"/>
      <c r="Y140" s="37"/>
      <c r="AC140" s="37"/>
      <c r="AG140" s="37"/>
      <c r="AK140" s="37"/>
      <c r="AN140" s="37"/>
      <c r="AQ140" s="37"/>
      <c r="AT140" s="37"/>
      <c r="AW140" s="37"/>
      <c r="AZ140" s="37"/>
      <c r="BC140" s="37"/>
      <c r="BF140" s="37"/>
      <c r="BG140" s="45"/>
      <c r="BH140" s="45"/>
      <c r="BI140" s="37"/>
      <c r="BJ140" s="45"/>
      <c r="BK140" s="45"/>
      <c r="BL140" s="37"/>
      <c r="BM140" s="45"/>
      <c r="BN140" s="45"/>
      <c r="BO140" s="37"/>
      <c r="BP140" s="45"/>
      <c r="BQ140" s="45"/>
      <c r="BR140" s="37"/>
      <c r="BS140" s="45"/>
      <c r="BT140" s="45"/>
      <c r="BU140" s="37"/>
      <c r="BV140" s="45"/>
      <c r="BW140" s="45"/>
      <c r="BX140" s="37"/>
      <c r="BY140" s="45"/>
      <c r="BZ140" s="45"/>
      <c r="CA140" s="37"/>
      <c r="CB140" s="45"/>
      <c r="CC140" s="45"/>
      <c r="CD140" s="37"/>
      <c r="CE140" s="45"/>
      <c r="CF140" s="45"/>
      <c r="CG140" s="37"/>
      <c r="CH140" s="45"/>
      <c r="CI140" s="45"/>
      <c r="CJ140" s="37"/>
      <c r="CK140" s="45"/>
      <c r="CL140" s="45"/>
      <c r="CM140" s="37"/>
      <c r="CN140" s="45"/>
      <c r="CO140" s="45"/>
      <c r="CP140" s="37"/>
      <c r="CQ140" s="45"/>
      <c r="CR140" s="45"/>
      <c r="CS140" s="37"/>
      <c r="CT140" s="45"/>
      <c r="CU140" s="45"/>
      <c r="CV140" s="37"/>
      <c r="CW140" s="45"/>
      <c r="CX140" s="45"/>
      <c r="CY140" s="37"/>
      <c r="CZ140" s="45"/>
      <c r="DB140" s="37"/>
      <c r="DE140" s="37"/>
      <c r="DH140" s="37"/>
      <c r="DK140" s="37"/>
      <c r="DN140" s="37"/>
      <c r="DQ140" s="37"/>
      <c r="DT140" s="37"/>
      <c r="DW140" s="37"/>
      <c r="DZ140" s="37"/>
      <c r="EC140" s="37"/>
      <c r="EF140" s="37"/>
      <c r="EI140" s="37"/>
      <c r="EL140" s="37"/>
      <c r="EO140" s="37"/>
      <c r="ER140" s="37"/>
      <c r="EU140" s="37"/>
      <c r="EV140" s="45"/>
      <c r="EW140" s="45"/>
      <c r="EX140" s="37"/>
      <c r="EY140" s="45"/>
      <c r="EZ140" s="45"/>
      <c r="FA140" s="37"/>
      <c r="FB140" s="45"/>
      <c r="FC140" s="45"/>
      <c r="FD140" s="37"/>
      <c r="FE140" s="45"/>
      <c r="FF140" s="45"/>
      <c r="FG140" s="37"/>
      <c r="FH140" s="45"/>
      <c r="FI140" s="45"/>
      <c r="FJ140" s="37"/>
      <c r="FK140" s="45"/>
      <c r="FL140" s="45"/>
      <c r="FM140" s="37"/>
      <c r="FN140" s="45"/>
      <c r="FO140" s="45"/>
      <c r="FP140" s="37"/>
      <c r="FQ140" s="45"/>
      <c r="FR140" s="45"/>
      <c r="FS140" s="37"/>
      <c r="FT140" s="45"/>
      <c r="FU140" s="45"/>
      <c r="FV140" s="37"/>
      <c r="FW140" s="45"/>
      <c r="FX140" s="45"/>
      <c r="FY140" s="37"/>
      <c r="FZ140" s="45"/>
      <c r="GA140" s="45"/>
      <c r="GB140" s="37"/>
      <c r="GC140" s="45"/>
      <c r="GD140" s="45"/>
      <c r="GE140" s="37"/>
      <c r="GF140" s="45"/>
      <c r="GG140" s="45"/>
      <c r="GH140" s="37"/>
      <c r="GI140" s="45"/>
      <c r="GJ140" s="45"/>
      <c r="GK140" s="37"/>
      <c r="GL140" s="45"/>
      <c r="GM140" s="45"/>
      <c r="GN140" s="37"/>
      <c r="GO140" s="45"/>
      <c r="HE140" s="56"/>
    </row>
    <row r="141" ht="12.0" customHeight="1">
      <c r="A141" s="37"/>
      <c r="D141" s="37"/>
      <c r="E141" s="37"/>
      <c r="I141" s="37"/>
      <c r="M141" s="37"/>
      <c r="Q141" s="37"/>
      <c r="U141" s="37"/>
      <c r="Y141" s="37"/>
      <c r="AC141" s="37"/>
      <c r="AG141" s="37"/>
      <c r="AK141" s="37"/>
      <c r="AN141" s="37"/>
      <c r="AQ141" s="37"/>
      <c r="AT141" s="37"/>
      <c r="AW141" s="37"/>
      <c r="AZ141" s="37"/>
      <c r="BC141" s="37"/>
      <c r="BF141" s="37"/>
      <c r="BG141" s="45"/>
      <c r="BH141" s="45"/>
      <c r="BI141" s="37"/>
      <c r="BJ141" s="45"/>
      <c r="BK141" s="45"/>
      <c r="BL141" s="37"/>
      <c r="BM141" s="45"/>
      <c r="BN141" s="45"/>
      <c r="BO141" s="37"/>
      <c r="BP141" s="45"/>
      <c r="BQ141" s="45"/>
      <c r="BR141" s="37"/>
      <c r="BS141" s="45"/>
      <c r="BT141" s="45"/>
      <c r="BU141" s="37"/>
      <c r="BV141" s="45"/>
      <c r="BW141" s="45"/>
      <c r="BX141" s="37"/>
      <c r="BY141" s="45"/>
      <c r="BZ141" s="45"/>
      <c r="CA141" s="37"/>
      <c r="CB141" s="45"/>
      <c r="CC141" s="45"/>
      <c r="CD141" s="37"/>
      <c r="CE141" s="45"/>
      <c r="CF141" s="45"/>
      <c r="CG141" s="37"/>
      <c r="CH141" s="45"/>
      <c r="CI141" s="45"/>
      <c r="CJ141" s="37"/>
      <c r="CK141" s="45"/>
      <c r="CL141" s="45"/>
      <c r="CM141" s="37"/>
      <c r="CN141" s="45"/>
      <c r="CO141" s="45"/>
      <c r="CP141" s="37"/>
      <c r="CQ141" s="45"/>
      <c r="CR141" s="45"/>
      <c r="CS141" s="37"/>
      <c r="CT141" s="45"/>
      <c r="CU141" s="45"/>
      <c r="CV141" s="37"/>
      <c r="CW141" s="45"/>
      <c r="CX141" s="45"/>
      <c r="CY141" s="37"/>
      <c r="CZ141" s="45"/>
      <c r="DB141" s="37"/>
      <c r="DE141" s="37"/>
      <c r="DH141" s="37"/>
      <c r="DK141" s="37"/>
      <c r="DN141" s="37"/>
      <c r="DQ141" s="37"/>
      <c r="DT141" s="37"/>
      <c r="DW141" s="37"/>
      <c r="DZ141" s="37"/>
      <c r="EC141" s="37"/>
      <c r="EF141" s="37"/>
      <c r="EI141" s="37"/>
      <c r="EL141" s="37"/>
      <c r="EO141" s="37"/>
      <c r="ER141" s="37"/>
      <c r="EU141" s="37"/>
      <c r="EV141" s="45"/>
      <c r="EW141" s="45"/>
      <c r="EX141" s="37"/>
      <c r="EY141" s="45"/>
      <c r="EZ141" s="45"/>
      <c r="FA141" s="37"/>
      <c r="FB141" s="45"/>
      <c r="FC141" s="45"/>
      <c r="FD141" s="37"/>
      <c r="FE141" s="45"/>
      <c r="FF141" s="45"/>
      <c r="FG141" s="37"/>
      <c r="FH141" s="45"/>
      <c r="FI141" s="45"/>
      <c r="FJ141" s="37"/>
      <c r="FK141" s="45"/>
      <c r="FL141" s="45"/>
      <c r="FM141" s="37"/>
      <c r="FN141" s="45"/>
      <c r="FO141" s="45"/>
      <c r="FP141" s="37"/>
      <c r="FQ141" s="45"/>
      <c r="FR141" s="45"/>
      <c r="FS141" s="37"/>
      <c r="FT141" s="45"/>
      <c r="FU141" s="45"/>
      <c r="FV141" s="37"/>
      <c r="FW141" s="45"/>
      <c r="FX141" s="45"/>
      <c r="FY141" s="37"/>
      <c r="FZ141" s="45"/>
      <c r="GA141" s="45"/>
      <c r="GB141" s="37"/>
      <c r="GC141" s="45"/>
      <c r="GD141" s="45"/>
      <c r="GE141" s="37"/>
      <c r="GF141" s="45"/>
      <c r="GG141" s="45"/>
      <c r="GH141" s="37"/>
      <c r="GI141" s="45"/>
      <c r="GJ141" s="45"/>
      <c r="GK141" s="37"/>
      <c r="GL141" s="45"/>
      <c r="GM141" s="45"/>
      <c r="GN141" s="37"/>
      <c r="GO141" s="45"/>
      <c r="HE141" s="56"/>
    </row>
    <row r="142" ht="12.0" customHeight="1">
      <c r="A142" s="37"/>
      <c r="D142" s="37"/>
      <c r="E142" s="37"/>
      <c r="I142" s="37"/>
      <c r="M142" s="37"/>
      <c r="Q142" s="37"/>
      <c r="U142" s="37"/>
      <c r="Y142" s="37"/>
      <c r="AC142" s="37"/>
      <c r="AG142" s="37"/>
      <c r="AK142" s="37"/>
      <c r="AN142" s="37"/>
      <c r="AQ142" s="37"/>
      <c r="AT142" s="37"/>
      <c r="AW142" s="37"/>
      <c r="AZ142" s="37"/>
      <c r="BC142" s="37"/>
      <c r="BF142" s="37"/>
      <c r="BG142" s="45"/>
      <c r="BH142" s="45"/>
      <c r="BI142" s="37"/>
      <c r="BJ142" s="45"/>
      <c r="BK142" s="45"/>
      <c r="BL142" s="37"/>
      <c r="BM142" s="45"/>
      <c r="BN142" s="45"/>
      <c r="BO142" s="37"/>
      <c r="BP142" s="45"/>
      <c r="BQ142" s="45"/>
      <c r="BR142" s="37"/>
      <c r="BS142" s="45"/>
      <c r="BT142" s="45"/>
      <c r="BU142" s="37"/>
      <c r="BV142" s="45"/>
      <c r="BW142" s="45"/>
      <c r="BX142" s="37"/>
      <c r="BY142" s="45"/>
      <c r="BZ142" s="45"/>
      <c r="CA142" s="37"/>
      <c r="CB142" s="45"/>
      <c r="CC142" s="45"/>
      <c r="CD142" s="37"/>
      <c r="CE142" s="45"/>
      <c r="CF142" s="45"/>
      <c r="CG142" s="37"/>
      <c r="CH142" s="45"/>
      <c r="CI142" s="45"/>
      <c r="CJ142" s="37"/>
      <c r="CK142" s="45"/>
      <c r="CL142" s="45"/>
      <c r="CM142" s="37"/>
      <c r="CN142" s="45"/>
      <c r="CO142" s="45"/>
      <c r="CP142" s="37"/>
      <c r="CQ142" s="45"/>
      <c r="CR142" s="45"/>
      <c r="CS142" s="37"/>
      <c r="CT142" s="45"/>
      <c r="CU142" s="45"/>
      <c r="CV142" s="37"/>
      <c r="CW142" s="45"/>
      <c r="CX142" s="45"/>
      <c r="CY142" s="37"/>
      <c r="CZ142" s="45"/>
      <c r="DB142" s="37"/>
      <c r="DE142" s="37"/>
      <c r="DH142" s="37"/>
      <c r="DK142" s="37"/>
      <c r="DN142" s="37"/>
      <c r="DQ142" s="37"/>
      <c r="DT142" s="37"/>
      <c r="DW142" s="37"/>
      <c r="DZ142" s="37"/>
      <c r="EC142" s="37"/>
      <c r="EF142" s="37"/>
      <c r="EI142" s="37"/>
      <c r="EL142" s="37"/>
      <c r="EO142" s="37"/>
      <c r="ER142" s="37"/>
      <c r="EU142" s="37"/>
      <c r="EV142" s="45"/>
      <c r="EW142" s="45"/>
      <c r="EX142" s="37"/>
      <c r="EY142" s="45"/>
      <c r="EZ142" s="45"/>
      <c r="FA142" s="37"/>
      <c r="FB142" s="45"/>
      <c r="FC142" s="45"/>
      <c r="FD142" s="37"/>
      <c r="FE142" s="45"/>
      <c r="FF142" s="45"/>
      <c r="FG142" s="37"/>
      <c r="FH142" s="45"/>
      <c r="FI142" s="45"/>
      <c r="FJ142" s="37"/>
      <c r="FK142" s="45"/>
      <c r="FL142" s="45"/>
      <c r="FM142" s="37"/>
      <c r="FN142" s="45"/>
      <c r="FO142" s="45"/>
      <c r="FP142" s="37"/>
      <c r="FQ142" s="45"/>
      <c r="FR142" s="45"/>
      <c r="FS142" s="37"/>
      <c r="FT142" s="45"/>
      <c r="FU142" s="45"/>
      <c r="FV142" s="37"/>
      <c r="FW142" s="45"/>
      <c r="FX142" s="45"/>
      <c r="FY142" s="37"/>
      <c r="FZ142" s="45"/>
      <c r="GA142" s="45"/>
      <c r="GB142" s="37"/>
      <c r="GC142" s="45"/>
      <c r="GD142" s="45"/>
      <c r="GE142" s="37"/>
      <c r="GF142" s="45"/>
      <c r="GG142" s="45"/>
      <c r="GH142" s="37"/>
      <c r="GI142" s="45"/>
      <c r="GJ142" s="45"/>
      <c r="GK142" s="37"/>
      <c r="GL142" s="45"/>
      <c r="GM142" s="45"/>
      <c r="GN142" s="37"/>
      <c r="GO142" s="45"/>
      <c r="HE142" s="56"/>
    </row>
    <row r="143" ht="12.0" customHeight="1">
      <c r="A143" s="37"/>
      <c r="D143" s="37"/>
      <c r="E143" s="37"/>
      <c r="I143" s="37"/>
      <c r="M143" s="37"/>
      <c r="Q143" s="37"/>
      <c r="U143" s="37"/>
      <c r="Y143" s="37"/>
      <c r="AC143" s="37"/>
      <c r="AG143" s="37"/>
      <c r="AK143" s="37"/>
      <c r="AN143" s="37"/>
      <c r="AQ143" s="37"/>
      <c r="AT143" s="37"/>
      <c r="AW143" s="37"/>
      <c r="AZ143" s="37"/>
      <c r="BC143" s="37"/>
      <c r="BF143" s="37"/>
      <c r="BG143" s="45"/>
      <c r="BH143" s="45"/>
      <c r="BI143" s="37"/>
      <c r="BJ143" s="45"/>
      <c r="BK143" s="45"/>
      <c r="BL143" s="37"/>
      <c r="BM143" s="45"/>
      <c r="BN143" s="45"/>
      <c r="BO143" s="37"/>
      <c r="BP143" s="45"/>
      <c r="BQ143" s="45"/>
      <c r="BR143" s="37"/>
      <c r="BS143" s="45"/>
      <c r="BT143" s="45"/>
      <c r="BU143" s="37"/>
      <c r="BV143" s="45"/>
      <c r="BW143" s="45"/>
      <c r="BX143" s="37"/>
      <c r="BY143" s="45"/>
      <c r="BZ143" s="45"/>
      <c r="CA143" s="37"/>
      <c r="CB143" s="45"/>
      <c r="CC143" s="45"/>
      <c r="CD143" s="37"/>
      <c r="CE143" s="45"/>
      <c r="CF143" s="45"/>
      <c r="CG143" s="37"/>
      <c r="CH143" s="45"/>
      <c r="CI143" s="45"/>
      <c r="CJ143" s="37"/>
      <c r="CK143" s="45"/>
      <c r="CL143" s="45"/>
      <c r="CM143" s="37"/>
      <c r="CN143" s="45"/>
      <c r="CO143" s="45"/>
      <c r="CP143" s="37"/>
      <c r="CQ143" s="45"/>
      <c r="CR143" s="45"/>
      <c r="CS143" s="37"/>
      <c r="CT143" s="45"/>
      <c r="CU143" s="45"/>
      <c r="CV143" s="37"/>
      <c r="CW143" s="45"/>
      <c r="CX143" s="45"/>
      <c r="CY143" s="37"/>
      <c r="CZ143" s="45"/>
      <c r="DB143" s="37"/>
      <c r="DE143" s="37"/>
      <c r="DH143" s="37"/>
      <c r="DK143" s="37"/>
      <c r="DN143" s="37"/>
      <c r="DQ143" s="37"/>
      <c r="DT143" s="37"/>
      <c r="DW143" s="37"/>
      <c r="DZ143" s="37"/>
      <c r="EC143" s="37"/>
      <c r="EF143" s="37"/>
      <c r="EI143" s="37"/>
      <c r="EL143" s="37"/>
      <c r="EO143" s="37"/>
      <c r="ER143" s="37"/>
      <c r="EU143" s="37"/>
      <c r="EV143" s="45"/>
      <c r="EW143" s="45"/>
      <c r="EX143" s="37"/>
      <c r="EY143" s="45"/>
      <c r="EZ143" s="45"/>
      <c r="FA143" s="37"/>
      <c r="FB143" s="45"/>
      <c r="FC143" s="45"/>
      <c r="FD143" s="37"/>
      <c r="FE143" s="45"/>
      <c r="FF143" s="45"/>
      <c r="FG143" s="37"/>
      <c r="FH143" s="45"/>
      <c r="FI143" s="45"/>
      <c r="FJ143" s="37"/>
      <c r="FK143" s="45"/>
      <c r="FL143" s="45"/>
      <c r="FM143" s="37"/>
      <c r="FN143" s="45"/>
      <c r="FO143" s="45"/>
      <c r="FP143" s="37"/>
      <c r="FQ143" s="45"/>
      <c r="FR143" s="45"/>
      <c r="FS143" s="37"/>
      <c r="FT143" s="45"/>
      <c r="FU143" s="45"/>
      <c r="FV143" s="37"/>
      <c r="FW143" s="45"/>
      <c r="FX143" s="45"/>
      <c r="FY143" s="37"/>
      <c r="FZ143" s="45"/>
      <c r="GA143" s="45"/>
      <c r="GB143" s="37"/>
      <c r="GC143" s="45"/>
      <c r="GD143" s="45"/>
      <c r="GE143" s="37"/>
      <c r="GF143" s="45"/>
      <c r="GG143" s="45"/>
      <c r="GH143" s="37"/>
      <c r="GI143" s="45"/>
      <c r="GJ143" s="45"/>
      <c r="GK143" s="37"/>
      <c r="GL143" s="45"/>
      <c r="GM143" s="45"/>
      <c r="GN143" s="37"/>
      <c r="GO143" s="45"/>
      <c r="HE143" s="56"/>
    </row>
    <row r="144" ht="12.0" customHeight="1">
      <c r="A144" s="37"/>
      <c r="D144" s="37"/>
      <c r="E144" s="37"/>
      <c r="I144" s="37"/>
      <c r="M144" s="37"/>
      <c r="Q144" s="37"/>
      <c r="U144" s="37"/>
      <c r="Y144" s="37"/>
      <c r="AC144" s="37"/>
      <c r="AG144" s="37"/>
      <c r="AK144" s="37"/>
      <c r="AN144" s="37"/>
      <c r="AQ144" s="37"/>
      <c r="AT144" s="37"/>
      <c r="AW144" s="37"/>
      <c r="AZ144" s="37"/>
      <c r="BC144" s="37"/>
      <c r="BF144" s="37"/>
      <c r="BG144" s="45"/>
      <c r="BH144" s="45"/>
      <c r="BI144" s="37"/>
      <c r="BJ144" s="45"/>
      <c r="BK144" s="45"/>
      <c r="BL144" s="37"/>
      <c r="BM144" s="45"/>
      <c r="BN144" s="45"/>
      <c r="BO144" s="37"/>
      <c r="BP144" s="45"/>
      <c r="BQ144" s="45"/>
      <c r="BR144" s="37"/>
      <c r="BS144" s="45"/>
      <c r="BT144" s="45"/>
      <c r="BU144" s="37"/>
      <c r="BV144" s="45"/>
      <c r="BW144" s="45"/>
      <c r="BX144" s="37"/>
      <c r="BY144" s="45"/>
      <c r="BZ144" s="45"/>
      <c r="CA144" s="37"/>
      <c r="CB144" s="45"/>
      <c r="CC144" s="45"/>
      <c r="CD144" s="37"/>
      <c r="CE144" s="45"/>
      <c r="CF144" s="45"/>
      <c r="CG144" s="37"/>
      <c r="CH144" s="45"/>
      <c r="CI144" s="45"/>
      <c r="CJ144" s="37"/>
      <c r="CK144" s="45"/>
      <c r="CL144" s="45"/>
      <c r="CM144" s="37"/>
      <c r="CN144" s="45"/>
      <c r="CO144" s="45"/>
      <c r="CP144" s="37"/>
      <c r="CQ144" s="45"/>
      <c r="CR144" s="45"/>
      <c r="CS144" s="37"/>
      <c r="CT144" s="45"/>
      <c r="CU144" s="45"/>
      <c r="CV144" s="37"/>
      <c r="CW144" s="45"/>
      <c r="CX144" s="45"/>
      <c r="CY144" s="37"/>
      <c r="CZ144" s="45"/>
      <c r="DB144" s="37"/>
      <c r="DE144" s="37"/>
      <c r="DH144" s="37"/>
      <c r="DK144" s="37"/>
      <c r="DN144" s="37"/>
      <c r="DQ144" s="37"/>
      <c r="DT144" s="37"/>
      <c r="DW144" s="37"/>
      <c r="DZ144" s="37"/>
      <c r="EC144" s="37"/>
      <c r="EF144" s="37"/>
      <c r="EI144" s="37"/>
      <c r="EL144" s="37"/>
      <c r="EO144" s="37"/>
      <c r="ER144" s="37"/>
      <c r="EU144" s="37"/>
      <c r="EV144" s="45"/>
      <c r="EW144" s="45"/>
      <c r="EX144" s="37"/>
      <c r="EY144" s="45"/>
      <c r="EZ144" s="45"/>
      <c r="FA144" s="37"/>
      <c r="FB144" s="45"/>
      <c r="FC144" s="45"/>
      <c r="FD144" s="37"/>
      <c r="FE144" s="45"/>
      <c r="FF144" s="45"/>
      <c r="FG144" s="37"/>
      <c r="FH144" s="45"/>
      <c r="FI144" s="45"/>
      <c r="FJ144" s="37"/>
      <c r="FK144" s="45"/>
      <c r="FL144" s="45"/>
      <c r="FM144" s="37"/>
      <c r="FN144" s="45"/>
      <c r="FO144" s="45"/>
      <c r="FP144" s="37"/>
      <c r="FQ144" s="45"/>
      <c r="FR144" s="45"/>
      <c r="FS144" s="37"/>
      <c r="FT144" s="45"/>
      <c r="FU144" s="45"/>
      <c r="FV144" s="37"/>
      <c r="FW144" s="45"/>
      <c r="FX144" s="45"/>
      <c r="FY144" s="37"/>
      <c r="FZ144" s="45"/>
      <c r="GA144" s="45"/>
      <c r="GB144" s="37"/>
      <c r="GC144" s="45"/>
      <c r="GD144" s="45"/>
      <c r="GE144" s="37"/>
      <c r="GF144" s="45"/>
      <c r="GG144" s="45"/>
      <c r="GH144" s="37"/>
      <c r="GI144" s="45"/>
      <c r="GJ144" s="45"/>
      <c r="GK144" s="37"/>
      <c r="GL144" s="45"/>
      <c r="GM144" s="45"/>
      <c r="GN144" s="37"/>
      <c r="GO144" s="45"/>
      <c r="HE144" s="56"/>
    </row>
    <row r="145" ht="12.0" customHeight="1">
      <c r="A145" s="37"/>
      <c r="D145" s="37"/>
      <c r="E145" s="37"/>
      <c r="I145" s="37"/>
      <c r="M145" s="37"/>
      <c r="Q145" s="37"/>
      <c r="U145" s="37"/>
      <c r="Y145" s="37"/>
      <c r="AC145" s="37"/>
      <c r="AG145" s="37"/>
      <c r="AK145" s="37"/>
      <c r="AN145" s="37"/>
      <c r="AQ145" s="37"/>
      <c r="AT145" s="37"/>
      <c r="AW145" s="37"/>
      <c r="AZ145" s="37"/>
      <c r="BC145" s="37"/>
      <c r="BF145" s="37"/>
      <c r="BG145" s="45"/>
      <c r="BH145" s="45"/>
      <c r="BI145" s="37"/>
      <c r="BJ145" s="45"/>
      <c r="BK145" s="45"/>
      <c r="BL145" s="37"/>
      <c r="BM145" s="45"/>
      <c r="BN145" s="45"/>
      <c r="BO145" s="37"/>
      <c r="BP145" s="45"/>
      <c r="BQ145" s="45"/>
      <c r="BR145" s="37"/>
      <c r="BS145" s="45"/>
      <c r="BT145" s="45"/>
      <c r="BU145" s="37"/>
      <c r="BV145" s="45"/>
      <c r="BW145" s="45"/>
      <c r="BX145" s="37"/>
      <c r="BY145" s="45"/>
      <c r="BZ145" s="45"/>
      <c r="CA145" s="37"/>
      <c r="CB145" s="45"/>
      <c r="CC145" s="45"/>
      <c r="CD145" s="37"/>
      <c r="CE145" s="45"/>
      <c r="CF145" s="45"/>
      <c r="CG145" s="37"/>
      <c r="CH145" s="45"/>
      <c r="CI145" s="45"/>
      <c r="CJ145" s="37"/>
      <c r="CK145" s="45"/>
      <c r="CL145" s="45"/>
      <c r="CM145" s="37"/>
      <c r="CN145" s="45"/>
      <c r="CO145" s="45"/>
      <c r="CP145" s="37"/>
      <c r="CQ145" s="45"/>
      <c r="CR145" s="45"/>
      <c r="CS145" s="37"/>
      <c r="CT145" s="45"/>
      <c r="CU145" s="45"/>
      <c r="CV145" s="37"/>
      <c r="CW145" s="45"/>
      <c r="CX145" s="45"/>
      <c r="CY145" s="37"/>
      <c r="CZ145" s="45"/>
      <c r="DB145" s="37"/>
      <c r="DE145" s="37"/>
      <c r="DH145" s="37"/>
      <c r="DK145" s="37"/>
      <c r="DN145" s="37"/>
      <c r="DQ145" s="37"/>
      <c r="DT145" s="37"/>
      <c r="DW145" s="37"/>
      <c r="DZ145" s="37"/>
      <c r="EC145" s="37"/>
      <c r="EF145" s="37"/>
      <c r="EI145" s="37"/>
      <c r="EL145" s="37"/>
      <c r="EO145" s="37"/>
      <c r="ER145" s="37"/>
      <c r="EU145" s="37"/>
      <c r="EV145" s="45"/>
      <c r="EW145" s="45"/>
      <c r="EX145" s="37"/>
      <c r="EY145" s="45"/>
      <c r="EZ145" s="45"/>
      <c r="FA145" s="37"/>
      <c r="FB145" s="45"/>
      <c r="FC145" s="45"/>
      <c r="FD145" s="37"/>
      <c r="FE145" s="45"/>
      <c r="FF145" s="45"/>
      <c r="FG145" s="37"/>
      <c r="FH145" s="45"/>
      <c r="FI145" s="45"/>
      <c r="FJ145" s="37"/>
      <c r="FK145" s="45"/>
      <c r="FL145" s="45"/>
      <c r="FM145" s="37"/>
      <c r="FN145" s="45"/>
      <c r="FO145" s="45"/>
      <c r="FP145" s="37"/>
      <c r="FQ145" s="45"/>
      <c r="FR145" s="45"/>
      <c r="FS145" s="37"/>
      <c r="FT145" s="45"/>
      <c r="FU145" s="45"/>
      <c r="FV145" s="37"/>
      <c r="FW145" s="45"/>
      <c r="FX145" s="45"/>
      <c r="FY145" s="37"/>
      <c r="FZ145" s="45"/>
      <c r="GA145" s="45"/>
      <c r="GB145" s="37"/>
      <c r="GC145" s="45"/>
      <c r="GD145" s="45"/>
      <c r="GE145" s="37"/>
      <c r="GF145" s="45"/>
      <c r="GG145" s="45"/>
      <c r="GH145" s="37"/>
      <c r="GI145" s="45"/>
      <c r="GJ145" s="45"/>
      <c r="GK145" s="37"/>
      <c r="GL145" s="45"/>
      <c r="GM145" s="45"/>
      <c r="GN145" s="37"/>
      <c r="GO145" s="45"/>
      <c r="HE145" s="56"/>
    </row>
    <row r="146" ht="12.0" customHeight="1">
      <c r="A146" s="37"/>
      <c r="D146" s="37"/>
      <c r="E146" s="37"/>
      <c r="I146" s="37"/>
      <c r="M146" s="37"/>
      <c r="Q146" s="37"/>
      <c r="U146" s="37"/>
      <c r="Y146" s="37"/>
      <c r="AC146" s="37"/>
      <c r="AG146" s="37"/>
      <c r="AK146" s="37"/>
      <c r="AN146" s="37"/>
      <c r="AQ146" s="37"/>
      <c r="AT146" s="37"/>
      <c r="AW146" s="37"/>
      <c r="AZ146" s="37"/>
      <c r="BC146" s="37"/>
      <c r="BF146" s="37"/>
      <c r="BG146" s="45"/>
      <c r="BH146" s="45"/>
      <c r="BI146" s="37"/>
      <c r="BJ146" s="45"/>
      <c r="BK146" s="45"/>
      <c r="BL146" s="37"/>
      <c r="BM146" s="45"/>
      <c r="BN146" s="45"/>
      <c r="BO146" s="37"/>
      <c r="BP146" s="45"/>
      <c r="BQ146" s="45"/>
      <c r="BR146" s="37"/>
      <c r="BS146" s="45"/>
      <c r="BT146" s="45"/>
      <c r="BU146" s="37"/>
      <c r="BV146" s="45"/>
      <c r="BW146" s="45"/>
      <c r="BX146" s="37"/>
      <c r="BY146" s="45"/>
      <c r="BZ146" s="45"/>
      <c r="CA146" s="37"/>
      <c r="CB146" s="45"/>
      <c r="CC146" s="45"/>
      <c r="CD146" s="37"/>
      <c r="CE146" s="45"/>
      <c r="CF146" s="45"/>
      <c r="CG146" s="37"/>
      <c r="CH146" s="45"/>
      <c r="CI146" s="45"/>
      <c r="CJ146" s="37"/>
      <c r="CK146" s="45"/>
      <c r="CL146" s="45"/>
      <c r="CM146" s="37"/>
      <c r="CN146" s="45"/>
      <c r="CO146" s="45"/>
      <c r="CP146" s="37"/>
      <c r="CQ146" s="45"/>
      <c r="CR146" s="45"/>
      <c r="CS146" s="37"/>
      <c r="CT146" s="45"/>
      <c r="CU146" s="45"/>
      <c r="CV146" s="37"/>
      <c r="CW146" s="45"/>
      <c r="CX146" s="45"/>
      <c r="CY146" s="37"/>
      <c r="CZ146" s="45"/>
      <c r="DB146" s="37"/>
      <c r="DE146" s="37"/>
      <c r="DH146" s="37"/>
      <c r="DK146" s="37"/>
      <c r="DN146" s="37"/>
      <c r="DQ146" s="37"/>
      <c r="DT146" s="37"/>
      <c r="DW146" s="37"/>
      <c r="DZ146" s="37"/>
      <c r="EC146" s="37"/>
      <c r="EF146" s="37"/>
      <c r="EI146" s="37"/>
      <c r="EL146" s="37"/>
      <c r="EO146" s="37"/>
      <c r="ER146" s="37"/>
      <c r="EU146" s="37"/>
      <c r="EV146" s="45"/>
      <c r="EW146" s="45"/>
      <c r="EX146" s="37"/>
      <c r="EY146" s="45"/>
      <c r="EZ146" s="45"/>
      <c r="FA146" s="37"/>
      <c r="FB146" s="45"/>
      <c r="FC146" s="45"/>
      <c r="FD146" s="37"/>
      <c r="FE146" s="45"/>
      <c r="FF146" s="45"/>
      <c r="FG146" s="37"/>
      <c r="FH146" s="45"/>
      <c r="FI146" s="45"/>
      <c r="FJ146" s="37"/>
      <c r="FK146" s="45"/>
      <c r="FL146" s="45"/>
      <c r="FM146" s="37"/>
      <c r="FN146" s="45"/>
      <c r="FO146" s="45"/>
      <c r="FP146" s="37"/>
      <c r="FQ146" s="45"/>
      <c r="FR146" s="45"/>
      <c r="FS146" s="37"/>
      <c r="FT146" s="45"/>
      <c r="FU146" s="45"/>
      <c r="FV146" s="37"/>
      <c r="FW146" s="45"/>
      <c r="FX146" s="45"/>
      <c r="FY146" s="37"/>
      <c r="FZ146" s="45"/>
      <c r="GA146" s="45"/>
      <c r="GB146" s="37"/>
      <c r="GC146" s="45"/>
      <c r="GD146" s="45"/>
      <c r="GE146" s="37"/>
      <c r="GF146" s="45"/>
      <c r="GG146" s="45"/>
      <c r="GH146" s="37"/>
      <c r="GI146" s="45"/>
      <c r="GJ146" s="45"/>
      <c r="GK146" s="37"/>
      <c r="GL146" s="45"/>
      <c r="GM146" s="45"/>
      <c r="GN146" s="37"/>
      <c r="GO146" s="45"/>
      <c r="HE146" s="56"/>
    </row>
    <row r="147" ht="12.0" customHeight="1">
      <c r="A147" s="37"/>
      <c r="D147" s="37"/>
      <c r="E147" s="37"/>
      <c r="I147" s="37"/>
      <c r="M147" s="37"/>
      <c r="Q147" s="37"/>
      <c r="U147" s="37"/>
      <c r="Y147" s="37"/>
      <c r="AC147" s="37"/>
      <c r="AG147" s="37"/>
      <c r="AK147" s="37"/>
      <c r="AN147" s="37"/>
      <c r="AQ147" s="37"/>
      <c r="AT147" s="37"/>
      <c r="AW147" s="37"/>
      <c r="AZ147" s="37"/>
      <c r="BC147" s="37"/>
      <c r="BF147" s="37"/>
      <c r="BG147" s="45"/>
      <c r="BH147" s="45"/>
      <c r="BI147" s="37"/>
      <c r="BJ147" s="45"/>
      <c r="BK147" s="45"/>
      <c r="BL147" s="37"/>
      <c r="BM147" s="45"/>
      <c r="BN147" s="45"/>
      <c r="BO147" s="37"/>
      <c r="BP147" s="45"/>
      <c r="BQ147" s="45"/>
      <c r="BR147" s="37"/>
      <c r="BS147" s="45"/>
      <c r="BT147" s="45"/>
      <c r="BU147" s="37"/>
      <c r="BV147" s="45"/>
      <c r="BW147" s="45"/>
      <c r="BX147" s="37"/>
      <c r="BY147" s="45"/>
      <c r="BZ147" s="45"/>
      <c r="CA147" s="37"/>
      <c r="CB147" s="45"/>
      <c r="CC147" s="45"/>
      <c r="CD147" s="37"/>
      <c r="CE147" s="45"/>
      <c r="CF147" s="45"/>
      <c r="CG147" s="37"/>
      <c r="CH147" s="45"/>
      <c r="CI147" s="45"/>
      <c r="CJ147" s="37"/>
      <c r="CK147" s="45"/>
      <c r="CL147" s="45"/>
      <c r="CM147" s="37"/>
      <c r="CN147" s="45"/>
      <c r="CO147" s="45"/>
      <c r="CP147" s="37"/>
      <c r="CQ147" s="45"/>
      <c r="CR147" s="45"/>
      <c r="CS147" s="37"/>
      <c r="CT147" s="45"/>
      <c r="CU147" s="45"/>
      <c r="CV147" s="37"/>
      <c r="CW147" s="45"/>
      <c r="CX147" s="45"/>
      <c r="CY147" s="37"/>
      <c r="CZ147" s="45"/>
      <c r="DB147" s="37"/>
      <c r="DE147" s="37"/>
      <c r="DH147" s="37"/>
      <c r="DK147" s="37"/>
      <c r="DN147" s="37"/>
      <c r="DQ147" s="37"/>
      <c r="DT147" s="37"/>
      <c r="DW147" s="37"/>
      <c r="DZ147" s="37"/>
      <c r="EC147" s="37"/>
      <c r="EF147" s="37"/>
      <c r="EI147" s="37"/>
      <c r="EL147" s="37"/>
      <c r="EO147" s="37"/>
      <c r="ER147" s="37"/>
      <c r="EU147" s="37"/>
      <c r="EV147" s="45"/>
      <c r="EW147" s="45"/>
      <c r="EX147" s="37"/>
      <c r="EY147" s="45"/>
      <c r="EZ147" s="45"/>
      <c r="FA147" s="37"/>
      <c r="FB147" s="45"/>
      <c r="FC147" s="45"/>
      <c r="FD147" s="37"/>
      <c r="FE147" s="45"/>
      <c r="FF147" s="45"/>
      <c r="FG147" s="37"/>
      <c r="FH147" s="45"/>
      <c r="FI147" s="45"/>
      <c r="FJ147" s="37"/>
      <c r="FK147" s="45"/>
      <c r="FL147" s="45"/>
      <c r="FM147" s="37"/>
      <c r="FN147" s="45"/>
      <c r="FO147" s="45"/>
      <c r="FP147" s="37"/>
      <c r="FQ147" s="45"/>
      <c r="FR147" s="45"/>
      <c r="FS147" s="37"/>
      <c r="FT147" s="45"/>
      <c r="FU147" s="45"/>
      <c r="FV147" s="37"/>
      <c r="FW147" s="45"/>
      <c r="FX147" s="45"/>
      <c r="FY147" s="37"/>
      <c r="FZ147" s="45"/>
      <c r="GA147" s="45"/>
      <c r="GB147" s="37"/>
      <c r="GC147" s="45"/>
      <c r="GD147" s="45"/>
      <c r="GE147" s="37"/>
      <c r="GF147" s="45"/>
      <c r="GG147" s="45"/>
      <c r="GH147" s="37"/>
      <c r="GI147" s="45"/>
      <c r="GJ147" s="45"/>
      <c r="GK147" s="37"/>
      <c r="GL147" s="45"/>
      <c r="GM147" s="45"/>
      <c r="GN147" s="37"/>
      <c r="GO147" s="45"/>
      <c r="HE147" s="56"/>
    </row>
    <row r="148" ht="12.0" customHeight="1">
      <c r="A148" s="37"/>
      <c r="D148" s="37"/>
      <c r="E148" s="37"/>
      <c r="I148" s="37"/>
      <c r="M148" s="37"/>
      <c r="Q148" s="37"/>
      <c r="U148" s="37"/>
      <c r="Y148" s="37"/>
      <c r="AC148" s="37"/>
      <c r="AG148" s="37"/>
      <c r="AK148" s="37"/>
      <c r="AN148" s="37"/>
      <c r="AQ148" s="37"/>
      <c r="AT148" s="37"/>
      <c r="AW148" s="37"/>
      <c r="AZ148" s="37"/>
      <c r="BC148" s="37"/>
      <c r="BF148" s="37"/>
      <c r="BG148" s="45"/>
      <c r="BH148" s="45"/>
      <c r="BI148" s="37"/>
      <c r="BJ148" s="45"/>
      <c r="BK148" s="45"/>
      <c r="BL148" s="37"/>
      <c r="BM148" s="45"/>
      <c r="BN148" s="45"/>
      <c r="BO148" s="37"/>
      <c r="BP148" s="45"/>
      <c r="BQ148" s="45"/>
      <c r="BR148" s="37"/>
      <c r="BS148" s="45"/>
      <c r="BT148" s="45"/>
      <c r="BU148" s="37"/>
      <c r="BV148" s="45"/>
      <c r="BW148" s="45"/>
      <c r="BX148" s="37"/>
      <c r="BY148" s="45"/>
      <c r="BZ148" s="45"/>
      <c r="CA148" s="37"/>
      <c r="CB148" s="45"/>
      <c r="CC148" s="45"/>
      <c r="CD148" s="37"/>
      <c r="CE148" s="45"/>
      <c r="CF148" s="45"/>
      <c r="CG148" s="37"/>
      <c r="CH148" s="45"/>
      <c r="CI148" s="45"/>
      <c r="CJ148" s="37"/>
      <c r="CK148" s="45"/>
      <c r="CL148" s="45"/>
      <c r="CM148" s="37"/>
      <c r="CN148" s="45"/>
      <c r="CO148" s="45"/>
      <c r="CP148" s="37"/>
      <c r="CQ148" s="45"/>
      <c r="CR148" s="45"/>
      <c r="CS148" s="37"/>
      <c r="CT148" s="45"/>
      <c r="CU148" s="45"/>
      <c r="CV148" s="37"/>
      <c r="CW148" s="45"/>
      <c r="CX148" s="45"/>
      <c r="CY148" s="37"/>
      <c r="CZ148" s="45"/>
      <c r="DB148" s="37"/>
      <c r="DE148" s="37"/>
      <c r="DH148" s="37"/>
      <c r="DK148" s="37"/>
      <c r="DN148" s="37"/>
      <c r="DQ148" s="37"/>
      <c r="DT148" s="37"/>
      <c r="DW148" s="37"/>
      <c r="DZ148" s="37"/>
      <c r="EC148" s="37"/>
      <c r="EF148" s="37"/>
      <c r="EI148" s="37"/>
      <c r="EL148" s="37"/>
      <c r="EO148" s="37"/>
      <c r="ER148" s="37"/>
      <c r="EU148" s="37"/>
      <c r="EV148" s="45"/>
      <c r="EW148" s="45"/>
      <c r="EX148" s="37"/>
      <c r="EY148" s="45"/>
      <c r="EZ148" s="45"/>
      <c r="FA148" s="37"/>
      <c r="FB148" s="45"/>
      <c r="FC148" s="45"/>
      <c r="FD148" s="37"/>
      <c r="FE148" s="45"/>
      <c r="FF148" s="45"/>
      <c r="FG148" s="37"/>
      <c r="FH148" s="45"/>
      <c r="FI148" s="45"/>
      <c r="FJ148" s="37"/>
      <c r="FK148" s="45"/>
      <c r="FL148" s="45"/>
      <c r="FM148" s="37"/>
      <c r="FN148" s="45"/>
      <c r="FO148" s="45"/>
      <c r="FP148" s="37"/>
      <c r="FQ148" s="45"/>
      <c r="FR148" s="45"/>
      <c r="FS148" s="37"/>
      <c r="FT148" s="45"/>
      <c r="FU148" s="45"/>
      <c r="FV148" s="37"/>
      <c r="FW148" s="45"/>
      <c r="FX148" s="45"/>
      <c r="FY148" s="37"/>
      <c r="FZ148" s="45"/>
      <c r="GA148" s="45"/>
      <c r="GB148" s="37"/>
      <c r="GC148" s="45"/>
      <c r="GD148" s="45"/>
      <c r="GE148" s="37"/>
      <c r="GF148" s="45"/>
      <c r="GG148" s="45"/>
      <c r="GH148" s="37"/>
      <c r="GI148" s="45"/>
      <c r="GJ148" s="45"/>
      <c r="GK148" s="37"/>
      <c r="GL148" s="45"/>
      <c r="GM148" s="45"/>
      <c r="GN148" s="37"/>
      <c r="GO148" s="45"/>
      <c r="HE148" s="56"/>
    </row>
    <row r="149" ht="12.0" customHeight="1">
      <c r="A149" s="37"/>
      <c r="D149" s="37"/>
      <c r="E149" s="37"/>
      <c r="I149" s="37"/>
      <c r="M149" s="37"/>
      <c r="Q149" s="37"/>
      <c r="U149" s="37"/>
      <c r="Y149" s="37"/>
      <c r="AC149" s="37"/>
      <c r="AG149" s="37"/>
      <c r="AK149" s="37"/>
      <c r="AN149" s="37"/>
      <c r="AQ149" s="37"/>
      <c r="AT149" s="37"/>
      <c r="AW149" s="37"/>
      <c r="AZ149" s="37"/>
      <c r="BC149" s="37"/>
      <c r="BF149" s="37"/>
      <c r="BG149" s="45"/>
      <c r="BH149" s="45"/>
      <c r="BI149" s="37"/>
      <c r="BJ149" s="45"/>
      <c r="BK149" s="45"/>
      <c r="BL149" s="37"/>
      <c r="BM149" s="45"/>
      <c r="BN149" s="45"/>
      <c r="BO149" s="37"/>
      <c r="BP149" s="45"/>
      <c r="BQ149" s="45"/>
      <c r="BR149" s="37"/>
      <c r="BS149" s="45"/>
      <c r="BT149" s="45"/>
      <c r="BU149" s="37"/>
      <c r="BV149" s="45"/>
      <c r="BW149" s="45"/>
      <c r="BX149" s="37"/>
      <c r="BY149" s="45"/>
      <c r="BZ149" s="45"/>
      <c r="CA149" s="37"/>
      <c r="CB149" s="45"/>
      <c r="CC149" s="45"/>
      <c r="CD149" s="37"/>
      <c r="CE149" s="45"/>
      <c r="CF149" s="45"/>
      <c r="CG149" s="37"/>
      <c r="CH149" s="45"/>
      <c r="CI149" s="45"/>
      <c r="CJ149" s="37"/>
      <c r="CK149" s="45"/>
      <c r="CL149" s="45"/>
      <c r="CM149" s="37"/>
      <c r="CN149" s="45"/>
      <c r="CO149" s="45"/>
      <c r="CP149" s="37"/>
      <c r="CQ149" s="45"/>
      <c r="CR149" s="45"/>
      <c r="CS149" s="37"/>
      <c r="CT149" s="45"/>
      <c r="CU149" s="45"/>
      <c r="CV149" s="37"/>
      <c r="CW149" s="45"/>
      <c r="CX149" s="45"/>
      <c r="CY149" s="37"/>
      <c r="CZ149" s="45"/>
      <c r="DB149" s="37"/>
      <c r="DE149" s="37"/>
      <c r="DH149" s="37"/>
      <c r="DK149" s="37"/>
      <c r="DN149" s="37"/>
      <c r="DQ149" s="37"/>
      <c r="DT149" s="37"/>
      <c r="DW149" s="37"/>
      <c r="DZ149" s="37"/>
      <c r="EC149" s="37"/>
      <c r="EF149" s="37"/>
      <c r="EI149" s="37"/>
      <c r="EL149" s="37"/>
      <c r="EO149" s="37"/>
      <c r="ER149" s="37"/>
      <c r="EU149" s="37"/>
      <c r="EV149" s="45"/>
      <c r="EW149" s="45"/>
      <c r="EX149" s="37"/>
      <c r="EY149" s="45"/>
      <c r="EZ149" s="45"/>
      <c r="FA149" s="37"/>
      <c r="FB149" s="45"/>
      <c r="FC149" s="45"/>
      <c r="FD149" s="37"/>
      <c r="FE149" s="45"/>
      <c r="FF149" s="45"/>
      <c r="FG149" s="37"/>
      <c r="FH149" s="45"/>
      <c r="FI149" s="45"/>
      <c r="FJ149" s="37"/>
      <c r="FK149" s="45"/>
      <c r="FL149" s="45"/>
      <c r="FM149" s="37"/>
      <c r="FN149" s="45"/>
      <c r="FO149" s="45"/>
      <c r="FP149" s="37"/>
      <c r="FQ149" s="45"/>
      <c r="FR149" s="45"/>
      <c r="FS149" s="37"/>
      <c r="FT149" s="45"/>
      <c r="FU149" s="45"/>
      <c r="FV149" s="37"/>
      <c r="FW149" s="45"/>
      <c r="FX149" s="45"/>
      <c r="FY149" s="37"/>
      <c r="FZ149" s="45"/>
      <c r="GA149" s="45"/>
      <c r="GB149" s="37"/>
      <c r="GC149" s="45"/>
      <c r="GD149" s="45"/>
      <c r="GE149" s="37"/>
      <c r="GF149" s="45"/>
      <c r="GG149" s="45"/>
      <c r="GH149" s="37"/>
      <c r="GI149" s="45"/>
      <c r="GJ149" s="45"/>
      <c r="GK149" s="37"/>
      <c r="GL149" s="45"/>
      <c r="GM149" s="45"/>
      <c r="GN149" s="37"/>
      <c r="GO149" s="45"/>
      <c r="HE149" s="56"/>
    </row>
    <row r="150" ht="12.0" customHeight="1">
      <c r="A150" s="37"/>
      <c r="D150" s="37"/>
      <c r="E150" s="37"/>
      <c r="I150" s="37"/>
      <c r="M150" s="37"/>
      <c r="Q150" s="37"/>
      <c r="U150" s="37"/>
      <c r="Y150" s="37"/>
      <c r="AC150" s="37"/>
      <c r="AG150" s="37"/>
      <c r="AK150" s="37"/>
      <c r="AN150" s="37"/>
      <c r="AQ150" s="37"/>
      <c r="AT150" s="37"/>
      <c r="AW150" s="37"/>
      <c r="AZ150" s="37"/>
      <c r="BC150" s="37"/>
      <c r="BF150" s="37"/>
      <c r="BG150" s="45"/>
      <c r="BH150" s="45"/>
      <c r="BI150" s="37"/>
      <c r="BJ150" s="45"/>
      <c r="BK150" s="45"/>
      <c r="BL150" s="37"/>
      <c r="BM150" s="45"/>
      <c r="BN150" s="45"/>
      <c r="BO150" s="37"/>
      <c r="BP150" s="45"/>
      <c r="BQ150" s="45"/>
      <c r="BR150" s="37"/>
      <c r="BS150" s="45"/>
      <c r="BT150" s="45"/>
      <c r="BU150" s="37"/>
      <c r="BV150" s="45"/>
      <c r="BW150" s="45"/>
      <c r="BX150" s="37"/>
      <c r="BY150" s="45"/>
      <c r="BZ150" s="45"/>
      <c r="CA150" s="37"/>
      <c r="CB150" s="45"/>
      <c r="CC150" s="45"/>
      <c r="CD150" s="37"/>
      <c r="CE150" s="45"/>
      <c r="CF150" s="45"/>
      <c r="CG150" s="37"/>
      <c r="CH150" s="45"/>
      <c r="CI150" s="45"/>
      <c r="CJ150" s="37"/>
      <c r="CK150" s="45"/>
      <c r="CL150" s="45"/>
      <c r="CM150" s="37"/>
      <c r="CN150" s="45"/>
      <c r="CO150" s="45"/>
      <c r="CP150" s="37"/>
      <c r="CQ150" s="45"/>
      <c r="CR150" s="45"/>
      <c r="CS150" s="37"/>
      <c r="CT150" s="45"/>
      <c r="CU150" s="45"/>
      <c r="CV150" s="37"/>
      <c r="CW150" s="45"/>
      <c r="CX150" s="45"/>
      <c r="CY150" s="37"/>
      <c r="CZ150" s="45"/>
      <c r="DB150" s="37"/>
      <c r="DE150" s="37"/>
      <c r="DH150" s="37"/>
      <c r="DK150" s="37"/>
      <c r="DN150" s="37"/>
      <c r="DQ150" s="37"/>
      <c r="DT150" s="37"/>
      <c r="DW150" s="37"/>
      <c r="DZ150" s="37"/>
      <c r="EC150" s="37"/>
      <c r="EF150" s="37"/>
      <c r="EI150" s="37"/>
      <c r="EL150" s="37"/>
      <c r="EO150" s="37"/>
      <c r="ER150" s="37"/>
      <c r="EU150" s="37"/>
      <c r="EV150" s="45"/>
      <c r="EW150" s="45"/>
      <c r="EX150" s="37"/>
      <c r="EY150" s="45"/>
      <c r="EZ150" s="45"/>
      <c r="FA150" s="37"/>
      <c r="FB150" s="45"/>
      <c r="FC150" s="45"/>
      <c r="FD150" s="37"/>
      <c r="FE150" s="45"/>
      <c r="FF150" s="45"/>
      <c r="FG150" s="37"/>
      <c r="FH150" s="45"/>
      <c r="FI150" s="45"/>
      <c r="FJ150" s="37"/>
      <c r="FK150" s="45"/>
      <c r="FL150" s="45"/>
      <c r="FM150" s="37"/>
      <c r="FN150" s="45"/>
      <c r="FO150" s="45"/>
      <c r="FP150" s="37"/>
      <c r="FQ150" s="45"/>
      <c r="FR150" s="45"/>
      <c r="FS150" s="37"/>
      <c r="FT150" s="45"/>
      <c r="FU150" s="45"/>
      <c r="FV150" s="37"/>
      <c r="FW150" s="45"/>
      <c r="FX150" s="45"/>
      <c r="FY150" s="37"/>
      <c r="FZ150" s="45"/>
      <c r="GA150" s="45"/>
      <c r="GB150" s="37"/>
      <c r="GC150" s="45"/>
      <c r="GD150" s="45"/>
      <c r="GE150" s="37"/>
      <c r="GF150" s="45"/>
      <c r="GG150" s="45"/>
      <c r="GH150" s="37"/>
      <c r="GI150" s="45"/>
      <c r="GJ150" s="45"/>
      <c r="GK150" s="37"/>
      <c r="GL150" s="45"/>
      <c r="GM150" s="45"/>
      <c r="GN150" s="37"/>
      <c r="GO150" s="45"/>
      <c r="HE150" s="56"/>
    </row>
    <row r="151" ht="12.0" customHeight="1">
      <c r="A151" s="37"/>
      <c r="D151" s="37"/>
      <c r="E151" s="37"/>
      <c r="I151" s="37"/>
      <c r="M151" s="37"/>
      <c r="Q151" s="37"/>
      <c r="U151" s="37"/>
      <c r="Y151" s="37"/>
      <c r="AC151" s="37"/>
      <c r="AG151" s="37"/>
      <c r="AK151" s="37"/>
      <c r="AN151" s="37"/>
      <c r="AQ151" s="37"/>
      <c r="AT151" s="37"/>
      <c r="AW151" s="37"/>
      <c r="AZ151" s="37"/>
      <c r="BC151" s="37"/>
      <c r="BF151" s="37"/>
      <c r="BG151" s="45"/>
      <c r="BH151" s="45"/>
      <c r="BI151" s="37"/>
      <c r="BJ151" s="45"/>
      <c r="BK151" s="45"/>
      <c r="BL151" s="37"/>
      <c r="BM151" s="45"/>
      <c r="BN151" s="45"/>
      <c r="BO151" s="37"/>
      <c r="BP151" s="45"/>
      <c r="BQ151" s="45"/>
      <c r="BR151" s="37"/>
      <c r="BS151" s="45"/>
      <c r="BT151" s="45"/>
      <c r="BU151" s="37"/>
      <c r="BV151" s="45"/>
      <c r="BW151" s="45"/>
      <c r="BX151" s="37"/>
      <c r="BY151" s="45"/>
      <c r="BZ151" s="45"/>
      <c r="CA151" s="37"/>
      <c r="CB151" s="45"/>
      <c r="CC151" s="45"/>
      <c r="CD151" s="37"/>
      <c r="CE151" s="45"/>
      <c r="CF151" s="45"/>
      <c r="CG151" s="37"/>
      <c r="CH151" s="45"/>
      <c r="CI151" s="45"/>
      <c r="CJ151" s="37"/>
      <c r="CK151" s="45"/>
      <c r="CL151" s="45"/>
      <c r="CM151" s="37"/>
      <c r="CN151" s="45"/>
      <c r="CO151" s="45"/>
      <c r="CP151" s="37"/>
      <c r="CQ151" s="45"/>
      <c r="CR151" s="45"/>
      <c r="CS151" s="37"/>
      <c r="CT151" s="45"/>
      <c r="CU151" s="45"/>
      <c r="CV151" s="37"/>
      <c r="CW151" s="45"/>
      <c r="CX151" s="45"/>
      <c r="CY151" s="37"/>
      <c r="CZ151" s="45"/>
      <c r="DB151" s="37"/>
      <c r="DE151" s="37"/>
      <c r="DH151" s="37"/>
      <c r="DK151" s="37"/>
      <c r="DN151" s="37"/>
      <c r="DQ151" s="37"/>
      <c r="DT151" s="37"/>
      <c r="DW151" s="37"/>
      <c r="DZ151" s="37"/>
      <c r="EC151" s="37"/>
      <c r="EF151" s="37"/>
      <c r="EI151" s="37"/>
      <c r="EL151" s="37"/>
      <c r="EO151" s="37"/>
      <c r="ER151" s="37"/>
      <c r="EU151" s="37"/>
      <c r="EV151" s="45"/>
      <c r="EW151" s="45"/>
      <c r="EX151" s="37"/>
      <c r="EY151" s="45"/>
      <c r="EZ151" s="45"/>
      <c r="FA151" s="37"/>
      <c r="FB151" s="45"/>
      <c r="FC151" s="45"/>
      <c r="FD151" s="37"/>
      <c r="FE151" s="45"/>
      <c r="FF151" s="45"/>
      <c r="FG151" s="37"/>
      <c r="FH151" s="45"/>
      <c r="FI151" s="45"/>
      <c r="FJ151" s="37"/>
      <c r="FK151" s="45"/>
      <c r="FL151" s="45"/>
      <c r="FM151" s="37"/>
      <c r="FN151" s="45"/>
      <c r="FO151" s="45"/>
      <c r="FP151" s="37"/>
      <c r="FQ151" s="45"/>
      <c r="FR151" s="45"/>
      <c r="FS151" s="37"/>
      <c r="FT151" s="45"/>
      <c r="FU151" s="45"/>
      <c r="FV151" s="37"/>
      <c r="FW151" s="45"/>
      <c r="FX151" s="45"/>
      <c r="FY151" s="37"/>
      <c r="FZ151" s="45"/>
      <c r="GA151" s="45"/>
      <c r="GB151" s="37"/>
      <c r="GC151" s="45"/>
      <c r="GD151" s="45"/>
      <c r="GE151" s="37"/>
      <c r="GF151" s="45"/>
      <c r="GG151" s="45"/>
      <c r="GH151" s="37"/>
      <c r="GI151" s="45"/>
      <c r="GJ151" s="45"/>
      <c r="GK151" s="37"/>
      <c r="GL151" s="45"/>
      <c r="GM151" s="45"/>
      <c r="GN151" s="37"/>
      <c r="GO151" s="45"/>
      <c r="HE151" s="56"/>
    </row>
    <row r="152" ht="12.0" customHeight="1">
      <c r="A152" s="37"/>
      <c r="D152" s="37"/>
      <c r="E152" s="37"/>
      <c r="I152" s="37"/>
      <c r="M152" s="37"/>
      <c r="Q152" s="37"/>
      <c r="U152" s="37"/>
      <c r="Y152" s="37"/>
      <c r="AC152" s="37"/>
      <c r="AG152" s="37"/>
      <c r="AK152" s="37"/>
      <c r="AN152" s="37"/>
      <c r="AQ152" s="37"/>
      <c r="AT152" s="37"/>
      <c r="AW152" s="37"/>
      <c r="AZ152" s="37"/>
      <c r="BC152" s="37"/>
      <c r="BF152" s="37"/>
      <c r="BG152" s="45"/>
      <c r="BH152" s="45"/>
      <c r="BI152" s="37"/>
      <c r="BJ152" s="45"/>
      <c r="BK152" s="45"/>
      <c r="BL152" s="37"/>
      <c r="BM152" s="45"/>
      <c r="BN152" s="45"/>
      <c r="BO152" s="37"/>
      <c r="BP152" s="45"/>
      <c r="BQ152" s="45"/>
      <c r="BR152" s="37"/>
      <c r="BS152" s="45"/>
      <c r="BT152" s="45"/>
      <c r="BU152" s="37"/>
      <c r="BV152" s="45"/>
      <c r="BW152" s="45"/>
      <c r="BX152" s="37"/>
      <c r="BY152" s="45"/>
      <c r="BZ152" s="45"/>
      <c r="CA152" s="37"/>
      <c r="CB152" s="45"/>
      <c r="CC152" s="45"/>
      <c r="CD152" s="37"/>
      <c r="CE152" s="45"/>
      <c r="CF152" s="45"/>
      <c r="CG152" s="37"/>
      <c r="CH152" s="45"/>
      <c r="CI152" s="45"/>
      <c r="CJ152" s="37"/>
      <c r="CK152" s="45"/>
      <c r="CL152" s="45"/>
      <c r="CM152" s="37"/>
      <c r="CN152" s="45"/>
      <c r="CO152" s="45"/>
      <c r="CP152" s="37"/>
      <c r="CQ152" s="45"/>
      <c r="CR152" s="45"/>
      <c r="CS152" s="37"/>
      <c r="CT152" s="45"/>
      <c r="CU152" s="45"/>
      <c r="CV152" s="37"/>
      <c r="CW152" s="45"/>
      <c r="CX152" s="45"/>
      <c r="CY152" s="37"/>
      <c r="CZ152" s="45"/>
      <c r="DB152" s="37"/>
      <c r="DE152" s="37"/>
      <c r="DH152" s="37"/>
      <c r="DK152" s="37"/>
      <c r="DN152" s="37"/>
      <c r="DQ152" s="37"/>
      <c r="DT152" s="37"/>
      <c r="DW152" s="37"/>
      <c r="DZ152" s="37"/>
      <c r="EC152" s="37"/>
      <c r="EF152" s="37"/>
      <c r="EI152" s="37"/>
      <c r="EL152" s="37"/>
      <c r="EO152" s="37"/>
      <c r="ER152" s="37"/>
      <c r="EU152" s="37"/>
      <c r="EV152" s="45"/>
      <c r="EW152" s="45"/>
      <c r="EX152" s="37"/>
      <c r="EY152" s="45"/>
      <c r="EZ152" s="45"/>
      <c r="FA152" s="37"/>
      <c r="FB152" s="45"/>
      <c r="FC152" s="45"/>
      <c r="FD152" s="37"/>
      <c r="FE152" s="45"/>
      <c r="FF152" s="45"/>
      <c r="FG152" s="37"/>
      <c r="FH152" s="45"/>
      <c r="FI152" s="45"/>
      <c r="FJ152" s="37"/>
      <c r="FK152" s="45"/>
      <c r="FL152" s="45"/>
      <c r="FM152" s="37"/>
      <c r="FN152" s="45"/>
      <c r="FO152" s="45"/>
      <c r="FP152" s="37"/>
      <c r="FQ152" s="45"/>
      <c r="FR152" s="45"/>
      <c r="FS152" s="37"/>
      <c r="FT152" s="45"/>
      <c r="FU152" s="45"/>
      <c r="FV152" s="37"/>
      <c r="FW152" s="45"/>
      <c r="FX152" s="45"/>
      <c r="FY152" s="37"/>
      <c r="FZ152" s="45"/>
      <c r="GA152" s="45"/>
      <c r="GB152" s="37"/>
      <c r="GC152" s="45"/>
      <c r="GD152" s="45"/>
      <c r="GE152" s="37"/>
      <c r="GF152" s="45"/>
      <c r="GG152" s="45"/>
      <c r="GH152" s="37"/>
      <c r="GI152" s="45"/>
      <c r="GJ152" s="45"/>
      <c r="GK152" s="37"/>
      <c r="GL152" s="45"/>
      <c r="GM152" s="45"/>
      <c r="GN152" s="37"/>
      <c r="GO152" s="45"/>
      <c r="HE152" s="56"/>
    </row>
    <row r="153" ht="12.0" customHeight="1">
      <c r="A153" s="37"/>
      <c r="D153" s="37"/>
      <c r="E153" s="37"/>
      <c r="I153" s="37"/>
      <c r="M153" s="37"/>
      <c r="Q153" s="37"/>
      <c r="U153" s="37"/>
      <c r="Y153" s="37"/>
      <c r="AC153" s="37"/>
      <c r="AG153" s="37"/>
      <c r="AK153" s="37"/>
      <c r="AN153" s="37"/>
      <c r="AQ153" s="37"/>
      <c r="AT153" s="37"/>
      <c r="AW153" s="37"/>
      <c r="AZ153" s="37"/>
      <c r="BC153" s="37"/>
      <c r="BF153" s="37"/>
      <c r="BG153" s="45"/>
      <c r="BH153" s="45"/>
      <c r="BI153" s="37"/>
      <c r="BJ153" s="45"/>
      <c r="BK153" s="45"/>
      <c r="BL153" s="37"/>
      <c r="BM153" s="45"/>
      <c r="BN153" s="45"/>
      <c r="BO153" s="37"/>
      <c r="BP153" s="45"/>
      <c r="BQ153" s="45"/>
      <c r="BR153" s="37"/>
      <c r="BS153" s="45"/>
      <c r="BT153" s="45"/>
      <c r="BU153" s="37"/>
      <c r="BV153" s="45"/>
      <c r="BW153" s="45"/>
      <c r="BX153" s="37"/>
      <c r="BY153" s="45"/>
      <c r="BZ153" s="45"/>
      <c r="CA153" s="37"/>
      <c r="CB153" s="45"/>
      <c r="CC153" s="45"/>
      <c r="CD153" s="37"/>
      <c r="CE153" s="45"/>
      <c r="CF153" s="45"/>
      <c r="CG153" s="37"/>
      <c r="CH153" s="45"/>
      <c r="CI153" s="45"/>
      <c r="CJ153" s="37"/>
      <c r="CK153" s="45"/>
      <c r="CL153" s="45"/>
      <c r="CM153" s="37"/>
      <c r="CN153" s="45"/>
      <c r="CO153" s="45"/>
      <c r="CP153" s="37"/>
      <c r="CQ153" s="45"/>
      <c r="CR153" s="45"/>
      <c r="CS153" s="37"/>
      <c r="CT153" s="45"/>
      <c r="CU153" s="45"/>
      <c r="CV153" s="37"/>
      <c r="CW153" s="45"/>
      <c r="CX153" s="45"/>
      <c r="CY153" s="37"/>
      <c r="CZ153" s="45"/>
      <c r="DB153" s="37"/>
      <c r="DE153" s="37"/>
      <c r="DH153" s="37"/>
      <c r="DK153" s="37"/>
      <c r="DN153" s="37"/>
      <c r="DQ153" s="37"/>
      <c r="DT153" s="37"/>
      <c r="DW153" s="37"/>
      <c r="DZ153" s="37"/>
      <c r="EC153" s="37"/>
      <c r="EF153" s="37"/>
      <c r="EI153" s="37"/>
      <c r="EL153" s="37"/>
      <c r="EO153" s="37"/>
      <c r="ER153" s="37"/>
      <c r="EU153" s="37"/>
      <c r="EV153" s="45"/>
      <c r="EW153" s="45"/>
      <c r="EX153" s="37"/>
      <c r="EY153" s="45"/>
      <c r="EZ153" s="45"/>
      <c r="FA153" s="37"/>
      <c r="FB153" s="45"/>
      <c r="FC153" s="45"/>
      <c r="FD153" s="37"/>
      <c r="FE153" s="45"/>
      <c r="FF153" s="45"/>
      <c r="FG153" s="37"/>
      <c r="FH153" s="45"/>
      <c r="FI153" s="45"/>
      <c r="FJ153" s="37"/>
      <c r="FK153" s="45"/>
      <c r="FL153" s="45"/>
      <c r="FM153" s="37"/>
      <c r="FN153" s="45"/>
      <c r="FO153" s="45"/>
      <c r="FP153" s="37"/>
      <c r="FQ153" s="45"/>
      <c r="FR153" s="45"/>
      <c r="FS153" s="37"/>
      <c r="FT153" s="45"/>
      <c r="FU153" s="45"/>
      <c r="FV153" s="37"/>
      <c r="FW153" s="45"/>
      <c r="FX153" s="45"/>
      <c r="FY153" s="37"/>
      <c r="FZ153" s="45"/>
      <c r="GA153" s="45"/>
      <c r="GB153" s="37"/>
      <c r="GC153" s="45"/>
      <c r="GD153" s="45"/>
      <c r="GE153" s="37"/>
      <c r="GF153" s="45"/>
      <c r="GG153" s="45"/>
      <c r="GH153" s="37"/>
      <c r="GI153" s="45"/>
      <c r="GJ153" s="45"/>
      <c r="GK153" s="37"/>
      <c r="GL153" s="45"/>
      <c r="GM153" s="45"/>
      <c r="GN153" s="37"/>
      <c r="GO153" s="45"/>
      <c r="HE153" s="56"/>
    </row>
    <row r="154" ht="12.0" customHeight="1">
      <c r="A154" s="37"/>
      <c r="D154" s="37"/>
      <c r="E154" s="37"/>
      <c r="I154" s="37"/>
      <c r="M154" s="37"/>
      <c r="Q154" s="37"/>
      <c r="U154" s="37"/>
      <c r="Y154" s="37"/>
      <c r="AC154" s="37"/>
      <c r="AG154" s="37"/>
      <c r="AK154" s="37"/>
      <c r="AN154" s="37"/>
      <c r="AQ154" s="37"/>
      <c r="AT154" s="37"/>
      <c r="AW154" s="37"/>
      <c r="AZ154" s="37"/>
      <c r="BC154" s="37"/>
      <c r="BF154" s="37"/>
      <c r="BG154" s="45"/>
      <c r="BH154" s="45"/>
      <c r="BI154" s="37"/>
      <c r="BJ154" s="45"/>
      <c r="BK154" s="45"/>
      <c r="BL154" s="37"/>
      <c r="BM154" s="45"/>
      <c r="BN154" s="45"/>
      <c r="BO154" s="37"/>
      <c r="BP154" s="45"/>
      <c r="BQ154" s="45"/>
      <c r="BR154" s="37"/>
      <c r="BS154" s="45"/>
      <c r="BT154" s="45"/>
      <c r="BU154" s="37"/>
      <c r="BV154" s="45"/>
      <c r="BW154" s="45"/>
      <c r="BX154" s="37"/>
      <c r="BY154" s="45"/>
      <c r="BZ154" s="45"/>
      <c r="CA154" s="37"/>
      <c r="CB154" s="45"/>
      <c r="CC154" s="45"/>
      <c r="CD154" s="37"/>
      <c r="CE154" s="45"/>
      <c r="CF154" s="45"/>
      <c r="CG154" s="37"/>
      <c r="CH154" s="45"/>
      <c r="CI154" s="45"/>
      <c r="CJ154" s="37"/>
      <c r="CK154" s="45"/>
      <c r="CL154" s="45"/>
      <c r="CM154" s="37"/>
      <c r="CN154" s="45"/>
      <c r="CO154" s="45"/>
      <c r="CP154" s="37"/>
      <c r="CQ154" s="45"/>
      <c r="CR154" s="45"/>
      <c r="CS154" s="37"/>
      <c r="CT154" s="45"/>
      <c r="CU154" s="45"/>
      <c r="CV154" s="37"/>
      <c r="CW154" s="45"/>
      <c r="CX154" s="45"/>
      <c r="CY154" s="37"/>
      <c r="CZ154" s="45"/>
      <c r="DB154" s="37"/>
      <c r="DE154" s="37"/>
      <c r="DH154" s="37"/>
      <c r="DK154" s="37"/>
      <c r="DN154" s="37"/>
      <c r="DQ154" s="37"/>
      <c r="DT154" s="37"/>
      <c r="DW154" s="37"/>
      <c r="DZ154" s="37"/>
      <c r="EC154" s="37"/>
      <c r="EF154" s="37"/>
      <c r="EI154" s="37"/>
      <c r="EL154" s="37"/>
      <c r="EO154" s="37"/>
      <c r="ER154" s="37"/>
      <c r="EU154" s="37"/>
      <c r="EV154" s="45"/>
      <c r="EW154" s="45"/>
      <c r="EX154" s="37"/>
      <c r="EY154" s="45"/>
      <c r="EZ154" s="45"/>
      <c r="FA154" s="37"/>
      <c r="FB154" s="45"/>
      <c r="FC154" s="45"/>
      <c r="FD154" s="37"/>
      <c r="FE154" s="45"/>
      <c r="FF154" s="45"/>
      <c r="FG154" s="37"/>
      <c r="FH154" s="45"/>
      <c r="FI154" s="45"/>
      <c r="FJ154" s="37"/>
      <c r="FK154" s="45"/>
      <c r="FL154" s="45"/>
      <c r="FM154" s="37"/>
      <c r="FN154" s="45"/>
      <c r="FO154" s="45"/>
      <c r="FP154" s="37"/>
      <c r="FQ154" s="45"/>
      <c r="FR154" s="45"/>
      <c r="FS154" s="37"/>
      <c r="FT154" s="45"/>
      <c r="FU154" s="45"/>
      <c r="FV154" s="37"/>
      <c r="FW154" s="45"/>
      <c r="FX154" s="45"/>
      <c r="FY154" s="37"/>
      <c r="FZ154" s="45"/>
      <c r="GA154" s="45"/>
      <c r="GB154" s="37"/>
      <c r="GC154" s="45"/>
      <c r="GD154" s="45"/>
      <c r="GE154" s="37"/>
      <c r="GF154" s="45"/>
      <c r="GG154" s="45"/>
      <c r="GH154" s="37"/>
      <c r="GI154" s="45"/>
      <c r="GJ154" s="45"/>
      <c r="GK154" s="37"/>
      <c r="GL154" s="45"/>
      <c r="GM154" s="45"/>
      <c r="GN154" s="37"/>
      <c r="GO154" s="45"/>
      <c r="HE154" s="56"/>
    </row>
    <row r="155" ht="12.0" customHeight="1">
      <c r="A155" s="37"/>
      <c r="D155" s="37"/>
      <c r="E155" s="37"/>
      <c r="I155" s="37"/>
      <c r="M155" s="37"/>
      <c r="Q155" s="37"/>
      <c r="U155" s="37"/>
      <c r="Y155" s="37"/>
      <c r="AC155" s="37"/>
      <c r="AG155" s="37"/>
      <c r="AK155" s="37"/>
      <c r="AN155" s="37"/>
      <c r="AQ155" s="37"/>
      <c r="AT155" s="37"/>
      <c r="AW155" s="37"/>
      <c r="AZ155" s="37"/>
      <c r="BC155" s="37"/>
      <c r="BF155" s="37"/>
      <c r="BG155" s="45"/>
      <c r="BH155" s="45"/>
      <c r="BI155" s="37"/>
      <c r="BJ155" s="45"/>
      <c r="BK155" s="45"/>
      <c r="BL155" s="37"/>
      <c r="BM155" s="45"/>
      <c r="BN155" s="45"/>
      <c r="BO155" s="37"/>
      <c r="BP155" s="45"/>
      <c r="BQ155" s="45"/>
      <c r="BR155" s="37"/>
      <c r="BS155" s="45"/>
      <c r="BT155" s="45"/>
      <c r="BU155" s="37"/>
      <c r="BV155" s="45"/>
      <c r="BW155" s="45"/>
      <c r="BX155" s="37"/>
      <c r="BY155" s="45"/>
      <c r="BZ155" s="45"/>
      <c r="CA155" s="37"/>
      <c r="CB155" s="45"/>
      <c r="CC155" s="45"/>
      <c r="CD155" s="37"/>
      <c r="CE155" s="45"/>
      <c r="CF155" s="45"/>
      <c r="CG155" s="37"/>
      <c r="CH155" s="45"/>
      <c r="CI155" s="45"/>
      <c r="CJ155" s="37"/>
      <c r="CK155" s="45"/>
      <c r="CL155" s="45"/>
      <c r="CM155" s="37"/>
      <c r="CN155" s="45"/>
      <c r="CO155" s="45"/>
      <c r="CP155" s="37"/>
      <c r="CQ155" s="45"/>
      <c r="CR155" s="45"/>
      <c r="CS155" s="37"/>
      <c r="CT155" s="45"/>
      <c r="CU155" s="45"/>
      <c r="CV155" s="37"/>
      <c r="CW155" s="45"/>
      <c r="CX155" s="45"/>
      <c r="CY155" s="37"/>
      <c r="CZ155" s="45"/>
      <c r="DB155" s="37"/>
      <c r="DE155" s="37"/>
      <c r="DH155" s="37"/>
      <c r="DK155" s="37"/>
      <c r="DN155" s="37"/>
      <c r="DQ155" s="37"/>
      <c r="DT155" s="37"/>
      <c r="DW155" s="37"/>
      <c r="DZ155" s="37"/>
      <c r="EC155" s="37"/>
      <c r="EF155" s="37"/>
      <c r="EI155" s="37"/>
      <c r="EL155" s="37"/>
      <c r="EO155" s="37"/>
      <c r="ER155" s="37"/>
      <c r="EU155" s="37"/>
      <c r="EV155" s="45"/>
      <c r="EW155" s="45"/>
      <c r="EX155" s="37"/>
      <c r="EY155" s="45"/>
      <c r="EZ155" s="45"/>
      <c r="FA155" s="37"/>
      <c r="FB155" s="45"/>
      <c r="FC155" s="45"/>
      <c r="FD155" s="37"/>
      <c r="FE155" s="45"/>
      <c r="FF155" s="45"/>
      <c r="FG155" s="37"/>
      <c r="FH155" s="45"/>
      <c r="FI155" s="45"/>
      <c r="FJ155" s="37"/>
      <c r="FK155" s="45"/>
      <c r="FL155" s="45"/>
      <c r="FM155" s="37"/>
      <c r="FN155" s="45"/>
      <c r="FO155" s="45"/>
      <c r="FP155" s="37"/>
      <c r="FQ155" s="45"/>
      <c r="FR155" s="45"/>
      <c r="FS155" s="37"/>
      <c r="FT155" s="45"/>
      <c r="FU155" s="45"/>
      <c r="FV155" s="37"/>
      <c r="FW155" s="45"/>
      <c r="FX155" s="45"/>
      <c r="FY155" s="37"/>
      <c r="FZ155" s="45"/>
      <c r="GA155" s="45"/>
      <c r="GB155" s="37"/>
      <c r="GC155" s="45"/>
      <c r="GD155" s="45"/>
      <c r="GE155" s="37"/>
      <c r="GF155" s="45"/>
      <c r="GG155" s="45"/>
      <c r="GH155" s="37"/>
      <c r="GI155" s="45"/>
      <c r="GJ155" s="45"/>
      <c r="GK155" s="37"/>
      <c r="GL155" s="45"/>
      <c r="GM155" s="45"/>
      <c r="GN155" s="37"/>
      <c r="GO155" s="45"/>
      <c r="HE155" s="56"/>
    </row>
    <row r="156" ht="12.0" customHeight="1">
      <c r="A156" s="37"/>
      <c r="D156" s="37"/>
      <c r="E156" s="37"/>
      <c r="I156" s="37"/>
      <c r="M156" s="37"/>
      <c r="Q156" s="37"/>
      <c r="U156" s="37"/>
      <c r="Y156" s="37"/>
      <c r="AC156" s="37"/>
      <c r="AG156" s="37"/>
      <c r="AK156" s="37"/>
      <c r="AN156" s="37"/>
      <c r="AQ156" s="37"/>
      <c r="AT156" s="37"/>
      <c r="AW156" s="37"/>
      <c r="AZ156" s="37"/>
      <c r="BC156" s="37"/>
      <c r="BF156" s="37"/>
      <c r="BG156" s="45"/>
      <c r="BH156" s="45"/>
      <c r="BI156" s="37"/>
      <c r="BJ156" s="45"/>
      <c r="BK156" s="45"/>
      <c r="BL156" s="37"/>
      <c r="BM156" s="45"/>
      <c r="BN156" s="45"/>
      <c r="BO156" s="37"/>
      <c r="BP156" s="45"/>
      <c r="BQ156" s="45"/>
      <c r="BR156" s="37"/>
      <c r="BS156" s="45"/>
      <c r="BT156" s="45"/>
      <c r="BU156" s="37"/>
      <c r="BV156" s="45"/>
      <c r="BW156" s="45"/>
      <c r="BX156" s="37"/>
      <c r="BY156" s="45"/>
      <c r="BZ156" s="45"/>
      <c r="CA156" s="37"/>
      <c r="CB156" s="45"/>
      <c r="CC156" s="45"/>
      <c r="CD156" s="37"/>
      <c r="CE156" s="45"/>
      <c r="CF156" s="45"/>
      <c r="CG156" s="37"/>
      <c r="CH156" s="45"/>
      <c r="CI156" s="45"/>
      <c r="CJ156" s="37"/>
      <c r="CK156" s="45"/>
      <c r="CL156" s="45"/>
      <c r="CM156" s="37"/>
      <c r="CN156" s="45"/>
      <c r="CO156" s="45"/>
      <c r="CP156" s="37"/>
      <c r="CQ156" s="45"/>
      <c r="CR156" s="45"/>
      <c r="CS156" s="37"/>
      <c r="CT156" s="45"/>
      <c r="CU156" s="45"/>
      <c r="CV156" s="37"/>
      <c r="CW156" s="45"/>
      <c r="CX156" s="45"/>
      <c r="CY156" s="37"/>
      <c r="CZ156" s="45"/>
      <c r="DB156" s="37"/>
      <c r="DE156" s="37"/>
      <c r="DH156" s="37"/>
      <c r="DK156" s="37"/>
      <c r="DN156" s="37"/>
      <c r="DQ156" s="37"/>
      <c r="DT156" s="37"/>
      <c r="DW156" s="37"/>
      <c r="DZ156" s="37"/>
      <c r="EC156" s="37"/>
      <c r="EF156" s="37"/>
      <c r="EI156" s="37"/>
      <c r="EL156" s="37"/>
      <c r="EO156" s="37"/>
      <c r="ER156" s="37"/>
      <c r="EU156" s="37"/>
      <c r="EV156" s="45"/>
      <c r="EW156" s="45"/>
      <c r="EX156" s="37"/>
      <c r="EY156" s="45"/>
      <c r="EZ156" s="45"/>
      <c r="FA156" s="37"/>
      <c r="FB156" s="45"/>
      <c r="FC156" s="45"/>
      <c r="FD156" s="37"/>
      <c r="FE156" s="45"/>
      <c r="FF156" s="45"/>
      <c r="FG156" s="37"/>
      <c r="FH156" s="45"/>
      <c r="FI156" s="45"/>
      <c r="FJ156" s="37"/>
      <c r="FK156" s="45"/>
      <c r="FL156" s="45"/>
      <c r="FM156" s="37"/>
      <c r="FN156" s="45"/>
      <c r="FO156" s="45"/>
      <c r="FP156" s="37"/>
      <c r="FQ156" s="45"/>
      <c r="FR156" s="45"/>
      <c r="FS156" s="37"/>
      <c r="FT156" s="45"/>
      <c r="FU156" s="45"/>
      <c r="FV156" s="37"/>
      <c r="FW156" s="45"/>
      <c r="FX156" s="45"/>
      <c r="FY156" s="37"/>
      <c r="FZ156" s="45"/>
      <c r="GA156" s="45"/>
      <c r="GB156" s="37"/>
      <c r="GC156" s="45"/>
      <c r="GD156" s="45"/>
      <c r="GE156" s="37"/>
      <c r="GF156" s="45"/>
      <c r="GG156" s="45"/>
      <c r="GH156" s="37"/>
      <c r="GI156" s="45"/>
      <c r="GJ156" s="45"/>
      <c r="GK156" s="37"/>
      <c r="GL156" s="45"/>
      <c r="GM156" s="45"/>
      <c r="GN156" s="37"/>
      <c r="GO156" s="45"/>
      <c r="HE156" s="56"/>
    </row>
    <row r="157" ht="12.0" customHeight="1">
      <c r="A157" s="37"/>
      <c r="D157" s="37"/>
      <c r="E157" s="37"/>
      <c r="I157" s="37"/>
      <c r="M157" s="37"/>
      <c r="Q157" s="37"/>
      <c r="U157" s="37"/>
      <c r="Y157" s="37"/>
      <c r="AC157" s="37"/>
      <c r="AG157" s="37"/>
      <c r="AK157" s="37"/>
      <c r="AN157" s="37"/>
      <c r="AQ157" s="37"/>
      <c r="AT157" s="37"/>
      <c r="AW157" s="37"/>
      <c r="AZ157" s="37"/>
      <c r="BC157" s="37"/>
      <c r="BF157" s="37"/>
      <c r="BG157" s="45"/>
      <c r="BH157" s="45"/>
      <c r="BI157" s="37"/>
      <c r="BJ157" s="45"/>
      <c r="BK157" s="45"/>
      <c r="BL157" s="37"/>
      <c r="BM157" s="45"/>
      <c r="BN157" s="45"/>
      <c r="BO157" s="37"/>
      <c r="BP157" s="45"/>
      <c r="BQ157" s="45"/>
      <c r="BR157" s="37"/>
      <c r="BS157" s="45"/>
      <c r="BT157" s="45"/>
      <c r="BU157" s="37"/>
      <c r="BV157" s="45"/>
      <c r="BW157" s="45"/>
      <c r="BX157" s="37"/>
      <c r="BY157" s="45"/>
      <c r="BZ157" s="45"/>
      <c r="CA157" s="37"/>
      <c r="CB157" s="45"/>
      <c r="CC157" s="45"/>
      <c r="CD157" s="37"/>
      <c r="CE157" s="45"/>
      <c r="CF157" s="45"/>
      <c r="CG157" s="37"/>
      <c r="CH157" s="45"/>
      <c r="CI157" s="45"/>
      <c r="CJ157" s="37"/>
      <c r="CK157" s="45"/>
      <c r="CL157" s="45"/>
      <c r="CM157" s="37"/>
      <c r="CN157" s="45"/>
      <c r="CO157" s="45"/>
      <c r="CP157" s="37"/>
      <c r="CQ157" s="45"/>
      <c r="CR157" s="45"/>
      <c r="CS157" s="37"/>
      <c r="CT157" s="45"/>
      <c r="CU157" s="45"/>
      <c r="CV157" s="37"/>
      <c r="CW157" s="45"/>
      <c r="CX157" s="45"/>
      <c r="CY157" s="37"/>
      <c r="CZ157" s="45"/>
      <c r="DB157" s="37"/>
      <c r="DE157" s="37"/>
      <c r="DH157" s="37"/>
      <c r="DK157" s="37"/>
      <c r="DN157" s="37"/>
      <c r="DQ157" s="37"/>
      <c r="DT157" s="37"/>
      <c r="DW157" s="37"/>
      <c r="DZ157" s="37"/>
      <c r="EC157" s="37"/>
      <c r="EF157" s="37"/>
      <c r="EI157" s="37"/>
      <c r="EL157" s="37"/>
      <c r="EO157" s="37"/>
      <c r="ER157" s="37"/>
      <c r="EU157" s="37"/>
      <c r="EV157" s="45"/>
      <c r="EW157" s="45"/>
      <c r="EX157" s="37"/>
      <c r="EY157" s="45"/>
      <c r="EZ157" s="45"/>
      <c r="FA157" s="37"/>
      <c r="FB157" s="45"/>
      <c r="FC157" s="45"/>
      <c r="FD157" s="37"/>
      <c r="FE157" s="45"/>
      <c r="FF157" s="45"/>
      <c r="FG157" s="37"/>
      <c r="FH157" s="45"/>
      <c r="FI157" s="45"/>
      <c r="FJ157" s="37"/>
      <c r="FK157" s="45"/>
      <c r="FL157" s="45"/>
      <c r="FM157" s="37"/>
      <c r="FN157" s="45"/>
      <c r="FO157" s="45"/>
      <c r="FP157" s="37"/>
      <c r="FQ157" s="45"/>
      <c r="FR157" s="45"/>
      <c r="FS157" s="37"/>
      <c r="FT157" s="45"/>
      <c r="FU157" s="45"/>
      <c r="FV157" s="37"/>
      <c r="FW157" s="45"/>
      <c r="FX157" s="45"/>
      <c r="FY157" s="37"/>
      <c r="FZ157" s="45"/>
      <c r="GA157" s="45"/>
      <c r="GB157" s="37"/>
      <c r="GC157" s="45"/>
      <c r="GD157" s="45"/>
      <c r="GE157" s="37"/>
      <c r="GF157" s="45"/>
      <c r="GG157" s="45"/>
      <c r="GH157" s="37"/>
      <c r="GI157" s="45"/>
      <c r="GJ157" s="45"/>
      <c r="GK157" s="37"/>
      <c r="GL157" s="45"/>
      <c r="GM157" s="45"/>
      <c r="GN157" s="37"/>
      <c r="GO157" s="45"/>
      <c r="HE157" s="56"/>
    </row>
    <row r="158" ht="12.0" customHeight="1">
      <c r="A158" s="37"/>
      <c r="D158" s="37"/>
      <c r="E158" s="37"/>
      <c r="I158" s="37"/>
      <c r="M158" s="37"/>
      <c r="Q158" s="37"/>
      <c r="U158" s="37"/>
      <c r="Y158" s="37"/>
      <c r="AC158" s="37"/>
      <c r="AG158" s="37"/>
      <c r="AK158" s="37"/>
      <c r="AN158" s="37"/>
      <c r="AQ158" s="37"/>
      <c r="AT158" s="37"/>
      <c r="AW158" s="37"/>
      <c r="AZ158" s="37"/>
      <c r="BC158" s="37"/>
      <c r="BF158" s="37"/>
      <c r="BG158" s="45"/>
      <c r="BH158" s="45"/>
      <c r="BI158" s="37"/>
      <c r="BJ158" s="45"/>
      <c r="BK158" s="45"/>
      <c r="BL158" s="37"/>
      <c r="BM158" s="45"/>
      <c r="BN158" s="45"/>
      <c r="BO158" s="37"/>
      <c r="BP158" s="45"/>
      <c r="BQ158" s="45"/>
      <c r="BR158" s="37"/>
      <c r="BS158" s="45"/>
      <c r="BT158" s="45"/>
      <c r="BU158" s="37"/>
      <c r="BV158" s="45"/>
      <c r="BW158" s="45"/>
      <c r="BX158" s="37"/>
      <c r="BY158" s="45"/>
      <c r="BZ158" s="45"/>
      <c r="CA158" s="37"/>
      <c r="CB158" s="45"/>
      <c r="CC158" s="45"/>
      <c r="CD158" s="37"/>
      <c r="CE158" s="45"/>
      <c r="CF158" s="45"/>
      <c r="CG158" s="37"/>
      <c r="CH158" s="45"/>
      <c r="CI158" s="45"/>
      <c r="CJ158" s="37"/>
      <c r="CK158" s="45"/>
      <c r="CL158" s="45"/>
      <c r="CM158" s="37"/>
      <c r="CN158" s="45"/>
      <c r="CO158" s="45"/>
      <c r="CP158" s="37"/>
      <c r="CQ158" s="45"/>
      <c r="CR158" s="45"/>
      <c r="CS158" s="37"/>
      <c r="CT158" s="45"/>
      <c r="CU158" s="45"/>
      <c r="CV158" s="37"/>
      <c r="CW158" s="45"/>
      <c r="CX158" s="45"/>
      <c r="CY158" s="37"/>
      <c r="CZ158" s="45"/>
      <c r="DB158" s="37"/>
      <c r="DE158" s="37"/>
      <c r="DH158" s="37"/>
      <c r="DK158" s="37"/>
      <c r="DN158" s="37"/>
      <c r="DQ158" s="37"/>
      <c r="DT158" s="37"/>
      <c r="DW158" s="37"/>
      <c r="DZ158" s="37"/>
      <c r="EC158" s="37"/>
      <c r="EF158" s="37"/>
      <c r="EI158" s="37"/>
      <c r="EL158" s="37"/>
      <c r="EO158" s="37"/>
      <c r="ER158" s="37"/>
      <c r="EU158" s="37"/>
      <c r="EV158" s="45"/>
      <c r="EW158" s="45"/>
      <c r="EX158" s="37"/>
      <c r="EY158" s="45"/>
      <c r="EZ158" s="45"/>
      <c r="FA158" s="37"/>
      <c r="FB158" s="45"/>
      <c r="FC158" s="45"/>
      <c r="FD158" s="37"/>
      <c r="FE158" s="45"/>
      <c r="FF158" s="45"/>
      <c r="FG158" s="37"/>
      <c r="FH158" s="45"/>
      <c r="FI158" s="45"/>
      <c r="FJ158" s="37"/>
      <c r="FK158" s="45"/>
      <c r="FL158" s="45"/>
      <c r="FM158" s="37"/>
      <c r="FN158" s="45"/>
      <c r="FO158" s="45"/>
      <c r="FP158" s="37"/>
      <c r="FQ158" s="45"/>
      <c r="FR158" s="45"/>
      <c r="FS158" s="37"/>
      <c r="FT158" s="45"/>
      <c r="FU158" s="45"/>
      <c r="FV158" s="37"/>
      <c r="FW158" s="45"/>
      <c r="FX158" s="45"/>
      <c r="FY158" s="37"/>
      <c r="FZ158" s="45"/>
      <c r="GA158" s="45"/>
      <c r="GB158" s="37"/>
      <c r="GC158" s="45"/>
      <c r="GD158" s="45"/>
      <c r="GE158" s="37"/>
      <c r="GF158" s="45"/>
      <c r="GG158" s="45"/>
      <c r="GH158" s="37"/>
      <c r="GI158" s="45"/>
      <c r="GJ158" s="45"/>
      <c r="GK158" s="37"/>
      <c r="GL158" s="45"/>
      <c r="GM158" s="45"/>
      <c r="GN158" s="37"/>
      <c r="GO158" s="45"/>
      <c r="HE158" s="56"/>
    </row>
    <row r="159" ht="12.0" customHeight="1">
      <c r="A159" s="37"/>
      <c r="D159" s="37"/>
      <c r="E159" s="37"/>
      <c r="I159" s="37"/>
      <c r="M159" s="37"/>
      <c r="Q159" s="37"/>
      <c r="U159" s="37"/>
      <c r="Y159" s="37"/>
      <c r="AC159" s="37"/>
      <c r="AG159" s="37"/>
      <c r="AK159" s="37"/>
      <c r="AN159" s="37"/>
      <c r="AQ159" s="37"/>
      <c r="AT159" s="37"/>
      <c r="AW159" s="37"/>
      <c r="AZ159" s="37"/>
      <c r="BC159" s="37"/>
      <c r="BF159" s="37"/>
      <c r="BG159" s="45"/>
      <c r="BH159" s="45"/>
      <c r="BI159" s="37"/>
      <c r="BJ159" s="45"/>
      <c r="BK159" s="45"/>
      <c r="BL159" s="37"/>
      <c r="BM159" s="45"/>
      <c r="BN159" s="45"/>
      <c r="BO159" s="37"/>
      <c r="BP159" s="45"/>
      <c r="BQ159" s="45"/>
      <c r="BR159" s="37"/>
      <c r="BS159" s="45"/>
      <c r="BT159" s="45"/>
      <c r="BU159" s="37"/>
      <c r="BV159" s="45"/>
      <c r="BW159" s="45"/>
      <c r="BX159" s="37"/>
      <c r="BY159" s="45"/>
      <c r="BZ159" s="45"/>
      <c r="CA159" s="37"/>
      <c r="CB159" s="45"/>
      <c r="CC159" s="45"/>
      <c r="CD159" s="37"/>
      <c r="CE159" s="45"/>
      <c r="CF159" s="45"/>
      <c r="CG159" s="37"/>
      <c r="CH159" s="45"/>
      <c r="CI159" s="45"/>
      <c r="CJ159" s="37"/>
      <c r="CK159" s="45"/>
      <c r="CL159" s="45"/>
      <c r="CM159" s="37"/>
      <c r="CN159" s="45"/>
      <c r="CO159" s="45"/>
      <c r="CP159" s="37"/>
      <c r="CQ159" s="45"/>
      <c r="CR159" s="45"/>
      <c r="CS159" s="37"/>
      <c r="CT159" s="45"/>
      <c r="CU159" s="45"/>
      <c r="CV159" s="37"/>
      <c r="CW159" s="45"/>
      <c r="CX159" s="45"/>
      <c r="CY159" s="37"/>
      <c r="CZ159" s="45"/>
      <c r="DB159" s="37"/>
      <c r="DE159" s="37"/>
      <c r="DH159" s="37"/>
      <c r="DK159" s="37"/>
      <c r="DN159" s="37"/>
      <c r="DQ159" s="37"/>
      <c r="DT159" s="37"/>
      <c r="DW159" s="37"/>
      <c r="DZ159" s="37"/>
      <c r="EC159" s="37"/>
      <c r="EF159" s="37"/>
      <c r="EI159" s="37"/>
      <c r="EL159" s="37"/>
      <c r="EO159" s="37"/>
      <c r="ER159" s="37"/>
      <c r="EU159" s="37"/>
      <c r="EV159" s="45"/>
      <c r="EW159" s="45"/>
      <c r="EX159" s="37"/>
      <c r="EY159" s="45"/>
      <c r="EZ159" s="45"/>
      <c r="FA159" s="37"/>
      <c r="FB159" s="45"/>
      <c r="FC159" s="45"/>
      <c r="FD159" s="37"/>
      <c r="FE159" s="45"/>
      <c r="FF159" s="45"/>
      <c r="FG159" s="37"/>
      <c r="FH159" s="45"/>
      <c r="FI159" s="45"/>
      <c r="FJ159" s="37"/>
      <c r="FK159" s="45"/>
      <c r="FL159" s="45"/>
      <c r="FM159" s="37"/>
      <c r="FN159" s="45"/>
      <c r="FO159" s="45"/>
      <c r="FP159" s="37"/>
      <c r="FQ159" s="45"/>
      <c r="FR159" s="45"/>
      <c r="FS159" s="37"/>
      <c r="FT159" s="45"/>
      <c r="FU159" s="45"/>
      <c r="FV159" s="37"/>
      <c r="FW159" s="45"/>
      <c r="FX159" s="45"/>
      <c r="FY159" s="37"/>
      <c r="FZ159" s="45"/>
      <c r="GA159" s="45"/>
      <c r="GB159" s="37"/>
      <c r="GC159" s="45"/>
      <c r="GD159" s="45"/>
      <c r="GE159" s="37"/>
      <c r="GF159" s="45"/>
      <c r="GG159" s="45"/>
      <c r="GH159" s="37"/>
      <c r="GI159" s="45"/>
      <c r="GJ159" s="45"/>
      <c r="GK159" s="37"/>
      <c r="GL159" s="45"/>
      <c r="GM159" s="45"/>
      <c r="GN159" s="37"/>
      <c r="GO159" s="45"/>
      <c r="HE159" s="56"/>
    </row>
    <row r="160" ht="12.0" customHeight="1">
      <c r="A160" s="37"/>
      <c r="D160" s="37"/>
      <c r="E160" s="37"/>
      <c r="I160" s="37"/>
      <c r="M160" s="37"/>
      <c r="Q160" s="37"/>
      <c r="U160" s="37"/>
      <c r="Y160" s="37"/>
      <c r="AC160" s="37"/>
      <c r="AG160" s="37"/>
      <c r="AK160" s="37"/>
      <c r="AN160" s="37"/>
      <c r="AQ160" s="37"/>
      <c r="AT160" s="37"/>
      <c r="AW160" s="37"/>
      <c r="AZ160" s="37"/>
      <c r="BC160" s="37"/>
      <c r="BF160" s="37"/>
      <c r="BG160" s="45"/>
      <c r="BH160" s="45"/>
      <c r="BI160" s="37"/>
      <c r="BJ160" s="45"/>
      <c r="BK160" s="45"/>
      <c r="BL160" s="37"/>
      <c r="BM160" s="45"/>
      <c r="BN160" s="45"/>
      <c r="BO160" s="37"/>
      <c r="BP160" s="45"/>
      <c r="BQ160" s="45"/>
      <c r="BR160" s="37"/>
      <c r="BS160" s="45"/>
      <c r="BT160" s="45"/>
      <c r="BU160" s="37"/>
      <c r="BV160" s="45"/>
      <c r="BW160" s="45"/>
      <c r="BX160" s="37"/>
      <c r="BY160" s="45"/>
      <c r="BZ160" s="45"/>
      <c r="CA160" s="37"/>
      <c r="CB160" s="45"/>
      <c r="CC160" s="45"/>
      <c r="CD160" s="37"/>
      <c r="CE160" s="45"/>
      <c r="CF160" s="45"/>
      <c r="CG160" s="37"/>
      <c r="CH160" s="45"/>
      <c r="CI160" s="45"/>
      <c r="CJ160" s="37"/>
      <c r="CK160" s="45"/>
      <c r="CL160" s="45"/>
      <c r="CM160" s="37"/>
      <c r="CN160" s="45"/>
      <c r="CO160" s="45"/>
      <c r="CP160" s="37"/>
      <c r="CQ160" s="45"/>
      <c r="CR160" s="45"/>
      <c r="CS160" s="37"/>
      <c r="CT160" s="45"/>
      <c r="CU160" s="45"/>
      <c r="CV160" s="37"/>
      <c r="CW160" s="45"/>
      <c r="CX160" s="45"/>
      <c r="CY160" s="37"/>
      <c r="CZ160" s="45"/>
      <c r="DB160" s="37"/>
      <c r="DE160" s="37"/>
      <c r="DH160" s="37"/>
      <c r="DK160" s="37"/>
      <c r="DN160" s="37"/>
      <c r="DQ160" s="37"/>
      <c r="DT160" s="37"/>
      <c r="DW160" s="37"/>
      <c r="DZ160" s="37"/>
      <c r="EC160" s="37"/>
      <c r="EF160" s="37"/>
      <c r="EI160" s="37"/>
      <c r="EL160" s="37"/>
      <c r="EO160" s="37"/>
      <c r="ER160" s="37"/>
      <c r="EU160" s="37"/>
      <c r="EV160" s="45"/>
      <c r="EW160" s="45"/>
      <c r="EX160" s="37"/>
      <c r="EY160" s="45"/>
      <c r="EZ160" s="45"/>
      <c r="FA160" s="37"/>
      <c r="FB160" s="45"/>
      <c r="FC160" s="45"/>
      <c r="FD160" s="37"/>
      <c r="FE160" s="45"/>
      <c r="FF160" s="45"/>
      <c r="FG160" s="37"/>
      <c r="FH160" s="45"/>
      <c r="FI160" s="45"/>
      <c r="FJ160" s="37"/>
      <c r="FK160" s="45"/>
      <c r="FL160" s="45"/>
      <c r="FM160" s="37"/>
      <c r="FN160" s="45"/>
      <c r="FO160" s="45"/>
      <c r="FP160" s="37"/>
      <c r="FQ160" s="45"/>
      <c r="FR160" s="45"/>
      <c r="FS160" s="37"/>
      <c r="FT160" s="45"/>
      <c r="FU160" s="45"/>
      <c r="FV160" s="37"/>
      <c r="FW160" s="45"/>
      <c r="FX160" s="45"/>
      <c r="FY160" s="37"/>
      <c r="FZ160" s="45"/>
      <c r="GA160" s="45"/>
      <c r="GB160" s="37"/>
      <c r="GC160" s="45"/>
      <c r="GD160" s="45"/>
      <c r="GE160" s="37"/>
      <c r="GF160" s="45"/>
      <c r="GG160" s="45"/>
      <c r="GH160" s="37"/>
      <c r="GI160" s="45"/>
      <c r="GJ160" s="45"/>
      <c r="GK160" s="37"/>
      <c r="GL160" s="45"/>
      <c r="GM160" s="45"/>
      <c r="GN160" s="37"/>
      <c r="GO160" s="45"/>
      <c r="HE160" s="56"/>
    </row>
    <row r="161" ht="12.0" customHeight="1">
      <c r="A161" s="37"/>
      <c r="D161" s="37"/>
      <c r="E161" s="37"/>
      <c r="I161" s="37"/>
      <c r="M161" s="37"/>
      <c r="Q161" s="37"/>
      <c r="U161" s="37"/>
      <c r="Y161" s="37"/>
      <c r="AC161" s="37"/>
      <c r="AG161" s="37"/>
      <c r="AK161" s="37"/>
      <c r="AN161" s="37"/>
      <c r="AQ161" s="37"/>
      <c r="AT161" s="37"/>
      <c r="AW161" s="37"/>
      <c r="AZ161" s="37"/>
      <c r="BC161" s="37"/>
      <c r="BF161" s="37"/>
      <c r="BG161" s="45"/>
      <c r="BH161" s="45"/>
      <c r="BI161" s="37"/>
      <c r="BJ161" s="45"/>
      <c r="BK161" s="45"/>
      <c r="BL161" s="37"/>
      <c r="BM161" s="45"/>
      <c r="BN161" s="45"/>
      <c r="BO161" s="37"/>
      <c r="BP161" s="45"/>
      <c r="BQ161" s="45"/>
      <c r="BR161" s="37"/>
      <c r="BS161" s="45"/>
      <c r="BT161" s="45"/>
      <c r="BU161" s="37"/>
      <c r="BV161" s="45"/>
      <c r="BW161" s="45"/>
      <c r="BX161" s="37"/>
      <c r="BY161" s="45"/>
      <c r="BZ161" s="45"/>
      <c r="CA161" s="37"/>
      <c r="CB161" s="45"/>
      <c r="CC161" s="45"/>
      <c r="CD161" s="37"/>
      <c r="CE161" s="45"/>
      <c r="CF161" s="45"/>
      <c r="CG161" s="37"/>
      <c r="CH161" s="45"/>
      <c r="CI161" s="45"/>
      <c r="CJ161" s="37"/>
      <c r="CK161" s="45"/>
      <c r="CL161" s="45"/>
      <c r="CM161" s="37"/>
      <c r="CN161" s="45"/>
      <c r="CO161" s="45"/>
      <c r="CP161" s="37"/>
      <c r="CQ161" s="45"/>
      <c r="CR161" s="45"/>
      <c r="CS161" s="37"/>
      <c r="CT161" s="45"/>
      <c r="CU161" s="45"/>
      <c r="CV161" s="37"/>
      <c r="CW161" s="45"/>
      <c r="CX161" s="45"/>
      <c r="CY161" s="37"/>
      <c r="CZ161" s="45"/>
      <c r="DB161" s="37"/>
      <c r="DE161" s="37"/>
      <c r="DH161" s="37"/>
      <c r="DK161" s="37"/>
      <c r="DN161" s="37"/>
      <c r="DQ161" s="37"/>
      <c r="DT161" s="37"/>
      <c r="DW161" s="37"/>
      <c r="DZ161" s="37"/>
      <c r="EC161" s="37"/>
      <c r="EF161" s="37"/>
      <c r="EI161" s="37"/>
      <c r="EL161" s="37"/>
      <c r="EO161" s="37"/>
      <c r="ER161" s="37"/>
      <c r="EU161" s="37"/>
      <c r="EV161" s="45"/>
      <c r="EW161" s="45"/>
      <c r="EX161" s="37"/>
      <c r="EY161" s="45"/>
      <c r="EZ161" s="45"/>
      <c r="FA161" s="37"/>
      <c r="FB161" s="45"/>
      <c r="FC161" s="45"/>
      <c r="FD161" s="37"/>
      <c r="FE161" s="45"/>
      <c r="FF161" s="45"/>
      <c r="FG161" s="37"/>
      <c r="FH161" s="45"/>
      <c r="FI161" s="45"/>
      <c r="FJ161" s="37"/>
      <c r="FK161" s="45"/>
      <c r="FL161" s="45"/>
      <c r="FM161" s="37"/>
      <c r="FN161" s="45"/>
      <c r="FO161" s="45"/>
      <c r="FP161" s="37"/>
      <c r="FQ161" s="45"/>
      <c r="FR161" s="45"/>
      <c r="FS161" s="37"/>
      <c r="FT161" s="45"/>
      <c r="FU161" s="45"/>
      <c r="FV161" s="37"/>
      <c r="FW161" s="45"/>
      <c r="FX161" s="45"/>
      <c r="FY161" s="37"/>
      <c r="FZ161" s="45"/>
      <c r="GA161" s="45"/>
      <c r="GB161" s="37"/>
      <c r="GC161" s="45"/>
      <c r="GD161" s="45"/>
      <c r="GE161" s="37"/>
      <c r="GF161" s="45"/>
      <c r="GG161" s="45"/>
      <c r="GH161" s="37"/>
      <c r="GI161" s="45"/>
      <c r="GJ161" s="45"/>
      <c r="GK161" s="37"/>
      <c r="GL161" s="45"/>
      <c r="GM161" s="45"/>
      <c r="GN161" s="37"/>
      <c r="GO161" s="45"/>
      <c r="HE161" s="56"/>
    </row>
    <row r="162" ht="12.0" customHeight="1">
      <c r="A162" s="37"/>
      <c r="D162" s="37"/>
      <c r="E162" s="37"/>
      <c r="I162" s="37"/>
      <c r="M162" s="37"/>
      <c r="Q162" s="37"/>
      <c r="U162" s="37"/>
      <c r="Y162" s="37"/>
      <c r="AC162" s="37"/>
      <c r="AG162" s="37"/>
      <c r="AK162" s="37"/>
      <c r="AN162" s="37"/>
      <c r="AQ162" s="37"/>
      <c r="AT162" s="37"/>
      <c r="AW162" s="37"/>
      <c r="AZ162" s="37"/>
      <c r="BC162" s="37"/>
      <c r="BF162" s="37"/>
      <c r="BG162" s="45"/>
      <c r="BH162" s="45"/>
      <c r="BI162" s="37"/>
      <c r="BJ162" s="45"/>
      <c r="BK162" s="45"/>
      <c r="BL162" s="37"/>
      <c r="BM162" s="45"/>
      <c r="BN162" s="45"/>
      <c r="BO162" s="37"/>
      <c r="BP162" s="45"/>
      <c r="BQ162" s="45"/>
      <c r="BR162" s="37"/>
      <c r="BS162" s="45"/>
      <c r="BT162" s="45"/>
      <c r="BU162" s="37"/>
      <c r="BV162" s="45"/>
      <c r="BW162" s="45"/>
      <c r="BX162" s="37"/>
      <c r="BY162" s="45"/>
      <c r="BZ162" s="45"/>
      <c r="CA162" s="37"/>
      <c r="CB162" s="45"/>
      <c r="CC162" s="45"/>
      <c r="CD162" s="37"/>
      <c r="CE162" s="45"/>
      <c r="CF162" s="45"/>
      <c r="CG162" s="37"/>
      <c r="CH162" s="45"/>
      <c r="CI162" s="45"/>
      <c r="CJ162" s="37"/>
      <c r="CK162" s="45"/>
      <c r="CL162" s="45"/>
      <c r="CM162" s="37"/>
      <c r="CN162" s="45"/>
      <c r="CO162" s="45"/>
      <c r="CP162" s="37"/>
      <c r="CQ162" s="45"/>
      <c r="CR162" s="45"/>
      <c r="CS162" s="37"/>
      <c r="CT162" s="45"/>
      <c r="CU162" s="45"/>
      <c r="CV162" s="37"/>
      <c r="CW162" s="45"/>
      <c r="CX162" s="45"/>
      <c r="CY162" s="37"/>
      <c r="CZ162" s="45"/>
      <c r="DB162" s="37"/>
      <c r="DE162" s="37"/>
      <c r="DH162" s="37"/>
      <c r="DK162" s="37"/>
      <c r="DN162" s="37"/>
      <c r="DQ162" s="37"/>
      <c r="DT162" s="37"/>
      <c r="DW162" s="37"/>
      <c r="DZ162" s="37"/>
      <c r="EC162" s="37"/>
      <c r="EF162" s="37"/>
      <c r="EI162" s="37"/>
      <c r="EL162" s="37"/>
      <c r="EO162" s="37"/>
      <c r="ER162" s="37"/>
      <c r="EU162" s="37"/>
      <c r="EV162" s="45"/>
      <c r="EW162" s="45"/>
      <c r="EX162" s="37"/>
      <c r="EY162" s="45"/>
      <c r="EZ162" s="45"/>
      <c r="FA162" s="37"/>
      <c r="FB162" s="45"/>
      <c r="FC162" s="45"/>
      <c r="FD162" s="37"/>
      <c r="FE162" s="45"/>
      <c r="FF162" s="45"/>
      <c r="FG162" s="37"/>
      <c r="FH162" s="45"/>
      <c r="FI162" s="45"/>
      <c r="FJ162" s="37"/>
      <c r="FK162" s="45"/>
      <c r="FL162" s="45"/>
      <c r="FM162" s="37"/>
      <c r="FN162" s="45"/>
      <c r="FO162" s="45"/>
      <c r="FP162" s="37"/>
      <c r="FQ162" s="45"/>
      <c r="FR162" s="45"/>
      <c r="FS162" s="37"/>
      <c r="FT162" s="45"/>
      <c r="FU162" s="45"/>
      <c r="FV162" s="37"/>
      <c r="FW162" s="45"/>
      <c r="FX162" s="45"/>
      <c r="FY162" s="37"/>
      <c r="FZ162" s="45"/>
      <c r="GA162" s="45"/>
      <c r="GB162" s="37"/>
      <c r="GC162" s="45"/>
      <c r="GD162" s="45"/>
      <c r="GE162" s="37"/>
      <c r="GF162" s="45"/>
      <c r="GG162" s="45"/>
      <c r="GH162" s="37"/>
      <c r="GI162" s="45"/>
      <c r="GJ162" s="45"/>
      <c r="GK162" s="37"/>
      <c r="GL162" s="45"/>
      <c r="GM162" s="45"/>
      <c r="GN162" s="37"/>
      <c r="GO162" s="45"/>
      <c r="HE162" s="56"/>
    </row>
    <row r="163" ht="12.0" customHeight="1">
      <c r="A163" s="37"/>
      <c r="D163" s="37"/>
      <c r="E163" s="37"/>
      <c r="I163" s="37"/>
      <c r="M163" s="37"/>
      <c r="Q163" s="37"/>
      <c r="U163" s="37"/>
      <c r="Y163" s="37"/>
      <c r="AC163" s="37"/>
      <c r="AG163" s="37"/>
      <c r="AK163" s="37"/>
      <c r="AN163" s="37"/>
      <c r="AQ163" s="37"/>
      <c r="AT163" s="37"/>
      <c r="AW163" s="37"/>
      <c r="AZ163" s="37"/>
      <c r="BC163" s="37"/>
      <c r="BF163" s="37"/>
      <c r="BG163" s="45"/>
      <c r="BH163" s="45"/>
      <c r="BI163" s="37"/>
      <c r="BJ163" s="45"/>
      <c r="BK163" s="45"/>
      <c r="BL163" s="37"/>
      <c r="BM163" s="45"/>
      <c r="BN163" s="45"/>
      <c r="BO163" s="37"/>
      <c r="BP163" s="45"/>
      <c r="BQ163" s="45"/>
      <c r="BR163" s="37"/>
      <c r="BS163" s="45"/>
      <c r="BT163" s="45"/>
      <c r="BU163" s="37"/>
      <c r="BV163" s="45"/>
      <c r="BW163" s="45"/>
      <c r="BX163" s="37"/>
      <c r="BY163" s="45"/>
      <c r="BZ163" s="45"/>
      <c r="CA163" s="37"/>
      <c r="CB163" s="45"/>
      <c r="CC163" s="45"/>
      <c r="CD163" s="37"/>
      <c r="CE163" s="45"/>
      <c r="CF163" s="45"/>
      <c r="CG163" s="37"/>
      <c r="CH163" s="45"/>
      <c r="CI163" s="45"/>
      <c r="CJ163" s="37"/>
      <c r="CK163" s="45"/>
      <c r="CL163" s="45"/>
      <c r="CM163" s="37"/>
      <c r="CN163" s="45"/>
      <c r="CO163" s="45"/>
      <c r="CP163" s="37"/>
      <c r="CQ163" s="45"/>
      <c r="CR163" s="45"/>
      <c r="CS163" s="37"/>
      <c r="CT163" s="45"/>
      <c r="CU163" s="45"/>
      <c r="CV163" s="37"/>
      <c r="CW163" s="45"/>
      <c r="CX163" s="45"/>
      <c r="CY163" s="37"/>
      <c r="CZ163" s="45"/>
      <c r="DB163" s="37"/>
      <c r="DE163" s="37"/>
      <c r="DH163" s="37"/>
      <c r="DK163" s="37"/>
      <c r="DN163" s="37"/>
      <c r="DQ163" s="37"/>
      <c r="DT163" s="37"/>
      <c r="DW163" s="37"/>
      <c r="DZ163" s="37"/>
      <c r="EC163" s="37"/>
      <c r="EF163" s="37"/>
      <c r="EI163" s="37"/>
      <c r="EL163" s="37"/>
      <c r="EO163" s="37"/>
      <c r="ER163" s="37"/>
      <c r="EU163" s="37"/>
      <c r="EV163" s="45"/>
      <c r="EW163" s="45"/>
      <c r="EX163" s="37"/>
      <c r="EY163" s="45"/>
      <c r="EZ163" s="45"/>
      <c r="FA163" s="37"/>
      <c r="FB163" s="45"/>
      <c r="FC163" s="45"/>
      <c r="FD163" s="37"/>
      <c r="FE163" s="45"/>
      <c r="FF163" s="45"/>
      <c r="FG163" s="37"/>
      <c r="FH163" s="45"/>
      <c r="FI163" s="45"/>
      <c r="FJ163" s="37"/>
      <c r="FK163" s="45"/>
      <c r="FL163" s="45"/>
      <c r="FM163" s="37"/>
      <c r="FN163" s="45"/>
      <c r="FO163" s="45"/>
      <c r="FP163" s="37"/>
      <c r="FQ163" s="45"/>
      <c r="FR163" s="45"/>
      <c r="FS163" s="37"/>
      <c r="FT163" s="45"/>
      <c r="FU163" s="45"/>
      <c r="FV163" s="37"/>
      <c r="FW163" s="45"/>
      <c r="FX163" s="45"/>
      <c r="FY163" s="37"/>
      <c r="FZ163" s="45"/>
      <c r="GA163" s="45"/>
      <c r="GB163" s="37"/>
      <c r="GC163" s="45"/>
      <c r="GD163" s="45"/>
      <c r="GE163" s="37"/>
      <c r="GF163" s="45"/>
      <c r="GG163" s="45"/>
      <c r="GH163" s="37"/>
      <c r="GI163" s="45"/>
      <c r="GJ163" s="45"/>
      <c r="GK163" s="37"/>
      <c r="GL163" s="45"/>
      <c r="GM163" s="45"/>
      <c r="GN163" s="37"/>
      <c r="GO163" s="45"/>
      <c r="HE163" s="56"/>
    </row>
    <row r="164" ht="12.0" customHeight="1">
      <c r="A164" s="37"/>
      <c r="D164" s="37"/>
      <c r="E164" s="37"/>
      <c r="I164" s="37"/>
      <c r="M164" s="37"/>
      <c r="Q164" s="37"/>
      <c r="U164" s="37"/>
      <c r="Y164" s="37"/>
      <c r="AC164" s="37"/>
      <c r="AG164" s="37"/>
      <c r="AK164" s="37"/>
      <c r="AN164" s="37"/>
      <c r="AQ164" s="37"/>
      <c r="AT164" s="37"/>
      <c r="AW164" s="37"/>
      <c r="AZ164" s="37"/>
      <c r="BC164" s="37"/>
      <c r="BF164" s="37"/>
      <c r="BG164" s="45"/>
      <c r="BH164" s="45"/>
      <c r="BI164" s="37"/>
      <c r="BJ164" s="45"/>
      <c r="BK164" s="45"/>
      <c r="BL164" s="37"/>
      <c r="BM164" s="45"/>
      <c r="BN164" s="45"/>
      <c r="BO164" s="37"/>
      <c r="BP164" s="45"/>
      <c r="BQ164" s="45"/>
      <c r="BR164" s="37"/>
      <c r="BS164" s="45"/>
      <c r="BT164" s="45"/>
      <c r="BU164" s="37"/>
      <c r="BV164" s="45"/>
      <c r="BW164" s="45"/>
      <c r="BX164" s="37"/>
      <c r="BY164" s="45"/>
      <c r="BZ164" s="45"/>
      <c r="CA164" s="37"/>
      <c r="CB164" s="45"/>
      <c r="CC164" s="45"/>
      <c r="CD164" s="37"/>
      <c r="CE164" s="45"/>
      <c r="CF164" s="45"/>
      <c r="CG164" s="37"/>
      <c r="CH164" s="45"/>
      <c r="CI164" s="45"/>
      <c r="CJ164" s="37"/>
      <c r="CK164" s="45"/>
      <c r="CL164" s="45"/>
      <c r="CM164" s="37"/>
      <c r="CN164" s="45"/>
      <c r="CO164" s="45"/>
      <c r="CP164" s="37"/>
      <c r="CQ164" s="45"/>
      <c r="CR164" s="45"/>
      <c r="CS164" s="37"/>
      <c r="CT164" s="45"/>
      <c r="CU164" s="45"/>
      <c r="CV164" s="37"/>
      <c r="CW164" s="45"/>
      <c r="CX164" s="45"/>
      <c r="CY164" s="37"/>
      <c r="CZ164" s="45"/>
      <c r="DB164" s="37"/>
      <c r="DE164" s="37"/>
      <c r="DH164" s="37"/>
      <c r="DK164" s="37"/>
      <c r="DN164" s="37"/>
      <c r="DQ164" s="37"/>
      <c r="DT164" s="37"/>
      <c r="DW164" s="37"/>
      <c r="DZ164" s="37"/>
      <c r="EC164" s="37"/>
      <c r="EF164" s="37"/>
      <c r="EI164" s="37"/>
      <c r="EL164" s="37"/>
      <c r="EO164" s="37"/>
      <c r="ER164" s="37"/>
      <c r="EU164" s="37"/>
      <c r="EV164" s="45"/>
      <c r="EW164" s="45"/>
      <c r="EX164" s="37"/>
      <c r="EY164" s="45"/>
      <c r="EZ164" s="45"/>
      <c r="FA164" s="37"/>
      <c r="FB164" s="45"/>
      <c r="FC164" s="45"/>
      <c r="FD164" s="37"/>
      <c r="FE164" s="45"/>
      <c r="FF164" s="45"/>
      <c r="FG164" s="37"/>
      <c r="FH164" s="45"/>
      <c r="FI164" s="45"/>
      <c r="FJ164" s="37"/>
      <c r="FK164" s="45"/>
      <c r="FL164" s="45"/>
      <c r="FM164" s="37"/>
      <c r="FN164" s="45"/>
      <c r="FO164" s="45"/>
      <c r="FP164" s="37"/>
      <c r="FQ164" s="45"/>
      <c r="FR164" s="45"/>
      <c r="FS164" s="37"/>
      <c r="FT164" s="45"/>
      <c r="FU164" s="45"/>
      <c r="FV164" s="37"/>
      <c r="FW164" s="45"/>
      <c r="FX164" s="45"/>
      <c r="FY164" s="37"/>
      <c r="FZ164" s="45"/>
      <c r="GA164" s="45"/>
      <c r="GB164" s="37"/>
      <c r="GC164" s="45"/>
      <c r="GD164" s="45"/>
      <c r="GE164" s="37"/>
      <c r="GF164" s="45"/>
      <c r="GG164" s="45"/>
      <c r="GH164" s="37"/>
      <c r="GI164" s="45"/>
      <c r="GJ164" s="45"/>
      <c r="GK164" s="37"/>
      <c r="GL164" s="45"/>
      <c r="GM164" s="45"/>
      <c r="GN164" s="37"/>
      <c r="GO164" s="45"/>
      <c r="HE164" s="56"/>
    </row>
    <row r="165" ht="12.0" customHeight="1">
      <c r="A165" s="37"/>
      <c r="D165" s="37"/>
      <c r="E165" s="37"/>
      <c r="I165" s="37"/>
      <c r="M165" s="37"/>
      <c r="Q165" s="37"/>
      <c r="U165" s="37"/>
      <c r="Y165" s="37"/>
      <c r="AC165" s="37"/>
      <c r="AG165" s="37"/>
      <c r="AK165" s="37"/>
      <c r="AN165" s="37"/>
      <c r="AQ165" s="37"/>
      <c r="AT165" s="37"/>
      <c r="AW165" s="37"/>
      <c r="AZ165" s="37"/>
      <c r="BC165" s="37"/>
      <c r="BF165" s="37"/>
      <c r="BG165" s="45"/>
      <c r="BH165" s="45"/>
      <c r="BI165" s="37"/>
      <c r="BJ165" s="45"/>
      <c r="BK165" s="45"/>
      <c r="BL165" s="37"/>
      <c r="BM165" s="45"/>
      <c r="BN165" s="45"/>
      <c r="BO165" s="37"/>
      <c r="BP165" s="45"/>
      <c r="BQ165" s="45"/>
      <c r="BR165" s="37"/>
      <c r="BS165" s="45"/>
      <c r="BT165" s="45"/>
      <c r="BU165" s="37"/>
      <c r="BV165" s="45"/>
      <c r="BW165" s="45"/>
      <c r="BX165" s="37"/>
      <c r="BY165" s="45"/>
      <c r="BZ165" s="45"/>
      <c r="CA165" s="37"/>
      <c r="CB165" s="45"/>
      <c r="CC165" s="45"/>
      <c r="CD165" s="37"/>
      <c r="CE165" s="45"/>
      <c r="CF165" s="45"/>
      <c r="CG165" s="37"/>
      <c r="CH165" s="45"/>
      <c r="CI165" s="45"/>
      <c r="CJ165" s="37"/>
      <c r="CK165" s="45"/>
      <c r="CL165" s="45"/>
      <c r="CM165" s="37"/>
      <c r="CN165" s="45"/>
      <c r="CO165" s="45"/>
      <c r="CP165" s="37"/>
      <c r="CQ165" s="45"/>
      <c r="CR165" s="45"/>
      <c r="CS165" s="37"/>
      <c r="CT165" s="45"/>
      <c r="CU165" s="45"/>
      <c r="CV165" s="37"/>
      <c r="CW165" s="45"/>
      <c r="CX165" s="45"/>
      <c r="CY165" s="37"/>
      <c r="CZ165" s="45"/>
      <c r="DB165" s="37"/>
      <c r="DE165" s="37"/>
      <c r="DH165" s="37"/>
      <c r="DK165" s="37"/>
      <c r="DN165" s="37"/>
      <c r="DQ165" s="37"/>
      <c r="DT165" s="37"/>
      <c r="DW165" s="37"/>
      <c r="DZ165" s="37"/>
      <c r="EC165" s="37"/>
      <c r="EF165" s="37"/>
      <c r="EI165" s="37"/>
      <c r="EL165" s="37"/>
      <c r="EO165" s="37"/>
      <c r="ER165" s="37"/>
      <c r="EU165" s="37"/>
      <c r="EV165" s="45"/>
      <c r="EW165" s="45"/>
      <c r="EX165" s="37"/>
      <c r="EY165" s="45"/>
      <c r="EZ165" s="45"/>
      <c r="FA165" s="37"/>
      <c r="FB165" s="45"/>
      <c r="FC165" s="45"/>
      <c r="FD165" s="37"/>
      <c r="FE165" s="45"/>
      <c r="FF165" s="45"/>
      <c r="FG165" s="37"/>
      <c r="FH165" s="45"/>
      <c r="FI165" s="45"/>
      <c r="FJ165" s="37"/>
      <c r="FK165" s="45"/>
      <c r="FL165" s="45"/>
      <c r="FM165" s="37"/>
      <c r="FN165" s="45"/>
      <c r="FO165" s="45"/>
      <c r="FP165" s="37"/>
      <c r="FQ165" s="45"/>
      <c r="FR165" s="45"/>
      <c r="FS165" s="37"/>
      <c r="FT165" s="45"/>
      <c r="FU165" s="45"/>
      <c r="FV165" s="37"/>
      <c r="FW165" s="45"/>
      <c r="FX165" s="45"/>
      <c r="FY165" s="37"/>
      <c r="FZ165" s="45"/>
      <c r="GA165" s="45"/>
      <c r="GB165" s="37"/>
      <c r="GC165" s="45"/>
      <c r="GD165" s="45"/>
      <c r="GE165" s="37"/>
      <c r="GF165" s="45"/>
      <c r="GG165" s="45"/>
      <c r="GH165" s="37"/>
      <c r="GI165" s="45"/>
      <c r="GJ165" s="45"/>
      <c r="GK165" s="37"/>
      <c r="GL165" s="45"/>
      <c r="GM165" s="45"/>
      <c r="GN165" s="37"/>
      <c r="GO165" s="45"/>
      <c r="HE165" s="56"/>
    </row>
    <row r="166" ht="12.0" customHeight="1">
      <c r="A166" s="37"/>
      <c r="D166" s="37"/>
      <c r="E166" s="37"/>
      <c r="I166" s="37"/>
      <c r="M166" s="37"/>
      <c r="Q166" s="37"/>
      <c r="U166" s="37"/>
      <c r="Y166" s="37"/>
      <c r="AC166" s="37"/>
      <c r="AG166" s="37"/>
      <c r="AK166" s="37"/>
      <c r="AN166" s="37"/>
      <c r="AQ166" s="37"/>
      <c r="AT166" s="37"/>
      <c r="AW166" s="37"/>
      <c r="AZ166" s="37"/>
      <c r="BC166" s="37"/>
      <c r="BF166" s="37"/>
      <c r="BG166" s="45"/>
      <c r="BH166" s="45"/>
      <c r="BI166" s="37"/>
      <c r="BJ166" s="45"/>
      <c r="BK166" s="45"/>
      <c r="BL166" s="37"/>
      <c r="BM166" s="45"/>
      <c r="BN166" s="45"/>
      <c r="BO166" s="37"/>
      <c r="BP166" s="45"/>
      <c r="BQ166" s="45"/>
      <c r="BR166" s="37"/>
      <c r="BS166" s="45"/>
      <c r="BT166" s="45"/>
      <c r="BU166" s="37"/>
      <c r="BV166" s="45"/>
      <c r="BW166" s="45"/>
      <c r="BX166" s="37"/>
      <c r="BY166" s="45"/>
      <c r="BZ166" s="45"/>
      <c r="CA166" s="37"/>
      <c r="CB166" s="45"/>
      <c r="CC166" s="45"/>
      <c r="CD166" s="37"/>
      <c r="CE166" s="45"/>
      <c r="CF166" s="45"/>
      <c r="CG166" s="37"/>
      <c r="CH166" s="45"/>
      <c r="CI166" s="45"/>
      <c r="CJ166" s="37"/>
      <c r="CK166" s="45"/>
      <c r="CL166" s="45"/>
      <c r="CM166" s="37"/>
      <c r="CN166" s="45"/>
      <c r="CO166" s="45"/>
      <c r="CP166" s="37"/>
      <c r="CQ166" s="45"/>
      <c r="CR166" s="45"/>
      <c r="CS166" s="37"/>
      <c r="CT166" s="45"/>
      <c r="CU166" s="45"/>
      <c r="CV166" s="37"/>
      <c r="CW166" s="45"/>
      <c r="CX166" s="45"/>
      <c r="CY166" s="37"/>
      <c r="CZ166" s="45"/>
      <c r="DB166" s="37"/>
      <c r="DE166" s="37"/>
      <c r="DH166" s="37"/>
      <c r="DK166" s="37"/>
      <c r="DN166" s="37"/>
      <c r="DQ166" s="37"/>
      <c r="DT166" s="37"/>
      <c r="DW166" s="37"/>
      <c r="DZ166" s="37"/>
      <c r="EC166" s="37"/>
      <c r="EF166" s="37"/>
      <c r="EI166" s="37"/>
      <c r="EL166" s="37"/>
      <c r="EO166" s="37"/>
      <c r="ER166" s="37"/>
      <c r="EU166" s="37"/>
      <c r="EV166" s="45"/>
      <c r="EW166" s="45"/>
      <c r="EX166" s="37"/>
      <c r="EY166" s="45"/>
      <c r="EZ166" s="45"/>
      <c r="FA166" s="37"/>
      <c r="FB166" s="45"/>
      <c r="FC166" s="45"/>
      <c r="FD166" s="37"/>
      <c r="FE166" s="45"/>
      <c r="FF166" s="45"/>
      <c r="FG166" s="37"/>
      <c r="FH166" s="45"/>
      <c r="FI166" s="45"/>
      <c r="FJ166" s="37"/>
      <c r="FK166" s="45"/>
      <c r="FL166" s="45"/>
      <c r="FM166" s="37"/>
      <c r="FN166" s="45"/>
      <c r="FO166" s="45"/>
      <c r="FP166" s="37"/>
      <c r="FQ166" s="45"/>
      <c r="FR166" s="45"/>
      <c r="FS166" s="37"/>
      <c r="FT166" s="45"/>
      <c r="FU166" s="45"/>
      <c r="FV166" s="37"/>
      <c r="FW166" s="45"/>
      <c r="FX166" s="45"/>
      <c r="FY166" s="37"/>
      <c r="FZ166" s="45"/>
      <c r="GA166" s="45"/>
      <c r="GB166" s="37"/>
      <c r="GC166" s="45"/>
      <c r="GD166" s="45"/>
      <c r="GE166" s="37"/>
      <c r="GF166" s="45"/>
      <c r="GG166" s="45"/>
      <c r="GH166" s="37"/>
      <c r="GI166" s="45"/>
      <c r="GJ166" s="45"/>
      <c r="GK166" s="37"/>
      <c r="GL166" s="45"/>
      <c r="GM166" s="45"/>
      <c r="GN166" s="37"/>
      <c r="GO166" s="45"/>
      <c r="HE166" s="56"/>
    </row>
    <row r="167" ht="12.0" customHeight="1">
      <c r="A167" s="37"/>
      <c r="D167" s="37"/>
      <c r="E167" s="37"/>
      <c r="I167" s="37"/>
      <c r="M167" s="37"/>
      <c r="Q167" s="37"/>
      <c r="U167" s="37"/>
      <c r="Y167" s="37"/>
      <c r="AC167" s="37"/>
      <c r="AG167" s="37"/>
      <c r="AK167" s="37"/>
      <c r="AN167" s="37"/>
      <c r="AQ167" s="37"/>
      <c r="AT167" s="37"/>
      <c r="AW167" s="37"/>
      <c r="AZ167" s="37"/>
      <c r="BC167" s="37"/>
      <c r="BF167" s="37"/>
      <c r="BG167" s="45"/>
      <c r="BH167" s="45"/>
      <c r="BI167" s="37"/>
      <c r="BJ167" s="45"/>
      <c r="BK167" s="45"/>
      <c r="BL167" s="37"/>
      <c r="BM167" s="45"/>
      <c r="BN167" s="45"/>
      <c r="BO167" s="37"/>
      <c r="BP167" s="45"/>
      <c r="BQ167" s="45"/>
      <c r="BR167" s="37"/>
      <c r="BS167" s="45"/>
      <c r="BT167" s="45"/>
      <c r="BU167" s="37"/>
      <c r="BV167" s="45"/>
      <c r="BW167" s="45"/>
      <c r="BX167" s="37"/>
      <c r="BY167" s="45"/>
      <c r="BZ167" s="45"/>
      <c r="CA167" s="37"/>
      <c r="CB167" s="45"/>
      <c r="CC167" s="45"/>
      <c r="CD167" s="37"/>
      <c r="CE167" s="45"/>
      <c r="CF167" s="45"/>
      <c r="CG167" s="37"/>
      <c r="CH167" s="45"/>
      <c r="CI167" s="45"/>
      <c r="CJ167" s="37"/>
      <c r="CK167" s="45"/>
      <c r="CL167" s="45"/>
      <c r="CM167" s="37"/>
      <c r="CN167" s="45"/>
      <c r="CO167" s="45"/>
      <c r="CP167" s="37"/>
      <c r="CQ167" s="45"/>
      <c r="CR167" s="45"/>
      <c r="CS167" s="37"/>
      <c r="CT167" s="45"/>
      <c r="CU167" s="45"/>
      <c r="CV167" s="37"/>
      <c r="CW167" s="45"/>
      <c r="CX167" s="45"/>
      <c r="CY167" s="37"/>
      <c r="CZ167" s="45"/>
      <c r="DB167" s="37"/>
      <c r="DE167" s="37"/>
      <c r="DH167" s="37"/>
      <c r="DK167" s="37"/>
      <c r="DN167" s="37"/>
      <c r="DQ167" s="37"/>
      <c r="DT167" s="37"/>
      <c r="DW167" s="37"/>
      <c r="DZ167" s="37"/>
      <c r="EC167" s="37"/>
      <c r="EF167" s="37"/>
      <c r="EI167" s="37"/>
      <c r="EL167" s="37"/>
      <c r="EO167" s="37"/>
      <c r="ER167" s="37"/>
      <c r="EU167" s="37"/>
      <c r="EV167" s="45"/>
      <c r="EW167" s="45"/>
      <c r="EX167" s="37"/>
      <c r="EY167" s="45"/>
      <c r="EZ167" s="45"/>
      <c r="FA167" s="37"/>
      <c r="FB167" s="45"/>
      <c r="FC167" s="45"/>
      <c r="FD167" s="37"/>
      <c r="FE167" s="45"/>
      <c r="FF167" s="45"/>
      <c r="FG167" s="37"/>
      <c r="FH167" s="45"/>
      <c r="FI167" s="45"/>
      <c r="FJ167" s="37"/>
      <c r="FK167" s="45"/>
      <c r="FL167" s="45"/>
      <c r="FM167" s="37"/>
      <c r="FN167" s="45"/>
      <c r="FO167" s="45"/>
      <c r="FP167" s="37"/>
      <c r="FQ167" s="45"/>
      <c r="FR167" s="45"/>
      <c r="FS167" s="37"/>
      <c r="FT167" s="45"/>
      <c r="FU167" s="45"/>
      <c r="FV167" s="37"/>
      <c r="FW167" s="45"/>
      <c r="FX167" s="45"/>
      <c r="FY167" s="37"/>
      <c r="FZ167" s="45"/>
      <c r="GA167" s="45"/>
      <c r="GB167" s="37"/>
      <c r="GC167" s="45"/>
      <c r="GD167" s="45"/>
      <c r="GE167" s="37"/>
      <c r="GF167" s="45"/>
      <c r="GG167" s="45"/>
      <c r="GH167" s="37"/>
      <c r="GI167" s="45"/>
      <c r="GJ167" s="45"/>
      <c r="GK167" s="37"/>
      <c r="GL167" s="45"/>
      <c r="GM167" s="45"/>
      <c r="GN167" s="37"/>
      <c r="GO167" s="45"/>
      <c r="HE167" s="56"/>
    </row>
    <row r="168" ht="12.0" customHeight="1">
      <c r="A168" s="37"/>
      <c r="D168" s="37"/>
      <c r="E168" s="37"/>
      <c r="I168" s="37"/>
      <c r="M168" s="37"/>
      <c r="Q168" s="37"/>
      <c r="U168" s="37"/>
      <c r="Y168" s="37"/>
      <c r="AC168" s="37"/>
      <c r="AG168" s="37"/>
      <c r="AK168" s="37"/>
      <c r="AN168" s="37"/>
      <c r="AQ168" s="37"/>
      <c r="AT168" s="37"/>
      <c r="AW168" s="37"/>
      <c r="AZ168" s="37"/>
      <c r="BC168" s="37"/>
      <c r="BF168" s="37"/>
      <c r="BG168" s="45"/>
      <c r="BH168" s="45"/>
      <c r="BI168" s="37"/>
      <c r="BJ168" s="45"/>
      <c r="BK168" s="45"/>
      <c r="BL168" s="37"/>
      <c r="BM168" s="45"/>
      <c r="BN168" s="45"/>
      <c r="BO168" s="37"/>
      <c r="BP168" s="45"/>
      <c r="BQ168" s="45"/>
      <c r="BR168" s="37"/>
      <c r="BS168" s="45"/>
      <c r="BT168" s="45"/>
      <c r="BU168" s="37"/>
      <c r="BV168" s="45"/>
      <c r="BW168" s="45"/>
      <c r="BX168" s="37"/>
      <c r="BY168" s="45"/>
      <c r="BZ168" s="45"/>
      <c r="CA168" s="37"/>
      <c r="CB168" s="45"/>
      <c r="CC168" s="45"/>
      <c r="CD168" s="37"/>
      <c r="CE168" s="45"/>
      <c r="CF168" s="45"/>
      <c r="CG168" s="37"/>
      <c r="CH168" s="45"/>
      <c r="CI168" s="45"/>
      <c r="CJ168" s="37"/>
      <c r="CK168" s="45"/>
      <c r="CL168" s="45"/>
      <c r="CM168" s="37"/>
      <c r="CN168" s="45"/>
      <c r="CO168" s="45"/>
      <c r="CP168" s="37"/>
      <c r="CQ168" s="45"/>
      <c r="CR168" s="45"/>
      <c r="CS168" s="37"/>
      <c r="CT168" s="45"/>
      <c r="CU168" s="45"/>
      <c r="CV168" s="37"/>
      <c r="CW168" s="45"/>
      <c r="CX168" s="45"/>
      <c r="CY168" s="37"/>
      <c r="CZ168" s="45"/>
      <c r="DB168" s="37"/>
      <c r="DE168" s="37"/>
      <c r="DH168" s="37"/>
      <c r="DK168" s="37"/>
      <c r="DN168" s="37"/>
      <c r="DQ168" s="37"/>
      <c r="DT168" s="37"/>
      <c r="DW168" s="37"/>
      <c r="DZ168" s="37"/>
      <c r="EC168" s="37"/>
      <c r="EF168" s="37"/>
      <c r="EI168" s="37"/>
      <c r="EL168" s="37"/>
      <c r="EO168" s="37"/>
      <c r="ER168" s="37"/>
      <c r="EU168" s="37"/>
      <c r="EV168" s="45"/>
      <c r="EW168" s="45"/>
      <c r="EX168" s="37"/>
      <c r="EY168" s="45"/>
      <c r="EZ168" s="45"/>
      <c r="FA168" s="37"/>
      <c r="FB168" s="45"/>
      <c r="FC168" s="45"/>
      <c r="FD168" s="37"/>
      <c r="FE168" s="45"/>
      <c r="FF168" s="45"/>
      <c r="FG168" s="37"/>
      <c r="FH168" s="45"/>
      <c r="FI168" s="45"/>
      <c r="FJ168" s="37"/>
      <c r="FK168" s="45"/>
      <c r="FL168" s="45"/>
      <c r="FM168" s="37"/>
      <c r="FN168" s="45"/>
      <c r="FO168" s="45"/>
      <c r="FP168" s="37"/>
      <c r="FQ168" s="45"/>
      <c r="FR168" s="45"/>
      <c r="FS168" s="37"/>
      <c r="FT168" s="45"/>
      <c r="FU168" s="45"/>
      <c r="FV168" s="37"/>
      <c r="FW168" s="45"/>
      <c r="FX168" s="45"/>
      <c r="FY168" s="37"/>
      <c r="FZ168" s="45"/>
      <c r="GA168" s="45"/>
      <c r="GB168" s="37"/>
      <c r="GC168" s="45"/>
      <c r="GD168" s="45"/>
      <c r="GE168" s="37"/>
      <c r="GF168" s="45"/>
      <c r="GG168" s="45"/>
      <c r="GH168" s="37"/>
      <c r="GI168" s="45"/>
      <c r="GJ168" s="45"/>
      <c r="GK168" s="37"/>
      <c r="GL168" s="45"/>
      <c r="GM168" s="45"/>
      <c r="GN168" s="37"/>
      <c r="GO168" s="45"/>
      <c r="HE168" s="56"/>
    </row>
    <row r="169" ht="12.0" customHeight="1">
      <c r="A169" s="37"/>
      <c r="D169" s="37"/>
      <c r="E169" s="37"/>
      <c r="I169" s="37"/>
      <c r="M169" s="37"/>
      <c r="Q169" s="37"/>
      <c r="U169" s="37"/>
      <c r="Y169" s="37"/>
      <c r="AC169" s="37"/>
      <c r="AG169" s="37"/>
      <c r="AK169" s="37"/>
      <c r="AN169" s="37"/>
      <c r="AQ169" s="37"/>
      <c r="AT169" s="37"/>
      <c r="AW169" s="37"/>
      <c r="AZ169" s="37"/>
      <c r="BC169" s="37"/>
      <c r="BF169" s="37"/>
      <c r="BG169" s="45"/>
      <c r="BH169" s="45"/>
      <c r="BI169" s="37"/>
      <c r="BJ169" s="45"/>
      <c r="BK169" s="45"/>
      <c r="BL169" s="37"/>
      <c r="BM169" s="45"/>
      <c r="BN169" s="45"/>
      <c r="BO169" s="37"/>
      <c r="BP169" s="45"/>
      <c r="BQ169" s="45"/>
      <c r="BR169" s="37"/>
      <c r="BS169" s="45"/>
      <c r="BT169" s="45"/>
      <c r="BU169" s="37"/>
      <c r="BV169" s="45"/>
      <c r="BW169" s="45"/>
      <c r="BX169" s="37"/>
      <c r="BY169" s="45"/>
      <c r="BZ169" s="45"/>
      <c r="CA169" s="37"/>
      <c r="CB169" s="45"/>
      <c r="CC169" s="45"/>
      <c r="CD169" s="37"/>
      <c r="CE169" s="45"/>
      <c r="CF169" s="45"/>
      <c r="CG169" s="37"/>
      <c r="CH169" s="45"/>
      <c r="CI169" s="45"/>
      <c r="CJ169" s="37"/>
      <c r="CK169" s="45"/>
      <c r="CL169" s="45"/>
      <c r="CM169" s="37"/>
      <c r="CN169" s="45"/>
      <c r="CO169" s="45"/>
      <c r="CP169" s="37"/>
      <c r="CQ169" s="45"/>
      <c r="CR169" s="45"/>
      <c r="CS169" s="37"/>
      <c r="CT169" s="45"/>
      <c r="CU169" s="45"/>
      <c r="CV169" s="37"/>
      <c r="CW169" s="45"/>
      <c r="CX169" s="45"/>
      <c r="CY169" s="37"/>
      <c r="CZ169" s="45"/>
      <c r="DB169" s="37"/>
      <c r="DE169" s="37"/>
      <c r="DH169" s="37"/>
      <c r="DK169" s="37"/>
      <c r="DN169" s="37"/>
      <c r="DQ169" s="37"/>
      <c r="DT169" s="37"/>
      <c r="DW169" s="37"/>
      <c r="DZ169" s="37"/>
      <c r="EC169" s="37"/>
      <c r="EF169" s="37"/>
      <c r="EI169" s="37"/>
      <c r="EL169" s="37"/>
      <c r="EO169" s="37"/>
      <c r="ER169" s="37"/>
      <c r="EU169" s="37"/>
      <c r="EV169" s="45"/>
      <c r="EW169" s="45"/>
      <c r="EX169" s="37"/>
      <c r="EY169" s="45"/>
      <c r="EZ169" s="45"/>
      <c r="FA169" s="37"/>
      <c r="FB169" s="45"/>
      <c r="FC169" s="45"/>
      <c r="FD169" s="37"/>
      <c r="FE169" s="45"/>
      <c r="FF169" s="45"/>
      <c r="FG169" s="37"/>
      <c r="FH169" s="45"/>
      <c r="FI169" s="45"/>
      <c r="FJ169" s="37"/>
      <c r="FK169" s="45"/>
      <c r="FL169" s="45"/>
      <c r="FM169" s="37"/>
      <c r="FN169" s="45"/>
      <c r="FO169" s="45"/>
      <c r="FP169" s="37"/>
      <c r="FQ169" s="45"/>
      <c r="FR169" s="45"/>
      <c r="FS169" s="37"/>
      <c r="FT169" s="45"/>
      <c r="FU169" s="45"/>
      <c r="FV169" s="37"/>
      <c r="FW169" s="45"/>
      <c r="FX169" s="45"/>
      <c r="FY169" s="37"/>
      <c r="FZ169" s="45"/>
      <c r="GA169" s="45"/>
      <c r="GB169" s="37"/>
      <c r="GC169" s="45"/>
      <c r="GD169" s="45"/>
      <c r="GE169" s="37"/>
      <c r="GF169" s="45"/>
      <c r="GG169" s="45"/>
      <c r="GH169" s="37"/>
      <c r="GI169" s="45"/>
      <c r="GJ169" s="45"/>
      <c r="GK169" s="37"/>
      <c r="GL169" s="45"/>
      <c r="GM169" s="45"/>
      <c r="GN169" s="37"/>
      <c r="GO169" s="45"/>
      <c r="HE169" s="56"/>
    </row>
    <row r="170" ht="12.0" customHeight="1">
      <c r="A170" s="37"/>
      <c r="D170" s="37"/>
      <c r="E170" s="37"/>
      <c r="I170" s="37"/>
      <c r="M170" s="37"/>
      <c r="Q170" s="37"/>
      <c r="U170" s="37"/>
      <c r="Y170" s="37"/>
      <c r="AC170" s="37"/>
      <c r="AG170" s="37"/>
      <c r="AK170" s="37"/>
      <c r="AN170" s="37"/>
      <c r="AQ170" s="37"/>
      <c r="AT170" s="37"/>
      <c r="AW170" s="37"/>
      <c r="AZ170" s="37"/>
      <c r="BC170" s="37"/>
      <c r="BF170" s="37"/>
      <c r="BG170" s="45"/>
      <c r="BH170" s="45"/>
      <c r="BI170" s="37"/>
      <c r="BJ170" s="45"/>
      <c r="BK170" s="45"/>
      <c r="BL170" s="37"/>
      <c r="BM170" s="45"/>
      <c r="BN170" s="45"/>
      <c r="BO170" s="37"/>
      <c r="BP170" s="45"/>
      <c r="BQ170" s="45"/>
      <c r="BR170" s="37"/>
      <c r="BS170" s="45"/>
      <c r="BT170" s="45"/>
      <c r="BU170" s="37"/>
      <c r="BV170" s="45"/>
      <c r="BW170" s="45"/>
      <c r="BX170" s="37"/>
      <c r="BY170" s="45"/>
      <c r="BZ170" s="45"/>
      <c r="CA170" s="37"/>
      <c r="CB170" s="45"/>
      <c r="CC170" s="45"/>
      <c r="CD170" s="37"/>
      <c r="CE170" s="45"/>
      <c r="CF170" s="45"/>
      <c r="CG170" s="37"/>
      <c r="CH170" s="45"/>
      <c r="CI170" s="45"/>
      <c r="CJ170" s="37"/>
      <c r="CK170" s="45"/>
      <c r="CL170" s="45"/>
      <c r="CM170" s="37"/>
      <c r="CN170" s="45"/>
      <c r="CO170" s="45"/>
      <c r="CP170" s="37"/>
      <c r="CQ170" s="45"/>
      <c r="CR170" s="45"/>
      <c r="CS170" s="37"/>
      <c r="CT170" s="45"/>
      <c r="CU170" s="45"/>
      <c r="CV170" s="37"/>
      <c r="CW170" s="45"/>
      <c r="CX170" s="45"/>
      <c r="CY170" s="37"/>
      <c r="CZ170" s="45"/>
      <c r="DB170" s="37"/>
      <c r="DE170" s="37"/>
      <c r="DH170" s="37"/>
      <c r="DK170" s="37"/>
      <c r="DN170" s="37"/>
      <c r="DQ170" s="37"/>
      <c r="DT170" s="37"/>
      <c r="DW170" s="37"/>
      <c r="DZ170" s="37"/>
      <c r="EC170" s="37"/>
      <c r="EF170" s="37"/>
      <c r="EI170" s="37"/>
      <c r="EL170" s="37"/>
      <c r="EO170" s="37"/>
      <c r="ER170" s="37"/>
      <c r="EU170" s="37"/>
      <c r="EV170" s="45"/>
      <c r="EW170" s="45"/>
      <c r="EX170" s="37"/>
      <c r="EY170" s="45"/>
      <c r="EZ170" s="45"/>
      <c r="FA170" s="37"/>
      <c r="FB170" s="45"/>
      <c r="FC170" s="45"/>
      <c r="FD170" s="37"/>
      <c r="FE170" s="45"/>
      <c r="FF170" s="45"/>
      <c r="FG170" s="37"/>
      <c r="FH170" s="45"/>
      <c r="FI170" s="45"/>
      <c r="FJ170" s="37"/>
      <c r="FK170" s="45"/>
      <c r="FL170" s="45"/>
      <c r="FM170" s="37"/>
      <c r="FN170" s="45"/>
      <c r="FO170" s="45"/>
      <c r="FP170" s="37"/>
      <c r="FQ170" s="45"/>
      <c r="FR170" s="45"/>
      <c r="FS170" s="37"/>
      <c r="FT170" s="45"/>
      <c r="FU170" s="45"/>
      <c r="FV170" s="37"/>
      <c r="FW170" s="45"/>
      <c r="FX170" s="45"/>
      <c r="FY170" s="37"/>
      <c r="FZ170" s="45"/>
      <c r="GA170" s="45"/>
      <c r="GB170" s="37"/>
      <c r="GC170" s="45"/>
      <c r="GD170" s="45"/>
      <c r="GE170" s="37"/>
      <c r="GF170" s="45"/>
      <c r="GG170" s="45"/>
      <c r="GH170" s="37"/>
      <c r="GI170" s="45"/>
      <c r="GJ170" s="45"/>
      <c r="GK170" s="37"/>
      <c r="GL170" s="45"/>
      <c r="GM170" s="45"/>
      <c r="GN170" s="37"/>
      <c r="GO170" s="45"/>
      <c r="HE170" s="56"/>
    </row>
    <row r="171" ht="12.0" customHeight="1">
      <c r="A171" s="37"/>
      <c r="D171" s="37"/>
      <c r="E171" s="37"/>
      <c r="I171" s="37"/>
      <c r="M171" s="37"/>
      <c r="Q171" s="37"/>
      <c r="U171" s="37"/>
      <c r="Y171" s="37"/>
      <c r="AC171" s="37"/>
      <c r="AG171" s="37"/>
      <c r="AK171" s="37"/>
      <c r="AN171" s="37"/>
      <c r="AQ171" s="37"/>
      <c r="AT171" s="37"/>
      <c r="AW171" s="37"/>
      <c r="AZ171" s="37"/>
      <c r="BC171" s="37"/>
      <c r="BF171" s="37"/>
      <c r="BG171" s="45"/>
      <c r="BH171" s="45"/>
      <c r="BI171" s="37"/>
      <c r="BJ171" s="45"/>
      <c r="BK171" s="45"/>
      <c r="BL171" s="37"/>
      <c r="BM171" s="45"/>
      <c r="BN171" s="45"/>
      <c r="BO171" s="37"/>
      <c r="BP171" s="45"/>
      <c r="BQ171" s="45"/>
      <c r="BR171" s="37"/>
      <c r="BS171" s="45"/>
      <c r="BT171" s="45"/>
      <c r="BU171" s="37"/>
      <c r="BV171" s="45"/>
      <c r="BW171" s="45"/>
      <c r="BX171" s="37"/>
      <c r="BY171" s="45"/>
      <c r="BZ171" s="45"/>
      <c r="CA171" s="37"/>
      <c r="CB171" s="45"/>
      <c r="CC171" s="45"/>
      <c r="CD171" s="37"/>
      <c r="CE171" s="45"/>
      <c r="CF171" s="45"/>
      <c r="CG171" s="37"/>
      <c r="CH171" s="45"/>
      <c r="CI171" s="45"/>
      <c r="CJ171" s="37"/>
      <c r="CK171" s="45"/>
      <c r="CL171" s="45"/>
      <c r="CM171" s="37"/>
      <c r="CN171" s="45"/>
      <c r="CO171" s="45"/>
      <c r="CP171" s="37"/>
      <c r="CQ171" s="45"/>
      <c r="CR171" s="45"/>
      <c r="CS171" s="37"/>
      <c r="CT171" s="45"/>
      <c r="CU171" s="45"/>
      <c r="CV171" s="37"/>
      <c r="CW171" s="45"/>
      <c r="CX171" s="45"/>
      <c r="CY171" s="37"/>
      <c r="CZ171" s="45"/>
      <c r="DB171" s="37"/>
      <c r="DE171" s="37"/>
      <c r="DH171" s="37"/>
      <c r="DK171" s="37"/>
      <c r="DN171" s="37"/>
      <c r="DQ171" s="37"/>
      <c r="DT171" s="37"/>
      <c r="DW171" s="37"/>
      <c r="DZ171" s="37"/>
      <c r="EC171" s="37"/>
      <c r="EF171" s="37"/>
      <c r="EI171" s="37"/>
      <c r="EL171" s="37"/>
      <c r="EO171" s="37"/>
      <c r="ER171" s="37"/>
      <c r="EU171" s="37"/>
      <c r="EV171" s="45"/>
      <c r="EW171" s="45"/>
      <c r="EX171" s="37"/>
      <c r="EY171" s="45"/>
      <c r="EZ171" s="45"/>
      <c r="FA171" s="37"/>
      <c r="FB171" s="45"/>
      <c r="FC171" s="45"/>
      <c r="FD171" s="37"/>
      <c r="FE171" s="45"/>
      <c r="FF171" s="45"/>
      <c r="FG171" s="37"/>
      <c r="FH171" s="45"/>
      <c r="FI171" s="45"/>
      <c r="FJ171" s="37"/>
      <c r="FK171" s="45"/>
      <c r="FL171" s="45"/>
      <c r="FM171" s="37"/>
      <c r="FN171" s="45"/>
      <c r="FO171" s="45"/>
      <c r="FP171" s="37"/>
      <c r="FQ171" s="45"/>
      <c r="FR171" s="45"/>
      <c r="FS171" s="37"/>
      <c r="FT171" s="45"/>
      <c r="FU171" s="45"/>
      <c r="FV171" s="37"/>
      <c r="FW171" s="45"/>
      <c r="FX171" s="45"/>
      <c r="FY171" s="37"/>
      <c r="FZ171" s="45"/>
      <c r="GA171" s="45"/>
      <c r="GB171" s="37"/>
      <c r="GC171" s="45"/>
      <c r="GD171" s="45"/>
      <c r="GE171" s="37"/>
      <c r="GF171" s="45"/>
      <c r="GG171" s="45"/>
      <c r="GH171" s="37"/>
      <c r="GI171" s="45"/>
      <c r="GJ171" s="45"/>
      <c r="GK171" s="37"/>
      <c r="GL171" s="45"/>
      <c r="GM171" s="45"/>
      <c r="GN171" s="37"/>
      <c r="GO171" s="45"/>
      <c r="HE171" s="56"/>
    </row>
    <row r="172" ht="12.0" customHeight="1">
      <c r="A172" s="37"/>
      <c r="D172" s="37"/>
      <c r="E172" s="37"/>
      <c r="I172" s="37"/>
      <c r="M172" s="37"/>
      <c r="Q172" s="37"/>
      <c r="U172" s="37"/>
      <c r="Y172" s="37"/>
      <c r="AC172" s="37"/>
      <c r="AG172" s="37"/>
      <c r="AK172" s="37"/>
      <c r="AN172" s="37"/>
      <c r="AQ172" s="37"/>
      <c r="AT172" s="37"/>
      <c r="AW172" s="37"/>
      <c r="AZ172" s="37"/>
      <c r="BC172" s="37"/>
      <c r="BF172" s="37"/>
      <c r="BG172" s="45"/>
      <c r="BH172" s="45"/>
      <c r="BI172" s="37"/>
      <c r="BJ172" s="45"/>
      <c r="BK172" s="45"/>
      <c r="BL172" s="37"/>
      <c r="BM172" s="45"/>
      <c r="BN172" s="45"/>
      <c r="BO172" s="37"/>
      <c r="BP172" s="45"/>
      <c r="BQ172" s="45"/>
      <c r="BR172" s="37"/>
      <c r="BS172" s="45"/>
      <c r="BT172" s="45"/>
      <c r="BU172" s="37"/>
      <c r="BV172" s="45"/>
      <c r="BW172" s="45"/>
      <c r="BX172" s="37"/>
      <c r="BY172" s="45"/>
      <c r="BZ172" s="45"/>
      <c r="CA172" s="37"/>
      <c r="CB172" s="45"/>
      <c r="CC172" s="45"/>
      <c r="CD172" s="37"/>
      <c r="CE172" s="45"/>
      <c r="CF172" s="45"/>
      <c r="CG172" s="37"/>
      <c r="CH172" s="45"/>
      <c r="CI172" s="45"/>
      <c r="CJ172" s="37"/>
      <c r="CK172" s="45"/>
      <c r="CL172" s="45"/>
      <c r="CM172" s="37"/>
      <c r="CN172" s="45"/>
      <c r="CO172" s="45"/>
      <c r="CP172" s="37"/>
      <c r="CQ172" s="45"/>
      <c r="CR172" s="45"/>
      <c r="CS172" s="37"/>
      <c r="CT172" s="45"/>
      <c r="CU172" s="45"/>
      <c r="CV172" s="37"/>
      <c r="CW172" s="45"/>
      <c r="CX172" s="45"/>
      <c r="CY172" s="37"/>
      <c r="CZ172" s="45"/>
      <c r="DB172" s="37"/>
      <c r="DE172" s="37"/>
      <c r="DH172" s="37"/>
      <c r="DK172" s="37"/>
      <c r="DN172" s="37"/>
      <c r="DQ172" s="37"/>
      <c r="DT172" s="37"/>
      <c r="DW172" s="37"/>
      <c r="DZ172" s="37"/>
      <c r="EC172" s="37"/>
      <c r="EF172" s="37"/>
      <c r="EI172" s="37"/>
      <c r="EL172" s="37"/>
      <c r="EO172" s="37"/>
      <c r="ER172" s="37"/>
      <c r="EU172" s="37"/>
      <c r="EV172" s="45"/>
      <c r="EW172" s="45"/>
      <c r="EX172" s="37"/>
      <c r="EY172" s="45"/>
      <c r="EZ172" s="45"/>
      <c r="FA172" s="37"/>
      <c r="FB172" s="45"/>
      <c r="FC172" s="45"/>
      <c r="FD172" s="37"/>
      <c r="FE172" s="45"/>
      <c r="FF172" s="45"/>
      <c r="FG172" s="37"/>
      <c r="FH172" s="45"/>
      <c r="FI172" s="45"/>
      <c r="FJ172" s="37"/>
      <c r="FK172" s="45"/>
      <c r="FL172" s="45"/>
      <c r="FM172" s="37"/>
      <c r="FN172" s="45"/>
      <c r="FO172" s="45"/>
      <c r="FP172" s="37"/>
      <c r="FQ172" s="45"/>
      <c r="FR172" s="45"/>
      <c r="FS172" s="37"/>
      <c r="FT172" s="45"/>
      <c r="FU172" s="45"/>
      <c r="FV172" s="37"/>
      <c r="FW172" s="45"/>
      <c r="FX172" s="45"/>
      <c r="FY172" s="37"/>
      <c r="FZ172" s="45"/>
      <c r="GA172" s="45"/>
      <c r="GB172" s="37"/>
      <c r="GC172" s="45"/>
      <c r="GD172" s="45"/>
      <c r="GE172" s="37"/>
      <c r="GF172" s="45"/>
      <c r="GG172" s="45"/>
      <c r="GH172" s="37"/>
      <c r="GI172" s="45"/>
      <c r="GJ172" s="45"/>
      <c r="GK172" s="37"/>
      <c r="GL172" s="45"/>
      <c r="GM172" s="45"/>
      <c r="GN172" s="37"/>
      <c r="GO172" s="45"/>
      <c r="HE172" s="56"/>
    </row>
    <row r="173" ht="12.0" customHeight="1">
      <c r="A173" s="37"/>
      <c r="D173" s="37"/>
      <c r="E173" s="37"/>
      <c r="I173" s="37"/>
      <c r="M173" s="37"/>
      <c r="Q173" s="37"/>
      <c r="U173" s="37"/>
      <c r="Y173" s="37"/>
      <c r="AC173" s="37"/>
      <c r="AG173" s="37"/>
      <c r="AK173" s="37"/>
      <c r="AN173" s="37"/>
      <c r="AQ173" s="37"/>
      <c r="AT173" s="37"/>
      <c r="AW173" s="37"/>
      <c r="AZ173" s="37"/>
      <c r="BC173" s="37"/>
      <c r="BF173" s="37"/>
      <c r="BG173" s="45"/>
      <c r="BH173" s="45"/>
      <c r="BI173" s="37"/>
      <c r="BJ173" s="45"/>
      <c r="BK173" s="45"/>
      <c r="BL173" s="37"/>
      <c r="BM173" s="45"/>
      <c r="BN173" s="45"/>
      <c r="BO173" s="37"/>
      <c r="BP173" s="45"/>
      <c r="BQ173" s="45"/>
      <c r="BR173" s="37"/>
      <c r="BS173" s="45"/>
      <c r="BT173" s="45"/>
      <c r="BU173" s="37"/>
      <c r="BV173" s="45"/>
      <c r="BW173" s="45"/>
      <c r="BX173" s="37"/>
      <c r="BY173" s="45"/>
      <c r="BZ173" s="45"/>
      <c r="CA173" s="37"/>
      <c r="CB173" s="45"/>
      <c r="CC173" s="45"/>
      <c r="CD173" s="37"/>
      <c r="CE173" s="45"/>
      <c r="CF173" s="45"/>
      <c r="CG173" s="37"/>
      <c r="CH173" s="45"/>
      <c r="CI173" s="45"/>
      <c r="CJ173" s="37"/>
      <c r="CK173" s="45"/>
      <c r="CL173" s="45"/>
      <c r="CM173" s="37"/>
      <c r="CN173" s="45"/>
      <c r="CO173" s="45"/>
      <c r="CP173" s="37"/>
      <c r="CQ173" s="45"/>
      <c r="CR173" s="45"/>
      <c r="CS173" s="37"/>
      <c r="CT173" s="45"/>
      <c r="CU173" s="45"/>
      <c r="CV173" s="37"/>
      <c r="CW173" s="45"/>
      <c r="CX173" s="45"/>
      <c r="CY173" s="37"/>
      <c r="CZ173" s="45"/>
      <c r="DB173" s="37"/>
      <c r="DE173" s="37"/>
      <c r="DH173" s="37"/>
      <c r="DK173" s="37"/>
      <c r="DN173" s="37"/>
      <c r="DQ173" s="37"/>
      <c r="DT173" s="37"/>
      <c r="DW173" s="37"/>
      <c r="DZ173" s="37"/>
      <c r="EC173" s="37"/>
      <c r="EF173" s="37"/>
      <c r="EI173" s="37"/>
      <c r="EL173" s="37"/>
      <c r="EO173" s="37"/>
      <c r="ER173" s="37"/>
      <c r="EU173" s="37"/>
      <c r="EV173" s="45"/>
      <c r="EW173" s="45"/>
      <c r="EX173" s="37"/>
      <c r="EY173" s="45"/>
      <c r="EZ173" s="45"/>
      <c r="FA173" s="37"/>
      <c r="FB173" s="45"/>
      <c r="FC173" s="45"/>
      <c r="FD173" s="37"/>
      <c r="FE173" s="45"/>
      <c r="FF173" s="45"/>
      <c r="FG173" s="37"/>
      <c r="FH173" s="45"/>
      <c r="FI173" s="45"/>
      <c r="FJ173" s="37"/>
      <c r="FK173" s="45"/>
      <c r="FL173" s="45"/>
      <c r="FM173" s="37"/>
      <c r="FN173" s="45"/>
      <c r="FO173" s="45"/>
      <c r="FP173" s="37"/>
      <c r="FQ173" s="45"/>
      <c r="FR173" s="45"/>
      <c r="FS173" s="37"/>
      <c r="FT173" s="45"/>
      <c r="FU173" s="45"/>
      <c r="FV173" s="37"/>
      <c r="FW173" s="45"/>
      <c r="FX173" s="45"/>
      <c r="FY173" s="37"/>
      <c r="FZ173" s="45"/>
      <c r="GA173" s="45"/>
      <c r="GB173" s="37"/>
      <c r="GC173" s="45"/>
      <c r="GD173" s="45"/>
      <c r="GE173" s="37"/>
      <c r="GF173" s="45"/>
      <c r="GG173" s="45"/>
      <c r="GH173" s="37"/>
      <c r="GI173" s="45"/>
      <c r="GJ173" s="45"/>
      <c r="GK173" s="37"/>
      <c r="GL173" s="45"/>
      <c r="GM173" s="45"/>
      <c r="GN173" s="37"/>
      <c r="GO173" s="45"/>
      <c r="HE173" s="56"/>
    </row>
    <row r="174" ht="12.0" customHeight="1">
      <c r="A174" s="37"/>
      <c r="D174" s="37"/>
      <c r="E174" s="37"/>
      <c r="I174" s="37"/>
      <c r="M174" s="37"/>
      <c r="Q174" s="37"/>
      <c r="U174" s="37"/>
      <c r="Y174" s="37"/>
      <c r="AC174" s="37"/>
      <c r="AG174" s="37"/>
      <c r="AK174" s="37"/>
      <c r="AN174" s="37"/>
      <c r="AQ174" s="37"/>
      <c r="AT174" s="37"/>
      <c r="AW174" s="37"/>
      <c r="AZ174" s="37"/>
      <c r="BC174" s="37"/>
      <c r="BF174" s="37"/>
      <c r="BG174" s="45"/>
      <c r="BH174" s="45"/>
      <c r="BI174" s="37"/>
      <c r="BJ174" s="45"/>
      <c r="BK174" s="45"/>
      <c r="BL174" s="37"/>
      <c r="BM174" s="45"/>
      <c r="BN174" s="45"/>
      <c r="BO174" s="37"/>
      <c r="BP174" s="45"/>
      <c r="BQ174" s="45"/>
      <c r="BR174" s="37"/>
      <c r="BS174" s="45"/>
      <c r="BT174" s="45"/>
      <c r="BU174" s="37"/>
      <c r="BV174" s="45"/>
      <c r="BW174" s="45"/>
      <c r="BX174" s="37"/>
      <c r="BY174" s="45"/>
      <c r="BZ174" s="45"/>
      <c r="CA174" s="37"/>
      <c r="CB174" s="45"/>
      <c r="CC174" s="45"/>
      <c r="CD174" s="37"/>
      <c r="CE174" s="45"/>
      <c r="CF174" s="45"/>
      <c r="CG174" s="37"/>
      <c r="CH174" s="45"/>
      <c r="CI174" s="45"/>
      <c r="CJ174" s="37"/>
      <c r="CK174" s="45"/>
      <c r="CL174" s="45"/>
      <c r="CM174" s="37"/>
      <c r="CN174" s="45"/>
      <c r="CO174" s="45"/>
      <c r="CP174" s="37"/>
      <c r="CQ174" s="45"/>
      <c r="CR174" s="45"/>
      <c r="CS174" s="37"/>
      <c r="CT174" s="45"/>
      <c r="CU174" s="45"/>
      <c r="CV174" s="37"/>
      <c r="CW174" s="45"/>
      <c r="CX174" s="45"/>
      <c r="CY174" s="37"/>
      <c r="CZ174" s="45"/>
      <c r="DB174" s="37"/>
      <c r="DE174" s="37"/>
      <c r="DH174" s="37"/>
      <c r="DK174" s="37"/>
      <c r="DN174" s="37"/>
      <c r="DQ174" s="37"/>
      <c r="DT174" s="37"/>
      <c r="DW174" s="37"/>
      <c r="DZ174" s="37"/>
      <c r="EC174" s="37"/>
      <c r="EF174" s="37"/>
      <c r="EI174" s="37"/>
      <c r="EL174" s="37"/>
      <c r="EO174" s="37"/>
      <c r="ER174" s="37"/>
      <c r="EU174" s="37"/>
      <c r="EV174" s="45"/>
      <c r="EW174" s="45"/>
      <c r="EX174" s="37"/>
      <c r="EY174" s="45"/>
      <c r="EZ174" s="45"/>
      <c r="FA174" s="37"/>
      <c r="FB174" s="45"/>
      <c r="FC174" s="45"/>
      <c r="FD174" s="37"/>
      <c r="FE174" s="45"/>
      <c r="FF174" s="45"/>
      <c r="FG174" s="37"/>
      <c r="FH174" s="45"/>
      <c r="FI174" s="45"/>
      <c r="FJ174" s="37"/>
      <c r="FK174" s="45"/>
      <c r="FL174" s="45"/>
      <c r="FM174" s="37"/>
      <c r="FN174" s="45"/>
      <c r="FO174" s="45"/>
      <c r="FP174" s="37"/>
      <c r="FQ174" s="45"/>
      <c r="FR174" s="45"/>
      <c r="FS174" s="37"/>
      <c r="FT174" s="45"/>
      <c r="FU174" s="45"/>
      <c r="FV174" s="37"/>
      <c r="FW174" s="45"/>
      <c r="FX174" s="45"/>
      <c r="FY174" s="37"/>
      <c r="FZ174" s="45"/>
      <c r="GA174" s="45"/>
      <c r="GB174" s="37"/>
      <c r="GC174" s="45"/>
      <c r="GD174" s="45"/>
      <c r="GE174" s="37"/>
      <c r="GF174" s="45"/>
      <c r="GG174" s="45"/>
      <c r="GH174" s="37"/>
      <c r="GI174" s="45"/>
      <c r="GJ174" s="45"/>
      <c r="GK174" s="37"/>
      <c r="GL174" s="45"/>
      <c r="GM174" s="45"/>
      <c r="GN174" s="37"/>
      <c r="GO174" s="45"/>
      <c r="HE174" s="56"/>
    </row>
    <row r="175" ht="12.0" customHeight="1">
      <c r="A175" s="37"/>
      <c r="D175" s="37"/>
      <c r="E175" s="37"/>
      <c r="I175" s="37"/>
      <c r="M175" s="37"/>
      <c r="Q175" s="37"/>
      <c r="U175" s="37"/>
      <c r="Y175" s="37"/>
      <c r="AC175" s="37"/>
      <c r="AG175" s="37"/>
      <c r="AK175" s="37"/>
      <c r="AN175" s="37"/>
      <c r="AQ175" s="37"/>
      <c r="AT175" s="37"/>
      <c r="AW175" s="37"/>
      <c r="AZ175" s="37"/>
      <c r="BC175" s="37"/>
      <c r="BF175" s="37"/>
      <c r="BG175" s="45"/>
      <c r="BH175" s="45"/>
      <c r="BI175" s="37"/>
      <c r="BJ175" s="45"/>
      <c r="BK175" s="45"/>
      <c r="BL175" s="37"/>
      <c r="BM175" s="45"/>
      <c r="BN175" s="45"/>
      <c r="BO175" s="37"/>
      <c r="BP175" s="45"/>
      <c r="BQ175" s="45"/>
      <c r="BR175" s="37"/>
      <c r="BS175" s="45"/>
      <c r="BT175" s="45"/>
      <c r="BU175" s="37"/>
      <c r="BV175" s="45"/>
      <c r="BW175" s="45"/>
      <c r="BX175" s="37"/>
      <c r="BY175" s="45"/>
      <c r="BZ175" s="45"/>
      <c r="CA175" s="37"/>
      <c r="CB175" s="45"/>
      <c r="CC175" s="45"/>
      <c r="CD175" s="37"/>
      <c r="CE175" s="45"/>
      <c r="CF175" s="45"/>
      <c r="CG175" s="37"/>
      <c r="CH175" s="45"/>
      <c r="CI175" s="45"/>
      <c r="CJ175" s="37"/>
      <c r="CK175" s="45"/>
      <c r="CL175" s="45"/>
      <c r="CM175" s="37"/>
      <c r="CN175" s="45"/>
      <c r="CO175" s="45"/>
      <c r="CP175" s="37"/>
      <c r="CQ175" s="45"/>
      <c r="CR175" s="45"/>
      <c r="CS175" s="37"/>
      <c r="CT175" s="45"/>
      <c r="CU175" s="45"/>
      <c r="CV175" s="37"/>
      <c r="CW175" s="45"/>
      <c r="CX175" s="45"/>
      <c r="CY175" s="37"/>
      <c r="CZ175" s="45"/>
      <c r="DB175" s="37"/>
      <c r="DE175" s="37"/>
      <c r="DH175" s="37"/>
      <c r="DK175" s="37"/>
      <c r="DN175" s="37"/>
      <c r="DQ175" s="37"/>
      <c r="DT175" s="37"/>
      <c r="DW175" s="37"/>
      <c r="DZ175" s="37"/>
      <c r="EC175" s="37"/>
      <c r="EF175" s="37"/>
      <c r="EI175" s="37"/>
      <c r="EL175" s="37"/>
      <c r="EO175" s="37"/>
      <c r="ER175" s="37"/>
      <c r="EU175" s="37"/>
      <c r="EV175" s="45"/>
      <c r="EW175" s="45"/>
      <c r="EX175" s="37"/>
      <c r="EY175" s="45"/>
      <c r="EZ175" s="45"/>
      <c r="FA175" s="37"/>
      <c r="FB175" s="45"/>
      <c r="FC175" s="45"/>
      <c r="FD175" s="37"/>
      <c r="FE175" s="45"/>
      <c r="FF175" s="45"/>
      <c r="FG175" s="37"/>
      <c r="FH175" s="45"/>
      <c r="FI175" s="45"/>
      <c r="FJ175" s="37"/>
      <c r="FK175" s="45"/>
      <c r="FL175" s="45"/>
      <c r="FM175" s="37"/>
      <c r="FN175" s="45"/>
      <c r="FO175" s="45"/>
      <c r="FP175" s="37"/>
      <c r="FQ175" s="45"/>
      <c r="FR175" s="45"/>
      <c r="FS175" s="37"/>
      <c r="FT175" s="45"/>
      <c r="FU175" s="45"/>
      <c r="FV175" s="37"/>
      <c r="FW175" s="45"/>
      <c r="FX175" s="45"/>
      <c r="FY175" s="37"/>
      <c r="FZ175" s="45"/>
      <c r="GA175" s="45"/>
      <c r="GB175" s="37"/>
      <c r="GC175" s="45"/>
      <c r="GD175" s="45"/>
      <c r="GE175" s="37"/>
      <c r="GF175" s="45"/>
      <c r="GG175" s="45"/>
      <c r="GH175" s="37"/>
      <c r="GI175" s="45"/>
      <c r="GJ175" s="45"/>
      <c r="GK175" s="37"/>
      <c r="GL175" s="45"/>
      <c r="GM175" s="45"/>
      <c r="GN175" s="37"/>
      <c r="GO175" s="45"/>
      <c r="HE175" s="56"/>
    </row>
    <row r="176" ht="12.0" customHeight="1">
      <c r="A176" s="37"/>
      <c r="D176" s="37"/>
      <c r="E176" s="37"/>
      <c r="I176" s="37"/>
      <c r="M176" s="37"/>
      <c r="Q176" s="37"/>
      <c r="U176" s="37"/>
      <c r="Y176" s="37"/>
      <c r="AC176" s="37"/>
      <c r="AG176" s="37"/>
      <c r="AK176" s="37"/>
      <c r="AN176" s="37"/>
      <c r="AQ176" s="37"/>
      <c r="AT176" s="37"/>
      <c r="AW176" s="37"/>
      <c r="AZ176" s="37"/>
      <c r="BC176" s="37"/>
      <c r="BF176" s="37"/>
      <c r="BG176" s="45"/>
      <c r="BH176" s="45"/>
      <c r="BI176" s="37"/>
      <c r="BJ176" s="45"/>
      <c r="BK176" s="45"/>
      <c r="BL176" s="37"/>
      <c r="BM176" s="45"/>
      <c r="BN176" s="45"/>
      <c r="BO176" s="37"/>
      <c r="BP176" s="45"/>
      <c r="BQ176" s="45"/>
      <c r="BR176" s="37"/>
      <c r="BS176" s="45"/>
      <c r="BT176" s="45"/>
      <c r="BU176" s="37"/>
      <c r="BV176" s="45"/>
      <c r="BW176" s="45"/>
      <c r="BX176" s="37"/>
      <c r="BY176" s="45"/>
      <c r="BZ176" s="45"/>
      <c r="CA176" s="37"/>
      <c r="CB176" s="45"/>
      <c r="CC176" s="45"/>
      <c r="CD176" s="37"/>
      <c r="CE176" s="45"/>
      <c r="CF176" s="45"/>
      <c r="CG176" s="37"/>
      <c r="CH176" s="45"/>
      <c r="CI176" s="45"/>
      <c r="CJ176" s="37"/>
      <c r="CK176" s="45"/>
      <c r="CL176" s="45"/>
      <c r="CM176" s="37"/>
      <c r="CN176" s="45"/>
      <c r="CO176" s="45"/>
      <c r="CP176" s="37"/>
      <c r="CQ176" s="45"/>
      <c r="CR176" s="45"/>
      <c r="CS176" s="37"/>
      <c r="CT176" s="45"/>
      <c r="CU176" s="45"/>
      <c r="CV176" s="37"/>
      <c r="CW176" s="45"/>
      <c r="CX176" s="45"/>
      <c r="CY176" s="37"/>
      <c r="CZ176" s="45"/>
      <c r="DB176" s="37"/>
      <c r="DE176" s="37"/>
      <c r="DH176" s="37"/>
      <c r="DK176" s="37"/>
      <c r="DN176" s="37"/>
      <c r="DQ176" s="37"/>
      <c r="DT176" s="37"/>
      <c r="DW176" s="37"/>
      <c r="DZ176" s="37"/>
      <c r="EC176" s="37"/>
      <c r="EF176" s="37"/>
      <c r="EI176" s="37"/>
      <c r="EL176" s="37"/>
      <c r="EO176" s="37"/>
      <c r="ER176" s="37"/>
      <c r="EU176" s="37"/>
      <c r="EV176" s="45"/>
      <c r="EW176" s="45"/>
      <c r="EX176" s="37"/>
      <c r="EY176" s="45"/>
      <c r="EZ176" s="45"/>
      <c r="FA176" s="37"/>
      <c r="FB176" s="45"/>
      <c r="FC176" s="45"/>
      <c r="FD176" s="37"/>
      <c r="FE176" s="45"/>
      <c r="FF176" s="45"/>
      <c r="FG176" s="37"/>
      <c r="FH176" s="45"/>
      <c r="FI176" s="45"/>
      <c r="FJ176" s="37"/>
      <c r="FK176" s="45"/>
      <c r="FL176" s="45"/>
      <c r="FM176" s="37"/>
      <c r="FN176" s="45"/>
      <c r="FO176" s="45"/>
      <c r="FP176" s="37"/>
      <c r="FQ176" s="45"/>
      <c r="FR176" s="45"/>
      <c r="FS176" s="37"/>
      <c r="FT176" s="45"/>
      <c r="FU176" s="45"/>
      <c r="FV176" s="37"/>
      <c r="FW176" s="45"/>
      <c r="FX176" s="45"/>
      <c r="FY176" s="37"/>
      <c r="FZ176" s="45"/>
      <c r="GA176" s="45"/>
      <c r="GB176" s="37"/>
      <c r="GC176" s="45"/>
      <c r="GD176" s="45"/>
      <c r="GE176" s="37"/>
      <c r="GF176" s="45"/>
      <c r="GG176" s="45"/>
      <c r="GH176" s="37"/>
      <c r="GI176" s="45"/>
      <c r="GJ176" s="45"/>
      <c r="GK176" s="37"/>
      <c r="GL176" s="45"/>
      <c r="GM176" s="45"/>
      <c r="GN176" s="37"/>
      <c r="GO176" s="45"/>
      <c r="HE176" s="56"/>
    </row>
    <row r="177" ht="12.0" customHeight="1">
      <c r="A177" s="37"/>
      <c r="D177" s="37"/>
      <c r="E177" s="37"/>
      <c r="I177" s="37"/>
      <c r="M177" s="37"/>
      <c r="Q177" s="37"/>
      <c r="U177" s="37"/>
      <c r="Y177" s="37"/>
      <c r="AC177" s="37"/>
      <c r="AG177" s="37"/>
      <c r="AK177" s="37"/>
      <c r="AN177" s="37"/>
      <c r="AQ177" s="37"/>
      <c r="AT177" s="37"/>
      <c r="AW177" s="37"/>
      <c r="AZ177" s="37"/>
      <c r="BC177" s="37"/>
      <c r="BF177" s="37"/>
      <c r="BG177" s="45"/>
      <c r="BH177" s="45"/>
      <c r="BI177" s="37"/>
      <c r="BJ177" s="45"/>
      <c r="BK177" s="45"/>
      <c r="BL177" s="37"/>
      <c r="BM177" s="45"/>
      <c r="BN177" s="45"/>
      <c r="BO177" s="37"/>
      <c r="BP177" s="45"/>
      <c r="BQ177" s="45"/>
      <c r="BR177" s="37"/>
      <c r="BS177" s="45"/>
      <c r="BT177" s="45"/>
      <c r="BU177" s="37"/>
      <c r="BV177" s="45"/>
      <c r="BW177" s="45"/>
      <c r="BX177" s="37"/>
      <c r="BY177" s="45"/>
      <c r="BZ177" s="45"/>
      <c r="CA177" s="37"/>
      <c r="CB177" s="45"/>
      <c r="CC177" s="45"/>
      <c r="CD177" s="37"/>
      <c r="CE177" s="45"/>
      <c r="CF177" s="45"/>
      <c r="CG177" s="37"/>
      <c r="CH177" s="45"/>
      <c r="CI177" s="45"/>
      <c r="CJ177" s="37"/>
      <c r="CK177" s="45"/>
      <c r="CL177" s="45"/>
      <c r="CM177" s="37"/>
      <c r="CN177" s="45"/>
      <c r="CO177" s="45"/>
      <c r="CP177" s="37"/>
      <c r="CQ177" s="45"/>
      <c r="CR177" s="45"/>
      <c r="CS177" s="37"/>
      <c r="CT177" s="45"/>
      <c r="CU177" s="45"/>
      <c r="CV177" s="37"/>
      <c r="CW177" s="45"/>
      <c r="CX177" s="45"/>
      <c r="CY177" s="37"/>
      <c r="CZ177" s="45"/>
      <c r="DB177" s="37"/>
      <c r="DE177" s="37"/>
      <c r="DH177" s="37"/>
      <c r="DK177" s="37"/>
      <c r="DN177" s="37"/>
      <c r="DQ177" s="37"/>
      <c r="DT177" s="37"/>
      <c r="DW177" s="37"/>
      <c r="DZ177" s="37"/>
      <c r="EC177" s="37"/>
      <c r="EF177" s="37"/>
      <c r="EI177" s="37"/>
      <c r="EL177" s="37"/>
      <c r="EO177" s="37"/>
      <c r="ER177" s="37"/>
      <c r="EU177" s="37"/>
      <c r="EV177" s="45"/>
      <c r="EW177" s="45"/>
      <c r="EX177" s="37"/>
      <c r="EY177" s="45"/>
      <c r="EZ177" s="45"/>
      <c r="FA177" s="37"/>
      <c r="FB177" s="45"/>
      <c r="FC177" s="45"/>
      <c r="FD177" s="37"/>
      <c r="FE177" s="45"/>
      <c r="FF177" s="45"/>
      <c r="FG177" s="37"/>
      <c r="FH177" s="45"/>
      <c r="FI177" s="45"/>
      <c r="FJ177" s="37"/>
      <c r="FK177" s="45"/>
      <c r="FL177" s="45"/>
      <c r="FM177" s="37"/>
      <c r="FN177" s="45"/>
      <c r="FO177" s="45"/>
      <c r="FP177" s="37"/>
      <c r="FQ177" s="45"/>
      <c r="FR177" s="45"/>
      <c r="FS177" s="37"/>
      <c r="FT177" s="45"/>
      <c r="FU177" s="45"/>
      <c r="FV177" s="37"/>
      <c r="FW177" s="45"/>
      <c r="FX177" s="45"/>
      <c r="FY177" s="37"/>
      <c r="FZ177" s="45"/>
      <c r="GA177" s="45"/>
      <c r="GB177" s="37"/>
      <c r="GC177" s="45"/>
      <c r="GD177" s="45"/>
      <c r="GE177" s="37"/>
      <c r="GF177" s="45"/>
      <c r="GG177" s="45"/>
      <c r="GH177" s="37"/>
      <c r="GI177" s="45"/>
      <c r="GJ177" s="45"/>
      <c r="GK177" s="37"/>
      <c r="GL177" s="45"/>
      <c r="GM177" s="45"/>
      <c r="GN177" s="37"/>
      <c r="GO177" s="45"/>
      <c r="HE177" s="56"/>
    </row>
    <row r="178" ht="12.0" customHeight="1">
      <c r="A178" s="37"/>
      <c r="D178" s="37"/>
      <c r="E178" s="37"/>
      <c r="I178" s="37"/>
      <c r="M178" s="37"/>
      <c r="Q178" s="37"/>
      <c r="U178" s="37"/>
      <c r="Y178" s="37"/>
      <c r="AC178" s="37"/>
      <c r="AG178" s="37"/>
      <c r="AK178" s="37"/>
      <c r="AN178" s="37"/>
      <c r="AQ178" s="37"/>
      <c r="AT178" s="37"/>
      <c r="AW178" s="37"/>
      <c r="AZ178" s="37"/>
      <c r="BC178" s="37"/>
      <c r="BF178" s="37"/>
      <c r="BG178" s="45"/>
      <c r="BH178" s="45"/>
      <c r="BI178" s="37"/>
      <c r="BJ178" s="45"/>
      <c r="BK178" s="45"/>
      <c r="BL178" s="37"/>
      <c r="BM178" s="45"/>
      <c r="BN178" s="45"/>
      <c r="BO178" s="37"/>
      <c r="BP178" s="45"/>
      <c r="BQ178" s="45"/>
      <c r="BR178" s="37"/>
      <c r="BS178" s="45"/>
      <c r="BT178" s="45"/>
      <c r="BU178" s="37"/>
      <c r="BV178" s="45"/>
      <c r="BW178" s="45"/>
      <c r="BX178" s="37"/>
      <c r="BY178" s="45"/>
      <c r="BZ178" s="45"/>
      <c r="CA178" s="37"/>
      <c r="CB178" s="45"/>
      <c r="CC178" s="45"/>
      <c r="CD178" s="37"/>
      <c r="CE178" s="45"/>
      <c r="CF178" s="45"/>
      <c r="CG178" s="37"/>
      <c r="CH178" s="45"/>
      <c r="CI178" s="45"/>
      <c r="CJ178" s="37"/>
      <c r="CK178" s="45"/>
      <c r="CL178" s="45"/>
      <c r="CM178" s="37"/>
      <c r="CN178" s="45"/>
      <c r="CO178" s="45"/>
      <c r="CP178" s="37"/>
      <c r="CQ178" s="45"/>
      <c r="CR178" s="45"/>
      <c r="CS178" s="37"/>
      <c r="CT178" s="45"/>
      <c r="CU178" s="45"/>
      <c r="CV178" s="37"/>
      <c r="CW178" s="45"/>
      <c r="CX178" s="45"/>
      <c r="CY178" s="37"/>
      <c r="CZ178" s="45"/>
      <c r="DB178" s="37"/>
      <c r="DE178" s="37"/>
      <c r="DH178" s="37"/>
      <c r="DK178" s="37"/>
      <c r="DN178" s="37"/>
      <c r="DQ178" s="37"/>
      <c r="DT178" s="37"/>
      <c r="DW178" s="37"/>
      <c r="DZ178" s="37"/>
      <c r="EC178" s="37"/>
      <c r="EF178" s="37"/>
      <c r="EI178" s="37"/>
      <c r="EL178" s="37"/>
      <c r="EO178" s="37"/>
      <c r="ER178" s="37"/>
      <c r="EU178" s="37"/>
      <c r="EV178" s="45"/>
      <c r="EW178" s="45"/>
      <c r="EX178" s="37"/>
      <c r="EY178" s="45"/>
      <c r="EZ178" s="45"/>
      <c r="FA178" s="37"/>
      <c r="FB178" s="45"/>
      <c r="FC178" s="45"/>
      <c r="FD178" s="37"/>
      <c r="FE178" s="45"/>
      <c r="FF178" s="45"/>
      <c r="FG178" s="37"/>
      <c r="FH178" s="45"/>
      <c r="FI178" s="45"/>
      <c r="FJ178" s="37"/>
      <c r="FK178" s="45"/>
      <c r="FL178" s="45"/>
      <c r="FM178" s="37"/>
      <c r="FN178" s="45"/>
      <c r="FO178" s="45"/>
      <c r="FP178" s="37"/>
      <c r="FQ178" s="45"/>
      <c r="FR178" s="45"/>
      <c r="FS178" s="37"/>
      <c r="FT178" s="45"/>
      <c r="FU178" s="45"/>
      <c r="FV178" s="37"/>
      <c r="FW178" s="45"/>
      <c r="FX178" s="45"/>
      <c r="FY178" s="37"/>
      <c r="FZ178" s="45"/>
      <c r="GA178" s="45"/>
      <c r="GB178" s="37"/>
      <c r="GC178" s="45"/>
      <c r="GD178" s="45"/>
      <c r="GE178" s="37"/>
      <c r="GF178" s="45"/>
      <c r="GG178" s="45"/>
      <c r="GH178" s="37"/>
      <c r="GI178" s="45"/>
      <c r="GJ178" s="45"/>
      <c r="GK178" s="37"/>
      <c r="GL178" s="45"/>
      <c r="GM178" s="45"/>
      <c r="GN178" s="37"/>
      <c r="GO178" s="45"/>
      <c r="HE178" s="56"/>
    </row>
    <row r="179" ht="12.0" customHeight="1">
      <c r="A179" s="37"/>
      <c r="D179" s="37"/>
      <c r="E179" s="37"/>
      <c r="I179" s="37"/>
      <c r="M179" s="37"/>
      <c r="Q179" s="37"/>
      <c r="U179" s="37"/>
      <c r="Y179" s="37"/>
      <c r="AC179" s="37"/>
      <c r="AG179" s="37"/>
      <c r="AK179" s="37"/>
      <c r="AN179" s="37"/>
      <c r="AQ179" s="37"/>
      <c r="AT179" s="37"/>
      <c r="AW179" s="37"/>
      <c r="AZ179" s="37"/>
      <c r="BC179" s="37"/>
      <c r="BF179" s="37"/>
      <c r="BG179" s="45"/>
      <c r="BH179" s="45"/>
      <c r="BI179" s="37"/>
      <c r="BJ179" s="45"/>
      <c r="BK179" s="45"/>
      <c r="BL179" s="37"/>
      <c r="BM179" s="45"/>
      <c r="BN179" s="45"/>
      <c r="BO179" s="37"/>
      <c r="BP179" s="45"/>
      <c r="BQ179" s="45"/>
      <c r="BR179" s="37"/>
      <c r="BS179" s="45"/>
      <c r="BT179" s="45"/>
      <c r="BU179" s="37"/>
      <c r="BV179" s="45"/>
      <c r="BW179" s="45"/>
      <c r="BX179" s="37"/>
      <c r="BY179" s="45"/>
      <c r="BZ179" s="45"/>
      <c r="CA179" s="37"/>
      <c r="CB179" s="45"/>
      <c r="CC179" s="45"/>
      <c r="CD179" s="37"/>
      <c r="CE179" s="45"/>
      <c r="CF179" s="45"/>
      <c r="CG179" s="37"/>
      <c r="CH179" s="45"/>
      <c r="CI179" s="45"/>
      <c r="CJ179" s="37"/>
      <c r="CK179" s="45"/>
      <c r="CL179" s="45"/>
      <c r="CM179" s="37"/>
      <c r="CN179" s="45"/>
      <c r="CO179" s="45"/>
      <c r="CP179" s="37"/>
      <c r="CQ179" s="45"/>
      <c r="CR179" s="45"/>
      <c r="CS179" s="37"/>
      <c r="CT179" s="45"/>
      <c r="CU179" s="45"/>
      <c r="CV179" s="37"/>
      <c r="CW179" s="45"/>
      <c r="CX179" s="45"/>
      <c r="CY179" s="37"/>
      <c r="CZ179" s="45"/>
      <c r="DB179" s="37"/>
      <c r="DE179" s="37"/>
      <c r="DH179" s="37"/>
      <c r="DK179" s="37"/>
      <c r="DN179" s="37"/>
      <c r="DQ179" s="37"/>
      <c r="DT179" s="37"/>
      <c r="DW179" s="37"/>
      <c r="DZ179" s="37"/>
      <c r="EC179" s="37"/>
      <c r="EF179" s="37"/>
      <c r="EI179" s="37"/>
      <c r="EL179" s="37"/>
      <c r="EO179" s="37"/>
      <c r="ER179" s="37"/>
      <c r="EU179" s="37"/>
      <c r="EV179" s="45"/>
      <c r="EW179" s="45"/>
      <c r="EX179" s="37"/>
      <c r="EY179" s="45"/>
      <c r="EZ179" s="45"/>
      <c r="FA179" s="37"/>
      <c r="FB179" s="45"/>
      <c r="FC179" s="45"/>
      <c r="FD179" s="37"/>
      <c r="FE179" s="45"/>
      <c r="FF179" s="45"/>
      <c r="FG179" s="37"/>
      <c r="FH179" s="45"/>
      <c r="FI179" s="45"/>
      <c r="FJ179" s="37"/>
      <c r="FK179" s="45"/>
      <c r="FL179" s="45"/>
      <c r="FM179" s="37"/>
      <c r="FN179" s="45"/>
      <c r="FO179" s="45"/>
      <c r="FP179" s="37"/>
      <c r="FQ179" s="45"/>
      <c r="FR179" s="45"/>
      <c r="FS179" s="37"/>
      <c r="FT179" s="45"/>
      <c r="FU179" s="45"/>
      <c r="FV179" s="37"/>
      <c r="FW179" s="45"/>
      <c r="FX179" s="45"/>
      <c r="FY179" s="37"/>
      <c r="FZ179" s="45"/>
      <c r="GA179" s="45"/>
      <c r="GB179" s="37"/>
      <c r="GC179" s="45"/>
      <c r="GD179" s="45"/>
      <c r="GE179" s="37"/>
      <c r="GF179" s="45"/>
      <c r="GG179" s="45"/>
      <c r="GH179" s="37"/>
      <c r="GI179" s="45"/>
      <c r="GJ179" s="45"/>
      <c r="GK179" s="37"/>
      <c r="GL179" s="45"/>
      <c r="GM179" s="45"/>
      <c r="GN179" s="37"/>
      <c r="GO179" s="45"/>
      <c r="HE179" s="56"/>
    </row>
    <row r="180" ht="12.0" customHeight="1">
      <c r="A180" s="37"/>
      <c r="D180" s="37"/>
      <c r="E180" s="37"/>
      <c r="I180" s="37"/>
      <c r="M180" s="37"/>
      <c r="Q180" s="37"/>
      <c r="U180" s="37"/>
      <c r="Y180" s="37"/>
      <c r="AC180" s="37"/>
      <c r="AG180" s="37"/>
      <c r="AK180" s="37"/>
      <c r="AN180" s="37"/>
      <c r="AQ180" s="37"/>
      <c r="AT180" s="37"/>
      <c r="AW180" s="37"/>
      <c r="AZ180" s="37"/>
      <c r="BC180" s="37"/>
      <c r="BF180" s="37"/>
      <c r="BG180" s="45"/>
      <c r="BH180" s="45"/>
      <c r="BI180" s="37"/>
      <c r="BJ180" s="45"/>
      <c r="BK180" s="45"/>
      <c r="BL180" s="37"/>
      <c r="BM180" s="45"/>
      <c r="BN180" s="45"/>
      <c r="BO180" s="37"/>
      <c r="BP180" s="45"/>
      <c r="BQ180" s="45"/>
      <c r="BR180" s="37"/>
      <c r="BS180" s="45"/>
      <c r="BT180" s="45"/>
      <c r="BU180" s="37"/>
      <c r="BV180" s="45"/>
      <c r="BW180" s="45"/>
      <c r="BX180" s="37"/>
      <c r="BY180" s="45"/>
      <c r="BZ180" s="45"/>
      <c r="CA180" s="37"/>
      <c r="CB180" s="45"/>
      <c r="CC180" s="45"/>
      <c r="CD180" s="37"/>
      <c r="CE180" s="45"/>
      <c r="CF180" s="45"/>
      <c r="CG180" s="37"/>
      <c r="CH180" s="45"/>
      <c r="CI180" s="45"/>
      <c r="CJ180" s="37"/>
      <c r="CK180" s="45"/>
      <c r="CL180" s="45"/>
      <c r="CM180" s="37"/>
      <c r="CN180" s="45"/>
      <c r="CO180" s="45"/>
      <c r="CP180" s="37"/>
      <c r="CQ180" s="45"/>
      <c r="CR180" s="45"/>
      <c r="CS180" s="37"/>
      <c r="CT180" s="45"/>
      <c r="CU180" s="45"/>
      <c r="CV180" s="37"/>
      <c r="CW180" s="45"/>
      <c r="CX180" s="45"/>
      <c r="CY180" s="37"/>
      <c r="CZ180" s="45"/>
      <c r="DB180" s="37"/>
      <c r="DE180" s="37"/>
      <c r="DH180" s="37"/>
      <c r="DK180" s="37"/>
      <c r="DN180" s="37"/>
      <c r="DQ180" s="37"/>
      <c r="DT180" s="37"/>
      <c r="DW180" s="37"/>
      <c r="DZ180" s="37"/>
      <c r="EC180" s="37"/>
      <c r="EF180" s="37"/>
      <c r="EI180" s="37"/>
      <c r="EL180" s="37"/>
      <c r="EO180" s="37"/>
      <c r="ER180" s="37"/>
      <c r="EU180" s="37"/>
      <c r="EV180" s="45"/>
      <c r="EW180" s="45"/>
      <c r="EX180" s="37"/>
      <c r="EY180" s="45"/>
      <c r="EZ180" s="45"/>
      <c r="FA180" s="37"/>
      <c r="FB180" s="45"/>
      <c r="FC180" s="45"/>
      <c r="FD180" s="37"/>
      <c r="FE180" s="45"/>
      <c r="FF180" s="45"/>
      <c r="FG180" s="37"/>
      <c r="FH180" s="45"/>
      <c r="FI180" s="45"/>
      <c r="FJ180" s="37"/>
      <c r="FK180" s="45"/>
      <c r="FL180" s="45"/>
      <c r="FM180" s="37"/>
      <c r="FN180" s="45"/>
      <c r="FO180" s="45"/>
      <c r="FP180" s="37"/>
      <c r="FQ180" s="45"/>
      <c r="FR180" s="45"/>
      <c r="FS180" s="37"/>
      <c r="FT180" s="45"/>
      <c r="FU180" s="45"/>
      <c r="FV180" s="37"/>
      <c r="FW180" s="45"/>
      <c r="FX180" s="45"/>
      <c r="FY180" s="37"/>
      <c r="FZ180" s="45"/>
      <c r="GA180" s="45"/>
      <c r="GB180" s="37"/>
      <c r="GC180" s="45"/>
      <c r="GD180" s="45"/>
      <c r="GE180" s="37"/>
      <c r="GF180" s="45"/>
      <c r="GG180" s="45"/>
      <c r="GH180" s="37"/>
      <c r="GI180" s="45"/>
      <c r="GJ180" s="45"/>
      <c r="GK180" s="37"/>
      <c r="GL180" s="45"/>
      <c r="GM180" s="45"/>
      <c r="GN180" s="37"/>
      <c r="GO180" s="45"/>
      <c r="HE180" s="56"/>
    </row>
    <row r="181" ht="12.0" customHeight="1">
      <c r="A181" s="37"/>
      <c r="D181" s="37"/>
      <c r="E181" s="37"/>
      <c r="I181" s="37"/>
      <c r="M181" s="37"/>
      <c r="Q181" s="37"/>
      <c r="U181" s="37"/>
      <c r="Y181" s="37"/>
      <c r="AC181" s="37"/>
      <c r="AG181" s="37"/>
      <c r="AK181" s="37"/>
      <c r="AN181" s="37"/>
      <c r="AQ181" s="37"/>
      <c r="AT181" s="37"/>
      <c r="AW181" s="37"/>
      <c r="AZ181" s="37"/>
      <c r="BC181" s="37"/>
      <c r="BF181" s="37"/>
      <c r="BG181" s="45"/>
      <c r="BH181" s="45"/>
      <c r="BI181" s="37"/>
      <c r="BJ181" s="45"/>
      <c r="BK181" s="45"/>
      <c r="BL181" s="37"/>
      <c r="BM181" s="45"/>
      <c r="BN181" s="45"/>
      <c r="BO181" s="37"/>
      <c r="BP181" s="45"/>
      <c r="BQ181" s="45"/>
      <c r="BR181" s="37"/>
      <c r="BS181" s="45"/>
      <c r="BT181" s="45"/>
      <c r="BU181" s="37"/>
      <c r="BV181" s="45"/>
      <c r="BW181" s="45"/>
      <c r="BX181" s="37"/>
      <c r="BY181" s="45"/>
      <c r="BZ181" s="45"/>
      <c r="CA181" s="37"/>
      <c r="CB181" s="45"/>
      <c r="CC181" s="45"/>
      <c r="CD181" s="37"/>
      <c r="CE181" s="45"/>
      <c r="CF181" s="45"/>
      <c r="CG181" s="37"/>
      <c r="CH181" s="45"/>
      <c r="CI181" s="45"/>
      <c r="CJ181" s="37"/>
      <c r="CK181" s="45"/>
      <c r="CL181" s="45"/>
      <c r="CM181" s="37"/>
      <c r="CN181" s="45"/>
      <c r="CO181" s="45"/>
      <c r="CP181" s="37"/>
      <c r="CQ181" s="45"/>
      <c r="CR181" s="45"/>
      <c r="CS181" s="37"/>
      <c r="CT181" s="45"/>
      <c r="CU181" s="45"/>
      <c r="CV181" s="37"/>
      <c r="CW181" s="45"/>
      <c r="CX181" s="45"/>
      <c r="CY181" s="37"/>
      <c r="CZ181" s="45"/>
      <c r="DB181" s="37"/>
      <c r="DE181" s="37"/>
      <c r="DH181" s="37"/>
      <c r="DK181" s="37"/>
      <c r="DN181" s="37"/>
      <c r="DQ181" s="37"/>
      <c r="DT181" s="37"/>
      <c r="DW181" s="37"/>
      <c r="DZ181" s="37"/>
      <c r="EC181" s="37"/>
      <c r="EF181" s="37"/>
      <c r="EI181" s="37"/>
      <c r="EL181" s="37"/>
      <c r="EO181" s="37"/>
      <c r="ER181" s="37"/>
      <c r="EU181" s="37"/>
      <c r="EV181" s="45"/>
      <c r="EW181" s="45"/>
      <c r="EX181" s="37"/>
      <c r="EY181" s="45"/>
      <c r="EZ181" s="45"/>
      <c r="FA181" s="37"/>
      <c r="FB181" s="45"/>
      <c r="FC181" s="45"/>
      <c r="FD181" s="37"/>
      <c r="FE181" s="45"/>
      <c r="FF181" s="45"/>
      <c r="FG181" s="37"/>
      <c r="FH181" s="45"/>
      <c r="FI181" s="45"/>
      <c r="FJ181" s="37"/>
      <c r="FK181" s="45"/>
      <c r="FL181" s="45"/>
      <c r="FM181" s="37"/>
      <c r="FN181" s="45"/>
      <c r="FO181" s="45"/>
      <c r="FP181" s="37"/>
      <c r="FQ181" s="45"/>
      <c r="FR181" s="45"/>
      <c r="FS181" s="37"/>
      <c r="FT181" s="45"/>
      <c r="FU181" s="45"/>
      <c r="FV181" s="37"/>
      <c r="FW181" s="45"/>
      <c r="FX181" s="45"/>
      <c r="FY181" s="37"/>
      <c r="FZ181" s="45"/>
      <c r="GA181" s="45"/>
      <c r="GB181" s="37"/>
      <c r="GC181" s="45"/>
      <c r="GD181" s="45"/>
      <c r="GE181" s="37"/>
      <c r="GF181" s="45"/>
      <c r="GG181" s="45"/>
      <c r="GH181" s="37"/>
      <c r="GI181" s="45"/>
      <c r="GJ181" s="45"/>
      <c r="GK181" s="37"/>
      <c r="GL181" s="45"/>
      <c r="GM181" s="45"/>
      <c r="GN181" s="37"/>
      <c r="GO181" s="45"/>
      <c r="HE181" s="56"/>
    </row>
    <row r="182" ht="12.0" customHeight="1">
      <c r="A182" s="37"/>
      <c r="D182" s="37"/>
      <c r="E182" s="37"/>
      <c r="I182" s="37"/>
      <c r="M182" s="37"/>
      <c r="Q182" s="37"/>
      <c r="U182" s="37"/>
      <c r="Y182" s="37"/>
      <c r="AC182" s="37"/>
      <c r="AG182" s="37"/>
      <c r="AK182" s="37"/>
      <c r="AN182" s="37"/>
      <c r="AQ182" s="37"/>
      <c r="AT182" s="37"/>
      <c r="AW182" s="37"/>
      <c r="AZ182" s="37"/>
      <c r="BC182" s="37"/>
      <c r="BF182" s="37"/>
      <c r="BG182" s="45"/>
      <c r="BH182" s="45"/>
      <c r="BI182" s="37"/>
      <c r="BJ182" s="45"/>
      <c r="BK182" s="45"/>
      <c r="BL182" s="37"/>
      <c r="BM182" s="45"/>
      <c r="BN182" s="45"/>
      <c r="BO182" s="37"/>
      <c r="BP182" s="45"/>
      <c r="BQ182" s="45"/>
      <c r="BR182" s="37"/>
      <c r="BS182" s="45"/>
      <c r="BT182" s="45"/>
      <c r="BU182" s="37"/>
      <c r="BV182" s="45"/>
      <c r="BW182" s="45"/>
      <c r="BX182" s="37"/>
      <c r="BY182" s="45"/>
      <c r="BZ182" s="45"/>
      <c r="CA182" s="37"/>
      <c r="CB182" s="45"/>
      <c r="CC182" s="45"/>
      <c r="CD182" s="37"/>
      <c r="CE182" s="45"/>
      <c r="CF182" s="45"/>
      <c r="CG182" s="37"/>
      <c r="CH182" s="45"/>
      <c r="CI182" s="45"/>
      <c r="CJ182" s="37"/>
      <c r="CK182" s="45"/>
      <c r="CL182" s="45"/>
      <c r="CM182" s="37"/>
      <c r="CN182" s="45"/>
      <c r="CO182" s="45"/>
      <c r="CP182" s="37"/>
      <c r="CQ182" s="45"/>
      <c r="CR182" s="45"/>
      <c r="CS182" s="37"/>
      <c r="CT182" s="45"/>
      <c r="CU182" s="45"/>
      <c r="CV182" s="37"/>
      <c r="CW182" s="45"/>
      <c r="CX182" s="45"/>
      <c r="CY182" s="37"/>
      <c r="CZ182" s="45"/>
      <c r="DB182" s="37"/>
      <c r="DE182" s="37"/>
      <c r="DH182" s="37"/>
      <c r="DK182" s="37"/>
      <c r="DN182" s="37"/>
      <c r="DQ182" s="37"/>
      <c r="DT182" s="37"/>
      <c r="DW182" s="37"/>
      <c r="DZ182" s="37"/>
      <c r="EC182" s="37"/>
      <c r="EF182" s="37"/>
      <c r="EI182" s="37"/>
      <c r="EL182" s="37"/>
      <c r="EO182" s="37"/>
      <c r="ER182" s="37"/>
      <c r="EU182" s="37"/>
      <c r="EV182" s="45"/>
      <c r="EW182" s="45"/>
      <c r="EX182" s="37"/>
      <c r="EY182" s="45"/>
      <c r="EZ182" s="45"/>
      <c r="FA182" s="37"/>
      <c r="FB182" s="45"/>
      <c r="FC182" s="45"/>
      <c r="FD182" s="37"/>
      <c r="FE182" s="45"/>
      <c r="FF182" s="45"/>
      <c r="FG182" s="37"/>
      <c r="FH182" s="45"/>
      <c r="FI182" s="45"/>
      <c r="FJ182" s="37"/>
      <c r="FK182" s="45"/>
      <c r="FL182" s="45"/>
      <c r="FM182" s="37"/>
      <c r="FN182" s="45"/>
      <c r="FO182" s="45"/>
      <c r="FP182" s="37"/>
      <c r="FQ182" s="45"/>
      <c r="FR182" s="45"/>
      <c r="FS182" s="37"/>
      <c r="FT182" s="45"/>
      <c r="FU182" s="45"/>
      <c r="FV182" s="37"/>
      <c r="FW182" s="45"/>
      <c r="FX182" s="45"/>
      <c r="FY182" s="37"/>
      <c r="FZ182" s="45"/>
      <c r="GA182" s="45"/>
      <c r="GB182" s="37"/>
      <c r="GC182" s="45"/>
      <c r="GD182" s="45"/>
      <c r="GE182" s="37"/>
      <c r="GF182" s="45"/>
      <c r="GG182" s="45"/>
      <c r="GH182" s="37"/>
      <c r="GI182" s="45"/>
      <c r="GJ182" s="45"/>
      <c r="GK182" s="37"/>
      <c r="GL182" s="45"/>
      <c r="GM182" s="45"/>
      <c r="GN182" s="37"/>
      <c r="GO182" s="45"/>
      <c r="HE182" s="56"/>
    </row>
    <row r="183" ht="12.0" customHeight="1">
      <c r="A183" s="37"/>
      <c r="D183" s="37"/>
      <c r="E183" s="37"/>
      <c r="I183" s="37"/>
      <c r="M183" s="37"/>
      <c r="Q183" s="37"/>
      <c r="U183" s="37"/>
      <c r="Y183" s="37"/>
      <c r="AC183" s="37"/>
      <c r="AG183" s="37"/>
      <c r="AK183" s="37"/>
      <c r="AN183" s="37"/>
      <c r="AQ183" s="37"/>
      <c r="AT183" s="37"/>
      <c r="AW183" s="37"/>
      <c r="AZ183" s="37"/>
      <c r="BC183" s="37"/>
      <c r="BF183" s="37"/>
      <c r="BG183" s="45"/>
      <c r="BH183" s="45"/>
      <c r="BI183" s="37"/>
      <c r="BJ183" s="45"/>
      <c r="BK183" s="45"/>
      <c r="BL183" s="37"/>
      <c r="BM183" s="45"/>
      <c r="BN183" s="45"/>
      <c r="BO183" s="37"/>
      <c r="BP183" s="45"/>
      <c r="BQ183" s="45"/>
      <c r="BR183" s="37"/>
      <c r="BS183" s="45"/>
      <c r="BT183" s="45"/>
      <c r="BU183" s="37"/>
      <c r="BV183" s="45"/>
      <c r="BW183" s="45"/>
      <c r="BX183" s="37"/>
      <c r="BY183" s="45"/>
      <c r="BZ183" s="45"/>
      <c r="CA183" s="37"/>
      <c r="CB183" s="45"/>
      <c r="CC183" s="45"/>
      <c r="CD183" s="37"/>
      <c r="CE183" s="45"/>
      <c r="CF183" s="45"/>
      <c r="CG183" s="37"/>
      <c r="CH183" s="45"/>
      <c r="CI183" s="45"/>
      <c r="CJ183" s="37"/>
      <c r="CK183" s="45"/>
      <c r="CL183" s="45"/>
      <c r="CM183" s="37"/>
      <c r="CN183" s="45"/>
      <c r="CO183" s="45"/>
      <c r="CP183" s="37"/>
      <c r="CQ183" s="45"/>
      <c r="CR183" s="45"/>
      <c r="CS183" s="37"/>
      <c r="CT183" s="45"/>
      <c r="CU183" s="45"/>
      <c r="CV183" s="37"/>
      <c r="CW183" s="45"/>
      <c r="CX183" s="45"/>
      <c r="CY183" s="37"/>
      <c r="CZ183" s="45"/>
      <c r="DB183" s="37"/>
      <c r="DE183" s="37"/>
      <c r="DH183" s="37"/>
      <c r="DK183" s="37"/>
      <c r="DN183" s="37"/>
      <c r="DQ183" s="37"/>
      <c r="DT183" s="37"/>
      <c r="DW183" s="37"/>
      <c r="DZ183" s="37"/>
      <c r="EC183" s="37"/>
      <c r="EF183" s="37"/>
      <c r="EI183" s="37"/>
      <c r="EL183" s="37"/>
      <c r="EO183" s="37"/>
      <c r="ER183" s="37"/>
      <c r="EU183" s="37"/>
      <c r="EV183" s="45"/>
      <c r="EW183" s="45"/>
      <c r="EX183" s="37"/>
      <c r="EY183" s="45"/>
      <c r="EZ183" s="45"/>
      <c r="FA183" s="37"/>
      <c r="FB183" s="45"/>
      <c r="FC183" s="45"/>
      <c r="FD183" s="37"/>
      <c r="FE183" s="45"/>
      <c r="FF183" s="45"/>
      <c r="FG183" s="37"/>
      <c r="FH183" s="45"/>
      <c r="FI183" s="45"/>
      <c r="FJ183" s="37"/>
      <c r="FK183" s="45"/>
      <c r="FL183" s="45"/>
      <c r="FM183" s="37"/>
      <c r="FN183" s="45"/>
      <c r="FO183" s="45"/>
      <c r="FP183" s="37"/>
      <c r="FQ183" s="45"/>
      <c r="FR183" s="45"/>
      <c r="FS183" s="37"/>
      <c r="FT183" s="45"/>
      <c r="FU183" s="45"/>
      <c r="FV183" s="37"/>
      <c r="FW183" s="45"/>
      <c r="FX183" s="45"/>
      <c r="FY183" s="37"/>
      <c r="FZ183" s="45"/>
      <c r="GA183" s="45"/>
      <c r="GB183" s="37"/>
      <c r="GC183" s="45"/>
      <c r="GD183" s="45"/>
      <c r="GE183" s="37"/>
      <c r="GF183" s="45"/>
      <c r="GG183" s="45"/>
      <c r="GH183" s="37"/>
      <c r="GI183" s="45"/>
      <c r="GJ183" s="45"/>
      <c r="GK183" s="37"/>
      <c r="GL183" s="45"/>
      <c r="GM183" s="45"/>
      <c r="GN183" s="37"/>
      <c r="GO183" s="45"/>
      <c r="HE183" s="56"/>
    </row>
    <row r="184" ht="12.0" customHeight="1">
      <c r="A184" s="37"/>
      <c r="D184" s="37"/>
      <c r="E184" s="37"/>
      <c r="I184" s="37"/>
      <c r="M184" s="37"/>
      <c r="Q184" s="37"/>
      <c r="U184" s="37"/>
      <c r="Y184" s="37"/>
      <c r="AC184" s="37"/>
      <c r="AG184" s="37"/>
      <c r="AK184" s="37"/>
      <c r="AN184" s="37"/>
      <c r="AQ184" s="37"/>
      <c r="AT184" s="37"/>
      <c r="AW184" s="37"/>
      <c r="AZ184" s="37"/>
      <c r="BC184" s="37"/>
      <c r="BF184" s="37"/>
      <c r="BG184" s="45"/>
      <c r="BH184" s="45"/>
      <c r="BI184" s="37"/>
      <c r="BJ184" s="45"/>
      <c r="BK184" s="45"/>
      <c r="BL184" s="37"/>
      <c r="BM184" s="45"/>
      <c r="BN184" s="45"/>
      <c r="BO184" s="37"/>
      <c r="BP184" s="45"/>
      <c r="BQ184" s="45"/>
      <c r="BR184" s="37"/>
      <c r="BS184" s="45"/>
      <c r="BT184" s="45"/>
      <c r="BU184" s="37"/>
      <c r="BV184" s="45"/>
      <c r="BW184" s="45"/>
      <c r="BX184" s="37"/>
      <c r="BY184" s="45"/>
      <c r="BZ184" s="45"/>
      <c r="CA184" s="37"/>
      <c r="CB184" s="45"/>
      <c r="CC184" s="45"/>
      <c r="CD184" s="37"/>
      <c r="CE184" s="45"/>
      <c r="CF184" s="45"/>
      <c r="CG184" s="37"/>
      <c r="CH184" s="45"/>
      <c r="CI184" s="45"/>
      <c r="CJ184" s="37"/>
      <c r="CK184" s="45"/>
      <c r="CL184" s="45"/>
      <c r="CM184" s="37"/>
      <c r="CN184" s="45"/>
      <c r="CO184" s="45"/>
      <c r="CP184" s="37"/>
      <c r="CQ184" s="45"/>
      <c r="CR184" s="45"/>
      <c r="CS184" s="37"/>
      <c r="CT184" s="45"/>
      <c r="CU184" s="45"/>
      <c r="CV184" s="37"/>
      <c r="CW184" s="45"/>
      <c r="CX184" s="45"/>
      <c r="CY184" s="37"/>
      <c r="CZ184" s="45"/>
      <c r="DB184" s="37"/>
      <c r="DE184" s="37"/>
      <c r="DH184" s="37"/>
      <c r="DK184" s="37"/>
      <c r="DN184" s="37"/>
      <c r="DQ184" s="37"/>
      <c r="DT184" s="37"/>
      <c r="DW184" s="37"/>
      <c r="DZ184" s="37"/>
      <c r="EC184" s="37"/>
      <c r="EF184" s="37"/>
      <c r="EI184" s="37"/>
      <c r="EL184" s="37"/>
      <c r="EO184" s="37"/>
      <c r="ER184" s="37"/>
      <c r="EU184" s="37"/>
      <c r="EV184" s="45"/>
      <c r="EW184" s="45"/>
      <c r="EX184" s="37"/>
      <c r="EY184" s="45"/>
      <c r="EZ184" s="45"/>
      <c r="FA184" s="37"/>
      <c r="FB184" s="45"/>
      <c r="FC184" s="45"/>
      <c r="FD184" s="37"/>
      <c r="FE184" s="45"/>
      <c r="FF184" s="45"/>
      <c r="FG184" s="37"/>
      <c r="FH184" s="45"/>
      <c r="FI184" s="45"/>
      <c r="FJ184" s="37"/>
      <c r="FK184" s="45"/>
      <c r="FL184" s="45"/>
      <c r="FM184" s="37"/>
      <c r="FN184" s="45"/>
      <c r="FO184" s="45"/>
      <c r="FP184" s="37"/>
      <c r="FQ184" s="45"/>
      <c r="FR184" s="45"/>
      <c r="FS184" s="37"/>
      <c r="FT184" s="45"/>
      <c r="FU184" s="45"/>
      <c r="FV184" s="37"/>
      <c r="FW184" s="45"/>
      <c r="FX184" s="45"/>
      <c r="FY184" s="37"/>
      <c r="FZ184" s="45"/>
      <c r="GA184" s="45"/>
      <c r="GB184" s="37"/>
      <c r="GC184" s="45"/>
      <c r="GD184" s="45"/>
      <c r="GE184" s="37"/>
      <c r="GF184" s="45"/>
      <c r="GG184" s="45"/>
      <c r="GH184" s="37"/>
      <c r="GI184" s="45"/>
      <c r="GJ184" s="45"/>
      <c r="GK184" s="37"/>
      <c r="GL184" s="45"/>
      <c r="GM184" s="45"/>
      <c r="GN184" s="37"/>
      <c r="GO184" s="45"/>
      <c r="HE184" s="56"/>
    </row>
    <row r="185" ht="12.0" customHeight="1">
      <c r="A185" s="37"/>
      <c r="D185" s="37"/>
      <c r="E185" s="37"/>
      <c r="I185" s="37"/>
      <c r="M185" s="37"/>
      <c r="Q185" s="37"/>
      <c r="U185" s="37"/>
      <c r="Y185" s="37"/>
      <c r="AC185" s="37"/>
      <c r="AG185" s="37"/>
      <c r="AK185" s="37"/>
      <c r="AN185" s="37"/>
      <c r="AQ185" s="37"/>
      <c r="AT185" s="37"/>
      <c r="AW185" s="37"/>
      <c r="AZ185" s="37"/>
      <c r="BC185" s="37"/>
      <c r="BF185" s="37"/>
      <c r="BG185" s="45"/>
      <c r="BH185" s="45"/>
      <c r="BI185" s="37"/>
      <c r="BJ185" s="45"/>
      <c r="BK185" s="45"/>
      <c r="BL185" s="37"/>
      <c r="BM185" s="45"/>
      <c r="BN185" s="45"/>
      <c r="BO185" s="37"/>
      <c r="BP185" s="45"/>
      <c r="BQ185" s="45"/>
      <c r="BR185" s="37"/>
      <c r="BS185" s="45"/>
      <c r="BT185" s="45"/>
      <c r="BU185" s="37"/>
      <c r="BV185" s="45"/>
      <c r="BW185" s="45"/>
      <c r="BX185" s="37"/>
      <c r="BY185" s="45"/>
      <c r="BZ185" s="45"/>
      <c r="CA185" s="37"/>
      <c r="CB185" s="45"/>
      <c r="CC185" s="45"/>
      <c r="CD185" s="37"/>
      <c r="CE185" s="45"/>
      <c r="CF185" s="45"/>
      <c r="CG185" s="37"/>
      <c r="CH185" s="45"/>
      <c r="CI185" s="45"/>
      <c r="CJ185" s="37"/>
      <c r="CK185" s="45"/>
      <c r="CL185" s="45"/>
      <c r="CM185" s="37"/>
      <c r="CN185" s="45"/>
      <c r="CO185" s="45"/>
      <c r="CP185" s="37"/>
      <c r="CQ185" s="45"/>
      <c r="CR185" s="45"/>
      <c r="CS185" s="37"/>
      <c r="CT185" s="45"/>
      <c r="CU185" s="45"/>
      <c r="CV185" s="37"/>
      <c r="CW185" s="45"/>
      <c r="CX185" s="45"/>
      <c r="CY185" s="37"/>
      <c r="CZ185" s="45"/>
      <c r="DB185" s="37"/>
      <c r="DE185" s="37"/>
      <c r="DH185" s="37"/>
      <c r="DK185" s="37"/>
      <c r="DN185" s="37"/>
      <c r="DQ185" s="37"/>
      <c r="DT185" s="37"/>
      <c r="DW185" s="37"/>
      <c r="DZ185" s="37"/>
      <c r="EC185" s="37"/>
      <c r="EF185" s="37"/>
      <c r="EI185" s="37"/>
      <c r="EL185" s="37"/>
      <c r="EO185" s="37"/>
      <c r="ER185" s="37"/>
      <c r="EU185" s="37"/>
      <c r="EV185" s="45"/>
      <c r="EW185" s="45"/>
      <c r="EX185" s="37"/>
      <c r="EY185" s="45"/>
      <c r="EZ185" s="45"/>
      <c r="FA185" s="37"/>
      <c r="FB185" s="45"/>
      <c r="FC185" s="45"/>
      <c r="FD185" s="37"/>
      <c r="FE185" s="45"/>
      <c r="FF185" s="45"/>
      <c r="FG185" s="37"/>
      <c r="FH185" s="45"/>
      <c r="FI185" s="45"/>
      <c r="FJ185" s="37"/>
      <c r="FK185" s="45"/>
      <c r="FL185" s="45"/>
      <c r="FM185" s="37"/>
      <c r="FN185" s="45"/>
      <c r="FO185" s="45"/>
      <c r="FP185" s="37"/>
      <c r="FQ185" s="45"/>
      <c r="FR185" s="45"/>
      <c r="FS185" s="37"/>
      <c r="FT185" s="45"/>
      <c r="FU185" s="45"/>
      <c r="FV185" s="37"/>
      <c r="FW185" s="45"/>
      <c r="FX185" s="45"/>
      <c r="FY185" s="37"/>
      <c r="FZ185" s="45"/>
      <c r="GA185" s="45"/>
      <c r="GB185" s="37"/>
      <c r="GC185" s="45"/>
      <c r="GD185" s="45"/>
      <c r="GE185" s="37"/>
      <c r="GF185" s="45"/>
      <c r="GG185" s="45"/>
      <c r="GH185" s="37"/>
      <c r="GI185" s="45"/>
      <c r="GJ185" s="45"/>
      <c r="GK185" s="37"/>
      <c r="GL185" s="45"/>
      <c r="GM185" s="45"/>
      <c r="GN185" s="37"/>
      <c r="GO185" s="45"/>
      <c r="HE185" s="56"/>
    </row>
    <row r="186" ht="12.0" customHeight="1">
      <c r="A186" s="37"/>
      <c r="D186" s="37"/>
      <c r="E186" s="37"/>
      <c r="I186" s="37"/>
      <c r="M186" s="37"/>
      <c r="Q186" s="37"/>
      <c r="U186" s="37"/>
      <c r="Y186" s="37"/>
      <c r="AC186" s="37"/>
      <c r="AG186" s="37"/>
      <c r="AK186" s="37"/>
      <c r="AN186" s="37"/>
      <c r="AQ186" s="37"/>
      <c r="AT186" s="37"/>
      <c r="AW186" s="37"/>
      <c r="AZ186" s="37"/>
      <c r="BC186" s="37"/>
      <c r="BF186" s="37"/>
      <c r="BG186" s="45"/>
      <c r="BH186" s="45"/>
      <c r="BI186" s="37"/>
      <c r="BJ186" s="45"/>
      <c r="BK186" s="45"/>
      <c r="BL186" s="37"/>
      <c r="BM186" s="45"/>
      <c r="BN186" s="45"/>
      <c r="BO186" s="37"/>
      <c r="BP186" s="45"/>
      <c r="BQ186" s="45"/>
      <c r="BR186" s="37"/>
      <c r="BS186" s="45"/>
      <c r="BT186" s="45"/>
      <c r="BU186" s="37"/>
      <c r="BV186" s="45"/>
      <c r="BW186" s="45"/>
      <c r="BX186" s="37"/>
      <c r="BY186" s="45"/>
      <c r="BZ186" s="45"/>
      <c r="CA186" s="37"/>
      <c r="CB186" s="45"/>
      <c r="CC186" s="45"/>
      <c r="CD186" s="37"/>
      <c r="CE186" s="45"/>
      <c r="CF186" s="45"/>
      <c r="CG186" s="37"/>
      <c r="CH186" s="45"/>
      <c r="CI186" s="45"/>
      <c r="CJ186" s="37"/>
      <c r="CK186" s="45"/>
      <c r="CL186" s="45"/>
      <c r="CM186" s="37"/>
      <c r="CN186" s="45"/>
      <c r="CO186" s="45"/>
      <c r="CP186" s="37"/>
      <c r="CQ186" s="45"/>
      <c r="CR186" s="45"/>
      <c r="CS186" s="37"/>
      <c r="CT186" s="45"/>
      <c r="CU186" s="45"/>
      <c r="CV186" s="37"/>
      <c r="CW186" s="45"/>
      <c r="CX186" s="45"/>
      <c r="CY186" s="37"/>
      <c r="CZ186" s="45"/>
      <c r="DB186" s="37"/>
      <c r="DE186" s="37"/>
      <c r="DH186" s="37"/>
      <c r="DK186" s="37"/>
      <c r="DN186" s="37"/>
      <c r="DQ186" s="37"/>
      <c r="DT186" s="37"/>
      <c r="DW186" s="37"/>
      <c r="DZ186" s="37"/>
      <c r="EC186" s="37"/>
      <c r="EF186" s="37"/>
      <c r="EI186" s="37"/>
      <c r="EL186" s="37"/>
      <c r="EO186" s="37"/>
      <c r="ER186" s="37"/>
      <c r="EU186" s="37"/>
      <c r="EV186" s="45"/>
      <c r="EW186" s="45"/>
      <c r="EX186" s="37"/>
      <c r="EY186" s="45"/>
      <c r="EZ186" s="45"/>
      <c r="FA186" s="37"/>
      <c r="FB186" s="45"/>
      <c r="FC186" s="45"/>
      <c r="FD186" s="37"/>
      <c r="FE186" s="45"/>
      <c r="FF186" s="45"/>
      <c r="FG186" s="37"/>
      <c r="FH186" s="45"/>
      <c r="FI186" s="45"/>
      <c r="FJ186" s="37"/>
      <c r="FK186" s="45"/>
      <c r="FL186" s="45"/>
      <c r="FM186" s="37"/>
      <c r="FN186" s="45"/>
      <c r="FO186" s="45"/>
      <c r="FP186" s="37"/>
      <c r="FQ186" s="45"/>
      <c r="FR186" s="45"/>
      <c r="FS186" s="37"/>
      <c r="FT186" s="45"/>
      <c r="FU186" s="45"/>
      <c r="FV186" s="37"/>
      <c r="FW186" s="45"/>
      <c r="FX186" s="45"/>
      <c r="FY186" s="37"/>
      <c r="FZ186" s="45"/>
      <c r="GA186" s="45"/>
      <c r="GB186" s="37"/>
      <c r="GC186" s="45"/>
      <c r="GD186" s="45"/>
      <c r="GE186" s="37"/>
      <c r="GF186" s="45"/>
      <c r="GG186" s="45"/>
      <c r="GH186" s="37"/>
      <c r="GI186" s="45"/>
      <c r="GJ186" s="45"/>
      <c r="GK186" s="37"/>
      <c r="GL186" s="45"/>
      <c r="GM186" s="45"/>
      <c r="GN186" s="37"/>
      <c r="GO186" s="45"/>
      <c r="HE186" s="56"/>
    </row>
    <row r="187" ht="12.0" customHeight="1">
      <c r="A187" s="37"/>
      <c r="D187" s="37"/>
      <c r="E187" s="37"/>
      <c r="I187" s="37"/>
      <c r="M187" s="37"/>
      <c r="Q187" s="37"/>
      <c r="U187" s="37"/>
      <c r="Y187" s="37"/>
      <c r="AC187" s="37"/>
      <c r="AG187" s="37"/>
      <c r="AK187" s="37"/>
      <c r="AN187" s="37"/>
      <c r="AQ187" s="37"/>
      <c r="AT187" s="37"/>
      <c r="AW187" s="37"/>
      <c r="AZ187" s="37"/>
      <c r="BC187" s="37"/>
      <c r="BF187" s="37"/>
      <c r="BG187" s="45"/>
      <c r="BH187" s="45"/>
      <c r="BI187" s="37"/>
      <c r="BJ187" s="45"/>
      <c r="BK187" s="45"/>
      <c r="BL187" s="37"/>
      <c r="BM187" s="45"/>
      <c r="BN187" s="45"/>
      <c r="BO187" s="37"/>
      <c r="BP187" s="45"/>
      <c r="BQ187" s="45"/>
      <c r="BR187" s="37"/>
      <c r="BS187" s="45"/>
      <c r="BT187" s="45"/>
      <c r="BU187" s="37"/>
      <c r="BV187" s="45"/>
      <c r="BW187" s="45"/>
      <c r="BX187" s="37"/>
      <c r="BY187" s="45"/>
      <c r="BZ187" s="45"/>
      <c r="CA187" s="37"/>
      <c r="CB187" s="45"/>
      <c r="CC187" s="45"/>
      <c r="CD187" s="37"/>
      <c r="CE187" s="45"/>
      <c r="CF187" s="45"/>
      <c r="CG187" s="37"/>
      <c r="CH187" s="45"/>
      <c r="CI187" s="45"/>
      <c r="CJ187" s="37"/>
      <c r="CK187" s="45"/>
      <c r="CL187" s="45"/>
      <c r="CM187" s="37"/>
      <c r="CN187" s="45"/>
      <c r="CO187" s="45"/>
      <c r="CP187" s="37"/>
      <c r="CQ187" s="45"/>
      <c r="CR187" s="45"/>
      <c r="CS187" s="37"/>
      <c r="CT187" s="45"/>
      <c r="CU187" s="45"/>
      <c r="CV187" s="37"/>
      <c r="CW187" s="45"/>
      <c r="CX187" s="45"/>
      <c r="CY187" s="37"/>
      <c r="CZ187" s="45"/>
      <c r="DB187" s="37"/>
      <c r="DE187" s="37"/>
      <c r="DH187" s="37"/>
      <c r="DK187" s="37"/>
      <c r="DN187" s="37"/>
      <c r="DQ187" s="37"/>
      <c r="DT187" s="37"/>
      <c r="DW187" s="37"/>
      <c r="DZ187" s="37"/>
      <c r="EC187" s="37"/>
      <c r="EF187" s="37"/>
      <c r="EI187" s="37"/>
      <c r="EL187" s="37"/>
      <c r="EO187" s="37"/>
      <c r="ER187" s="37"/>
      <c r="EU187" s="37"/>
      <c r="EV187" s="45"/>
      <c r="EW187" s="45"/>
      <c r="EX187" s="37"/>
      <c r="EY187" s="45"/>
      <c r="EZ187" s="45"/>
      <c r="FA187" s="37"/>
      <c r="FB187" s="45"/>
      <c r="FC187" s="45"/>
      <c r="FD187" s="37"/>
      <c r="FE187" s="45"/>
      <c r="FF187" s="45"/>
      <c r="FG187" s="37"/>
      <c r="FH187" s="45"/>
      <c r="FI187" s="45"/>
      <c r="FJ187" s="37"/>
      <c r="FK187" s="45"/>
      <c r="FL187" s="45"/>
      <c r="FM187" s="37"/>
      <c r="FN187" s="45"/>
      <c r="FO187" s="45"/>
      <c r="FP187" s="37"/>
      <c r="FQ187" s="45"/>
      <c r="FR187" s="45"/>
      <c r="FS187" s="37"/>
      <c r="FT187" s="45"/>
      <c r="FU187" s="45"/>
      <c r="FV187" s="37"/>
      <c r="FW187" s="45"/>
      <c r="FX187" s="45"/>
      <c r="FY187" s="37"/>
      <c r="FZ187" s="45"/>
      <c r="GA187" s="45"/>
      <c r="GB187" s="37"/>
      <c r="GC187" s="45"/>
      <c r="GD187" s="45"/>
      <c r="GE187" s="37"/>
      <c r="GF187" s="45"/>
      <c r="GG187" s="45"/>
      <c r="GH187" s="37"/>
      <c r="GI187" s="45"/>
      <c r="GJ187" s="45"/>
      <c r="GK187" s="37"/>
      <c r="GL187" s="45"/>
      <c r="GM187" s="45"/>
      <c r="GN187" s="37"/>
      <c r="GO187" s="45"/>
      <c r="HE187" s="56"/>
    </row>
    <row r="188" ht="12.0" customHeight="1">
      <c r="A188" s="37"/>
      <c r="D188" s="37"/>
      <c r="E188" s="37"/>
      <c r="I188" s="37"/>
      <c r="M188" s="37"/>
      <c r="Q188" s="37"/>
      <c r="U188" s="37"/>
      <c r="Y188" s="37"/>
      <c r="AC188" s="37"/>
      <c r="AG188" s="37"/>
      <c r="AK188" s="37"/>
      <c r="AN188" s="37"/>
      <c r="AQ188" s="37"/>
      <c r="AT188" s="37"/>
      <c r="AW188" s="37"/>
      <c r="AZ188" s="37"/>
      <c r="BC188" s="37"/>
      <c r="BF188" s="37"/>
      <c r="BG188" s="45"/>
      <c r="BH188" s="45"/>
      <c r="BI188" s="37"/>
      <c r="BJ188" s="45"/>
      <c r="BK188" s="45"/>
      <c r="BL188" s="37"/>
      <c r="BM188" s="45"/>
      <c r="BN188" s="45"/>
      <c r="BO188" s="37"/>
      <c r="BP188" s="45"/>
      <c r="BQ188" s="45"/>
      <c r="BR188" s="37"/>
      <c r="BS188" s="45"/>
      <c r="BT188" s="45"/>
      <c r="BU188" s="37"/>
      <c r="BV188" s="45"/>
      <c r="BW188" s="45"/>
      <c r="BX188" s="37"/>
      <c r="BY188" s="45"/>
      <c r="BZ188" s="45"/>
      <c r="CA188" s="37"/>
      <c r="CB188" s="45"/>
      <c r="CC188" s="45"/>
      <c r="CD188" s="37"/>
      <c r="CE188" s="45"/>
      <c r="CF188" s="45"/>
      <c r="CG188" s="37"/>
      <c r="CH188" s="45"/>
      <c r="CI188" s="45"/>
      <c r="CJ188" s="37"/>
      <c r="CK188" s="45"/>
      <c r="CL188" s="45"/>
      <c r="CM188" s="37"/>
      <c r="CN188" s="45"/>
      <c r="CO188" s="45"/>
      <c r="CP188" s="37"/>
      <c r="CQ188" s="45"/>
      <c r="CR188" s="45"/>
      <c r="CS188" s="37"/>
      <c r="CT188" s="45"/>
      <c r="CU188" s="45"/>
      <c r="CV188" s="37"/>
      <c r="CW188" s="45"/>
      <c r="CX188" s="45"/>
      <c r="CY188" s="37"/>
      <c r="CZ188" s="45"/>
      <c r="DB188" s="37"/>
      <c r="DE188" s="37"/>
      <c r="DH188" s="37"/>
      <c r="DK188" s="37"/>
      <c r="DN188" s="37"/>
      <c r="DQ188" s="37"/>
      <c r="DT188" s="37"/>
      <c r="DW188" s="37"/>
      <c r="DZ188" s="37"/>
      <c r="EC188" s="37"/>
      <c r="EF188" s="37"/>
      <c r="EI188" s="37"/>
      <c r="EL188" s="37"/>
      <c r="EO188" s="37"/>
      <c r="ER188" s="37"/>
      <c r="EU188" s="37"/>
      <c r="EV188" s="45"/>
      <c r="EW188" s="45"/>
      <c r="EX188" s="37"/>
      <c r="EY188" s="45"/>
      <c r="EZ188" s="45"/>
      <c r="FA188" s="37"/>
      <c r="FB188" s="45"/>
      <c r="FC188" s="45"/>
      <c r="FD188" s="37"/>
      <c r="FE188" s="45"/>
      <c r="FF188" s="45"/>
      <c r="FG188" s="37"/>
      <c r="FH188" s="45"/>
      <c r="FI188" s="45"/>
      <c r="FJ188" s="37"/>
      <c r="FK188" s="45"/>
      <c r="FL188" s="45"/>
      <c r="FM188" s="37"/>
      <c r="FN188" s="45"/>
      <c r="FO188" s="45"/>
      <c r="FP188" s="37"/>
      <c r="FQ188" s="45"/>
      <c r="FR188" s="45"/>
      <c r="FS188" s="37"/>
      <c r="FT188" s="45"/>
      <c r="FU188" s="45"/>
      <c r="FV188" s="37"/>
      <c r="FW188" s="45"/>
      <c r="FX188" s="45"/>
      <c r="FY188" s="37"/>
      <c r="FZ188" s="45"/>
      <c r="GA188" s="45"/>
      <c r="GB188" s="37"/>
      <c r="GC188" s="45"/>
      <c r="GD188" s="45"/>
      <c r="GE188" s="37"/>
      <c r="GF188" s="45"/>
      <c r="GG188" s="45"/>
      <c r="GH188" s="37"/>
      <c r="GI188" s="45"/>
      <c r="GJ188" s="45"/>
      <c r="GK188" s="37"/>
      <c r="GL188" s="45"/>
      <c r="GM188" s="45"/>
      <c r="GN188" s="37"/>
      <c r="GO188" s="45"/>
      <c r="HE188" s="56"/>
    </row>
    <row r="189" ht="12.0" customHeight="1">
      <c r="A189" s="37"/>
      <c r="D189" s="37"/>
      <c r="E189" s="37"/>
      <c r="I189" s="37"/>
      <c r="M189" s="37"/>
      <c r="Q189" s="37"/>
      <c r="U189" s="37"/>
      <c r="Y189" s="37"/>
      <c r="AC189" s="37"/>
      <c r="AG189" s="37"/>
      <c r="AK189" s="37"/>
      <c r="AN189" s="37"/>
      <c r="AQ189" s="37"/>
      <c r="AT189" s="37"/>
      <c r="AW189" s="37"/>
      <c r="AZ189" s="37"/>
      <c r="BC189" s="37"/>
      <c r="BF189" s="37"/>
      <c r="BG189" s="45"/>
      <c r="BH189" s="45"/>
      <c r="BI189" s="37"/>
      <c r="BJ189" s="45"/>
      <c r="BK189" s="45"/>
      <c r="BL189" s="37"/>
      <c r="BM189" s="45"/>
      <c r="BN189" s="45"/>
      <c r="BO189" s="37"/>
      <c r="BP189" s="45"/>
      <c r="BQ189" s="45"/>
      <c r="BR189" s="37"/>
      <c r="BS189" s="45"/>
      <c r="BT189" s="45"/>
      <c r="BU189" s="37"/>
      <c r="BV189" s="45"/>
      <c r="BW189" s="45"/>
      <c r="BX189" s="37"/>
      <c r="BY189" s="45"/>
      <c r="BZ189" s="45"/>
      <c r="CA189" s="37"/>
      <c r="CB189" s="45"/>
      <c r="CC189" s="45"/>
      <c r="CD189" s="37"/>
      <c r="CE189" s="45"/>
      <c r="CF189" s="45"/>
      <c r="CG189" s="37"/>
      <c r="CH189" s="45"/>
      <c r="CI189" s="45"/>
      <c r="CJ189" s="37"/>
      <c r="CK189" s="45"/>
      <c r="CL189" s="45"/>
      <c r="CM189" s="37"/>
      <c r="CN189" s="45"/>
      <c r="CO189" s="45"/>
      <c r="CP189" s="37"/>
      <c r="CQ189" s="45"/>
      <c r="CR189" s="45"/>
      <c r="CS189" s="37"/>
      <c r="CT189" s="45"/>
      <c r="CU189" s="45"/>
      <c r="CV189" s="37"/>
      <c r="CW189" s="45"/>
      <c r="CX189" s="45"/>
      <c r="CY189" s="37"/>
      <c r="CZ189" s="45"/>
      <c r="DB189" s="37"/>
      <c r="DE189" s="37"/>
      <c r="DH189" s="37"/>
      <c r="DK189" s="37"/>
      <c r="DN189" s="37"/>
      <c r="DQ189" s="37"/>
      <c r="DT189" s="37"/>
      <c r="DW189" s="37"/>
      <c r="DZ189" s="37"/>
      <c r="EC189" s="37"/>
      <c r="EF189" s="37"/>
      <c r="EI189" s="37"/>
      <c r="EL189" s="37"/>
      <c r="EO189" s="37"/>
      <c r="ER189" s="37"/>
      <c r="EU189" s="37"/>
      <c r="EV189" s="45"/>
      <c r="EW189" s="45"/>
      <c r="EX189" s="37"/>
      <c r="EY189" s="45"/>
      <c r="EZ189" s="45"/>
      <c r="FA189" s="37"/>
      <c r="FB189" s="45"/>
      <c r="FC189" s="45"/>
      <c r="FD189" s="37"/>
      <c r="FE189" s="45"/>
      <c r="FF189" s="45"/>
      <c r="FG189" s="37"/>
      <c r="FH189" s="45"/>
      <c r="FI189" s="45"/>
      <c r="FJ189" s="37"/>
      <c r="FK189" s="45"/>
      <c r="FL189" s="45"/>
      <c r="FM189" s="37"/>
      <c r="FN189" s="45"/>
      <c r="FO189" s="45"/>
      <c r="FP189" s="37"/>
      <c r="FQ189" s="45"/>
      <c r="FR189" s="45"/>
      <c r="FS189" s="37"/>
      <c r="FT189" s="45"/>
      <c r="FU189" s="45"/>
      <c r="FV189" s="37"/>
      <c r="FW189" s="45"/>
      <c r="FX189" s="45"/>
      <c r="FY189" s="37"/>
      <c r="FZ189" s="45"/>
      <c r="GA189" s="45"/>
      <c r="GB189" s="37"/>
      <c r="GC189" s="45"/>
      <c r="GD189" s="45"/>
      <c r="GE189" s="37"/>
      <c r="GF189" s="45"/>
      <c r="GG189" s="45"/>
      <c r="GH189" s="37"/>
      <c r="GI189" s="45"/>
      <c r="GJ189" s="45"/>
      <c r="GK189" s="37"/>
      <c r="GL189" s="45"/>
      <c r="GM189" s="45"/>
      <c r="GN189" s="37"/>
      <c r="GO189" s="45"/>
      <c r="HE189" s="56"/>
    </row>
    <row r="190" ht="12.0" customHeight="1">
      <c r="A190" s="37"/>
      <c r="D190" s="37"/>
      <c r="E190" s="37"/>
      <c r="I190" s="37"/>
      <c r="M190" s="37"/>
      <c r="Q190" s="37"/>
      <c r="U190" s="37"/>
      <c r="Y190" s="37"/>
      <c r="AC190" s="37"/>
      <c r="AG190" s="37"/>
      <c r="AK190" s="37"/>
      <c r="AN190" s="37"/>
      <c r="AQ190" s="37"/>
      <c r="AT190" s="37"/>
      <c r="AW190" s="37"/>
      <c r="AZ190" s="37"/>
      <c r="BC190" s="37"/>
      <c r="BF190" s="37"/>
      <c r="BG190" s="45"/>
      <c r="BH190" s="45"/>
      <c r="BI190" s="37"/>
      <c r="BJ190" s="45"/>
      <c r="BK190" s="45"/>
      <c r="BL190" s="37"/>
      <c r="BM190" s="45"/>
      <c r="BN190" s="45"/>
      <c r="BO190" s="37"/>
      <c r="BP190" s="45"/>
      <c r="BQ190" s="45"/>
      <c r="BR190" s="37"/>
      <c r="BS190" s="45"/>
      <c r="BT190" s="45"/>
      <c r="BU190" s="37"/>
      <c r="BV190" s="45"/>
      <c r="BW190" s="45"/>
      <c r="BX190" s="37"/>
      <c r="BY190" s="45"/>
      <c r="BZ190" s="45"/>
      <c r="CA190" s="37"/>
      <c r="CB190" s="45"/>
      <c r="CC190" s="45"/>
      <c r="CD190" s="37"/>
      <c r="CE190" s="45"/>
      <c r="CF190" s="45"/>
      <c r="CG190" s="37"/>
      <c r="CH190" s="45"/>
      <c r="CI190" s="45"/>
      <c r="CJ190" s="37"/>
      <c r="CK190" s="45"/>
      <c r="CL190" s="45"/>
      <c r="CM190" s="37"/>
      <c r="CN190" s="45"/>
      <c r="CO190" s="45"/>
      <c r="CP190" s="37"/>
      <c r="CQ190" s="45"/>
      <c r="CR190" s="45"/>
      <c r="CS190" s="37"/>
      <c r="CT190" s="45"/>
      <c r="CU190" s="45"/>
      <c r="CV190" s="37"/>
      <c r="CW190" s="45"/>
      <c r="CX190" s="45"/>
      <c r="CY190" s="37"/>
      <c r="CZ190" s="45"/>
      <c r="DB190" s="37"/>
      <c r="DE190" s="37"/>
      <c r="DH190" s="37"/>
      <c r="DK190" s="37"/>
      <c r="DN190" s="37"/>
      <c r="DQ190" s="37"/>
      <c r="DT190" s="37"/>
      <c r="DW190" s="37"/>
      <c r="DZ190" s="37"/>
      <c r="EC190" s="37"/>
      <c r="EF190" s="37"/>
      <c r="EI190" s="37"/>
      <c r="EL190" s="37"/>
      <c r="EO190" s="37"/>
      <c r="ER190" s="37"/>
      <c r="EU190" s="37"/>
      <c r="EV190" s="45"/>
      <c r="EW190" s="45"/>
      <c r="EX190" s="37"/>
      <c r="EY190" s="45"/>
      <c r="EZ190" s="45"/>
      <c r="FA190" s="37"/>
      <c r="FB190" s="45"/>
      <c r="FC190" s="45"/>
      <c r="FD190" s="37"/>
      <c r="FE190" s="45"/>
      <c r="FF190" s="45"/>
      <c r="FG190" s="37"/>
      <c r="FH190" s="45"/>
      <c r="FI190" s="45"/>
      <c r="FJ190" s="37"/>
      <c r="FK190" s="45"/>
      <c r="FL190" s="45"/>
      <c r="FM190" s="37"/>
      <c r="FN190" s="45"/>
      <c r="FO190" s="45"/>
      <c r="FP190" s="37"/>
      <c r="FQ190" s="45"/>
      <c r="FR190" s="45"/>
      <c r="FS190" s="37"/>
      <c r="FT190" s="45"/>
      <c r="FU190" s="45"/>
      <c r="FV190" s="37"/>
      <c r="FW190" s="45"/>
      <c r="FX190" s="45"/>
      <c r="FY190" s="37"/>
      <c r="FZ190" s="45"/>
      <c r="GA190" s="45"/>
      <c r="GB190" s="37"/>
      <c r="GC190" s="45"/>
      <c r="GD190" s="45"/>
      <c r="GE190" s="37"/>
      <c r="GF190" s="45"/>
      <c r="GG190" s="45"/>
      <c r="GH190" s="37"/>
      <c r="GI190" s="45"/>
      <c r="GJ190" s="45"/>
      <c r="GK190" s="37"/>
      <c r="GL190" s="45"/>
      <c r="GM190" s="45"/>
      <c r="GN190" s="37"/>
      <c r="GO190" s="45"/>
      <c r="HE190" s="56"/>
    </row>
    <row r="191" ht="12.0" customHeight="1">
      <c r="A191" s="37"/>
      <c r="D191" s="37"/>
      <c r="E191" s="37"/>
      <c r="I191" s="37"/>
      <c r="M191" s="37"/>
      <c r="Q191" s="37"/>
      <c r="U191" s="37"/>
      <c r="Y191" s="37"/>
      <c r="AC191" s="37"/>
      <c r="AG191" s="37"/>
      <c r="AK191" s="37"/>
      <c r="AN191" s="37"/>
      <c r="AQ191" s="37"/>
      <c r="AT191" s="37"/>
      <c r="AW191" s="37"/>
      <c r="AZ191" s="37"/>
      <c r="BC191" s="37"/>
      <c r="BF191" s="37"/>
      <c r="BG191" s="45"/>
      <c r="BH191" s="45"/>
      <c r="BI191" s="37"/>
      <c r="BJ191" s="45"/>
      <c r="BK191" s="45"/>
      <c r="BL191" s="37"/>
      <c r="BM191" s="45"/>
      <c r="BN191" s="45"/>
      <c r="BO191" s="37"/>
      <c r="BP191" s="45"/>
      <c r="BQ191" s="45"/>
      <c r="BR191" s="37"/>
      <c r="BS191" s="45"/>
      <c r="BT191" s="45"/>
      <c r="BU191" s="37"/>
      <c r="BV191" s="45"/>
      <c r="BW191" s="45"/>
      <c r="BX191" s="37"/>
      <c r="BY191" s="45"/>
      <c r="BZ191" s="45"/>
      <c r="CA191" s="37"/>
      <c r="CB191" s="45"/>
      <c r="CC191" s="45"/>
      <c r="CD191" s="37"/>
      <c r="CE191" s="45"/>
      <c r="CF191" s="45"/>
      <c r="CG191" s="37"/>
      <c r="CH191" s="45"/>
      <c r="CI191" s="45"/>
      <c r="CJ191" s="37"/>
      <c r="CK191" s="45"/>
      <c r="CL191" s="45"/>
      <c r="CM191" s="37"/>
      <c r="CN191" s="45"/>
      <c r="CO191" s="45"/>
      <c r="CP191" s="37"/>
      <c r="CQ191" s="45"/>
      <c r="CR191" s="45"/>
      <c r="CS191" s="37"/>
      <c r="CT191" s="45"/>
      <c r="CU191" s="45"/>
      <c r="CV191" s="37"/>
      <c r="CW191" s="45"/>
      <c r="CX191" s="45"/>
      <c r="CY191" s="37"/>
      <c r="CZ191" s="45"/>
      <c r="DB191" s="37"/>
      <c r="DE191" s="37"/>
      <c r="DH191" s="37"/>
      <c r="DK191" s="37"/>
      <c r="DN191" s="37"/>
      <c r="DQ191" s="37"/>
      <c r="DT191" s="37"/>
      <c r="DW191" s="37"/>
      <c r="DZ191" s="37"/>
      <c r="EC191" s="37"/>
      <c r="EF191" s="37"/>
      <c r="EI191" s="37"/>
      <c r="EL191" s="37"/>
      <c r="EO191" s="37"/>
      <c r="ER191" s="37"/>
      <c r="EU191" s="37"/>
      <c r="EV191" s="45"/>
      <c r="EW191" s="45"/>
      <c r="EX191" s="37"/>
      <c r="EY191" s="45"/>
      <c r="EZ191" s="45"/>
      <c r="FA191" s="37"/>
      <c r="FB191" s="45"/>
      <c r="FC191" s="45"/>
      <c r="FD191" s="37"/>
      <c r="FE191" s="45"/>
      <c r="FF191" s="45"/>
      <c r="FG191" s="37"/>
      <c r="FH191" s="45"/>
      <c r="FI191" s="45"/>
      <c r="FJ191" s="37"/>
      <c r="FK191" s="45"/>
      <c r="FL191" s="45"/>
      <c r="FM191" s="37"/>
      <c r="FN191" s="45"/>
      <c r="FO191" s="45"/>
      <c r="FP191" s="37"/>
      <c r="FQ191" s="45"/>
      <c r="FR191" s="45"/>
      <c r="FS191" s="37"/>
      <c r="FT191" s="45"/>
      <c r="FU191" s="45"/>
      <c r="FV191" s="37"/>
      <c r="FW191" s="45"/>
      <c r="FX191" s="45"/>
      <c r="FY191" s="37"/>
      <c r="FZ191" s="45"/>
      <c r="GA191" s="45"/>
      <c r="GB191" s="37"/>
      <c r="GC191" s="45"/>
      <c r="GD191" s="45"/>
      <c r="GE191" s="37"/>
      <c r="GF191" s="45"/>
      <c r="GG191" s="45"/>
      <c r="GH191" s="37"/>
      <c r="GI191" s="45"/>
      <c r="GJ191" s="45"/>
      <c r="GK191" s="37"/>
      <c r="GL191" s="45"/>
      <c r="GM191" s="45"/>
      <c r="GN191" s="37"/>
      <c r="GO191" s="45"/>
      <c r="HE191" s="56"/>
    </row>
    <row r="192" ht="12.0" customHeight="1">
      <c r="A192" s="37"/>
      <c r="D192" s="37"/>
      <c r="E192" s="37"/>
      <c r="I192" s="37"/>
      <c r="M192" s="37"/>
      <c r="Q192" s="37"/>
      <c r="U192" s="37"/>
      <c r="Y192" s="37"/>
      <c r="AC192" s="37"/>
      <c r="AG192" s="37"/>
      <c r="AK192" s="37"/>
      <c r="AN192" s="37"/>
      <c r="AQ192" s="37"/>
      <c r="AT192" s="37"/>
      <c r="AW192" s="37"/>
      <c r="AZ192" s="37"/>
      <c r="BC192" s="37"/>
      <c r="BF192" s="37"/>
      <c r="BG192" s="45"/>
      <c r="BH192" s="45"/>
      <c r="BI192" s="37"/>
      <c r="BJ192" s="45"/>
      <c r="BK192" s="45"/>
      <c r="BL192" s="37"/>
      <c r="BM192" s="45"/>
      <c r="BN192" s="45"/>
      <c r="BO192" s="37"/>
      <c r="BP192" s="45"/>
      <c r="BQ192" s="45"/>
      <c r="BR192" s="37"/>
      <c r="BS192" s="45"/>
      <c r="BT192" s="45"/>
      <c r="BU192" s="37"/>
      <c r="BV192" s="45"/>
      <c r="BW192" s="45"/>
      <c r="BX192" s="37"/>
      <c r="BY192" s="45"/>
      <c r="BZ192" s="45"/>
      <c r="CA192" s="37"/>
      <c r="CB192" s="45"/>
      <c r="CC192" s="45"/>
      <c r="CD192" s="37"/>
      <c r="CE192" s="45"/>
      <c r="CF192" s="45"/>
      <c r="CG192" s="37"/>
      <c r="CH192" s="45"/>
      <c r="CI192" s="45"/>
      <c r="CJ192" s="37"/>
      <c r="CK192" s="45"/>
      <c r="CL192" s="45"/>
      <c r="CM192" s="37"/>
      <c r="CN192" s="45"/>
      <c r="CO192" s="45"/>
      <c r="CP192" s="37"/>
      <c r="CQ192" s="45"/>
      <c r="CR192" s="45"/>
      <c r="CS192" s="37"/>
      <c r="CT192" s="45"/>
      <c r="CU192" s="45"/>
      <c r="CV192" s="37"/>
      <c r="CW192" s="45"/>
      <c r="CX192" s="45"/>
      <c r="CY192" s="37"/>
      <c r="CZ192" s="45"/>
      <c r="DB192" s="37"/>
      <c r="DE192" s="37"/>
      <c r="DH192" s="37"/>
      <c r="DK192" s="37"/>
      <c r="DN192" s="37"/>
      <c r="DQ192" s="37"/>
      <c r="DT192" s="37"/>
      <c r="DW192" s="37"/>
      <c r="DZ192" s="37"/>
      <c r="EC192" s="37"/>
      <c r="EF192" s="37"/>
      <c r="EI192" s="37"/>
      <c r="EL192" s="37"/>
      <c r="EO192" s="37"/>
      <c r="ER192" s="37"/>
      <c r="EU192" s="37"/>
      <c r="EV192" s="45"/>
      <c r="EW192" s="45"/>
      <c r="EX192" s="37"/>
      <c r="EY192" s="45"/>
      <c r="EZ192" s="45"/>
      <c r="FA192" s="37"/>
      <c r="FB192" s="45"/>
      <c r="FC192" s="45"/>
      <c r="FD192" s="37"/>
      <c r="FE192" s="45"/>
      <c r="FF192" s="45"/>
      <c r="FG192" s="37"/>
      <c r="FH192" s="45"/>
      <c r="FI192" s="45"/>
      <c r="FJ192" s="37"/>
      <c r="FK192" s="45"/>
      <c r="FL192" s="45"/>
      <c r="FM192" s="37"/>
      <c r="FN192" s="45"/>
      <c r="FO192" s="45"/>
      <c r="FP192" s="37"/>
      <c r="FQ192" s="45"/>
      <c r="FR192" s="45"/>
      <c r="FS192" s="37"/>
      <c r="FT192" s="45"/>
      <c r="FU192" s="45"/>
      <c r="FV192" s="37"/>
      <c r="FW192" s="45"/>
      <c r="FX192" s="45"/>
      <c r="FY192" s="37"/>
      <c r="FZ192" s="45"/>
      <c r="GA192" s="45"/>
      <c r="GB192" s="37"/>
      <c r="GC192" s="45"/>
      <c r="GD192" s="45"/>
      <c r="GE192" s="37"/>
      <c r="GF192" s="45"/>
      <c r="GG192" s="45"/>
      <c r="GH192" s="37"/>
      <c r="GI192" s="45"/>
      <c r="GJ192" s="45"/>
      <c r="GK192" s="37"/>
      <c r="GL192" s="45"/>
      <c r="GM192" s="45"/>
      <c r="GN192" s="37"/>
      <c r="GO192" s="45"/>
      <c r="HE192" s="56"/>
    </row>
    <row r="193" ht="12.0" customHeight="1">
      <c r="A193" s="37"/>
      <c r="D193" s="37"/>
      <c r="E193" s="37"/>
      <c r="I193" s="37"/>
      <c r="M193" s="37"/>
      <c r="Q193" s="37"/>
      <c r="U193" s="37"/>
      <c r="Y193" s="37"/>
      <c r="AC193" s="37"/>
      <c r="AG193" s="37"/>
      <c r="AK193" s="37"/>
      <c r="AN193" s="37"/>
      <c r="AQ193" s="37"/>
      <c r="AT193" s="37"/>
      <c r="AW193" s="37"/>
      <c r="AZ193" s="37"/>
      <c r="BC193" s="37"/>
      <c r="BF193" s="37"/>
      <c r="BG193" s="45"/>
      <c r="BH193" s="45"/>
      <c r="BI193" s="37"/>
      <c r="BJ193" s="45"/>
      <c r="BK193" s="45"/>
      <c r="BL193" s="37"/>
      <c r="BM193" s="45"/>
      <c r="BN193" s="45"/>
      <c r="BO193" s="37"/>
      <c r="BP193" s="45"/>
      <c r="BQ193" s="45"/>
      <c r="BR193" s="37"/>
      <c r="BS193" s="45"/>
      <c r="BT193" s="45"/>
      <c r="BU193" s="37"/>
      <c r="BV193" s="45"/>
      <c r="BW193" s="45"/>
      <c r="BX193" s="37"/>
      <c r="BY193" s="45"/>
      <c r="BZ193" s="45"/>
      <c r="CA193" s="37"/>
      <c r="CB193" s="45"/>
      <c r="CC193" s="45"/>
      <c r="CD193" s="37"/>
      <c r="CE193" s="45"/>
      <c r="CF193" s="45"/>
      <c r="CG193" s="37"/>
      <c r="CH193" s="45"/>
      <c r="CI193" s="45"/>
      <c r="CJ193" s="37"/>
      <c r="CK193" s="45"/>
      <c r="CL193" s="45"/>
      <c r="CM193" s="37"/>
      <c r="CN193" s="45"/>
      <c r="CO193" s="45"/>
      <c r="CP193" s="37"/>
      <c r="CQ193" s="45"/>
      <c r="CR193" s="45"/>
      <c r="CS193" s="37"/>
      <c r="CT193" s="45"/>
      <c r="CU193" s="45"/>
      <c r="CV193" s="37"/>
      <c r="CW193" s="45"/>
      <c r="CX193" s="45"/>
      <c r="CY193" s="37"/>
      <c r="CZ193" s="45"/>
      <c r="DB193" s="37"/>
      <c r="DE193" s="37"/>
      <c r="DH193" s="37"/>
      <c r="DK193" s="37"/>
      <c r="DN193" s="37"/>
      <c r="DQ193" s="37"/>
      <c r="DT193" s="37"/>
      <c r="DW193" s="37"/>
      <c r="DZ193" s="37"/>
      <c r="EC193" s="37"/>
      <c r="EF193" s="37"/>
      <c r="EI193" s="37"/>
      <c r="EL193" s="37"/>
      <c r="EO193" s="37"/>
      <c r="ER193" s="37"/>
      <c r="EU193" s="37"/>
      <c r="EV193" s="45"/>
      <c r="EW193" s="45"/>
      <c r="EX193" s="37"/>
      <c r="EY193" s="45"/>
      <c r="EZ193" s="45"/>
      <c r="FA193" s="37"/>
      <c r="FB193" s="45"/>
      <c r="FC193" s="45"/>
      <c r="FD193" s="37"/>
      <c r="FE193" s="45"/>
      <c r="FF193" s="45"/>
      <c r="FG193" s="37"/>
      <c r="FH193" s="45"/>
      <c r="FI193" s="45"/>
      <c r="FJ193" s="37"/>
      <c r="FK193" s="45"/>
      <c r="FL193" s="45"/>
      <c r="FM193" s="37"/>
      <c r="FN193" s="45"/>
      <c r="FO193" s="45"/>
      <c r="FP193" s="37"/>
      <c r="FQ193" s="45"/>
      <c r="FR193" s="45"/>
      <c r="FS193" s="37"/>
      <c r="FT193" s="45"/>
      <c r="FU193" s="45"/>
      <c r="FV193" s="37"/>
      <c r="FW193" s="45"/>
      <c r="FX193" s="45"/>
      <c r="FY193" s="37"/>
      <c r="FZ193" s="45"/>
      <c r="GA193" s="45"/>
      <c r="GB193" s="37"/>
      <c r="GC193" s="45"/>
      <c r="GD193" s="45"/>
      <c r="GE193" s="37"/>
      <c r="GF193" s="45"/>
      <c r="GG193" s="45"/>
      <c r="GH193" s="37"/>
      <c r="GI193" s="45"/>
      <c r="GJ193" s="45"/>
      <c r="GK193" s="37"/>
      <c r="GL193" s="45"/>
      <c r="GM193" s="45"/>
      <c r="GN193" s="37"/>
      <c r="GO193" s="45"/>
      <c r="HE193" s="56"/>
    </row>
    <row r="194" ht="12.0" customHeight="1">
      <c r="A194" s="37"/>
      <c r="D194" s="37"/>
      <c r="E194" s="37"/>
      <c r="I194" s="37"/>
      <c r="M194" s="37"/>
      <c r="Q194" s="37"/>
      <c r="U194" s="37"/>
      <c r="Y194" s="37"/>
      <c r="AC194" s="37"/>
      <c r="AG194" s="37"/>
      <c r="AK194" s="37"/>
      <c r="AN194" s="37"/>
      <c r="AQ194" s="37"/>
      <c r="AT194" s="37"/>
      <c r="AW194" s="37"/>
      <c r="AZ194" s="37"/>
      <c r="BC194" s="37"/>
      <c r="BF194" s="37"/>
      <c r="BG194" s="45"/>
      <c r="BH194" s="45"/>
      <c r="BI194" s="37"/>
      <c r="BJ194" s="45"/>
      <c r="BK194" s="45"/>
      <c r="BL194" s="37"/>
      <c r="BM194" s="45"/>
      <c r="BN194" s="45"/>
      <c r="BO194" s="37"/>
      <c r="BP194" s="45"/>
      <c r="BQ194" s="45"/>
      <c r="BR194" s="37"/>
      <c r="BS194" s="45"/>
      <c r="BT194" s="45"/>
      <c r="BU194" s="37"/>
      <c r="BV194" s="45"/>
      <c r="BW194" s="45"/>
      <c r="BX194" s="37"/>
      <c r="BY194" s="45"/>
      <c r="BZ194" s="45"/>
      <c r="CA194" s="37"/>
      <c r="CB194" s="45"/>
      <c r="CC194" s="45"/>
      <c r="CD194" s="37"/>
      <c r="CE194" s="45"/>
      <c r="CF194" s="45"/>
      <c r="CG194" s="37"/>
      <c r="CH194" s="45"/>
      <c r="CI194" s="45"/>
      <c r="CJ194" s="37"/>
      <c r="CK194" s="45"/>
      <c r="CL194" s="45"/>
      <c r="CM194" s="37"/>
      <c r="CN194" s="45"/>
      <c r="CO194" s="45"/>
      <c r="CP194" s="37"/>
      <c r="CQ194" s="45"/>
      <c r="CR194" s="45"/>
      <c r="CS194" s="37"/>
      <c r="CT194" s="45"/>
      <c r="CU194" s="45"/>
      <c r="CV194" s="37"/>
      <c r="CW194" s="45"/>
      <c r="CX194" s="45"/>
      <c r="CY194" s="37"/>
      <c r="CZ194" s="45"/>
      <c r="DB194" s="37"/>
      <c r="DE194" s="37"/>
      <c r="DH194" s="37"/>
      <c r="DK194" s="37"/>
      <c r="DN194" s="37"/>
      <c r="DQ194" s="37"/>
      <c r="DT194" s="37"/>
      <c r="DW194" s="37"/>
      <c r="DZ194" s="37"/>
      <c r="EC194" s="37"/>
      <c r="EF194" s="37"/>
      <c r="EI194" s="37"/>
      <c r="EL194" s="37"/>
      <c r="EO194" s="37"/>
      <c r="ER194" s="37"/>
      <c r="EU194" s="37"/>
      <c r="EV194" s="45"/>
      <c r="EW194" s="45"/>
      <c r="EX194" s="37"/>
      <c r="EY194" s="45"/>
      <c r="EZ194" s="45"/>
      <c r="FA194" s="37"/>
      <c r="FB194" s="45"/>
      <c r="FC194" s="45"/>
      <c r="FD194" s="37"/>
      <c r="FE194" s="45"/>
      <c r="FF194" s="45"/>
      <c r="FG194" s="37"/>
      <c r="FH194" s="45"/>
      <c r="FI194" s="45"/>
      <c r="FJ194" s="37"/>
      <c r="FK194" s="45"/>
      <c r="FL194" s="45"/>
      <c r="FM194" s="37"/>
      <c r="FN194" s="45"/>
      <c r="FO194" s="45"/>
      <c r="FP194" s="37"/>
      <c r="FQ194" s="45"/>
      <c r="FR194" s="45"/>
      <c r="FS194" s="37"/>
      <c r="FT194" s="45"/>
      <c r="FU194" s="45"/>
      <c r="FV194" s="37"/>
      <c r="FW194" s="45"/>
      <c r="FX194" s="45"/>
      <c r="FY194" s="37"/>
      <c r="FZ194" s="45"/>
      <c r="GA194" s="45"/>
      <c r="GB194" s="37"/>
      <c r="GC194" s="45"/>
      <c r="GD194" s="45"/>
      <c r="GE194" s="37"/>
      <c r="GF194" s="45"/>
      <c r="GG194" s="45"/>
      <c r="GH194" s="37"/>
      <c r="GI194" s="45"/>
      <c r="GJ194" s="45"/>
      <c r="GK194" s="37"/>
      <c r="GL194" s="45"/>
      <c r="GM194" s="45"/>
      <c r="GN194" s="37"/>
      <c r="GO194" s="45"/>
      <c r="HE194" s="56"/>
    </row>
    <row r="195" ht="12.0" customHeight="1">
      <c r="A195" s="37"/>
      <c r="D195" s="37"/>
      <c r="E195" s="37"/>
      <c r="I195" s="37"/>
      <c r="M195" s="37"/>
      <c r="Q195" s="37"/>
      <c r="U195" s="37"/>
      <c r="Y195" s="37"/>
      <c r="AC195" s="37"/>
      <c r="AG195" s="37"/>
      <c r="AK195" s="37"/>
      <c r="AN195" s="37"/>
      <c r="AQ195" s="37"/>
      <c r="AT195" s="37"/>
      <c r="AW195" s="37"/>
      <c r="AZ195" s="37"/>
      <c r="BC195" s="37"/>
      <c r="BF195" s="37"/>
      <c r="BG195" s="45"/>
      <c r="BH195" s="45"/>
      <c r="BI195" s="37"/>
      <c r="BJ195" s="45"/>
      <c r="BK195" s="45"/>
      <c r="BL195" s="37"/>
      <c r="BM195" s="45"/>
      <c r="BN195" s="45"/>
      <c r="BO195" s="37"/>
      <c r="BP195" s="45"/>
      <c r="BQ195" s="45"/>
      <c r="BR195" s="37"/>
      <c r="BS195" s="45"/>
      <c r="BT195" s="45"/>
      <c r="BU195" s="37"/>
      <c r="BV195" s="45"/>
      <c r="BW195" s="45"/>
      <c r="BX195" s="37"/>
      <c r="BY195" s="45"/>
      <c r="BZ195" s="45"/>
      <c r="CA195" s="37"/>
      <c r="CB195" s="45"/>
      <c r="CC195" s="45"/>
      <c r="CD195" s="37"/>
      <c r="CE195" s="45"/>
      <c r="CF195" s="45"/>
      <c r="CG195" s="37"/>
      <c r="CH195" s="45"/>
      <c r="CI195" s="45"/>
      <c r="CJ195" s="37"/>
      <c r="CK195" s="45"/>
      <c r="CL195" s="45"/>
      <c r="CM195" s="37"/>
      <c r="CN195" s="45"/>
      <c r="CO195" s="45"/>
      <c r="CP195" s="37"/>
      <c r="CQ195" s="45"/>
      <c r="CR195" s="45"/>
      <c r="CS195" s="37"/>
      <c r="CT195" s="45"/>
      <c r="CU195" s="45"/>
      <c r="CV195" s="37"/>
      <c r="CW195" s="45"/>
      <c r="CX195" s="45"/>
      <c r="CY195" s="37"/>
      <c r="CZ195" s="45"/>
      <c r="DB195" s="37"/>
      <c r="DE195" s="37"/>
      <c r="DH195" s="37"/>
      <c r="DK195" s="37"/>
      <c r="DN195" s="37"/>
      <c r="DQ195" s="37"/>
      <c r="DT195" s="37"/>
      <c r="DW195" s="37"/>
      <c r="DZ195" s="37"/>
      <c r="EC195" s="37"/>
      <c r="EF195" s="37"/>
      <c r="EI195" s="37"/>
      <c r="EL195" s="37"/>
      <c r="EO195" s="37"/>
      <c r="ER195" s="37"/>
      <c r="EU195" s="37"/>
      <c r="EV195" s="45"/>
      <c r="EW195" s="45"/>
      <c r="EX195" s="37"/>
      <c r="EY195" s="45"/>
      <c r="EZ195" s="45"/>
      <c r="FA195" s="37"/>
      <c r="FB195" s="45"/>
      <c r="FC195" s="45"/>
      <c r="FD195" s="37"/>
      <c r="FE195" s="45"/>
      <c r="FF195" s="45"/>
      <c r="FG195" s="37"/>
      <c r="FH195" s="45"/>
      <c r="FI195" s="45"/>
      <c r="FJ195" s="37"/>
      <c r="FK195" s="45"/>
      <c r="FL195" s="45"/>
      <c r="FM195" s="37"/>
      <c r="FN195" s="45"/>
      <c r="FO195" s="45"/>
      <c r="FP195" s="37"/>
      <c r="FQ195" s="45"/>
      <c r="FR195" s="45"/>
      <c r="FS195" s="37"/>
      <c r="FT195" s="45"/>
      <c r="FU195" s="45"/>
      <c r="FV195" s="37"/>
      <c r="FW195" s="45"/>
      <c r="FX195" s="45"/>
      <c r="FY195" s="37"/>
      <c r="FZ195" s="45"/>
      <c r="GA195" s="45"/>
      <c r="GB195" s="37"/>
      <c r="GC195" s="45"/>
      <c r="GD195" s="45"/>
      <c r="GE195" s="37"/>
      <c r="GF195" s="45"/>
      <c r="GG195" s="45"/>
      <c r="GH195" s="37"/>
      <c r="GI195" s="45"/>
      <c r="GJ195" s="45"/>
      <c r="GK195" s="37"/>
      <c r="GL195" s="45"/>
      <c r="GM195" s="45"/>
      <c r="GN195" s="37"/>
      <c r="GO195" s="45"/>
      <c r="HE195" s="56"/>
    </row>
    <row r="196" ht="12.0" customHeight="1">
      <c r="A196" s="37"/>
      <c r="D196" s="37"/>
      <c r="E196" s="37"/>
      <c r="I196" s="37"/>
      <c r="M196" s="37"/>
      <c r="Q196" s="37"/>
      <c r="U196" s="37"/>
      <c r="Y196" s="37"/>
      <c r="AC196" s="37"/>
      <c r="AG196" s="37"/>
      <c r="AK196" s="37"/>
      <c r="AN196" s="37"/>
      <c r="AQ196" s="37"/>
      <c r="AT196" s="37"/>
      <c r="AW196" s="37"/>
      <c r="AZ196" s="37"/>
      <c r="BC196" s="37"/>
      <c r="BF196" s="37"/>
      <c r="BG196" s="45"/>
      <c r="BH196" s="45"/>
      <c r="BI196" s="37"/>
      <c r="BJ196" s="45"/>
      <c r="BK196" s="45"/>
      <c r="BL196" s="37"/>
      <c r="BM196" s="45"/>
      <c r="BN196" s="45"/>
      <c r="BO196" s="37"/>
      <c r="BP196" s="45"/>
      <c r="BQ196" s="45"/>
      <c r="BR196" s="37"/>
      <c r="BS196" s="45"/>
      <c r="BT196" s="45"/>
      <c r="BU196" s="37"/>
      <c r="BV196" s="45"/>
      <c r="BW196" s="45"/>
      <c r="BX196" s="37"/>
      <c r="BY196" s="45"/>
      <c r="BZ196" s="45"/>
      <c r="CA196" s="37"/>
      <c r="CB196" s="45"/>
      <c r="CC196" s="45"/>
      <c r="CD196" s="37"/>
      <c r="CE196" s="45"/>
      <c r="CF196" s="45"/>
      <c r="CG196" s="37"/>
      <c r="CH196" s="45"/>
      <c r="CI196" s="45"/>
      <c r="CJ196" s="37"/>
      <c r="CK196" s="45"/>
      <c r="CL196" s="45"/>
      <c r="CM196" s="37"/>
      <c r="CN196" s="45"/>
      <c r="CO196" s="45"/>
      <c r="CP196" s="37"/>
      <c r="CQ196" s="45"/>
      <c r="CR196" s="45"/>
      <c r="CS196" s="37"/>
      <c r="CT196" s="45"/>
      <c r="CU196" s="45"/>
      <c r="CV196" s="37"/>
      <c r="CW196" s="45"/>
      <c r="CX196" s="45"/>
      <c r="CY196" s="37"/>
      <c r="CZ196" s="45"/>
      <c r="DB196" s="37"/>
      <c r="DE196" s="37"/>
      <c r="DH196" s="37"/>
      <c r="DK196" s="37"/>
      <c r="DN196" s="37"/>
      <c r="DQ196" s="37"/>
      <c r="DT196" s="37"/>
      <c r="DW196" s="37"/>
      <c r="DZ196" s="37"/>
      <c r="EC196" s="37"/>
      <c r="EF196" s="37"/>
      <c r="EI196" s="37"/>
      <c r="EL196" s="37"/>
      <c r="EO196" s="37"/>
      <c r="ER196" s="37"/>
      <c r="EU196" s="37"/>
      <c r="EV196" s="45"/>
      <c r="EW196" s="45"/>
      <c r="EX196" s="37"/>
      <c r="EY196" s="45"/>
      <c r="EZ196" s="45"/>
      <c r="FA196" s="37"/>
      <c r="FB196" s="45"/>
      <c r="FC196" s="45"/>
      <c r="FD196" s="37"/>
      <c r="FE196" s="45"/>
      <c r="FF196" s="45"/>
      <c r="FG196" s="37"/>
      <c r="FH196" s="45"/>
      <c r="FI196" s="45"/>
      <c r="FJ196" s="37"/>
      <c r="FK196" s="45"/>
      <c r="FL196" s="45"/>
      <c r="FM196" s="37"/>
      <c r="FN196" s="45"/>
      <c r="FO196" s="45"/>
      <c r="FP196" s="37"/>
      <c r="FQ196" s="45"/>
      <c r="FR196" s="45"/>
      <c r="FS196" s="37"/>
      <c r="FT196" s="45"/>
      <c r="FU196" s="45"/>
      <c r="FV196" s="37"/>
      <c r="FW196" s="45"/>
      <c r="FX196" s="45"/>
      <c r="FY196" s="37"/>
      <c r="FZ196" s="45"/>
      <c r="GA196" s="45"/>
      <c r="GB196" s="37"/>
      <c r="GC196" s="45"/>
      <c r="GD196" s="45"/>
      <c r="GE196" s="37"/>
      <c r="GF196" s="45"/>
      <c r="GG196" s="45"/>
      <c r="GH196" s="37"/>
      <c r="GI196" s="45"/>
      <c r="GJ196" s="45"/>
      <c r="GK196" s="37"/>
      <c r="GL196" s="45"/>
      <c r="GM196" s="45"/>
      <c r="GN196" s="37"/>
      <c r="GO196" s="45"/>
      <c r="HE196" s="56"/>
    </row>
    <row r="197" ht="12.0" customHeight="1">
      <c r="A197" s="37"/>
      <c r="D197" s="37"/>
      <c r="E197" s="37"/>
      <c r="I197" s="37"/>
      <c r="M197" s="37"/>
      <c r="Q197" s="37"/>
      <c r="U197" s="37"/>
      <c r="Y197" s="37"/>
      <c r="AC197" s="37"/>
      <c r="AG197" s="37"/>
      <c r="AK197" s="37"/>
      <c r="AN197" s="37"/>
      <c r="AQ197" s="37"/>
      <c r="AT197" s="37"/>
      <c r="AW197" s="37"/>
      <c r="AZ197" s="37"/>
      <c r="BC197" s="37"/>
      <c r="BF197" s="37"/>
      <c r="BG197" s="45"/>
      <c r="BH197" s="45"/>
      <c r="BI197" s="37"/>
      <c r="BJ197" s="45"/>
      <c r="BK197" s="45"/>
      <c r="BL197" s="37"/>
      <c r="BM197" s="45"/>
      <c r="BN197" s="45"/>
      <c r="BO197" s="37"/>
      <c r="BP197" s="45"/>
      <c r="BQ197" s="45"/>
      <c r="BR197" s="37"/>
      <c r="BS197" s="45"/>
      <c r="BT197" s="45"/>
      <c r="BU197" s="37"/>
      <c r="BV197" s="45"/>
      <c r="BW197" s="45"/>
      <c r="BX197" s="37"/>
      <c r="BY197" s="45"/>
      <c r="BZ197" s="45"/>
      <c r="CA197" s="37"/>
      <c r="CB197" s="45"/>
      <c r="CC197" s="45"/>
      <c r="CD197" s="37"/>
      <c r="CE197" s="45"/>
      <c r="CF197" s="45"/>
      <c r="CG197" s="37"/>
      <c r="CH197" s="45"/>
      <c r="CI197" s="45"/>
      <c r="CJ197" s="37"/>
      <c r="CK197" s="45"/>
      <c r="CL197" s="45"/>
      <c r="CM197" s="37"/>
      <c r="CN197" s="45"/>
      <c r="CO197" s="45"/>
      <c r="CP197" s="37"/>
      <c r="CQ197" s="45"/>
      <c r="CR197" s="45"/>
      <c r="CS197" s="37"/>
      <c r="CT197" s="45"/>
      <c r="CU197" s="45"/>
      <c r="CV197" s="37"/>
      <c r="CW197" s="45"/>
      <c r="CX197" s="45"/>
      <c r="CY197" s="37"/>
      <c r="CZ197" s="45"/>
      <c r="DB197" s="37"/>
      <c r="DE197" s="37"/>
      <c r="DH197" s="37"/>
      <c r="DK197" s="37"/>
      <c r="DN197" s="37"/>
      <c r="DQ197" s="37"/>
      <c r="DT197" s="37"/>
      <c r="DW197" s="37"/>
      <c r="DZ197" s="37"/>
      <c r="EC197" s="37"/>
      <c r="EF197" s="37"/>
      <c r="EI197" s="37"/>
      <c r="EL197" s="37"/>
      <c r="EO197" s="37"/>
      <c r="ER197" s="37"/>
      <c r="EU197" s="37"/>
      <c r="EV197" s="45"/>
      <c r="EW197" s="45"/>
      <c r="EX197" s="37"/>
      <c r="EY197" s="45"/>
      <c r="EZ197" s="45"/>
      <c r="FA197" s="37"/>
      <c r="FB197" s="45"/>
      <c r="FC197" s="45"/>
      <c r="FD197" s="37"/>
      <c r="FE197" s="45"/>
      <c r="FF197" s="45"/>
      <c r="FG197" s="37"/>
      <c r="FH197" s="45"/>
      <c r="FI197" s="45"/>
      <c r="FJ197" s="37"/>
      <c r="FK197" s="45"/>
      <c r="FL197" s="45"/>
      <c r="FM197" s="37"/>
      <c r="FN197" s="45"/>
      <c r="FO197" s="45"/>
      <c r="FP197" s="37"/>
      <c r="FQ197" s="45"/>
      <c r="FR197" s="45"/>
      <c r="FS197" s="37"/>
      <c r="FT197" s="45"/>
      <c r="FU197" s="45"/>
      <c r="FV197" s="37"/>
      <c r="FW197" s="45"/>
      <c r="FX197" s="45"/>
      <c r="FY197" s="37"/>
      <c r="FZ197" s="45"/>
      <c r="GA197" s="45"/>
      <c r="GB197" s="37"/>
      <c r="GC197" s="45"/>
      <c r="GD197" s="45"/>
      <c r="GE197" s="37"/>
      <c r="GF197" s="45"/>
      <c r="GG197" s="45"/>
      <c r="GH197" s="37"/>
      <c r="GI197" s="45"/>
      <c r="GJ197" s="45"/>
      <c r="GK197" s="37"/>
      <c r="GL197" s="45"/>
      <c r="GM197" s="45"/>
      <c r="GN197" s="37"/>
      <c r="GO197" s="45"/>
      <c r="HE197" s="56"/>
    </row>
    <row r="198" ht="12.0" customHeight="1">
      <c r="A198" s="37"/>
      <c r="D198" s="37"/>
      <c r="E198" s="37"/>
      <c r="I198" s="37"/>
      <c r="M198" s="37"/>
      <c r="Q198" s="37"/>
      <c r="U198" s="37"/>
      <c r="Y198" s="37"/>
      <c r="AC198" s="37"/>
      <c r="AG198" s="37"/>
      <c r="AK198" s="37"/>
      <c r="AN198" s="37"/>
      <c r="AQ198" s="37"/>
      <c r="AT198" s="37"/>
      <c r="AW198" s="37"/>
      <c r="AZ198" s="37"/>
      <c r="BC198" s="37"/>
      <c r="BF198" s="37"/>
      <c r="BG198" s="45"/>
      <c r="BH198" s="45"/>
      <c r="BI198" s="37"/>
      <c r="BJ198" s="45"/>
      <c r="BK198" s="45"/>
      <c r="BL198" s="37"/>
      <c r="BM198" s="45"/>
      <c r="BN198" s="45"/>
      <c r="BO198" s="37"/>
      <c r="BP198" s="45"/>
      <c r="BQ198" s="45"/>
      <c r="BR198" s="37"/>
      <c r="BS198" s="45"/>
      <c r="BT198" s="45"/>
      <c r="BU198" s="37"/>
      <c r="BV198" s="45"/>
      <c r="BW198" s="45"/>
      <c r="BX198" s="37"/>
      <c r="BY198" s="45"/>
      <c r="BZ198" s="45"/>
      <c r="CA198" s="37"/>
      <c r="CB198" s="45"/>
      <c r="CC198" s="45"/>
      <c r="CD198" s="37"/>
      <c r="CE198" s="45"/>
      <c r="CF198" s="45"/>
      <c r="CG198" s="37"/>
      <c r="CH198" s="45"/>
      <c r="CI198" s="45"/>
      <c r="CJ198" s="37"/>
      <c r="CK198" s="45"/>
      <c r="CL198" s="45"/>
      <c r="CM198" s="37"/>
      <c r="CN198" s="45"/>
      <c r="CO198" s="45"/>
      <c r="CP198" s="37"/>
      <c r="CQ198" s="45"/>
      <c r="CR198" s="45"/>
      <c r="CS198" s="37"/>
      <c r="CT198" s="45"/>
      <c r="CU198" s="45"/>
      <c r="CV198" s="37"/>
      <c r="CW198" s="45"/>
      <c r="CX198" s="45"/>
      <c r="CY198" s="37"/>
      <c r="CZ198" s="45"/>
      <c r="DB198" s="37"/>
      <c r="DE198" s="37"/>
      <c r="DH198" s="37"/>
      <c r="DK198" s="37"/>
      <c r="DN198" s="37"/>
      <c r="DQ198" s="37"/>
      <c r="DT198" s="37"/>
      <c r="DW198" s="37"/>
      <c r="DZ198" s="37"/>
      <c r="EC198" s="37"/>
      <c r="EF198" s="37"/>
      <c r="EI198" s="37"/>
      <c r="EL198" s="37"/>
      <c r="EO198" s="37"/>
      <c r="ER198" s="37"/>
      <c r="EU198" s="37"/>
      <c r="EV198" s="45"/>
      <c r="EW198" s="45"/>
      <c r="EX198" s="37"/>
      <c r="EY198" s="45"/>
      <c r="EZ198" s="45"/>
      <c r="FA198" s="37"/>
      <c r="FB198" s="45"/>
      <c r="FC198" s="45"/>
      <c r="FD198" s="37"/>
      <c r="FE198" s="45"/>
      <c r="FF198" s="45"/>
      <c r="FG198" s="37"/>
      <c r="FH198" s="45"/>
      <c r="FI198" s="45"/>
      <c r="FJ198" s="37"/>
      <c r="FK198" s="45"/>
      <c r="FL198" s="45"/>
      <c r="FM198" s="37"/>
      <c r="FN198" s="45"/>
      <c r="FO198" s="45"/>
      <c r="FP198" s="37"/>
      <c r="FQ198" s="45"/>
      <c r="FR198" s="45"/>
      <c r="FS198" s="37"/>
      <c r="FT198" s="45"/>
      <c r="FU198" s="45"/>
      <c r="FV198" s="37"/>
      <c r="FW198" s="45"/>
      <c r="FX198" s="45"/>
      <c r="FY198" s="37"/>
      <c r="FZ198" s="45"/>
      <c r="GA198" s="45"/>
      <c r="GB198" s="37"/>
      <c r="GC198" s="45"/>
      <c r="GD198" s="45"/>
      <c r="GE198" s="37"/>
      <c r="GF198" s="45"/>
      <c r="GG198" s="45"/>
      <c r="GH198" s="37"/>
      <c r="GI198" s="45"/>
      <c r="GJ198" s="45"/>
      <c r="GK198" s="37"/>
      <c r="GL198" s="45"/>
      <c r="GM198" s="45"/>
      <c r="GN198" s="37"/>
      <c r="GO198" s="45"/>
      <c r="HE198" s="56"/>
    </row>
    <row r="199" ht="12.0" customHeight="1">
      <c r="A199" s="37"/>
      <c r="D199" s="37"/>
      <c r="E199" s="37"/>
      <c r="I199" s="37"/>
      <c r="M199" s="37"/>
      <c r="Q199" s="37"/>
      <c r="U199" s="37"/>
      <c r="Y199" s="37"/>
      <c r="AC199" s="37"/>
      <c r="AG199" s="37"/>
      <c r="AK199" s="37"/>
      <c r="AN199" s="37"/>
      <c r="AQ199" s="37"/>
      <c r="AT199" s="37"/>
      <c r="AW199" s="37"/>
      <c r="AZ199" s="37"/>
      <c r="BC199" s="37"/>
      <c r="BF199" s="37"/>
      <c r="BG199" s="45"/>
      <c r="BH199" s="45"/>
      <c r="BI199" s="37"/>
      <c r="BJ199" s="45"/>
      <c r="BK199" s="45"/>
      <c r="BL199" s="37"/>
      <c r="BM199" s="45"/>
      <c r="BN199" s="45"/>
      <c r="BO199" s="37"/>
      <c r="BP199" s="45"/>
      <c r="BQ199" s="45"/>
      <c r="BR199" s="37"/>
      <c r="BS199" s="45"/>
      <c r="BT199" s="45"/>
      <c r="BU199" s="37"/>
      <c r="BV199" s="45"/>
      <c r="BW199" s="45"/>
      <c r="BX199" s="37"/>
      <c r="BY199" s="45"/>
      <c r="BZ199" s="45"/>
      <c r="CA199" s="37"/>
      <c r="CB199" s="45"/>
      <c r="CC199" s="45"/>
      <c r="CD199" s="37"/>
      <c r="CE199" s="45"/>
      <c r="CF199" s="45"/>
      <c r="CG199" s="37"/>
      <c r="CH199" s="45"/>
      <c r="CI199" s="45"/>
      <c r="CJ199" s="37"/>
      <c r="CK199" s="45"/>
      <c r="CL199" s="45"/>
      <c r="CM199" s="37"/>
      <c r="CN199" s="45"/>
      <c r="CO199" s="45"/>
      <c r="CP199" s="37"/>
      <c r="CQ199" s="45"/>
      <c r="CR199" s="45"/>
      <c r="CS199" s="37"/>
      <c r="CT199" s="45"/>
      <c r="CU199" s="45"/>
      <c r="CV199" s="37"/>
      <c r="CW199" s="45"/>
      <c r="CX199" s="45"/>
      <c r="CY199" s="37"/>
      <c r="CZ199" s="45"/>
      <c r="DB199" s="37"/>
      <c r="DE199" s="37"/>
      <c r="DH199" s="37"/>
      <c r="DK199" s="37"/>
      <c r="DN199" s="37"/>
      <c r="DQ199" s="37"/>
      <c r="DT199" s="37"/>
      <c r="DW199" s="37"/>
      <c r="DZ199" s="37"/>
      <c r="EC199" s="37"/>
      <c r="EF199" s="37"/>
      <c r="EI199" s="37"/>
      <c r="EL199" s="37"/>
      <c r="EO199" s="37"/>
      <c r="ER199" s="37"/>
      <c r="EU199" s="37"/>
      <c r="EV199" s="45"/>
      <c r="EW199" s="45"/>
      <c r="EX199" s="37"/>
      <c r="EY199" s="45"/>
      <c r="EZ199" s="45"/>
      <c r="FA199" s="37"/>
      <c r="FB199" s="45"/>
      <c r="FC199" s="45"/>
      <c r="FD199" s="37"/>
      <c r="FE199" s="45"/>
      <c r="FF199" s="45"/>
      <c r="FG199" s="37"/>
      <c r="FH199" s="45"/>
      <c r="FI199" s="45"/>
      <c r="FJ199" s="37"/>
      <c r="FK199" s="45"/>
      <c r="FL199" s="45"/>
      <c r="FM199" s="37"/>
      <c r="FN199" s="45"/>
      <c r="FO199" s="45"/>
      <c r="FP199" s="37"/>
      <c r="FQ199" s="45"/>
      <c r="FR199" s="45"/>
      <c r="FS199" s="37"/>
      <c r="FT199" s="45"/>
      <c r="FU199" s="45"/>
      <c r="FV199" s="37"/>
      <c r="FW199" s="45"/>
      <c r="FX199" s="45"/>
      <c r="FY199" s="37"/>
      <c r="FZ199" s="45"/>
      <c r="GA199" s="45"/>
      <c r="GB199" s="37"/>
      <c r="GC199" s="45"/>
      <c r="GD199" s="45"/>
      <c r="GE199" s="37"/>
      <c r="GF199" s="45"/>
      <c r="GG199" s="45"/>
      <c r="GH199" s="37"/>
      <c r="GI199" s="45"/>
      <c r="GJ199" s="45"/>
      <c r="GK199" s="37"/>
      <c r="GL199" s="45"/>
      <c r="GM199" s="45"/>
      <c r="GN199" s="37"/>
      <c r="GO199" s="45"/>
      <c r="HE199" s="56"/>
    </row>
    <row r="200" ht="12.0" customHeight="1">
      <c r="A200" s="37"/>
      <c r="D200" s="37"/>
      <c r="E200" s="37"/>
      <c r="I200" s="37"/>
      <c r="M200" s="37"/>
      <c r="Q200" s="37"/>
      <c r="U200" s="37"/>
      <c r="Y200" s="37"/>
      <c r="AC200" s="37"/>
      <c r="AG200" s="37"/>
      <c r="AK200" s="37"/>
      <c r="AN200" s="37"/>
      <c r="AQ200" s="37"/>
      <c r="AT200" s="37"/>
      <c r="AW200" s="37"/>
      <c r="AZ200" s="37"/>
      <c r="BC200" s="37"/>
      <c r="BF200" s="37"/>
      <c r="BG200" s="45"/>
      <c r="BH200" s="45"/>
      <c r="BI200" s="37"/>
      <c r="BJ200" s="45"/>
      <c r="BK200" s="45"/>
      <c r="BL200" s="37"/>
      <c r="BM200" s="45"/>
      <c r="BN200" s="45"/>
      <c r="BO200" s="37"/>
      <c r="BP200" s="45"/>
      <c r="BQ200" s="45"/>
      <c r="BR200" s="37"/>
      <c r="BS200" s="45"/>
      <c r="BT200" s="45"/>
      <c r="BU200" s="37"/>
      <c r="BV200" s="45"/>
      <c r="BW200" s="45"/>
      <c r="BX200" s="37"/>
      <c r="BY200" s="45"/>
      <c r="BZ200" s="45"/>
      <c r="CA200" s="37"/>
      <c r="CB200" s="45"/>
      <c r="CC200" s="45"/>
      <c r="CD200" s="37"/>
      <c r="CE200" s="45"/>
      <c r="CF200" s="45"/>
      <c r="CG200" s="37"/>
      <c r="CH200" s="45"/>
      <c r="CI200" s="45"/>
      <c r="CJ200" s="37"/>
      <c r="CK200" s="45"/>
      <c r="CL200" s="45"/>
      <c r="CM200" s="37"/>
      <c r="CN200" s="45"/>
      <c r="CO200" s="45"/>
      <c r="CP200" s="37"/>
      <c r="CQ200" s="45"/>
      <c r="CR200" s="45"/>
      <c r="CS200" s="37"/>
      <c r="CT200" s="45"/>
      <c r="CU200" s="45"/>
      <c r="CV200" s="37"/>
      <c r="CW200" s="45"/>
      <c r="CX200" s="45"/>
      <c r="CY200" s="37"/>
      <c r="CZ200" s="45"/>
      <c r="DB200" s="37"/>
      <c r="DE200" s="37"/>
      <c r="DH200" s="37"/>
      <c r="DK200" s="37"/>
      <c r="DN200" s="37"/>
      <c r="DQ200" s="37"/>
      <c r="DT200" s="37"/>
      <c r="DW200" s="37"/>
      <c r="DZ200" s="37"/>
      <c r="EC200" s="37"/>
      <c r="EF200" s="37"/>
      <c r="EI200" s="37"/>
      <c r="EL200" s="37"/>
      <c r="EO200" s="37"/>
      <c r="ER200" s="37"/>
      <c r="EU200" s="37"/>
      <c r="EV200" s="45"/>
      <c r="EW200" s="45"/>
      <c r="EX200" s="37"/>
      <c r="EY200" s="45"/>
      <c r="EZ200" s="45"/>
      <c r="FA200" s="37"/>
      <c r="FB200" s="45"/>
      <c r="FC200" s="45"/>
      <c r="FD200" s="37"/>
      <c r="FE200" s="45"/>
      <c r="FF200" s="45"/>
      <c r="FG200" s="37"/>
      <c r="FH200" s="45"/>
      <c r="FI200" s="45"/>
      <c r="FJ200" s="37"/>
      <c r="FK200" s="45"/>
      <c r="FL200" s="45"/>
      <c r="FM200" s="37"/>
      <c r="FN200" s="45"/>
      <c r="FO200" s="45"/>
      <c r="FP200" s="37"/>
      <c r="FQ200" s="45"/>
      <c r="FR200" s="45"/>
      <c r="FS200" s="37"/>
      <c r="FT200" s="45"/>
      <c r="FU200" s="45"/>
      <c r="FV200" s="37"/>
      <c r="FW200" s="45"/>
      <c r="FX200" s="45"/>
      <c r="FY200" s="37"/>
      <c r="FZ200" s="45"/>
      <c r="GA200" s="45"/>
      <c r="GB200" s="37"/>
      <c r="GC200" s="45"/>
      <c r="GD200" s="45"/>
      <c r="GE200" s="37"/>
      <c r="GF200" s="45"/>
      <c r="GG200" s="45"/>
      <c r="GH200" s="37"/>
      <c r="GI200" s="45"/>
      <c r="GJ200" s="45"/>
      <c r="GK200" s="37"/>
      <c r="GL200" s="45"/>
      <c r="GM200" s="45"/>
      <c r="GN200" s="37"/>
      <c r="GO200" s="45"/>
      <c r="HE200" s="56"/>
    </row>
    <row r="201" ht="12.0" customHeight="1">
      <c r="A201" s="37"/>
      <c r="D201" s="37"/>
      <c r="E201" s="37"/>
      <c r="I201" s="37"/>
      <c r="M201" s="37"/>
      <c r="Q201" s="37"/>
      <c r="U201" s="37"/>
      <c r="Y201" s="37"/>
      <c r="AC201" s="37"/>
      <c r="AG201" s="37"/>
      <c r="AK201" s="37"/>
      <c r="AN201" s="37"/>
      <c r="AQ201" s="37"/>
      <c r="AT201" s="37"/>
      <c r="AW201" s="37"/>
      <c r="AZ201" s="37"/>
      <c r="BC201" s="37"/>
      <c r="BF201" s="37"/>
      <c r="BG201" s="45"/>
      <c r="BH201" s="45"/>
      <c r="BI201" s="37"/>
      <c r="BJ201" s="45"/>
      <c r="BK201" s="45"/>
      <c r="BL201" s="37"/>
      <c r="BM201" s="45"/>
      <c r="BN201" s="45"/>
      <c r="BO201" s="37"/>
      <c r="BP201" s="45"/>
      <c r="BQ201" s="45"/>
      <c r="BR201" s="37"/>
      <c r="BS201" s="45"/>
      <c r="BT201" s="45"/>
      <c r="BU201" s="37"/>
      <c r="BV201" s="45"/>
      <c r="BW201" s="45"/>
      <c r="BX201" s="37"/>
      <c r="BY201" s="45"/>
      <c r="BZ201" s="45"/>
      <c r="CA201" s="37"/>
      <c r="CB201" s="45"/>
      <c r="CC201" s="45"/>
      <c r="CD201" s="37"/>
      <c r="CE201" s="45"/>
      <c r="CF201" s="45"/>
      <c r="CG201" s="37"/>
      <c r="CH201" s="45"/>
      <c r="CI201" s="45"/>
      <c r="CJ201" s="37"/>
      <c r="CK201" s="45"/>
      <c r="CL201" s="45"/>
      <c r="CM201" s="37"/>
      <c r="CN201" s="45"/>
      <c r="CO201" s="45"/>
      <c r="CP201" s="37"/>
      <c r="CQ201" s="45"/>
      <c r="CR201" s="45"/>
      <c r="CS201" s="37"/>
      <c r="CT201" s="45"/>
      <c r="CU201" s="45"/>
      <c r="CV201" s="37"/>
      <c r="CW201" s="45"/>
      <c r="CX201" s="45"/>
      <c r="CY201" s="37"/>
      <c r="CZ201" s="45"/>
      <c r="DB201" s="37"/>
      <c r="DE201" s="37"/>
      <c r="DH201" s="37"/>
      <c r="DK201" s="37"/>
      <c r="DN201" s="37"/>
      <c r="DQ201" s="37"/>
      <c r="DT201" s="37"/>
      <c r="DW201" s="37"/>
      <c r="DZ201" s="37"/>
      <c r="EC201" s="37"/>
      <c r="EF201" s="37"/>
      <c r="EI201" s="37"/>
      <c r="EL201" s="37"/>
      <c r="EO201" s="37"/>
      <c r="ER201" s="37"/>
      <c r="EU201" s="37"/>
      <c r="EV201" s="45"/>
      <c r="EW201" s="45"/>
      <c r="EX201" s="37"/>
      <c r="EY201" s="45"/>
      <c r="EZ201" s="45"/>
      <c r="FA201" s="37"/>
      <c r="FB201" s="45"/>
      <c r="FC201" s="45"/>
      <c r="FD201" s="37"/>
      <c r="FE201" s="45"/>
      <c r="FF201" s="45"/>
      <c r="FG201" s="37"/>
      <c r="FH201" s="45"/>
      <c r="FI201" s="45"/>
      <c r="FJ201" s="37"/>
      <c r="FK201" s="45"/>
      <c r="FL201" s="45"/>
      <c r="FM201" s="37"/>
      <c r="FN201" s="45"/>
      <c r="FO201" s="45"/>
      <c r="FP201" s="37"/>
      <c r="FQ201" s="45"/>
      <c r="FR201" s="45"/>
      <c r="FS201" s="37"/>
      <c r="FT201" s="45"/>
      <c r="FU201" s="45"/>
      <c r="FV201" s="37"/>
      <c r="FW201" s="45"/>
      <c r="FX201" s="45"/>
      <c r="FY201" s="37"/>
      <c r="FZ201" s="45"/>
      <c r="GA201" s="45"/>
      <c r="GB201" s="37"/>
      <c r="GC201" s="45"/>
      <c r="GD201" s="45"/>
      <c r="GE201" s="37"/>
      <c r="GF201" s="45"/>
      <c r="GG201" s="45"/>
      <c r="GH201" s="37"/>
      <c r="GI201" s="45"/>
      <c r="GJ201" s="45"/>
      <c r="GK201" s="37"/>
      <c r="GL201" s="45"/>
      <c r="GM201" s="45"/>
      <c r="GN201" s="37"/>
      <c r="GO201" s="45"/>
      <c r="HE201" s="56"/>
    </row>
    <row r="202" ht="12.0" customHeight="1">
      <c r="A202" s="37"/>
      <c r="D202" s="37"/>
      <c r="E202" s="37"/>
      <c r="I202" s="37"/>
      <c r="M202" s="37"/>
      <c r="Q202" s="37"/>
      <c r="U202" s="37"/>
      <c r="Y202" s="37"/>
      <c r="AC202" s="37"/>
      <c r="AG202" s="37"/>
      <c r="AK202" s="37"/>
      <c r="AN202" s="37"/>
      <c r="AQ202" s="37"/>
      <c r="AT202" s="37"/>
      <c r="AW202" s="37"/>
      <c r="AZ202" s="37"/>
      <c r="BC202" s="37"/>
      <c r="BF202" s="37"/>
      <c r="BG202" s="45"/>
      <c r="BH202" s="45"/>
      <c r="BI202" s="37"/>
      <c r="BJ202" s="45"/>
      <c r="BK202" s="45"/>
      <c r="BL202" s="37"/>
      <c r="BM202" s="45"/>
      <c r="BN202" s="45"/>
      <c r="BO202" s="37"/>
      <c r="BP202" s="45"/>
      <c r="BQ202" s="45"/>
      <c r="BR202" s="37"/>
      <c r="BS202" s="45"/>
      <c r="BT202" s="45"/>
      <c r="BU202" s="37"/>
      <c r="BV202" s="45"/>
      <c r="BW202" s="45"/>
      <c r="BX202" s="37"/>
      <c r="BY202" s="45"/>
      <c r="BZ202" s="45"/>
      <c r="CA202" s="37"/>
      <c r="CB202" s="45"/>
      <c r="CC202" s="45"/>
      <c r="CD202" s="37"/>
      <c r="CE202" s="45"/>
      <c r="CF202" s="45"/>
      <c r="CG202" s="37"/>
      <c r="CH202" s="45"/>
      <c r="CI202" s="45"/>
      <c r="CJ202" s="37"/>
      <c r="CK202" s="45"/>
      <c r="CL202" s="45"/>
      <c r="CM202" s="37"/>
      <c r="CN202" s="45"/>
      <c r="CO202" s="45"/>
      <c r="CP202" s="37"/>
      <c r="CQ202" s="45"/>
      <c r="CR202" s="45"/>
      <c r="CS202" s="37"/>
      <c r="CT202" s="45"/>
      <c r="CU202" s="45"/>
      <c r="CV202" s="37"/>
      <c r="CW202" s="45"/>
      <c r="CX202" s="45"/>
      <c r="CY202" s="37"/>
      <c r="CZ202" s="45"/>
      <c r="DB202" s="37"/>
      <c r="DE202" s="37"/>
      <c r="DH202" s="37"/>
      <c r="DK202" s="37"/>
      <c r="DN202" s="37"/>
      <c r="DQ202" s="37"/>
      <c r="DT202" s="37"/>
      <c r="DW202" s="37"/>
      <c r="DZ202" s="37"/>
      <c r="EC202" s="37"/>
      <c r="EF202" s="37"/>
      <c r="EI202" s="37"/>
      <c r="EL202" s="37"/>
      <c r="EO202" s="37"/>
      <c r="ER202" s="37"/>
      <c r="EU202" s="37"/>
      <c r="EV202" s="45"/>
      <c r="EW202" s="45"/>
      <c r="EX202" s="37"/>
      <c r="EY202" s="45"/>
      <c r="EZ202" s="45"/>
      <c r="FA202" s="37"/>
      <c r="FB202" s="45"/>
      <c r="FC202" s="45"/>
      <c r="FD202" s="37"/>
      <c r="FE202" s="45"/>
      <c r="FF202" s="45"/>
      <c r="FG202" s="37"/>
      <c r="FH202" s="45"/>
      <c r="FI202" s="45"/>
      <c r="FJ202" s="37"/>
      <c r="FK202" s="45"/>
      <c r="FL202" s="45"/>
      <c r="FM202" s="37"/>
      <c r="FN202" s="45"/>
      <c r="FO202" s="45"/>
      <c r="FP202" s="37"/>
      <c r="FQ202" s="45"/>
      <c r="FR202" s="45"/>
      <c r="FS202" s="37"/>
      <c r="FT202" s="45"/>
      <c r="FU202" s="45"/>
      <c r="FV202" s="37"/>
      <c r="FW202" s="45"/>
      <c r="FX202" s="45"/>
      <c r="FY202" s="37"/>
      <c r="FZ202" s="45"/>
      <c r="GA202" s="45"/>
      <c r="GB202" s="37"/>
      <c r="GC202" s="45"/>
      <c r="GD202" s="45"/>
      <c r="GE202" s="37"/>
      <c r="GF202" s="45"/>
      <c r="GG202" s="45"/>
      <c r="GH202" s="37"/>
      <c r="GI202" s="45"/>
      <c r="GJ202" s="45"/>
      <c r="GK202" s="37"/>
      <c r="GL202" s="45"/>
      <c r="GM202" s="45"/>
      <c r="GN202" s="37"/>
      <c r="GO202" s="45"/>
      <c r="HE202" s="56"/>
    </row>
    <row r="203" ht="12.0" customHeight="1">
      <c r="A203" s="37"/>
      <c r="D203" s="37"/>
      <c r="E203" s="37"/>
      <c r="I203" s="37"/>
      <c r="M203" s="37"/>
      <c r="Q203" s="37"/>
      <c r="U203" s="37"/>
      <c r="Y203" s="37"/>
      <c r="AC203" s="37"/>
      <c r="AG203" s="37"/>
      <c r="AK203" s="37"/>
      <c r="AN203" s="37"/>
      <c r="AQ203" s="37"/>
      <c r="AT203" s="37"/>
      <c r="AW203" s="37"/>
      <c r="AZ203" s="37"/>
      <c r="BC203" s="37"/>
      <c r="BF203" s="37"/>
      <c r="BG203" s="45"/>
      <c r="BH203" s="45"/>
      <c r="BI203" s="37"/>
      <c r="BJ203" s="45"/>
      <c r="BK203" s="45"/>
      <c r="BL203" s="37"/>
      <c r="BM203" s="45"/>
      <c r="BN203" s="45"/>
      <c r="BO203" s="37"/>
      <c r="BP203" s="45"/>
      <c r="BQ203" s="45"/>
      <c r="BR203" s="37"/>
      <c r="BS203" s="45"/>
      <c r="BT203" s="45"/>
      <c r="BU203" s="37"/>
      <c r="BV203" s="45"/>
      <c r="BW203" s="45"/>
      <c r="BX203" s="37"/>
      <c r="BY203" s="45"/>
      <c r="BZ203" s="45"/>
      <c r="CA203" s="37"/>
      <c r="CB203" s="45"/>
      <c r="CC203" s="45"/>
      <c r="CD203" s="37"/>
      <c r="CE203" s="45"/>
      <c r="CF203" s="45"/>
      <c r="CG203" s="37"/>
      <c r="CH203" s="45"/>
      <c r="CI203" s="45"/>
      <c r="CJ203" s="37"/>
      <c r="CK203" s="45"/>
      <c r="CL203" s="45"/>
      <c r="CM203" s="37"/>
      <c r="CN203" s="45"/>
      <c r="CO203" s="45"/>
      <c r="CP203" s="37"/>
      <c r="CQ203" s="45"/>
      <c r="CR203" s="45"/>
      <c r="CS203" s="37"/>
      <c r="CT203" s="45"/>
      <c r="CU203" s="45"/>
      <c r="CV203" s="37"/>
      <c r="CW203" s="45"/>
      <c r="CX203" s="45"/>
      <c r="CY203" s="37"/>
      <c r="CZ203" s="45"/>
      <c r="DB203" s="37"/>
      <c r="DE203" s="37"/>
      <c r="DH203" s="37"/>
      <c r="DK203" s="37"/>
      <c r="DN203" s="37"/>
      <c r="DQ203" s="37"/>
      <c r="DT203" s="37"/>
      <c r="DW203" s="37"/>
      <c r="DZ203" s="37"/>
      <c r="EC203" s="37"/>
      <c r="EF203" s="37"/>
      <c r="EI203" s="37"/>
      <c r="EL203" s="37"/>
      <c r="EO203" s="37"/>
      <c r="ER203" s="37"/>
      <c r="EU203" s="37"/>
      <c r="EV203" s="45"/>
      <c r="EW203" s="45"/>
      <c r="EX203" s="37"/>
      <c r="EY203" s="45"/>
      <c r="EZ203" s="45"/>
      <c r="FA203" s="37"/>
      <c r="FB203" s="45"/>
      <c r="FC203" s="45"/>
      <c r="FD203" s="37"/>
      <c r="FE203" s="45"/>
      <c r="FF203" s="45"/>
      <c r="FG203" s="37"/>
      <c r="FH203" s="45"/>
      <c r="FI203" s="45"/>
      <c r="FJ203" s="37"/>
      <c r="FK203" s="45"/>
      <c r="FL203" s="45"/>
      <c r="FM203" s="37"/>
      <c r="FN203" s="45"/>
      <c r="FO203" s="45"/>
      <c r="FP203" s="37"/>
      <c r="FQ203" s="45"/>
      <c r="FR203" s="45"/>
      <c r="FS203" s="37"/>
      <c r="FT203" s="45"/>
      <c r="FU203" s="45"/>
      <c r="FV203" s="37"/>
      <c r="FW203" s="45"/>
      <c r="FX203" s="45"/>
      <c r="FY203" s="37"/>
      <c r="FZ203" s="45"/>
      <c r="GA203" s="45"/>
      <c r="GB203" s="37"/>
      <c r="GC203" s="45"/>
      <c r="GD203" s="45"/>
      <c r="GE203" s="37"/>
      <c r="GF203" s="45"/>
      <c r="GG203" s="45"/>
      <c r="GH203" s="37"/>
      <c r="GI203" s="45"/>
      <c r="GJ203" s="45"/>
      <c r="GK203" s="37"/>
      <c r="GL203" s="45"/>
      <c r="GM203" s="45"/>
      <c r="GN203" s="37"/>
      <c r="GO203" s="45"/>
      <c r="HE203" s="56"/>
    </row>
    <row r="204" ht="12.0" customHeight="1">
      <c r="A204" s="37"/>
      <c r="D204" s="37"/>
      <c r="E204" s="37"/>
      <c r="I204" s="37"/>
      <c r="M204" s="37"/>
      <c r="Q204" s="37"/>
      <c r="U204" s="37"/>
      <c r="Y204" s="37"/>
      <c r="AC204" s="37"/>
      <c r="AG204" s="37"/>
      <c r="AK204" s="37"/>
      <c r="AN204" s="37"/>
      <c r="AQ204" s="37"/>
      <c r="AT204" s="37"/>
      <c r="AW204" s="37"/>
      <c r="AZ204" s="37"/>
      <c r="BC204" s="37"/>
      <c r="BF204" s="37"/>
      <c r="BG204" s="45"/>
      <c r="BH204" s="45"/>
      <c r="BI204" s="37"/>
      <c r="BJ204" s="45"/>
      <c r="BK204" s="45"/>
      <c r="BL204" s="37"/>
      <c r="BM204" s="45"/>
      <c r="BN204" s="45"/>
      <c r="BO204" s="37"/>
      <c r="BP204" s="45"/>
      <c r="BQ204" s="45"/>
      <c r="BR204" s="37"/>
      <c r="BS204" s="45"/>
      <c r="BT204" s="45"/>
      <c r="BU204" s="37"/>
      <c r="BV204" s="45"/>
      <c r="BW204" s="45"/>
      <c r="BX204" s="37"/>
      <c r="BY204" s="45"/>
      <c r="BZ204" s="45"/>
      <c r="CA204" s="37"/>
      <c r="CB204" s="45"/>
      <c r="CC204" s="45"/>
      <c r="CD204" s="37"/>
      <c r="CE204" s="45"/>
      <c r="CF204" s="45"/>
      <c r="CG204" s="37"/>
      <c r="CH204" s="45"/>
      <c r="CI204" s="45"/>
      <c r="CJ204" s="37"/>
      <c r="CK204" s="45"/>
      <c r="CL204" s="45"/>
      <c r="CM204" s="37"/>
      <c r="CN204" s="45"/>
      <c r="CO204" s="45"/>
      <c r="CP204" s="37"/>
      <c r="CQ204" s="45"/>
      <c r="CR204" s="45"/>
      <c r="CS204" s="37"/>
      <c r="CT204" s="45"/>
      <c r="CU204" s="45"/>
      <c r="CV204" s="37"/>
      <c r="CW204" s="45"/>
      <c r="CX204" s="45"/>
      <c r="CY204" s="37"/>
      <c r="CZ204" s="45"/>
      <c r="DB204" s="37"/>
      <c r="DE204" s="37"/>
      <c r="DH204" s="37"/>
      <c r="DK204" s="37"/>
      <c r="DN204" s="37"/>
      <c r="DQ204" s="37"/>
      <c r="DT204" s="37"/>
      <c r="DW204" s="37"/>
      <c r="DZ204" s="37"/>
      <c r="EC204" s="37"/>
      <c r="EF204" s="37"/>
      <c r="EI204" s="37"/>
      <c r="EL204" s="37"/>
      <c r="EO204" s="37"/>
      <c r="ER204" s="37"/>
      <c r="EU204" s="37"/>
      <c r="EV204" s="45"/>
      <c r="EW204" s="45"/>
      <c r="EX204" s="37"/>
      <c r="EY204" s="45"/>
      <c r="EZ204" s="45"/>
      <c r="FA204" s="37"/>
      <c r="FB204" s="45"/>
      <c r="FC204" s="45"/>
      <c r="FD204" s="37"/>
      <c r="FE204" s="45"/>
      <c r="FF204" s="45"/>
      <c r="FG204" s="37"/>
      <c r="FH204" s="45"/>
      <c r="FI204" s="45"/>
      <c r="FJ204" s="37"/>
      <c r="FK204" s="45"/>
      <c r="FL204" s="45"/>
      <c r="FM204" s="37"/>
      <c r="FN204" s="45"/>
      <c r="FO204" s="45"/>
      <c r="FP204" s="37"/>
      <c r="FQ204" s="45"/>
      <c r="FR204" s="45"/>
      <c r="FS204" s="37"/>
      <c r="FT204" s="45"/>
      <c r="FU204" s="45"/>
      <c r="FV204" s="37"/>
      <c r="FW204" s="45"/>
      <c r="FX204" s="45"/>
      <c r="FY204" s="37"/>
      <c r="FZ204" s="45"/>
      <c r="GA204" s="45"/>
      <c r="GB204" s="37"/>
      <c r="GC204" s="45"/>
      <c r="GD204" s="45"/>
      <c r="GE204" s="37"/>
      <c r="GF204" s="45"/>
      <c r="GG204" s="45"/>
      <c r="GH204" s="37"/>
      <c r="GI204" s="45"/>
      <c r="GJ204" s="45"/>
      <c r="GK204" s="37"/>
      <c r="GL204" s="45"/>
      <c r="GM204" s="45"/>
      <c r="GN204" s="37"/>
      <c r="GO204" s="45"/>
      <c r="HE204" s="56"/>
    </row>
    <row r="205" ht="12.0" customHeight="1">
      <c r="A205" s="37"/>
      <c r="D205" s="37"/>
      <c r="E205" s="37"/>
      <c r="I205" s="37"/>
      <c r="M205" s="37"/>
      <c r="Q205" s="37"/>
      <c r="U205" s="37"/>
      <c r="Y205" s="37"/>
      <c r="AC205" s="37"/>
      <c r="AG205" s="37"/>
      <c r="AK205" s="37"/>
      <c r="AN205" s="37"/>
      <c r="AQ205" s="37"/>
      <c r="AT205" s="37"/>
      <c r="AW205" s="37"/>
      <c r="AZ205" s="37"/>
      <c r="BC205" s="37"/>
      <c r="BF205" s="37"/>
      <c r="BG205" s="45"/>
      <c r="BH205" s="45"/>
      <c r="BI205" s="37"/>
      <c r="BJ205" s="45"/>
      <c r="BK205" s="45"/>
      <c r="BL205" s="37"/>
      <c r="BM205" s="45"/>
      <c r="BN205" s="45"/>
      <c r="BO205" s="37"/>
      <c r="BP205" s="45"/>
      <c r="BQ205" s="45"/>
      <c r="BR205" s="37"/>
      <c r="BS205" s="45"/>
      <c r="BT205" s="45"/>
      <c r="BU205" s="37"/>
      <c r="BV205" s="45"/>
      <c r="BW205" s="45"/>
      <c r="BX205" s="37"/>
      <c r="BY205" s="45"/>
      <c r="BZ205" s="45"/>
      <c r="CA205" s="37"/>
      <c r="CB205" s="45"/>
      <c r="CC205" s="45"/>
      <c r="CD205" s="37"/>
      <c r="CE205" s="45"/>
      <c r="CF205" s="45"/>
      <c r="CG205" s="37"/>
      <c r="CH205" s="45"/>
      <c r="CI205" s="45"/>
      <c r="CJ205" s="37"/>
      <c r="CK205" s="45"/>
      <c r="CL205" s="45"/>
      <c r="CM205" s="37"/>
      <c r="CN205" s="45"/>
      <c r="CO205" s="45"/>
      <c r="CP205" s="37"/>
      <c r="CQ205" s="45"/>
      <c r="CR205" s="45"/>
      <c r="CS205" s="37"/>
      <c r="CT205" s="45"/>
      <c r="CU205" s="45"/>
      <c r="CV205" s="37"/>
      <c r="CW205" s="45"/>
      <c r="CX205" s="45"/>
      <c r="CY205" s="37"/>
      <c r="CZ205" s="45"/>
      <c r="DB205" s="37"/>
      <c r="DE205" s="37"/>
      <c r="DH205" s="37"/>
      <c r="DK205" s="37"/>
      <c r="DN205" s="37"/>
      <c r="DQ205" s="37"/>
      <c r="DT205" s="37"/>
      <c r="DW205" s="37"/>
      <c r="DZ205" s="37"/>
      <c r="EC205" s="37"/>
      <c r="EF205" s="37"/>
      <c r="EI205" s="37"/>
      <c r="EL205" s="37"/>
      <c r="EO205" s="37"/>
      <c r="ER205" s="37"/>
      <c r="EU205" s="37"/>
      <c r="EV205" s="45"/>
      <c r="EW205" s="45"/>
      <c r="EX205" s="37"/>
      <c r="EY205" s="45"/>
      <c r="EZ205" s="45"/>
      <c r="FA205" s="37"/>
      <c r="FB205" s="45"/>
      <c r="FC205" s="45"/>
      <c r="FD205" s="37"/>
      <c r="FE205" s="45"/>
      <c r="FF205" s="45"/>
      <c r="FG205" s="37"/>
      <c r="FH205" s="45"/>
      <c r="FI205" s="45"/>
      <c r="FJ205" s="37"/>
      <c r="FK205" s="45"/>
      <c r="FL205" s="45"/>
      <c r="FM205" s="37"/>
      <c r="FN205" s="45"/>
      <c r="FO205" s="45"/>
      <c r="FP205" s="37"/>
      <c r="FQ205" s="45"/>
      <c r="FR205" s="45"/>
      <c r="FS205" s="37"/>
      <c r="FT205" s="45"/>
      <c r="FU205" s="45"/>
      <c r="FV205" s="37"/>
      <c r="FW205" s="45"/>
      <c r="FX205" s="45"/>
      <c r="FY205" s="37"/>
      <c r="FZ205" s="45"/>
      <c r="GA205" s="45"/>
      <c r="GB205" s="37"/>
      <c r="GC205" s="45"/>
      <c r="GD205" s="45"/>
      <c r="GE205" s="37"/>
      <c r="GF205" s="45"/>
      <c r="GG205" s="45"/>
      <c r="GH205" s="37"/>
      <c r="GI205" s="45"/>
      <c r="GJ205" s="45"/>
      <c r="GK205" s="37"/>
      <c r="GL205" s="45"/>
      <c r="GM205" s="45"/>
      <c r="GN205" s="37"/>
      <c r="GO205" s="45"/>
      <c r="HE205" s="56"/>
    </row>
    <row r="206" ht="12.0" customHeight="1">
      <c r="A206" s="37"/>
      <c r="D206" s="37"/>
      <c r="E206" s="37"/>
      <c r="I206" s="37"/>
      <c r="M206" s="37"/>
      <c r="Q206" s="37"/>
      <c r="U206" s="37"/>
      <c r="Y206" s="37"/>
      <c r="AC206" s="37"/>
      <c r="AG206" s="37"/>
      <c r="AK206" s="37"/>
      <c r="AN206" s="37"/>
      <c r="AQ206" s="37"/>
      <c r="AT206" s="37"/>
      <c r="AW206" s="37"/>
      <c r="AZ206" s="37"/>
      <c r="BC206" s="37"/>
      <c r="BF206" s="37"/>
      <c r="BG206" s="45"/>
      <c r="BH206" s="45"/>
      <c r="BI206" s="37"/>
      <c r="BJ206" s="45"/>
      <c r="BK206" s="45"/>
      <c r="BL206" s="37"/>
      <c r="BM206" s="45"/>
      <c r="BN206" s="45"/>
      <c r="BO206" s="37"/>
      <c r="BP206" s="45"/>
      <c r="BQ206" s="45"/>
      <c r="BR206" s="37"/>
      <c r="BS206" s="45"/>
      <c r="BT206" s="45"/>
      <c r="BU206" s="37"/>
      <c r="BV206" s="45"/>
      <c r="BW206" s="45"/>
      <c r="BX206" s="37"/>
      <c r="BY206" s="45"/>
      <c r="BZ206" s="45"/>
      <c r="CA206" s="37"/>
      <c r="CB206" s="45"/>
      <c r="CC206" s="45"/>
      <c r="CD206" s="37"/>
      <c r="CE206" s="45"/>
      <c r="CF206" s="45"/>
      <c r="CG206" s="37"/>
      <c r="CH206" s="45"/>
      <c r="CI206" s="45"/>
      <c r="CJ206" s="37"/>
      <c r="CK206" s="45"/>
      <c r="CL206" s="45"/>
      <c r="CM206" s="37"/>
      <c r="CN206" s="45"/>
      <c r="CO206" s="45"/>
      <c r="CP206" s="37"/>
      <c r="CQ206" s="45"/>
      <c r="CR206" s="45"/>
      <c r="CS206" s="37"/>
      <c r="CT206" s="45"/>
      <c r="CU206" s="45"/>
      <c r="CV206" s="37"/>
      <c r="CW206" s="45"/>
      <c r="CX206" s="45"/>
      <c r="CY206" s="37"/>
      <c r="CZ206" s="45"/>
      <c r="DB206" s="37"/>
      <c r="DE206" s="37"/>
      <c r="DH206" s="37"/>
      <c r="DK206" s="37"/>
      <c r="DN206" s="37"/>
      <c r="DQ206" s="37"/>
      <c r="DT206" s="37"/>
      <c r="DW206" s="37"/>
      <c r="DZ206" s="37"/>
      <c r="EC206" s="37"/>
      <c r="EF206" s="37"/>
      <c r="EI206" s="37"/>
      <c r="EL206" s="37"/>
      <c r="EO206" s="37"/>
      <c r="ER206" s="37"/>
      <c r="EU206" s="37"/>
      <c r="EV206" s="45"/>
      <c r="EW206" s="45"/>
      <c r="EX206" s="37"/>
      <c r="EY206" s="45"/>
      <c r="EZ206" s="45"/>
      <c r="FA206" s="37"/>
      <c r="FB206" s="45"/>
      <c r="FC206" s="45"/>
      <c r="FD206" s="37"/>
      <c r="FE206" s="45"/>
      <c r="FF206" s="45"/>
      <c r="FG206" s="37"/>
      <c r="FH206" s="45"/>
      <c r="FI206" s="45"/>
      <c r="FJ206" s="37"/>
      <c r="FK206" s="45"/>
      <c r="FL206" s="45"/>
      <c r="FM206" s="37"/>
      <c r="FN206" s="45"/>
      <c r="FO206" s="45"/>
      <c r="FP206" s="37"/>
      <c r="FQ206" s="45"/>
      <c r="FR206" s="45"/>
      <c r="FS206" s="37"/>
      <c r="FT206" s="45"/>
      <c r="FU206" s="45"/>
      <c r="FV206" s="37"/>
      <c r="FW206" s="45"/>
      <c r="FX206" s="45"/>
      <c r="FY206" s="37"/>
      <c r="FZ206" s="45"/>
      <c r="GA206" s="45"/>
      <c r="GB206" s="37"/>
      <c r="GC206" s="45"/>
      <c r="GD206" s="45"/>
      <c r="GE206" s="37"/>
      <c r="GF206" s="45"/>
      <c r="GG206" s="45"/>
      <c r="GH206" s="37"/>
      <c r="GI206" s="45"/>
      <c r="GJ206" s="45"/>
      <c r="GK206" s="37"/>
      <c r="GL206" s="45"/>
      <c r="GM206" s="45"/>
      <c r="GN206" s="37"/>
      <c r="GO206" s="45"/>
      <c r="HE206" s="56"/>
    </row>
    <row r="207" ht="12.0" customHeight="1">
      <c r="A207" s="37"/>
      <c r="D207" s="37"/>
      <c r="E207" s="37"/>
      <c r="I207" s="37"/>
      <c r="M207" s="37"/>
      <c r="Q207" s="37"/>
      <c r="U207" s="37"/>
      <c r="Y207" s="37"/>
      <c r="AC207" s="37"/>
      <c r="AG207" s="37"/>
      <c r="AK207" s="37"/>
      <c r="AN207" s="37"/>
      <c r="AQ207" s="37"/>
      <c r="AT207" s="37"/>
      <c r="AW207" s="37"/>
      <c r="AZ207" s="37"/>
      <c r="BC207" s="37"/>
      <c r="BF207" s="37"/>
      <c r="BG207" s="45"/>
      <c r="BH207" s="45"/>
      <c r="BI207" s="37"/>
      <c r="BJ207" s="45"/>
      <c r="BK207" s="45"/>
      <c r="BL207" s="37"/>
      <c r="BM207" s="45"/>
      <c r="BN207" s="45"/>
      <c r="BO207" s="37"/>
      <c r="BP207" s="45"/>
      <c r="BQ207" s="45"/>
      <c r="BR207" s="37"/>
      <c r="BS207" s="45"/>
      <c r="BT207" s="45"/>
      <c r="BU207" s="37"/>
      <c r="BV207" s="45"/>
      <c r="BW207" s="45"/>
      <c r="BX207" s="37"/>
      <c r="BY207" s="45"/>
      <c r="BZ207" s="45"/>
      <c r="CA207" s="37"/>
      <c r="CB207" s="45"/>
      <c r="CC207" s="45"/>
      <c r="CD207" s="37"/>
      <c r="CE207" s="45"/>
      <c r="CF207" s="45"/>
      <c r="CG207" s="37"/>
      <c r="CH207" s="45"/>
      <c r="CI207" s="45"/>
      <c r="CJ207" s="37"/>
      <c r="CK207" s="45"/>
      <c r="CL207" s="45"/>
      <c r="CM207" s="37"/>
      <c r="CN207" s="45"/>
      <c r="CO207" s="45"/>
      <c r="CP207" s="37"/>
      <c r="CQ207" s="45"/>
      <c r="CR207" s="45"/>
      <c r="CS207" s="37"/>
      <c r="CT207" s="45"/>
      <c r="CU207" s="45"/>
      <c r="CV207" s="37"/>
      <c r="CW207" s="45"/>
      <c r="CX207" s="45"/>
      <c r="CY207" s="37"/>
      <c r="CZ207" s="45"/>
      <c r="DB207" s="37"/>
      <c r="DE207" s="37"/>
      <c r="DH207" s="37"/>
      <c r="DK207" s="37"/>
      <c r="DN207" s="37"/>
      <c r="DQ207" s="37"/>
      <c r="DT207" s="37"/>
      <c r="DW207" s="37"/>
      <c r="DZ207" s="37"/>
      <c r="EC207" s="37"/>
      <c r="EF207" s="37"/>
      <c r="EI207" s="37"/>
      <c r="EL207" s="37"/>
      <c r="EO207" s="37"/>
      <c r="ER207" s="37"/>
      <c r="EU207" s="37"/>
      <c r="EV207" s="45"/>
      <c r="EW207" s="45"/>
      <c r="EX207" s="37"/>
      <c r="EY207" s="45"/>
      <c r="EZ207" s="45"/>
      <c r="FA207" s="37"/>
      <c r="FB207" s="45"/>
      <c r="FC207" s="45"/>
      <c r="FD207" s="37"/>
      <c r="FE207" s="45"/>
      <c r="FF207" s="45"/>
      <c r="FG207" s="37"/>
      <c r="FH207" s="45"/>
      <c r="FI207" s="45"/>
      <c r="FJ207" s="37"/>
      <c r="FK207" s="45"/>
      <c r="FL207" s="45"/>
      <c r="FM207" s="37"/>
      <c r="FN207" s="45"/>
      <c r="FO207" s="45"/>
      <c r="FP207" s="37"/>
      <c r="FQ207" s="45"/>
      <c r="FR207" s="45"/>
      <c r="FS207" s="37"/>
      <c r="FT207" s="45"/>
      <c r="FU207" s="45"/>
      <c r="FV207" s="37"/>
      <c r="FW207" s="45"/>
      <c r="FX207" s="45"/>
      <c r="FY207" s="37"/>
      <c r="FZ207" s="45"/>
      <c r="GA207" s="45"/>
      <c r="GB207" s="37"/>
      <c r="GC207" s="45"/>
      <c r="GD207" s="45"/>
      <c r="GE207" s="37"/>
      <c r="GF207" s="45"/>
      <c r="GG207" s="45"/>
      <c r="GH207" s="37"/>
      <c r="GI207" s="45"/>
      <c r="GJ207" s="45"/>
      <c r="GK207" s="37"/>
      <c r="GL207" s="45"/>
      <c r="GM207" s="45"/>
      <c r="GN207" s="37"/>
      <c r="GO207" s="45"/>
      <c r="HE207" s="56"/>
    </row>
    <row r="208" ht="12.0" customHeight="1">
      <c r="A208" s="37"/>
      <c r="D208" s="37"/>
      <c r="E208" s="37"/>
      <c r="I208" s="37"/>
      <c r="M208" s="37"/>
      <c r="Q208" s="37"/>
      <c r="U208" s="37"/>
      <c r="Y208" s="37"/>
      <c r="AC208" s="37"/>
      <c r="AG208" s="37"/>
      <c r="AK208" s="37"/>
      <c r="AN208" s="37"/>
      <c r="AQ208" s="37"/>
      <c r="AT208" s="37"/>
      <c r="AW208" s="37"/>
      <c r="AZ208" s="37"/>
      <c r="BC208" s="37"/>
      <c r="BF208" s="37"/>
      <c r="BG208" s="45"/>
      <c r="BH208" s="45"/>
      <c r="BI208" s="37"/>
      <c r="BJ208" s="45"/>
      <c r="BK208" s="45"/>
      <c r="BL208" s="37"/>
      <c r="BM208" s="45"/>
      <c r="BN208" s="45"/>
      <c r="BO208" s="37"/>
      <c r="BP208" s="45"/>
      <c r="BQ208" s="45"/>
      <c r="BR208" s="37"/>
      <c r="BS208" s="45"/>
      <c r="BT208" s="45"/>
      <c r="BU208" s="37"/>
      <c r="BV208" s="45"/>
      <c r="BW208" s="45"/>
      <c r="BX208" s="37"/>
      <c r="BY208" s="45"/>
      <c r="BZ208" s="45"/>
      <c r="CA208" s="37"/>
      <c r="CB208" s="45"/>
      <c r="CC208" s="45"/>
      <c r="CD208" s="37"/>
      <c r="CE208" s="45"/>
      <c r="CF208" s="45"/>
      <c r="CG208" s="37"/>
      <c r="CH208" s="45"/>
      <c r="CI208" s="45"/>
      <c r="CJ208" s="37"/>
      <c r="CK208" s="45"/>
      <c r="CL208" s="45"/>
      <c r="CM208" s="37"/>
      <c r="CN208" s="45"/>
      <c r="CO208" s="45"/>
      <c r="CP208" s="37"/>
      <c r="CQ208" s="45"/>
      <c r="CR208" s="45"/>
      <c r="CS208" s="37"/>
      <c r="CT208" s="45"/>
      <c r="CU208" s="45"/>
      <c r="CV208" s="37"/>
      <c r="CW208" s="45"/>
      <c r="CX208" s="45"/>
      <c r="CY208" s="37"/>
      <c r="CZ208" s="45"/>
      <c r="DB208" s="37"/>
      <c r="DE208" s="37"/>
      <c r="DH208" s="37"/>
      <c r="DK208" s="37"/>
      <c r="DN208" s="37"/>
      <c r="DQ208" s="37"/>
      <c r="DT208" s="37"/>
      <c r="DW208" s="37"/>
      <c r="DZ208" s="37"/>
      <c r="EC208" s="37"/>
      <c r="EF208" s="37"/>
      <c r="EI208" s="37"/>
      <c r="EL208" s="37"/>
      <c r="EO208" s="37"/>
      <c r="ER208" s="37"/>
      <c r="EU208" s="37"/>
      <c r="EV208" s="45"/>
      <c r="EW208" s="45"/>
      <c r="EX208" s="37"/>
      <c r="EY208" s="45"/>
      <c r="EZ208" s="45"/>
      <c r="FA208" s="37"/>
      <c r="FB208" s="45"/>
      <c r="FC208" s="45"/>
      <c r="FD208" s="37"/>
      <c r="FE208" s="45"/>
      <c r="FF208" s="45"/>
      <c r="FG208" s="37"/>
      <c r="FH208" s="45"/>
      <c r="FI208" s="45"/>
      <c r="FJ208" s="37"/>
      <c r="FK208" s="45"/>
      <c r="FL208" s="45"/>
      <c r="FM208" s="37"/>
      <c r="FN208" s="45"/>
      <c r="FO208" s="45"/>
      <c r="FP208" s="37"/>
      <c r="FQ208" s="45"/>
      <c r="FR208" s="45"/>
      <c r="FS208" s="37"/>
      <c r="FT208" s="45"/>
      <c r="FU208" s="45"/>
      <c r="FV208" s="37"/>
      <c r="FW208" s="45"/>
      <c r="FX208" s="45"/>
      <c r="FY208" s="37"/>
      <c r="FZ208" s="45"/>
      <c r="GA208" s="45"/>
      <c r="GB208" s="37"/>
      <c r="GC208" s="45"/>
      <c r="GD208" s="45"/>
      <c r="GE208" s="37"/>
      <c r="GF208" s="45"/>
      <c r="GG208" s="45"/>
      <c r="GH208" s="37"/>
      <c r="GI208" s="45"/>
      <c r="GJ208" s="45"/>
      <c r="GK208" s="37"/>
      <c r="GL208" s="45"/>
      <c r="GM208" s="45"/>
      <c r="GN208" s="37"/>
      <c r="GO208" s="45"/>
      <c r="HE208" s="56"/>
    </row>
    <row r="209" ht="12.0" customHeight="1">
      <c r="A209" s="37"/>
      <c r="D209" s="37"/>
      <c r="E209" s="37"/>
      <c r="I209" s="37"/>
      <c r="M209" s="37"/>
      <c r="Q209" s="37"/>
      <c r="U209" s="37"/>
      <c r="Y209" s="37"/>
      <c r="AC209" s="37"/>
      <c r="AG209" s="37"/>
      <c r="AK209" s="37"/>
      <c r="AN209" s="37"/>
      <c r="AQ209" s="37"/>
      <c r="AT209" s="37"/>
      <c r="AW209" s="37"/>
      <c r="AZ209" s="37"/>
      <c r="BC209" s="37"/>
      <c r="BF209" s="37"/>
      <c r="BG209" s="45"/>
      <c r="BH209" s="45"/>
      <c r="BI209" s="37"/>
      <c r="BJ209" s="45"/>
      <c r="BK209" s="45"/>
      <c r="BL209" s="37"/>
      <c r="BM209" s="45"/>
      <c r="BN209" s="45"/>
      <c r="BO209" s="37"/>
      <c r="BP209" s="45"/>
      <c r="BQ209" s="45"/>
      <c r="BR209" s="37"/>
      <c r="BS209" s="45"/>
      <c r="BT209" s="45"/>
      <c r="BU209" s="37"/>
      <c r="BV209" s="45"/>
      <c r="BW209" s="45"/>
      <c r="BX209" s="37"/>
      <c r="BY209" s="45"/>
      <c r="BZ209" s="45"/>
      <c r="CA209" s="37"/>
      <c r="CB209" s="45"/>
      <c r="CC209" s="45"/>
      <c r="CD209" s="37"/>
      <c r="CE209" s="45"/>
      <c r="CF209" s="45"/>
      <c r="CG209" s="37"/>
      <c r="CH209" s="45"/>
      <c r="CI209" s="45"/>
      <c r="CJ209" s="37"/>
      <c r="CK209" s="45"/>
      <c r="CL209" s="45"/>
      <c r="CM209" s="37"/>
      <c r="CN209" s="45"/>
      <c r="CO209" s="45"/>
      <c r="CP209" s="37"/>
      <c r="CQ209" s="45"/>
      <c r="CR209" s="45"/>
      <c r="CS209" s="37"/>
      <c r="CT209" s="45"/>
      <c r="CU209" s="45"/>
      <c r="CV209" s="37"/>
      <c r="CW209" s="45"/>
      <c r="CX209" s="45"/>
      <c r="CY209" s="37"/>
      <c r="CZ209" s="45"/>
      <c r="DB209" s="37"/>
      <c r="DE209" s="37"/>
      <c r="DH209" s="37"/>
      <c r="DK209" s="37"/>
      <c r="DN209" s="37"/>
      <c r="DQ209" s="37"/>
      <c r="DT209" s="37"/>
      <c r="DW209" s="37"/>
      <c r="DZ209" s="37"/>
      <c r="EC209" s="37"/>
      <c r="EF209" s="37"/>
      <c r="EI209" s="37"/>
      <c r="EL209" s="37"/>
      <c r="EO209" s="37"/>
      <c r="ER209" s="37"/>
      <c r="EU209" s="37"/>
      <c r="EV209" s="45"/>
      <c r="EW209" s="45"/>
      <c r="EX209" s="37"/>
      <c r="EY209" s="45"/>
      <c r="EZ209" s="45"/>
      <c r="FA209" s="37"/>
      <c r="FB209" s="45"/>
      <c r="FC209" s="45"/>
      <c r="FD209" s="37"/>
      <c r="FE209" s="45"/>
      <c r="FF209" s="45"/>
      <c r="FG209" s="37"/>
      <c r="FH209" s="45"/>
      <c r="FI209" s="45"/>
      <c r="FJ209" s="37"/>
      <c r="FK209" s="45"/>
      <c r="FL209" s="45"/>
      <c r="FM209" s="37"/>
      <c r="FN209" s="45"/>
      <c r="FO209" s="45"/>
      <c r="FP209" s="37"/>
      <c r="FQ209" s="45"/>
      <c r="FR209" s="45"/>
      <c r="FS209" s="37"/>
      <c r="FT209" s="45"/>
      <c r="FU209" s="45"/>
      <c r="FV209" s="37"/>
      <c r="FW209" s="45"/>
      <c r="FX209" s="45"/>
      <c r="FY209" s="37"/>
      <c r="FZ209" s="45"/>
      <c r="GA209" s="45"/>
      <c r="GB209" s="37"/>
      <c r="GC209" s="45"/>
      <c r="GD209" s="45"/>
      <c r="GE209" s="37"/>
      <c r="GF209" s="45"/>
      <c r="GG209" s="45"/>
      <c r="GH209" s="37"/>
      <c r="GI209" s="45"/>
      <c r="GJ209" s="45"/>
      <c r="GK209" s="37"/>
      <c r="GL209" s="45"/>
      <c r="GM209" s="45"/>
      <c r="GN209" s="37"/>
      <c r="GO209" s="45"/>
      <c r="HE209" s="56"/>
    </row>
    <row r="210" ht="12.0" customHeight="1">
      <c r="A210" s="37"/>
      <c r="D210" s="37"/>
      <c r="E210" s="37"/>
      <c r="I210" s="37"/>
      <c r="M210" s="37"/>
      <c r="Q210" s="37"/>
      <c r="U210" s="37"/>
      <c r="Y210" s="37"/>
      <c r="AC210" s="37"/>
      <c r="AG210" s="37"/>
      <c r="AK210" s="37"/>
      <c r="AN210" s="37"/>
      <c r="AQ210" s="37"/>
      <c r="AT210" s="37"/>
      <c r="AW210" s="37"/>
      <c r="AZ210" s="37"/>
      <c r="BC210" s="37"/>
      <c r="BF210" s="37"/>
      <c r="BG210" s="45"/>
      <c r="BH210" s="45"/>
      <c r="BI210" s="37"/>
      <c r="BJ210" s="45"/>
      <c r="BK210" s="45"/>
      <c r="BL210" s="37"/>
      <c r="BM210" s="45"/>
      <c r="BN210" s="45"/>
      <c r="BO210" s="37"/>
      <c r="BP210" s="45"/>
      <c r="BQ210" s="45"/>
      <c r="BR210" s="37"/>
      <c r="BS210" s="45"/>
      <c r="BT210" s="45"/>
      <c r="BU210" s="37"/>
      <c r="BV210" s="45"/>
      <c r="BW210" s="45"/>
      <c r="BX210" s="37"/>
      <c r="BY210" s="45"/>
      <c r="BZ210" s="45"/>
      <c r="CA210" s="37"/>
      <c r="CB210" s="45"/>
      <c r="CC210" s="45"/>
      <c r="CD210" s="37"/>
      <c r="CE210" s="45"/>
      <c r="CF210" s="45"/>
      <c r="CG210" s="37"/>
      <c r="CH210" s="45"/>
      <c r="CI210" s="45"/>
      <c r="CJ210" s="37"/>
      <c r="CK210" s="45"/>
      <c r="CL210" s="45"/>
      <c r="CM210" s="37"/>
      <c r="CN210" s="45"/>
      <c r="CO210" s="45"/>
      <c r="CP210" s="37"/>
      <c r="CQ210" s="45"/>
      <c r="CR210" s="45"/>
      <c r="CS210" s="37"/>
      <c r="CT210" s="45"/>
      <c r="CU210" s="45"/>
      <c r="CV210" s="37"/>
      <c r="CW210" s="45"/>
      <c r="CX210" s="45"/>
      <c r="CY210" s="37"/>
      <c r="CZ210" s="45"/>
      <c r="DB210" s="37"/>
      <c r="DE210" s="37"/>
      <c r="DH210" s="37"/>
      <c r="DK210" s="37"/>
      <c r="DN210" s="37"/>
      <c r="DQ210" s="37"/>
      <c r="DT210" s="37"/>
      <c r="DW210" s="37"/>
      <c r="DZ210" s="37"/>
      <c r="EC210" s="37"/>
      <c r="EF210" s="37"/>
      <c r="EI210" s="37"/>
      <c r="EL210" s="37"/>
      <c r="EO210" s="37"/>
      <c r="ER210" s="37"/>
      <c r="EU210" s="37"/>
      <c r="EV210" s="45"/>
      <c r="EW210" s="45"/>
      <c r="EX210" s="37"/>
      <c r="EY210" s="45"/>
      <c r="EZ210" s="45"/>
      <c r="FA210" s="37"/>
      <c r="FB210" s="45"/>
      <c r="FC210" s="45"/>
      <c r="FD210" s="37"/>
      <c r="FE210" s="45"/>
      <c r="FF210" s="45"/>
      <c r="FG210" s="37"/>
      <c r="FH210" s="45"/>
      <c r="FI210" s="45"/>
      <c r="FJ210" s="37"/>
      <c r="FK210" s="45"/>
      <c r="FL210" s="45"/>
      <c r="FM210" s="37"/>
      <c r="FN210" s="45"/>
      <c r="FO210" s="45"/>
      <c r="FP210" s="37"/>
      <c r="FQ210" s="45"/>
      <c r="FR210" s="45"/>
      <c r="FS210" s="37"/>
      <c r="FT210" s="45"/>
      <c r="FU210" s="45"/>
      <c r="FV210" s="37"/>
      <c r="FW210" s="45"/>
      <c r="FX210" s="45"/>
      <c r="FY210" s="37"/>
      <c r="FZ210" s="45"/>
      <c r="GA210" s="45"/>
      <c r="GB210" s="37"/>
      <c r="GC210" s="45"/>
      <c r="GD210" s="45"/>
      <c r="GE210" s="37"/>
      <c r="GF210" s="45"/>
      <c r="GG210" s="45"/>
      <c r="GH210" s="37"/>
      <c r="GI210" s="45"/>
      <c r="GJ210" s="45"/>
      <c r="GK210" s="37"/>
      <c r="GL210" s="45"/>
      <c r="GM210" s="45"/>
      <c r="GN210" s="37"/>
      <c r="GO210" s="45"/>
      <c r="HE210" s="56"/>
    </row>
    <row r="211" ht="12.0" customHeight="1">
      <c r="A211" s="37"/>
      <c r="D211" s="37"/>
      <c r="E211" s="37"/>
      <c r="I211" s="37"/>
      <c r="M211" s="37"/>
      <c r="Q211" s="37"/>
      <c r="U211" s="37"/>
      <c r="Y211" s="37"/>
      <c r="AC211" s="37"/>
      <c r="AG211" s="37"/>
      <c r="AK211" s="37"/>
      <c r="AN211" s="37"/>
      <c r="AQ211" s="37"/>
      <c r="AT211" s="37"/>
      <c r="AW211" s="37"/>
      <c r="AZ211" s="37"/>
      <c r="BC211" s="37"/>
      <c r="BF211" s="37"/>
      <c r="BG211" s="45"/>
      <c r="BH211" s="45"/>
      <c r="BI211" s="37"/>
      <c r="BJ211" s="45"/>
      <c r="BK211" s="45"/>
      <c r="BL211" s="37"/>
      <c r="BM211" s="45"/>
      <c r="BN211" s="45"/>
      <c r="BO211" s="37"/>
      <c r="BP211" s="45"/>
      <c r="BQ211" s="45"/>
      <c r="BR211" s="37"/>
      <c r="BS211" s="45"/>
      <c r="BT211" s="45"/>
      <c r="BU211" s="37"/>
      <c r="BV211" s="45"/>
      <c r="BW211" s="45"/>
      <c r="BX211" s="37"/>
      <c r="BY211" s="45"/>
      <c r="BZ211" s="45"/>
      <c r="CA211" s="37"/>
      <c r="CB211" s="45"/>
      <c r="CC211" s="45"/>
      <c r="CD211" s="37"/>
      <c r="CE211" s="45"/>
      <c r="CF211" s="45"/>
      <c r="CG211" s="37"/>
      <c r="CH211" s="45"/>
      <c r="CI211" s="45"/>
      <c r="CJ211" s="37"/>
      <c r="CK211" s="45"/>
      <c r="CL211" s="45"/>
      <c r="CM211" s="37"/>
      <c r="CN211" s="45"/>
      <c r="CO211" s="45"/>
      <c r="CP211" s="37"/>
      <c r="CQ211" s="45"/>
      <c r="CR211" s="45"/>
      <c r="CS211" s="37"/>
      <c r="CT211" s="45"/>
      <c r="CU211" s="45"/>
      <c r="CV211" s="37"/>
      <c r="CW211" s="45"/>
      <c r="CX211" s="45"/>
      <c r="CY211" s="37"/>
      <c r="CZ211" s="45"/>
      <c r="DB211" s="37"/>
      <c r="DE211" s="37"/>
      <c r="DH211" s="37"/>
      <c r="DK211" s="37"/>
      <c r="DN211" s="37"/>
      <c r="DQ211" s="37"/>
      <c r="DT211" s="37"/>
      <c r="DW211" s="37"/>
      <c r="DZ211" s="37"/>
      <c r="EC211" s="37"/>
      <c r="EF211" s="37"/>
      <c r="EI211" s="37"/>
      <c r="EL211" s="37"/>
      <c r="EO211" s="37"/>
      <c r="ER211" s="37"/>
      <c r="EU211" s="37"/>
      <c r="EV211" s="45"/>
      <c r="EW211" s="45"/>
      <c r="EX211" s="37"/>
      <c r="EY211" s="45"/>
      <c r="EZ211" s="45"/>
      <c r="FA211" s="37"/>
      <c r="FB211" s="45"/>
      <c r="FC211" s="45"/>
      <c r="FD211" s="37"/>
      <c r="FE211" s="45"/>
      <c r="FF211" s="45"/>
      <c r="FG211" s="37"/>
      <c r="FH211" s="45"/>
      <c r="FI211" s="45"/>
      <c r="FJ211" s="37"/>
      <c r="FK211" s="45"/>
      <c r="FL211" s="45"/>
      <c r="FM211" s="37"/>
      <c r="FN211" s="45"/>
      <c r="FO211" s="45"/>
      <c r="FP211" s="37"/>
      <c r="FQ211" s="45"/>
      <c r="FR211" s="45"/>
      <c r="FS211" s="37"/>
      <c r="FT211" s="45"/>
      <c r="FU211" s="45"/>
      <c r="FV211" s="37"/>
      <c r="FW211" s="45"/>
      <c r="FX211" s="45"/>
      <c r="FY211" s="37"/>
      <c r="FZ211" s="45"/>
      <c r="GA211" s="45"/>
      <c r="GB211" s="37"/>
      <c r="GC211" s="45"/>
      <c r="GD211" s="45"/>
      <c r="GE211" s="37"/>
      <c r="GF211" s="45"/>
      <c r="GG211" s="45"/>
      <c r="GH211" s="37"/>
      <c r="GI211" s="45"/>
      <c r="GJ211" s="45"/>
      <c r="GK211" s="37"/>
      <c r="GL211" s="45"/>
      <c r="GM211" s="45"/>
      <c r="GN211" s="37"/>
      <c r="GO211" s="45"/>
      <c r="HE211" s="56"/>
    </row>
    <row r="212" ht="12.0" customHeight="1">
      <c r="A212" s="37"/>
      <c r="D212" s="37"/>
      <c r="E212" s="37"/>
      <c r="I212" s="37"/>
      <c r="M212" s="37"/>
      <c r="Q212" s="37"/>
      <c r="U212" s="37"/>
      <c r="Y212" s="37"/>
      <c r="AC212" s="37"/>
      <c r="AG212" s="37"/>
      <c r="AK212" s="37"/>
      <c r="AN212" s="37"/>
      <c r="AQ212" s="37"/>
      <c r="AT212" s="37"/>
      <c r="AW212" s="37"/>
      <c r="AZ212" s="37"/>
      <c r="BC212" s="37"/>
      <c r="BF212" s="37"/>
      <c r="BG212" s="45"/>
      <c r="BH212" s="45"/>
      <c r="BI212" s="37"/>
      <c r="BJ212" s="45"/>
      <c r="BK212" s="45"/>
      <c r="BL212" s="37"/>
      <c r="BM212" s="45"/>
      <c r="BN212" s="45"/>
      <c r="BO212" s="37"/>
      <c r="BP212" s="45"/>
      <c r="BQ212" s="45"/>
      <c r="BR212" s="37"/>
      <c r="BS212" s="45"/>
      <c r="BT212" s="45"/>
      <c r="BU212" s="37"/>
      <c r="BV212" s="45"/>
      <c r="BW212" s="45"/>
      <c r="BX212" s="37"/>
      <c r="BY212" s="45"/>
      <c r="BZ212" s="45"/>
      <c r="CA212" s="37"/>
      <c r="CB212" s="45"/>
      <c r="CC212" s="45"/>
      <c r="CD212" s="37"/>
      <c r="CE212" s="45"/>
      <c r="CF212" s="45"/>
      <c r="CG212" s="37"/>
      <c r="CH212" s="45"/>
      <c r="CI212" s="45"/>
      <c r="CJ212" s="37"/>
      <c r="CK212" s="45"/>
      <c r="CL212" s="45"/>
      <c r="CM212" s="37"/>
      <c r="CN212" s="45"/>
      <c r="CO212" s="45"/>
      <c r="CP212" s="37"/>
      <c r="CQ212" s="45"/>
      <c r="CR212" s="45"/>
      <c r="CS212" s="37"/>
      <c r="CT212" s="45"/>
      <c r="CU212" s="45"/>
      <c r="CV212" s="37"/>
      <c r="CW212" s="45"/>
      <c r="CX212" s="45"/>
      <c r="CY212" s="37"/>
      <c r="CZ212" s="45"/>
      <c r="DB212" s="37"/>
      <c r="DE212" s="37"/>
      <c r="DH212" s="37"/>
      <c r="DK212" s="37"/>
      <c r="DN212" s="37"/>
      <c r="DQ212" s="37"/>
      <c r="DT212" s="37"/>
      <c r="DW212" s="37"/>
      <c r="DZ212" s="37"/>
      <c r="EC212" s="37"/>
      <c r="EF212" s="37"/>
      <c r="EI212" s="37"/>
      <c r="EL212" s="37"/>
      <c r="EO212" s="37"/>
      <c r="ER212" s="37"/>
      <c r="EU212" s="37"/>
      <c r="EV212" s="45"/>
      <c r="EW212" s="45"/>
      <c r="EX212" s="37"/>
      <c r="EY212" s="45"/>
      <c r="EZ212" s="45"/>
      <c r="FA212" s="37"/>
      <c r="FB212" s="45"/>
      <c r="FC212" s="45"/>
      <c r="FD212" s="37"/>
      <c r="FE212" s="45"/>
      <c r="FF212" s="45"/>
      <c r="FG212" s="37"/>
      <c r="FH212" s="45"/>
      <c r="FI212" s="45"/>
      <c r="FJ212" s="37"/>
      <c r="FK212" s="45"/>
      <c r="FL212" s="45"/>
      <c r="FM212" s="37"/>
      <c r="FN212" s="45"/>
      <c r="FO212" s="45"/>
      <c r="FP212" s="37"/>
      <c r="FQ212" s="45"/>
      <c r="FR212" s="45"/>
      <c r="FS212" s="37"/>
      <c r="FT212" s="45"/>
      <c r="FU212" s="45"/>
      <c r="FV212" s="37"/>
      <c r="FW212" s="45"/>
      <c r="FX212" s="45"/>
      <c r="FY212" s="37"/>
      <c r="FZ212" s="45"/>
      <c r="GA212" s="45"/>
      <c r="GB212" s="37"/>
      <c r="GC212" s="45"/>
      <c r="GD212" s="45"/>
      <c r="GE212" s="37"/>
      <c r="GF212" s="45"/>
      <c r="GG212" s="45"/>
      <c r="GH212" s="37"/>
      <c r="GI212" s="45"/>
      <c r="GJ212" s="45"/>
      <c r="GK212" s="37"/>
      <c r="GL212" s="45"/>
      <c r="GM212" s="45"/>
      <c r="GN212" s="37"/>
      <c r="GO212" s="45"/>
      <c r="HE212" s="56"/>
    </row>
    <row r="213" ht="12.0" customHeight="1">
      <c r="A213" s="37"/>
      <c r="D213" s="37"/>
      <c r="E213" s="37"/>
      <c r="I213" s="37"/>
      <c r="M213" s="37"/>
      <c r="Q213" s="37"/>
      <c r="U213" s="37"/>
      <c r="Y213" s="37"/>
      <c r="AC213" s="37"/>
      <c r="AG213" s="37"/>
      <c r="AK213" s="37"/>
      <c r="AN213" s="37"/>
      <c r="AQ213" s="37"/>
      <c r="AT213" s="37"/>
      <c r="AW213" s="37"/>
      <c r="AZ213" s="37"/>
      <c r="BC213" s="37"/>
      <c r="BF213" s="37"/>
      <c r="BG213" s="45"/>
      <c r="BH213" s="45"/>
      <c r="BI213" s="37"/>
      <c r="BJ213" s="45"/>
      <c r="BK213" s="45"/>
      <c r="BL213" s="37"/>
      <c r="BM213" s="45"/>
      <c r="BN213" s="45"/>
      <c r="BO213" s="37"/>
      <c r="BP213" s="45"/>
      <c r="BQ213" s="45"/>
      <c r="BR213" s="37"/>
      <c r="BS213" s="45"/>
      <c r="BT213" s="45"/>
      <c r="BU213" s="37"/>
      <c r="BV213" s="45"/>
      <c r="BW213" s="45"/>
      <c r="BX213" s="37"/>
      <c r="BY213" s="45"/>
      <c r="BZ213" s="45"/>
      <c r="CA213" s="37"/>
      <c r="CB213" s="45"/>
      <c r="CC213" s="45"/>
      <c r="CD213" s="37"/>
      <c r="CE213" s="45"/>
      <c r="CF213" s="45"/>
      <c r="CG213" s="37"/>
      <c r="CH213" s="45"/>
      <c r="CI213" s="45"/>
      <c r="CJ213" s="37"/>
      <c r="CK213" s="45"/>
      <c r="CL213" s="45"/>
      <c r="CM213" s="37"/>
      <c r="CN213" s="45"/>
      <c r="CO213" s="45"/>
      <c r="CP213" s="37"/>
      <c r="CQ213" s="45"/>
      <c r="CR213" s="45"/>
      <c r="CS213" s="37"/>
      <c r="CT213" s="45"/>
      <c r="CU213" s="45"/>
      <c r="CV213" s="37"/>
      <c r="CW213" s="45"/>
      <c r="CX213" s="45"/>
      <c r="CY213" s="37"/>
      <c r="CZ213" s="45"/>
      <c r="DB213" s="37"/>
      <c r="DE213" s="37"/>
      <c r="DH213" s="37"/>
      <c r="DK213" s="37"/>
      <c r="DN213" s="37"/>
      <c r="DQ213" s="37"/>
      <c r="DT213" s="37"/>
      <c r="DW213" s="37"/>
      <c r="DZ213" s="37"/>
      <c r="EC213" s="37"/>
      <c r="EF213" s="37"/>
      <c r="EI213" s="37"/>
      <c r="EL213" s="37"/>
      <c r="EO213" s="37"/>
      <c r="ER213" s="37"/>
      <c r="EU213" s="37"/>
      <c r="EV213" s="45"/>
      <c r="EW213" s="45"/>
      <c r="EX213" s="37"/>
      <c r="EY213" s="45"/>
      <c r="EZ213" s="45"/>
      <c r="FA213" s="37"/>
      <c r="FB213" s="45"/>
      <c r="FC213" s="45"/>
      <c r="FD213" s="37"/>
      <c r="FE213" s="45"/>
      <c r="FF213" s="45"/>
      <c r="FG213" s="37"/>
      <c r="FH213" s="45"/>
      <c r="FI213" s="45"/>
      <c r="FJ213" s="37"/>
      <c r="FK213" s="45"/>
      <c r="FL213" s="45"/>
      <c r="FM213" s="37"/>
      <c r="FN213" s="45"/>
      <c r="FO213" s="45"/>
      <c r="FP213" s="37"/>
      <c r="FQ213" s="45"/>
      <c r="FR213" s="45"/>
      <c r="FS213" s="37"/>
      <c r="FT213" s="45"/>
      <c r="FU213" s="45"/>
      <c r="FV213" s="37"/>
      <c r="FW213" s="45"/>
      <c r="FX213" s="45"/>
      <c r="FY213" s="37"/>
      <c r="FZ213" s="45"/>
      <c r="GA213" s="45"/>
      <c r="GB213" s="37"/>
      <c r="GC213" s="45"/>
      <c r="GD213" s="45"/>
      <c r="GE213" s="37"/>
      <c r="GF213" s="45"/>
      <c r="GG213" s="45"/>
      <c r="GH213" s="37"/>
      <c r="GI213" s="45"/>
      <c r="GJ213" s="45"/>
      <c r="GK213" s="37"/>
      <c r="GL213" s="45"/>
      <c r="GM213" s="45"/>
      <c r="GN213" s="37"/>
      <c r="GO213" s="45"/>
      <c r="HE213" s="56"/>
    </row>
    <row r="214" ht="12.0" customHeight="1">
      <c r="A214" s="37"/>
      <c r="D214" s="37"/>
      <c r="E214" s="37"/>
      <c r="I214" s="37"/>
      <c r="M214" s="37"/>
      <c r="Q214" s="37"/>
      <c r="U214" s="37"/>
      <c r="Y214" s="37"/>
      <c r="AC214" s="37"/>
      <c r="AG214" s="37"/>
      <c r="AK214" s="37"/>
      <c r="AN214" s="37"/>
      <c r="AQ214" s="37"/>
      <c r="AT214" s="37"/>
      <c r="AW214" s="37"/>
      <c r="AZ214" s="37"/>
      <c r="BC214" s="37"/>
      <c r="BF214" s="37"/>
      <c r="BG214" s="45"/>
      <c r="BH214" s="45"/>
      <c r="BI214" s="37"/>
      <c r="BJ214" s="45"/>
      <c r="BK214" s="45"/>
      <c r="BL214" s="37"/>
      <c r="BM214" s="45"/>
      <c r="BN214" s="45"/>
      <c r="BO214" s="37"/>
      <c r="BP214" s="45"/>
      <c r="BQ214" s="45"/>
      <c r="BR214" s="37"/>
      <c r="BS214" s="45"/>
      <c r="BT214" s="45"/>
      <c r="BU214" s="37"/>
      <c r="BV214" s="45"/>
      <c r="BW214" s="45"/>
      <c r="BX214" s="37"/>
      <c r="BY214" s="45"/>
      <c r="BZ214" s="45"/>
      <c r="CA214" s="37"/>
      <c r="CB214" s="45"/>
      <c r="CC214" s="45"/>
      <c r="CD214" s="37"/>
      <c r="CE214" s="45"/>
      <c r="CF214" s="45"/>
      <c r="CG214" s="37"/>
      <c r="CH214" s="45"/>
      <c r="CI214" s="45"/>
      <c r="CJ214" s="37"/>
      <c r="CK214" s="45"/>
      <c r="CL214" s="45"/>
      <c r="CM214" s="37"/>
      <c r="CN214" s="45"/>
      <c r="CO214" s="45"/>
      <c r="CP214" s="37"/>
      <c r="CQ214" s="45"/>
      <c r="CR214" s="45"/>
      <c r="CS214" s="37"/>
      <c r="CT214" s="45"/>
      <c r="CU214" s="45"/>
      <c r="CV214" s="37"/>
      <c r="CW214" s="45"/>
      <c r="CX214" s="45"/>
      <c r="CY214" s="37"/>
      <c r="CZ214" s="45"/>
      <c r="DB214" s="37"/>
      <c r="DE214" s="37"/>
      <c r="DH214" s="37"/>
      <c r="DK214" s="37"/>
      <c r="DN214" s="37"/>
      <c r="DQ214" s="37"/>
      <c r="DT214" s="37"/>
      <c r="DW214" s="37"/>
      <c r="DZ214" s="37"/>
      <c r="EC214" s="37"/>
      <c r="EF214" s="37"/>
      <c r="EI214" s="37"/>
      <c r="EL214" s="37"/>
      <c r="EO214" s="37"/>
      <c r="ER214" s="37"/>
      <c r="EU214" s="37"/>
      <c r="EV214" s="45"/>
      <c r="EW214" s="45"/>
      <c r="EX214" s="37"/>
      <c r="EY214" s="45"/>
      <c r="EZ214" s="45"/>
      <c r="FA214" s="37"/>
      <c r="FB214" s="45"/>
      <c r="FC214" s="45"/>
      <c r="FD214" s="37"/>
      <c r="FE214" s="45"/>
      <c r="FF214" s="45"/>
      <c r="FG214" s="37"/>
      <c r="FH214" s="45"/>
      <c r="FI214" s="45"/>
      <c r="FJ214" s="37"/>
      <c r="FK214" s="45"/>
      <c r="FL214" s="45"/>
      <c r="FM214" s="37"/>
      <c r="FN214" s="45"/>
      <c r="FO214" s="45"/>
      <c r="FP214" s="37"/>
      <c r="FQ214" s="45"/>
      <c r="FR214" s="45"/>
      <c r="FS214" s="37"/>
      <c r="FT214" s="45"/>
      <c r="FU214" s="45"/>
      <c r="FV214" s="37"/>
      <c r="FW214" s="45"/>
      <c r="FX214" s="45"/>
      <c r="FY214" s="37"/>
      <c r="FZ214" s="45"/>
      <c r="GA214" s="45"/>
      <c r="GB214" s="37"/>
      <c r="GC214" s="45"/>
      <c r="GD214" s="45"/>
      <c r="GE214" s="37"/>
      <c r="GF214" s="45"/>
      <c r="GG214" s="45"/>
      <c r="GH214" s="37"/>
      <c r="GI214" s="45"/>
      <c r="GJ214" s="45"/>
      <c r="GK214" s="37"/>
      <c r="GL214" s="45"/>
      <c r="GM214" s="45"/>
      <c r="GN214" s="37"/>
      <c r="GO214" s="45"/>
      <c r="HE214" s="56"/>
    </row>
    <row r="215" ht="12.0" customHeight="1">
      <c r="A215" s="37"/>
      <c r="D215" s="37"/>
      <c r="E215" s="37"/>
      <c r="I215" s="37"/>
      <c r="M215" s="37"/>
      <c r="Q215" s="37"/>
      <c r="U215" s="37"/>
      <c r="Y215" s="37"/>
      <c r="AC215" s="37"/>
      <c r="AG215" s="37"/>
      <c r="AK215" s="37"/>
      <c r="AN215" s="37"/>
      <c r="AQ215" s="37"/>
      <c r="AT215" s="37"/>
      <c r="AW215" s="37"/>
      <c r="AZ215" s="37"/>
      <c r="BC215" s="37"/>
      <c r="BF215" s="37"/>
      <c r="BG215" s="45"/>
      <c r="BH215" s="45"/>
      <c r="BI215" s="37"/>
      <c r="BJ215" s="45"/>
      <c r="BK215" s="45"/>
      <c r="BL215" s="37"/>
      <c r="BM215" s="45"/>
      <c r="BN215" s="45"/>
      <c r="BO215" s="37"/>
      <c r="BP215" s="45"/>
      <c r="BQ215" s="45"/>
      <c r="BR215" s="37"/>
      <c r="BS215" s="45"/>
      <c r="BT215" s="45"/>
      <c r="BU215" s="37"/>
      <c r="BV215" s="45"/>
      <c r="BW215" s="45"/>
      <c r="BX215" s="37"/>
      <c r="BY215" s="45"/>
      <c r="BZ215" s="45"/>
      <c r="CA215" s="37"/>
      <c r="CB215" s="45"/>
      <c r="CC215" s="45"/>
      <c r="CD215" s="37"/>
      <c r="CE215" s="45"/>
      <c r="CF215" s="45"/>
      <c r="CG215" s="37"/>
      <c r="CH215" s="45"/>
      <c r="CI215" s="45"/>
      <c r="CJ215" s="37"/>
      <c r="CK215" s="45"/>
      <c r="CL215" s="45"/>
      <c r="CM215" s="37"/>
      <c r="CN215" s="45"/>
      <c r="CO215" s="45"/>
      <c r="CP215" s="37"/>
      <c r="CQ215" s="45"/>
      <c r="CR215" s="45"/>
      <c r="CS215" s="37"/>
      <c r="CT215" s="45"/>
      <c r="CU215" s="45"/>
      <c r="CV215" s="37"/>
      <c r="CW215" s="45"/>
      <c r="CX215" s="45"/>
      <c r="CY215" s="37"/>
      <c r="CZ215" s="45"/>
      <c r="DB215" s="37"/>
      <c r="DE215" s="37"/>
      <c r="DH215" s="37"/>
      <c r="DK215" s="37"/>
      <c r="DN215" s="37"/>
      <c r="DQ215" s="37"/>
      <c r="DT215" s="37"/>
      <c r="DW215" s="37"/>
      <c r="DZ215" s="37"/>
      <c r="EC215" s="37"/>
      <c r="EF215" s="37"/>
      <c r="EI215" s="37"/>
      <c r="EL215" s="37"/>
      <c r="EO215" s="37"/>
      <c r="ER215" s="37"/>
      <c r="EU215" s="37"/>
      <c r="EV215" s="45"/>
      <c r="EW215" s="45"/>
      <c r="EX215" s="37"/>
      <c r="EY215" s="45"/>
      <c r="EZ215" s="45"/>
      <c r="FA215" s="37"/>
      <c r="FB215" s="45"/>
      <c r="FC215" s="45"/>
      <c r="FD215" s="37"/>
      <c r="FE215" s="45"/>
      <c r="FF215" s="45"/>
      <c r="FG215" s="37"/>
      <c r="FH215" s="45"/>
      <c r="FI215" s="45"/>
      <c r="FJ215" s="37"/>
      <c r="FK215" s="45"/>
      <c r="FL215" s="45"/>
      <c r="FM215" s="37"/>
      <c r="FN215" s="45"/>
      <c r="FO215" s="45"/>
      <c r="FP215" s="37"/>
      <c r="FQ215" s="45"/>
      <c r="FR215" s="45"/>
      <c r="FS215" s="37"/>
      <c r="FT215" s="45"/>
      <c r="FU215" s="45"/>
      <c r="FV215" s="37"/>
      <c r="FW215" s="45"/>
      <c r="FX215" s="45"/>
      <c r="FY215" s="37"/>
      <c r="FZ215" s="45"/>
      <c r="GA215" s="45"/>
      <c r="GB215" s="37"/>
      <c r="GC215" s="45"/>
      <c r="GD215" s="45"/>
      <c r="GE215" s="37"/>
      <c r="GF215" s="45"/>
      <c r="GG215" s="45"/>
      <c r="GH215" s="37"/>
      <c r="GI215" s="45"/>
      <c r="GJ215" s="45"/>
      <c r="GK215" s="37"/>
      <c r="GL215" s="45"/>
      <c r="GM215" s="45"/>
      <c r="GN215" s="37"/>
      <c r="GO215" s="45"/>
      <c r="HE215" s="56"/>
    </row>
    <row r="216" ht="12.0" customHeight="1">
      <c r="A216" s="37"/>
      <c r="D216" s="37"/>
      <c r="E216" s="37"/>
      <c r="I216" s="37"/>
      <c r="M216" s="37"/>
      <c r="Q216" s="37"/>
      <c r="U216" s="37"/>
      <c r="Y216" s="37"/>
      <c r="AC216" s="37"/>
      <c r="AG216" s="37"/>
      <c r="AK216" s="37"/>
      <c r="AN216" s="37"/>
      <c r="AQ216" s="37"/>
      <c r="AT216" s="37"/>
      <c r="AW216" s="37"/>
      <c r="AZ216" s="37"/>
      <c r="BC216" s="37"/>
      <c r="BF216" s="37"/>
      <c r="BG216" s="45"/>
      <c r="BH216" s="45"/>
      <c r="BI216" s="37"/>
      <c r="BJ216" s="45"/>
      <c r="BK216" s="45"/>
      <c r="BL216" s="37"/>
      <c r="BM216" s="45"/>
      <c r="BN216" s="45"/>
      <c r="BO216" s="37"/>
      <c r="BP216" s="45"/>
      <c r="BQ216" s="45"/>
      <c r="BR216" s="37"/>
      <c r="BS216" s="45"/>
      <c r="BT216" s="45"/>
      <c r="BU216" s="37"/>
      <c r="BV216" s="45"/>
      <c r="BW216" s="45"/>
      <c r="BX216" s="37"/>
      <c r="BY216" s="45"/>
      <c r="BZ216" s="45"/>
      <c r="CA216" s="37"/>
      <c r="CB216" s="45"/>
      <c r="CC216" s="45"/>
      <c r="CD216" s="37"/>
      <c r="CE216" s="45"/>
      <c r="CF216" s="45"/>
      <c r="CG216" s="37"/>
      <c r="CH216" s="45"/>
      <c r="CI216" s="45"/>
      <c r="CJ216" s="37"/>
      <c r="CK216" s="45"/>
      <c r="CL216" s="45"/>
      <c r="CM216" s="37"/>
      <c r="CN216" s="45"/>
      <c r="CO216" s="45"/>
      <c r="CP216" s="37"/>
      <c r="CQ216" s="45"/>
      <c r="CR216" s="45"/>
      <c r="CS216" s="37"/>
      <c r="CT216" s="45"/>
      <c r="CU216" s="45"/>
      <c r="CV216" s="37"/>
      <c r="CW216" s="45"/>
      <c r="CX216" s="45"/>
      <c r="CY216" s="37"/>
      <c r="CZ216" s="45"/>
      <c r="DB216" s="37"/>
      <c r="DE216" s="37"/>
      <c r="DH216" s="37"/>
      <c r="DK216" s="37"/>
      <c r="DN216" s="37"/>
      <c r="DQ216" s="37"/>
      <c r="DT216" s="37"/>
      <c r="DW216" s="37"/>
      <c r="DZ216" s="37"/>
      <c r="EC216" s="37"/>
      <c r="EF216" s="37"/>
      <c r="EI216" s="37"/>
      <c r="EL216" s="37"/>
      <c r="EO216" s="37"/>
      <c r="ER216" s="37"/>
      <c r="EU216" s="37"/>
      <c r="EV216" s="45"/>
      <c r="EW216" s="45"/>
      <c r="EX216" s="37"/>
      <c r="EY216" s="45"/>
      <c r="EZ216" s="45"/>
      <c r="FA216" s="37"/>
      <c r="FB216" s="45"/>
      <c r="FC216" s="45"/>
      <c r="FD216" s="37"/>
      <c r="FE216" s="45"/>
      <c r="FF216" s="45"/>
      <c r="FG216" s="37"/>
      <c r="FH216" s="45"/>
      <c r="FI216" s="45"/>
      <c r="FJ216" s="37"/>
      <c r="FK216" s="45"/>
      <c r="FL216" s="45"/>
      <c r="FM216" s="37"/>
      <c r="FN216" s="45"/>
      <c r="FO216" s="45"/>
      <c r="FP216" s="37"/>
      <c r="FQ216" s="45"/>
      <c r="FR216" s="45"/>
      <c r="FS216" s="37"/>
      <c r="FT216" s="45"/>
      <c r="FU216" s="45"/>
      <c r="FV216" s="37"/>
      <c r="FW216" s="45"/>
      <c r="FX216" s="45"/>
      <c r="FY216" s="37"/>
      <c r="FZ216" s="45"/>
      <c r="GA216" s="45"/>
      <c r="GB216" s="37"/>
      <c r="GC216" s="45"/>
      <c r="GD216" s="45"/>
      <c r="GE216" s="37"/>
      <c r="GF216" s="45"/>
      <c r="GG216" s="45"/>
      <c r="GH216" s="37"/>
      <c r="GI216" s="45"/>
      <c r="GJ216" s="45"/>
      <c r="GK216" s="37"/>
      <c r="GL216" s="45"/>
      <c r="GM216" s="45"/>
      <c r="GN216" s="37"/>
      <c r="GO216" s="45"/>
      <c r="HE216" s="56"/>
    </row>
    <row r="217" ht="12.0" customHeight="1">
      <c r="A217" s="37"/>
      <c r="D217" s="37"/>
      <c r="E217" s="37"/>
      <c r="I217" s="37"/>
      <c r="M217" s="37"/>
      <c r="Q217" s="37"/>
      <c r="U217" s="37"/>
      <c r="Y217" s="37"/>
      <c r="AC217" s="37"/>
      <c r="AG217" s="37"/>
      <c r="AK217" s="37"/>
      <c r="AN217" s="37"/>
      <c r="AQ217" s="37"/>
      <c r="AT217" s="37"/>
      <c r="AW217" s="37"/>
      <c r="AZ217" s="37"/>
      <c r="BC217" s="37"/>
      <c r="BF217" s="37"/>
      <c r="BG217" s="45"/>
      <c r="BH217" s="45"/>
      <c r="BI217" s="37"/>
      <c r="BJ217" s="45"/>
      <c r="BK217" s="45"/>
      <c r="BL217" s="37"/>
      <c r="BM217" s="45"/>
      <c r="BN217" s="45"/>
      <c r="BO217" s="37"/>
      <c r="BP217" s="45"/>
      <c r="BQ217" s="45"/>
      <c r="BR217" s="37"/>
      <c r="BS217" s="45"/>
      <c r="BT217" s="45"/>
      <c r="BU217" s="37"/>
      <c r="BV217" s="45"/>
      <c r="BW217" s="45"/>
      <c r="BX217" s="37"/>
      <c r="BY217" s="45"/>
      <c r="BZ217" s="45"/>
      <c r="CA217" s="37"/>
      <c r="CB217" s="45"/>
      <c r="CC217" s="45"/>
      <c r="CD217" s="37"/>
      <c r="CE217" s="45"/>
      <c r="CF217" s="45"/>
      <c r="CG217" s="37"/>
      <c r="CH217" s="45"/>
      <c r="CI217" s="45"/>
      <c r="CJ217" s="37"/>
      <c r="CK217" s="45"/>
      <c r="CL217" s="45"/>
      <c r="CM217" s="37"/>
      <c r="CN217" s="45"/>
      <c r="CO217" s="45"/>
      <c r="CP217" s="37"/>
      <c r="CQ217" s="45"/>
      <c r="CR217" s="45"/>
      <c r="CS217" s="37"/>
      <c r="CT217" s="45"/>
      <c r="CU217" s="45"/>
      <c r="CV217" s="37"/>
      <c r="CW217" s="45"/>
      <c r="CX217" s="45"/>
      <c r="CY217" s="37"/>
      <c r="CZ217" s="45"/>
      <c r="DB217" s="37"/>
      <c r="DE217" s="37"/>
      <c r="DH217" s="37"/>
      <c r="DK217" s="37"/>
      <c r="DN217" s="37"/>
      <c r="DQ217" s="37"/>
      <c r="DT217" s="37"/>
      <c r="DW217" s="37"/>
      <c r="DZ217" s="37"/>
      <c r="EC217" s="37"/>
      <c r="EF217" s="37"/>
      <c r="EI217" s="37"/>
      <c r="EL217" s="37"/>
      <c r="EO217" s="37"/>
      <c r="ER217" s="37"/>
      <c r="EU217" s="37"/>
      <c r="EV217" s="45"/>
      <c r="EW217" s="45"/>
      <c r="EX217" s="37"/>
      <c r="EY217" s="45"/>
      <c r="EZ217" s="45"/>
      <c r="FA217" s="37"/>
      <c r="FB217" s="45"/>
      <c r="FC217" s="45"/>
      <c r="FD217" s="37"/>
      <c r="FE217" s="45"/>
      <c r="FF217" s="45"/>
      <c r="FG217" s="37"/>
      <c r="FH217" s="45"/>
      <c r="FI217" s="45"/>
      <c r="FJ217" s="37"/>
      <c r="FK217" s="45"/>
      <c r="FL217" s="45"/>
      <c r="FM217" s="37"/>
      <c r="FN217" s="45"/>
      <c r="FO217" s="45"/>
      <c r="FP217" s="37"/>
      <c r="FQ217" s="45"/>
      <c r="FR217" s="45"/>
      <c r="FS217" s="37"/>
      <c r="FT217" s="45"/>
      <c r="FU217" s="45"/>
      <c r="FV217" s="37"/>
      <c r="FW217" s="45"/>
      <c r="FX217" s="45"/>
      <c r="FY217" s="37"/>
      <c r="FZ217" s="45"/>
      <c r="GA217" s="45"/>
      <c r="GB217" s="37"/>
      <c r="GC217" s="45"/>
      <c r="GD217" s="45"/>
      <c r="GE217" s="37"/>
      <c r="GF217" s="45"/>
      <c r="GG217" s="45"/>
      <c r="GH217" s="37"/>
      <c r="GI217" s="45"/>
      <c r="GJ217" s="45"/>
      <c r="GK217" s="37"/>
      <c r="GL217" s="45"/>
      <c r="GM217" s="45"/>
      <c r="GN217" s="37"/>
      <c r="GO217" s="45"/>
      <c r="HE217" s="56"/>
    </row>
    <row r="218" ht="12.0" customHeight="1">
      <c r="A218" s="37"/>
      <c r="D218" s="37"/>
      <c r="E218" s="37"/>
      <c r="I218" s="37"/>
      <c r="M218" s="37"/>
      <c r="Q218" s="37"/>
      <c r="U218" s="37"/>
      <c r="Y218" s="37"/>
      <c r="AC218" s="37"/>
      <c r="AG218" s="37"/>
      <c r="AK218" s="37"/>
      <c r="AN218" s="37"/>
      <c r="AQ218" s="37"/>
      <c r="AT218" s="37"/>
      <c r="AW218" s="37"/>
      <c r="AZ218" s="37"/>
      <c r="BC218" s="37"/>
      <c r="BF218" s="37"/>
      <c r="BG218" s="45"/>
      <c r="BH218" s="45"/>
      <c r="BI218" s="37"/>
      <c r="BJ218" s="45"/>
      <c r="BK218" s="45"/>
      <c r="BL218" s="37"/>
      <c r="BM218" s="45"/>
      <c r="BN218" s="45"/>
      <c r="BO218" s="37"/>
      <c r="BP218" s="45"/>
      <c r="BQ218" s="45"/>
      <c r="BR218" s="37"/>
      <c r="BS218" s="45"/>
      <c r="BT218" s="45"/>
      <c r="BU218" s="37"/>
      <c r="BV218" s="45"/>
      <c r="BW218" s="45"/>
      <c r="BX218" s="37"/>
      <c r="BY218" s="45"/>
      <c r="BZ218" s="45"/>
      <c r="CA218" s="37"/>
      <c r="CB218" s="45"/>
      <c r="CC218" s="45"/>
      <c r="CD218" s="37"/>
      <c r="CE218" s="45"/>
      <c r="CF218" s="45"/>
      <c r="CG218" s="37"/>
      <c r="CH218" s="45"/>
      <c r="CI218" s="45"/>
      <c r="CJ218" s="37"/>
      <c r="CK218" s="45"/>
      <c r="CL218" s="45"/>
      <c r="CM218" s="37"/>
      <c r="CN218" s="45"/>
      <c r="CO218" s="45"/>
      <c r="CP218" s="37"/>
      <c r="CQ218" s="45"/>
      <c r="CR218" s="45"/>
      <c r="CS218" s="37"/>
      <c r="CT218" s="45"/>
      <c r="CU218" s="45"/>
      <c r="CV218" s="37"/>
      <c r="CW218" s="45"/>
      <c r="CX218" s="45"/>
      <c r="CY218" s="37"/>
      <c r="CZ218" s="45"/>
      <c r="DB218" s="37"/>
      <c r="DE218" s="37"/>
      <c r="DH218" s="37"/>
      <c r="DK218" s="37"/>
      <c r="DN218" s="37"/>
      <c r="DQ218" s="37"/>
      <c r="DT218" s="37"/>
      <c r="DW218" s="37"/>
      <c r="DZ218" s="37"/>
      <c r="EC218" s="37"/>
      <c r="EF218" s="37"/>
      <c r="EI218" s="37"/>
      <c r="EL218" s="37"/>
      <c r="EO218" s="37"/>
      <c r="ER218" s="37"/>
      <c r="EU218" s="37"/>
      <c r="EV218" s="45"/>
      <c r="EW218" s="45"/>
      <c r="EX218" s="37"/>
      <c r="EY218" s="45"/>
      <c r="EZ218" s="45"/>
      <c r="FA218" s="37"/>
      <c r="FB218" s="45"/>
      <c r="FC218" s="45"/>
      <c r="FD218" s="37"/>
      <c r="FE218" s="45"/>
      <c r="FF218" s="45"/>
      <c r="FG218" s="37"/>
      <c r="FH218" s="45"/>
      <c r="FI218" s="45"/>
      <c r="FJ218" s="37"/>
      <c r="FK218" s="45"/>
      <c r="FL218" s="45"/>
      <c r="FM218" s="37"/>
      <c r="FN218" s="45"/>
      <c r="FO218" s="45"/>
      <c r="FP218" s="37"/>
      <c r="FQ218" s="45"/>
      <c r="FR218" s="45"/>
      <c r="FS218" s="37"/>
      <c r="FT218" s="45"/>
      <c r="FU218" s="45"/>
      <c r="FV218" s="37"/>
      <c r="FW218" s="45"/>
      <c r="FX218" s="45"/>
      <c r="FY218" s="37"/>
      <c r="FZ218" s="45"/>
      <c r="GA218" s="45"/>
      <c r="GB218" s="37"/>
      <c r="GC218" s="45"/>
      <c r="GD218" s="45"/>
      <c r="GE218" s="37"/>
      <c r="GF218" s="45"/>
      <c r="GG218" s="45"/>
      <c r="GH218" s="37"/>
      <c r="GI218" s="45"/>
      <c r="GJ218" s="45"/>
      <c r="GK218" s="37"/>
      <c r="GL218" s="45"/>
      <c r="GM218" s="45"/>
      <c r="GN218" s="37"/>
      <c r="GO218" s="45"/>
      <c r="HE218" s="56"/>
    </row>
    <row r="219" ht="12.0" customHeight="1">
      <c r="A219" s="37"/>
      <c r="D219" s="37"/>
      <c r="E219" s="37"/>
      <c r="I219" s="37"/>
      <c r="M219" s="37"/>
      <c r="Q219" s="37"/>
      <c r="U219" s="37"/>
      <c r="Y219" s="37"/>
      <c r="AC219" s="37"/>
      <c r="AG219" s="37"/>
      <c r="AK219" s="37"/>
      <c r="AN219" s="37"/>
      <c r="AQ219" s="37"/>
      <c r="AT219" s="37"/>
      <c r="AW219" s="37"/>
      <c r="AZ219" s="37"/>
      <c r="BC219" s="37"/>
      <c r="BF219" s="37"/>
      <c r="BG219" s="45"/>
      <c r="BH219" s="45"/>
      <c r="BI219" s="37"/>
      <c r="BJ219" s="45"/>
      <c r="BK219" s="45"/>
      <c r="BL219" s="37"/>
      <c r="BM219" s="45"/>
      <c r="BN219" s="45"/>
      <c r="BO219" s="37"/>
      <c r="BP219" s="45"/>
      <c r="BQ219" s="45"/>
      <c r="BR219" s="37"/>
      <c r="BS219" s="45"/>
      <c r="BT219" s="45"/>
      <c r="BU219" s="37"/>
      <c r="BV219" s="45"/>
      <c r="BW219" s="45"/>
      <c r="BX219" s="37"/>
      <c r="BY219" s="45"/>
      <c r="BZ219" s="45"/>
      <c r="CA219" s="37"/>
      <c r="CB219" s="45"/>
      <c r="CC219" s="45"/>
      <c r="CD219" s="37"/>
      <c r="CE219" s="45"/>
      <c r="CF219" s="45"/>
      <c r="CG219" s="37"/>
      <c r="CH219" s="45"/>
      <c r="CI219" s="45"/>
      <c r="CJ219" s="37"/>
      <c r="CK219" s="45"/>
      <c r="CL219" s="45"/>
      <c r="CM219" s="37"/>
      <c r="CN219" s="45"/>
      <c r="CO219" s="45"/>
      <c r="CP219" s="37"/>
      <c r="CQ219" s="45"/>
      <c r="CR219" s="45"/>
      <c r="CS219" s="37"/>
      <c r="CT219" s="45"/>
      <c r="CU219" s="45"/>
      <c r="CV219" s="37"/>
      <c r="CW219" s="45"/>
      <c r="CX219" s="45"/>
      <c r="CY219" s="37"/>
      <c r="CZ219" s="45"/>
      <c r="DB219" s="37"/>
      <c r="DE219" s="37"/>
      <c r="DH219" s="37"/>
      <c r="DK219" s="37"/>
      <c r="DN219" s="37"/>
      <c r="DQ219" s="37"/>
      <c r="DT219" s="37"/>
      <c r="DW219" s="37"/>
      <c r="DZ219" s="37"/>
      <c r="EC219" s="37"/>
      <c r="EF219" s="37"/>
      <c r="EI219" s="37"/>
      <c r="EL219" s="37"/>
      <c r="EO219" s="37"/>
      <c r="ER219" s="37"/>
      <c r="EU219" s="37"/>
      <c r="EV219" s="45"/>
      <c r="EW219" s="45"/>
      <c r="EX219" s="37"/>
      <c r="EY219" s="45"/>
      <c r="EZ219" s="45"/>
      <c r="FA219" s="37"/>
      <c r="FB219" s="45"/>
      <c r="FC219" s="45"/>
      <c r="FD219" s="37"/>
      <c r="FE219" s="45"/>
      <c r="FF219" s="45"/>
      <c r="FG219" s="37"/>
      <c r="FH219" s="45"/>
      <c r="FI219" s="45"/>
      <c r="FJ219" s="37"/>
      <c r="FK219" s="45"/>
      <c r="FL219" s="45"/>
      <c r="FM219" s="37"/>
      <c r="FN219" s="45"/>
      <c r="FO219" s="45"/>
      <c r="FP219" s="37"/>
      <c r="FQ219" s="45"/>
      <c r="FR219" s="45"/>
      <c r="FS219" s="37"/>
      <c r="FT219" s="45"/>
      <c r="FU219" s="45"/>
      <c r="FV219" s="37"/>
      <c r="FW219" s="45"/>
      <c r="FX219" s="45"/>
      <c r="FY219" s="37"/>
      <c r="FZ219" s="45"/>
      <c r="GA219" s="45"/>
      <c r="GB219" s="37"/>
      <c r="GC219" s="45"/>
      <c r="GD219" s="45"/>
      <c r="GE219" s="37"/>
      <c r="GF219" s="45"/>
      <c r="GG219" s="45"/>
      <c r="GH219" s="37"/>
      <c r="GI219" s="45"/>
      <c r="GJ219" s="45"/>
      <c r="GK219" s="37"/>
      <c r="GL219" s="45"/>
      <c r="GM219" s="45"/>
      <c r="GN219" s="37"/>
      <c r="GO219" s="45"/>
      <c r="HE219" s="56"/>
    </row>
    <row r="220" ht="12.0" customHeight="1">
      <c r="A220" s="37"/>
      <c r="D220" s="37"/>
      <c r="E220" s="37"/>
      <c r="I220" s="37"/>
      <c r="M220" s="37"/>
      <c r="Q220" s="37"/>
      <c r="U220" s="37"/>
      <c r="Y220" s="37"/>
      <c r="AC220" s="37"/>
      <c r="AG220" s="37"/>
      <c r="AK220" s="37"/>
      <c r="AN220" s="37"/>
      <c r="AQ220" s="37"/>
      <c r="AT220" s="37"/>
      <c r="AW220" s="37"/>
      <c r="AZ220" s="37"/>
      <c r="BC220" s="37"/>
      <c r="BF220" s="37"/>
      <c r="BG220" s="45"/>
      <c r="BH220" s="45"/>
      <c r="BI220" s="37"/>
      <c r="BJ220" s="45"/>
      <c r="BK220" s="45"/>
      <c r="BL220" s="37"/>
      <c r="BM220" s="45"/>
      <c r="BN220" s="45"/>
      <c r="BO220" s="37"/>
      <c r="BP220" s="45"/>
      <c r="BQ220" s="45"/>
      <c r="BR220" s="37"/>
      <c r="BS220" s="45"/>
      <c r="BT220" s="45"/>
      <c r="BU220" s="37"/>
      <c r="BV220" s="45"/>
      <c r="BW220" s="45"/>
      <c r="BX220" s="37"/>
      <c r="BY220" s="45"/>
      <c r="BZ220" s="45"/>
      <c r="CA220" s="37"/>
      <c r="CB220" s="45"/>
      <c r="CC220" s="45"/>
      <c r="CD220" s="37"/>
      <c r="CE220" s="45"/>
      <c r="CF220" s="45"/>
      <c r="CG220" s="37"/>
      <c r="CH220" s="45"/>
      <c r="CI220" s="45"/>
      <c r="CJ220" s="37"/>
      <c r="CK220" s="45"/>
      <c r="CL220" s="45"/>
      <c r="CM220" s="37"/>
      <c r="CN220" s="45"/>
      <c r="CO220" s="45"/>
      <c r="CP220" s="37"/>
      <c r="CQ220" s="45"/>
      <c r="CR220" s="45"/>
      <c r="CS220" s="37"/>
      <c r="CT220" s="45"/>
      <c r="CU220" s="45"/>
      <c r="CV220" s="37"/>
      <c r="CW220" s="45"/>
      <c r="CX220" s="45"/>
      <c r="CY220" s="37"/>
      <c r="CZ220" s="45"/>
      <c r="DB220" s="37"/>
      <c r="DE220" s="37"/>
      <c r="DH220" s="37"/>
      <c r="DK220" s="37"/>
      <c r="DN220" s="37"/>
      <c r="DQ220" s="37"/>
      <c r="DT220" s="37"/>
      <c r="DW220" s="37"/>
      <c r="DZ220" s="37"/>
      <c r="EC220" s="37"/>
      <c r="EF220" s="37"/>
      <c r="EI220" s="37"/>
      <c r="EL220" s="37"/>
      <c r="EO220" s="37"/>
      <c r="ER220" s="37"/>
      <c r="EU220" s="37"/>
      <c r="EV220" s="45"/>
      <c r="EW220" s="45"/>
      <c r="EX220" s="37"/>
      <c r="EY220" s="45"/>
      <c r="EZ220" s="45"/>
      <c r="FA220" s="37"/>
      <c r="FB220" s="45"/>
      <c r="FC220" s="45"/>
      <c r="FD220" s="37"/>
      <c r="FE220" s="45"/>
      <c r="FF220" s="45"/>
      <c r="FG220" s="37"/>
      <c r="FH220" s="45"/>
      <c r="FI220" s="45"/>
      <c r="FJ220" s="37"/>
      <c r="FK220" s="45"/>
      <c r="FL220" s="45"/>
      <c r="FM220" s="37"/>
      <c r="FN220" s="45"/>
      <c r="FO220" s="45"/>
      <c r="FP220" s="37"/>
      <c r="FQ220" s="45"/>
      <c r="FR220" s="45"/>
      <c r="FS220" s="37"/>
      <c r="FT220" s="45"/>
      <c r="FU220" s="45"/>
      <c r="FV220" s="37"/>
      <c r="FW220" s="45"/>
      <c r="FX220" s="45"/>
      <c r="FY220" s="37"/>
      <c r="FZ220" s="45"/>
      <c r="GA220" s="45"/>
      <c r="GB220" s="37"/>
      <c r="GC220" s="45"/>
      <c r="GD220" s="45"/>
      <c r="GE220" s="37"/>
      <c r="GF220" s="45"/>
      <c r="GG220" s="45"/>
      <c r="GH220" s="37"/>
      <c r="GI220" s="45"/>
      <c r="GJ220" s="45"/>
      <c r="GK220" s="37"/>
      <c r="GL220" s="45"/>
      <c r="GM220" s="45"/>
      <c r="GN220" s="37"/>
      <c r="GO220" s="45"/>
      <c r="HE220" s="56"/>
    </row>
    <row r="221" ht="12.0" customHeight="1">
      <c r="A221" s="37"/>
      <c r="D221" s="37"/>
      <c r="E221" s="37"/>
      <c r="I221" s="37"/>
      <c r="M221" s="37"/>
      <c r="Q221" s="37"/>
      <c r="U221" s="37"/>
      <c r="Y221" s="37"/>
      <c r="AC221" s="37"/>
      <c r="AG221" s="37"/>
      <c r="AK221" s="37"/>
      <c r="AN221" s="37"/>
      <c r="AQ221" s="37"/>
      <c r="AT221" s="37"/>
      <c r="AW221" s="37"/>
      <c r="AZ221" s="37"/>
      <c r="BC221" s="37"/>
      <c r="BF221" s="37"/>
      <c r="BG221" s="45"/>
      <c r="BH221" s="45"/>
      <c r="BI221" s="37"/>
      <c r="BJ221" s="45"/>
      <c r="BK221" s="45"/>
      <c r="BL221" s="37"/>
      <c r="BM221" s="45"/>
      <c r="BN221" s="45"/>
      <c r="BO221" s="37"/>
      <c r="BP221" s="45"/>
      <c r="BQ221" s="45"/>
      <c r="BR221" s="37"/>
      <c r="BS221" s="45"/>
      <c r="BT221" s="45"/>
      <c r="BU221" s="37"/>
      <c r="BV221" s="45"/>
      <c r="BW221" s="45"/>
      <c r="BX221" s="37"/>
      <c r="BY221" s="45"/>
      <c r="BZ221" s="45"/>
      <c r="CA221" s="37"/>
      <c r="CB221" s="45"/>
      <c r="CC221" s="45"/>
      <c r="CD221" s="37"/>
      <c r="CE221" s="45"/>
      <c r="CF221" s="45"/>
      <c r="CG221" s="37"/>
      <c r="CH221" s="45"/>
      <c r="CI221" s="45"/>
      <c r="CJ221" s="37"/>
      <c r="CK221" s="45"/>
      <c r="CL221" s="45"/>
      <c r="CM221" s="37"/>
      <c r="CN221" s="45"/>
      <c r="CO221" s="45"/>
      <c r="CP221" s="37"/>
      <c r="CQ221" s="45"/>
      <c r="CR221" s="45"/>
      <c r="CS221" s="37"/>
      <c r="CT221" s="45"/>
      <c r="CU221" s="45"/>
      <c r="CV221" s="37"/>
      <c r="CW221" s="45"/>
      <c r="CX221" s="45"/>
      <c r="CY221" s="37"/>
      <c r="CZ221" s="45"/>
      <c r="DB221" s="37"/>
      <c r="DE221" s="37"/>
      <c r="DH221" s="37"/>
      <c r="DK221" s="37"/>
      <c r="DN221" s="37"/>
      <c r="DQ221" s="37"/>
      <c r="DT221" s="37"/>
      <c r="DW221" s="37"/>
      <c r="DZ221" s="37"/>
      <c r="EC221" s="37"/>
      <c r="EF221" s="37"/>
      <c r="EI221" s="37"/>
      <c r="EL221" s="37"/>
      <c r="EO221" s="37"/>
      <c r="ER221" s="37"/>
      <c r="EU221" s="37"/>
      <c r="EV221" s="45"/>
      <c r="EW221" s="45"/>
      <c r="EX221" s="37"/>
      <c r="EY221" s="45"/>
      <c r="EZ221" s="45"/>
      <c r="FA221" s="37"/>
      <c r="FB221" s="45"/>
      <c r="FC221" s="45"/>
      <c r="FD221" s="37"/>
      <c r="FE221" s="45"/>
      <c r="FF221" s="45"/>
      <c r="FG221" s="37"/>
      <c r="FH221" s="45"/>
      <c r="FI221" s="45"/>
      <c r="FJ221" s="37"/>
      <c r="FK221" s="45"/>
      <c r="FL221" s="45"/>
      <c r="FM221" s="37"/>
      <c r="FN221" s="45"/>
      <c r="FO221" s="45"/>
      <c r="FP221" s="37"/>
      <c r="FQ221" s="45"/>
      <c r="FR221" s="45"/>
      <c r="FS221" s="37"/>
      <c r="FT221" s="45"/>
      <c r="FU221" s="45"/>
      <c r="FV221" s="37"/>
      <c r="FW221" s="45"/>
      <c r="FX221" s="45"/>
      <c r="FY221" s="37"/>
      <c r="FZ221" s="45"/>
      <c r="GA221" s="45"/>
      <c r="GB221" s="37"/>
      <c r="GC221" s="45"/>
      <c r="GD221" s="45"/>
      <c r="GE221" s="37"/>
      <c r="GF221" s="45"/>
      <c r="GG221" s="45"/>
      <c r="GH221" s="37"/>
      <c r="GI221" s="45"/>
      <c r="GJ221" s="45"/>
      <c r="GK221" s="37"/>
      <c r="GL221" s="45"/>
      <c r="GM221" s="45"/>
      <c r="GN221" s="37"/>
      <c r="GO221" s="45"/>
      <c r="HE221" s="56"/>
    </row>
    <row r="222" ht="12.0" customHeight="1">
      <c r="A222" s="37"/>
      <c r="D222" s="37"/>
      <c r="E222" s="37"/>
      <c r="I222" s="37"/>
      <c r="M222" s="37"/>
      <c r="Q222" s="37"/>
      <c r="U222" s="37"/>
      <c r="Y222" s="37"/>
      <c r="AC222" s="37"/>
      <c r="AG222" s="37"/>
      <c r="AK222" s="37"/>
      <c r="AN222" s="37"/>
      <c r="AQ222" s="37"/>
      <c r="AT222" s="37"/>
      <c r="AW222" s="37"/>
      <c r="AZ222" s="37"/>
      <c r="BC222" s="37"/>
      <c r="BF222" s="37"/>
      <c r="BG222" s="45"/>
      <c r="BH222" s="45"/>
      <c r="BI222" s="37"/>
      <c r="BJ222" s="45"/>
      <c r="BK222" s="45"/>
      <c r="BL222" s="37"/>
      <c r="BM222" s="45"/>
      <c r="BN222" s="45"/>
      <c r="BO222" s="37"/>
      <c r="BP222" s="45"/>
      <c r="BQ222" s="45"/>
      <c r="BR222" s="37"/>
      <c r="BS222" s="45"/>
      <c r="BT222" s="45"/>
      <c r="BU222" s="37"/>
      <c r="BV222" s="45"/>
      <c r="BW222" s="45"/>
      <c r="BX222" s="37"/>
      <c r="BY222" s="45"/>
      <c r="BZ222" s="45"/>
      <c r="CA222" s="37"/>
      <c r="CB222" s="45"/>
      <c r="CC222" s="45"/>
      <c r="CD222" s="37"/>
      <c r="CE222" s="45"/>
      <c r="CF222" s="45"/>
      <c r="CG222" s="37"/>
      <c r="CH222" s="45"/>
      <c r="CI222" s="45"/>
      <c r="CJ222" s="37"/>
      <c r="CK222" s="45"/>
      <c r="CL222" s="45"/>
      <c r="CM222" s="37"/>
      <c r="CN222" s="45"/>
      <c r="CO222" s="45"/>
      <c r="CP222" s="37"/>
      <c r="CQ222" s="45"/>
      <c r="CR222" s="45"/>
      <c r="CS222" s="37"/>
      <c r="CT222" s="45"/>
      <c r="CU222" s="45"/>
      <c r="CV222" s="37"/>
      <c r="CW222" s="45"/>
      <c r="CX222" s="45"/>
      <c r="CY222" s="37"/>
      <c r="CZ222" s="45"/>
      <c r="DB222" s="37"/>
      <c r="DE222" s="37"/>
      <c r="DH222" s="37"/>
      <c r="DK222" s="37"/>
      <c r="DN222" s="37"/>
      <c r="DQ222" s="37"/>
      <c r="DT222" s="37"/>
      <c r="DW222" s="37"/>
      <c r="DZ222" s="37"/>
      <c r="EC222" s="37"/>
      <c r="EF222" s="37"/>
      <c r="EI222" s="37"/>
      <c r="EL222" s="37"/>
      <c r="EO222" s="37"/>
      <c r="ER222" s="37"/>
      <c r="EU222" s="37"/>
      <c r="EV222" s="45"/>
      <c r="EW222" s="45"/>
      <c r="EX222" s="37"/>
      <c r="EY222" s="45"/>
      <c r="EZ222" s="45"/>
      <c r="FA222" s="37"/>
      <c r="FB222" s="45"/>
      <c r="FC222" s="45"/>
      <c r="FD222" s="37"/>
      <c r="FE222" s="45"/>
      <c r="FF222" s="45"/>
      <c r="FG222" s="37"/>
      <c r="FH222" s="45"/>
      <c r="FI222" s="45"/>
      <c r="FJ222" s="37"/>
      <c r="FK222" s="45"/>
      <c r="FL222" s="45"/>
      <c r="FM222" s="37"/>
      <c r="FN222" s="45"/>
      <c r="FO222" s="45"/>
      <c r="FP222" s="37"/>
      <c r="FQ222" s="45"/>
      <c r="FR222" s="45"/>
      <c r="FS222" s="37"/>
      <c r="FT222" s="45"/>
      <c r="FU222" s="45"/>
      <c r="FV222" s="37"/>
      <c r="FW222" s="45"/>
      <c r="FX222" s="45"/>
      <c r="FY222" s="37"/>
      <c r="FZ222" s="45"/>
      <c r="GA222" s="45"/>
      <c r="GB222" s="37"/>
      <c r="GC222" s="45"/>
      <c r="GD222" s="45"/>
      <c r="GE222" s="37"/>
      <c r="GF222" s="45"/>
      <c r="GG222" s="45"/>
      <c r="GH222" s="37"/>
      <c r="GI222" s="45"/>
      <c r="GJ222" s="45"/>
      <c r="GK222" s="37"/>
      <c r="GL222" s="45"/>
      <c r="GM222" s="45"/>
      <c r="GN222" s="37"/>
      <c r="GO222" s="45"/>
      <c r="HE222" s="56"/>
    </row>
    <row r="223" ht="12.0" customHeight="1">
      <c r="A223" s="37"/>
      <c r="D223" s="37"/>
      <c r="E223" s="37"/>
      <c r="I223" s="37"/>
      <c r="M223" s="37"/>
      <c r="Q223" s="37"/>
      <c r="U223" s="37"/>
      <c r="Y223" s="37"/>
      <c r="AC223" s="37"/>
      <c r="AG223" s="37"/>
      <c r="AK223" s="37"/>
      <c r="AN223" s="37"/>
      <c r="AQ223" s="37"/>
      <c r="AT223" s="37"/>
      <c r="AW223" s="37"/>
      <c r="AZ223" s="37"/>
      <c r="BC223" s="37"/>
      <c r="BF223" s="37"/>
      <c r="BG223" s="45"/>
      <c r="BH223" s="45"/>
      <c r="BI223" s="37"/>
      <c r="BJ223" s="45"/>
      <c r="BK223" s="45"/>
      <c r="BL223" s="37"/>
      <c r="BM223" s="45"/>
      <c r="BN223" s="45"/>
      <c r="BO223" s="37"/>
      <c r="BP223" s="45"/>
      <c r="BQ223" s="45"/>
      <c r="BR223" s="37"/>
      <c r="BS223" s="45"/>
      <c r="BT223" s="45"/>
      <c r="BU223" s="37"/>
      <c r="BV223" s="45"/>
      <c r="BW223" s="45"/>
      <c r="BX223" s="37"/>
      <c r="BY223" s="45"/>
      <c r="BZ223" s="45"/>
      <c r="CA223" s="37"/>
      <c r="CB223" s="45"/>
      <c r="CC223" s="45"/>
      <c r="CD223" s="37"/>
      <c r="CE223" s="45"/>
      <c r="CF223" s="45"/>
      <c r="CG223" s="37"/>
      <c r="CH223" s="45"/>
      <c r="CI223" s="45"/>
      <c r="CJ223" s="37"/>
      <c r="CK223" s="45"/>
      <c r="CL223" s="45"/>
      <c r="CM223" s="37"/>
      <c r="CN223" s="45"/>
      <c r="CO223" s="45"/>
      <c r="CP223" s="37"/>
      <c r="CQ223" s="45"/>
      <c r="CR223" s="45"/>
      <c r="CS223" s="37"/>
      <c r="CT223" s="45"/>
      <c r="CU223" s="45"/>
      <c r="CV223" s="37"/>
      <c r="CW223" s="45"/>
      <c r="CX223" s="45"/>
      <c r="CY223" s="37"/>
      <c r="CZ223" s="45"/>
      <c r="DB223" s="37"/>
      <c r="DE223" s="37"/>
      <c r="DH223" s="37"/>
      <c r="DK223" s="37"/>
      <c r="DN223" s="37"/>
      <c r="DQ223" s="37"/>
      <c r="DT223" s="37"/>
      <c r="DW223" s="37"/>
      <c r="DZ223" s="37"/>
      <c r="EC223" s="37"/>
      <c r="EF223" s="37"/>
      <c r="EI223" s="37"/>
      <c r="EL223" s="37"/>
      <c r="EO223" s="37"/>
      <c r="ER223" s="37"/>
      <c r="EU223" s="37"/>
      <c r="EV223" s="45"/>
      <c r="EW223" s="45"/>
      <c r="EX223" s="37"/>
      <c r="EY223" s="45"/>
      <c r="EZ223" s="45"/>
      <c r="FA223" s="37"/>
      <c r="FB223" s="45"/>
      <c r="FC223" s="45"/>
      <c r="FD223" s="37"/>
      <c r="FE223" s="45"/>
      <c r="FF223" s="45"/>
      <c r="FG223" s="37"/>
      <c r="FH223" s="45"/>
      <c r="FI223" s="45"/>
      <c r="FJ223" s="37"/>
      <c r="FK223" s="45"/>
      <c r="FL223" s="45"/>
      <c r="FM223" s="37"/>
      <c r="FN223" s="45"/>
      <c r="FO223" s="45"/>
      <c r="FP223" s="37"/>
      <c r="FQ223" s="45"/>
      <c r="FR223" s="45"/>
      <c r="FS223" s="37"/>
      <c r="FT223" s="45"/>
      <c r="FU223" s="45"/>
      <c r="FV223" s="37"/>
      <c r="FW223" s="45"/>
      <c r="FX223" s="45"/>
      <c r="FY223" s="37"/>
      <c r="FZ223" s="45"/>
      <c r="GA223" s="45"/>
      <c r="GB223" s="37"/>
      <c r="GC223" s="45"/>
      <c r="GD223" s="45"/>
      <c r="GE223" s="37"/>
      <c r="GF223" s="45"/>
      <c r="GG223" s="45"/>
      <c r="GH223" s="37"/>
      <c r="GI223" s="45"/>
      <c r="GJ223" s="45"/>
      <c r="GK223" s="37"/>
      <c r="GL223" s="45"/>
      <c r="GM223" s="45"/>
      <c r="GN223" s="37"/>
      <c r="GO223" s="45"/>
      <c r="HE223" s="56"/>
    </row>
    <row r="224" ht="12.0" customHeight="1">
      <c r="A224" s="37"/>
      <c r="D224" s="37"/>
      <c r="E224" s="37"/>
      <c r="I224" s="37"/>
      <c r="M224" s="37"/>
      <c r="Q224" s="37"/>
      <c r="U224" s="37"/>
      <c r="Y224" s="37"/>
      <c r="AC224" s="37"/>
      <c r="AG224" s="37"/>
      <c r="AK224" s="37"/>
      <c r="AN224" s="37"/>
      <c r="AQ224" s="37"/>
      <c r="AT224" s="37"/>
      <c r="AW224" s="37"/>
      <c r="AZ224" s="37"/>
      <c r="BC224" s="37"/>
      <c r="BF224" s="37"/>
      <c r="BG224" s="45"/>
      <c r="BH224" s="45"/>
      <c r="BI224" s="37"/>
      <c r="BJ224" s="45"/>
      <c r="BK224" s="45"/>
      <c r="BL224" s="37"/>
      <c r="BM224" s="45"/>
      <c r="BN224" s="45"/>
      <c r="BO224" s="37"/>
      <c r="BP224" s="45"/>
      <c r="BQ224" s="45"/>
      <c r="BR224" s="37"/>
      <c r="BS224" s="45"/>
      <c r="BT224" s="45"/>
      <c r="BU224" s="37"/>
      <c r="BV224" s="45"/>
      <c r="BW224" s="45"/>
      <c r="BX224" s="37"/>
      <c r="BY224" s="45"/>
      <c r="BZ224" s="45"/>
      <c r="CA224" s="37"/>
      <c r="CB224" s="45"/>
      <c r="CC224" s="45"/>
      <c r="CD224" s="37"/>
      <c r="CE224" s="45"/>
      <c r="CF224" s="45"/>
      <c r="CG224" s="37"/>
      <c r="CH224" s="45"/>
      <c r="CI224" s="45"/>
      <c r="CJ224" s="37"/>
      <c r="CK224" s="45"/>
      <c r="CL224" s="45"/>
      <c r="CM224" s="37"/>
      <c r="CN224" s="45"/>
      <c r="CO224" s="45"/>
      <c r="CP224" s="37"/>
      <c r="CQ224" s="45"/>
      <c r="CR224" s="45"/>
      <c r="CS224" s="37"/>
      <c r="CT224" s="45"/>
      <c r="CU224" s="45"/>
      <c r="CV224" s="37"/>
      <c r="CW224" s="45"/>
      <c r="CX224" s="45"/>
      <c r="CY224" s="37"/>
      <c r="CZ224" s="45"/>
      <c r="DB224" s="37"/>
      <c r="DE224" s="37"/>
      <c r="DH224" s="37"/>
      <c r="DK224" s="37"/>
      <c r="DN224" s="37"/>
      <c r="DQ224" s="37"/>
      <c r="DT224" s="37"/>
      <c r="DW224" s="37"/>
      <c r="DZ224" s="37"/>
      <c r="EC224" s="37"/>
      <c r="EF224" s="37"/>
      <c r="EI224" s="37"/>
      <c r="EL224" s="37"/>
      <c r="EO224" s="37"/>
      <c r="ER224" s="37"/>
      <c r="EU224" s="37"/>
      <c r="EV224" s="45"/>
      <c r="EW224" s="45"/>
      <c r="EX224" s="37"/>
      <c r="EY224" s="45"/>
      <c r="EZ224" s="45"/>
      <c r="FA224" s="37"/>
      <c r="FB224" s="45"/>
      <c r="FC224" s="45"/>
      <c r="FD224" s="37"/>
      <c r="FE224" s="45"/>
      <c r="FF224" s="45"/>
      <c r="FG224" s="37"/>
      <c r="FH224" s="45"/>
      <c r="FI224" s="45"/>
      <c r="FJ224" s="37"/>
      <c r="FK224" s="45"/>
      <c r="FL224" s="45"/>
      <c r="FM224" s="37"/>
      <c r="FN224" s="45"/>
      <c r="FO224" s="45"/>
      <c r="FP224" s="37"/>
      <c r="FQ224" s="45"/>
      <c r="FR224" s="45"/>
      <c r="FS224" s="37"/>
      <c r="FT224" s="45"/>
      <c r="FU224" s="45"/>
      <c r="FV224" s="37"/>
      <c r="FW224" s="45"/>
      <c r="FX224" s="45"/>
      <c r="FY224" s="37"/>
      <c r="FZ224" s="45"/>
      <c r="GA224" s="45"/>
      <c r="GB224" s="37"/>
      <c r="GC224" s="45"/>
      <c r="GD224" s="45"/>
      <c r="GE224" s="37"/>
      <c r="GF224" s="45"/>
      <c r="GG224" s="45"/>
      <c r="GH224" s="37"/>
      <c r="GI224" s="45"/>
      <c r="GJ224" s="45"/>
      <c r="GK224" s="37"/>
      <c r="GL224" s="45"/>
      <c r="GM224" s="45"/>
      <c r="GN224" s="37"/>
      <c r="GO224" s="45"/>
      <c r="HE224" s="56"/>
    </row>
    <row r="225" ht="12.0" customHeight="1">
      <c r="A225" s="37"/>
      <c r="D225" s="37"/>
      <c r="E225" s="37"/>
      <c r="I225" s="37"/>
      <c r="M225" s="37"/>
      <c r="Q225" s="37"/>
      <c r="U225" s="37"/>
      <c r="Y225" s="37"/>
      <c r="AC225" s="37"/>
      <c r="AG225" s="37"/>
      <c r="AK225" s="37"/>
      <c r="AN225" s="37"/>
      <c r="AQ225" s="37"/>
      <c r="AT225" s="37"/>
      <c r="AW225" s="37"/>
      <c r="AZ225" s="37"/>
      <c r="BC225" s="37"/>
      <c r="BF225" s="37"/>
      <c r="BG225" s="45"/>
      <c r="BH225" s="45"/>
      <c r="BI225" s="37"/>
      <c r="BJ225" s="45"/>
      <c r="BK225" s="45"/>
      <c r="BL225" s="37"/>
      <c r="BM225" s="45"/>
      <c r="BN225" s="45"/>
      <c r="BO225" s="37"/>
      <c r="BP225" s="45"/>
      <c r="BQ225" s="45"/>
      <c r="BR225" s="37"/>
      <c r="BS225" s="45"/>
      <c r="BT225" s="45"/>
      <c r="BU225" s="37"/>
      <c r="BV225" s="45"/>
      <c r="BW225" s="45"/>
      <c r="BX225" s="37"/>
      <c r="BY225" s="45"/>
      <c r="BZ225" s="45"/>
      <c r="CA225" s="37"/>
      <c r="CB225" s="45"/>
      <c r="CC225" s="45"/>
      <c r="CD225" s="37"/>
      <c r="CE225" s="45"/>
      <c r="CF225" s="45"/>
      <c r="CG225" s="37"/>
      <c r="CH225" s="45"/>
      <c r="CI225" s="45"/>
      <c r="CJ225" s="37"/>
      <c r="CK225" s="45"/>
      <c r="CL225" s="45"/>
      <c r="CM225" s="37"/>
      <c r="CN225" s="45"/>
      <c r="CO225" s="45"/>
      <c r="CP225" s="37"/>
      <c r="CQ225" s="45"/>
      <c r="CR225" s="45"/>
      <c r="CS225" s="37"/>
      <c r="CT225" s="45"/>
      <c r="CU225" s="45"/>
      <c r="CV225" s="37"/>
      <c r="CW225" s="45"/>
      <c r="CX225" s="45"/>
      <c r="CY225" s="37"/>
      <c r="CZ225" s="45"/>
      <c r="DB225" s="37"/>
      <c r="DE225" s="37"/>
      <c r="DH225" s="37"/>
      <c r="DK225" s="37"/>
      <c r="DN225" s="37"/>
      <c r="DQ225" s="37"/>
      <c r="DT225" s="37"/>
      <c r="DW225" s="37"/>
      <c r="DZ225" s="37"/>
      <c r="EC225" s="37"/>
      <c r="EF225" s="37"/>
      <c r="EI225" s="37"/>
      <c r="EL225" s="37"/>
      <c r="EO225" s="37"/>
      <c r="ER225" s="37"/>
      <c r="EU225" s="37"/>
      <c r="EV225" s="45"/>
      <c r="EW225" s="45"/>
      <c r="EX225" s="37"/>
      <c r="EY225" s="45"/>
      <c r="EZ225" s="45"/>
      <c r="FA225" s="37"/>
      <c r="FB225" s="45"/>
      <c r="FC225" s="45"/>
      <c r="FD225" s="37"/>
      <c r="FE225" s="45"/>
      <c r="FF225" s="45"/>
      <c r="FG225" s="37"/>
      <c r="FH225" s="45"/>
      <c r="FI225" s="45"/>
      <c r="FJ225" s="37"/>
      <c r="FK225" s="45"/>
      <c r="FL225" s="45"/>
      <c r="FM225" s="37"/>
      <c r="FN225" s="45"/>
      <c r="FO225" s="45"/>
      <c r="FP225" s="37"/>
      <c r="FQ225" s="45"/>
      <c r="FR225" s="45"/>
      <c r="FS225" s="37"/>
      <c r="FT225" s="45"/>
      <c r="FU225" s="45"/>
      <c r="FV225" s="37"/>
      <c r="FW225" s="45"/>
      <c r="FX225" s="45"/>
      <c r="FY225" s="37"/>
      <c r="FZ225" s="45"/>
      <c r="GA225" s="45"/>
      <c r="GB225" s="37"/>
      <c r="GC225" s="45"/>
      <c r="GD225" s="45"/>
      <c r="GE225" s="37"/>
      <c r="GF225" s="45"/>
      <c r="GG225" s="45"/>
      <c r="GH225" s="37"/>
      <c r="GI225" s="45"/>
      <c r="GJ225" s="45"/>
      <c r="GK225" s="37"/>
      <c r="GL225" s="45"/>
      <c r="GM225" s="45"/>
      <c r="GN225" s="37"/>
      <c r="GO225" s="45"/>
      <c r="HE225" s="56"/>
    </row>
    <row r="226" ht="12.0" customHeight="1">
      <c r="A226" s="37"/>
      <c r="D226" s="37"/>
      <c r="E226" s="37"/>
      <c r="I226" s="37"/>
      <c r="M226" s="37"/>
      <c r="Q226" s="37"/>
      <c r="U226" s="37"/>
      <c r="Y226" s="37"/>
      <c r="AC226" s="37"/>
      <c r="AG226" s="37"/>
      <c r="AK226" s="37"/>
      <c r="AN226" s="37"/>
      <c r="AQ226" s="37"/>
      <c r="AT226" s="37"/>
      <c r="AW226" s="37"/>
      <c r="AZ226" s="37"/>
      <c r="BC226" s="37"/>
      <c r="BF226" s="37"/>
      <c r="BG226" s="45"/>
      <c r="BH226" s="45"/>
      <c r="BI226" s="37"/>
      <c r="BJ226" s="45"/>
      <c r="BK226" s="45"/>
      <c r="BL226" s="37"/>
      <c r="BM226" s="45"/>
      <c r="BN226" s="45"/>
      <c r="BO226" s="37"/>
      <c r="BP226" s="45"/>
      <c r="BQ226" s="45"/>
      <c r="BR226" s="37"/>
      <c r="BS226" s="45"/>
      <c r="BT226" s="45"/>
      <c r="BU226" s="37"/>
      <c r="BV226" s="45"/>
      <c r="BW226" s="45"/>
      <c r="BX226" s="37"/>
      <c r="BY226" s="45"/>
      <c r="BZ226" s="45"/>
      <c r="CA226" s="37"/>
      <c r="CB226" s="45"/>
      <c r="CC226" s="45"/>
      <c r="CD226" s="37"/>
      <c r="CE226" s="45"/>
      <c r="CF226" s="45"/>
      <c r="CG226" s="37"/>
      <c r="CH226" s="45"/>
      <c r="CI226" s="45"/>
      <c r="CJ226" s="37"/>
      <c r="CK226" s="45"/>
      <c r="CL226" s="45"/>
      <c r="CM226" s="37"/>
      <c r="CN226" s="45"/>
      <c r="CO226" s="45"/>
      <c r="CP226" s="37"/>
      <c r="CQ226" s="45"/>
      <c r="CR226" s="45"/>
      <c r="CS226" s="37"/>
      <c r="CT226" s="45"/>
      <c r="CU226" s="45"/>
      <c r="CV226" s="37"/>
      <c r="CW226" s="45"/>
      <c r="CX226" s="45"/>
      <c r="CY226" s="37"/>
      <c r="CZ226" s="45"/>
      <c r="DB226" s="37"/>
      <c r="DE226" s="37"/>
      <c r="DH226" s="37"/>
      <c r="DK226" s="37"/>
      <c r="DN226" s="37"/>
      <c r="DQ226" s="37"/>
      <c r="DT226" s="37"/>
      <c r="DW226" s="37"/>
      <c r="DZ226" s="37"/>
      <c r="EC226" s="37"/>
      <c r="EF226" s="37"/>
      <c r="EI226" s="37"/>
      <c r="EL226" s="37"/>
      <c r="EO226" s="37"/>
      <c r="ER226" s="37"/>
      <c r="EU226" s="37"/>
      <c r="EV226" s="45"/>
      <c r="EW226" s="45"/>
      <c r="EX226" s="37"/>
      <c r="EY226" s="45"/>
      <c r="EZ226" s="45"/>
      <c r="FA226" s="37"/>
      <c r="FB226" s="45"/>
      <c r="FC226" s="45"/>
      <c r="FD226" s="37"/>
      <c r="FE226" s="45"/>
      <c r="FF226" s="45"/>
      <c r="FG226" s="37"/>
      <c r="FH226" s="45"/>
      <c r="FI226" s="45"/>
      <c r="FJ226" s="37"/>
      <c r="FK226" s="45"/>
      <c r="FL226" s="45"/>
      <c r="FM226" s="37"/>
      <c r="FN226" s="45"/>
      <c r="FO226" s="45"/>
      <c r="FP226" s="37"/>
      <c r="FQ226" s="45"/>
      <c r="FR226" s="45"/>
      <c r="FS226" s="37"/>
      <c r="FT226" s="45"/>
      <c r="FU226" s="45"/>
      <c r="FV226" s="37"/>
      <c r="FW226" s="45"/>
      <c r="FX226" s="45"/>
      <c r="FY226" s="37"/>
      <c r="FZ226" s="45"/>
      <c r="GA226" s="45"/>
      <c r="GB226" s="37"/>
      <c r="GC226" s="45"/>
      <c r="GD226" s="45"/>
      <c r="GE226" s="37"/>
      <c r="GF226" s="45"/>
      <c r="GG226" s="45"/>
      <c r="GH226" s="37"/>
      <c r="GI226" s="45"/>
      <c r="GJ226" s="45"/>
      <c r="GK226" s="37"/>
      <c r="GL226" s="45"/>
      <c r="GM226" s="45"/>
      <c r="GN226" s="37"/>
      <c r="GO226" s="45"/>
      <c r="HE226" s="56"/>
    </row>
    <row r="227" ht="12.0" customHeight="1">
      <c r="A227" s="37"/>
      <c r="D227" s="37"/>
      <c r="E227" s="37"/>
      <c r="I227" s="37"/>
      <c r="M227" s="37"/>
      <c r="Q227" s="37"/>
      <c r="U227" s="37"/>
      <c r="Y227" s="37"/>
      <c r="AC227" s="37"/>
      <c r="AG227" s="37"/>
      <c r="AK227" s="37"/>
      <c r="AN227" s="37"/>
      <c r="AQ227" s="37"/>
      <c r="AT227" s="37"/>
      <c r="AW227" s="37"/>
      <c r="AZ227" s="37"/>
      <c r="BC227" s="37"/>
      <c r="BF227" s="37"/>
      <c r="BG227" s="45"/>
      <c r="BH227" s="45"/>
      <c r="BI227" s="37"/>
      <c r="BJ227" s="45"/>
      <c r="BK227" s="45"/>
      <c r="BL227" s="37"/>
      <c r="BM227" s="45"/>
      <c r="BN227" s="45"/>
      <c r="BO227" s="37"/>
      <c r="BP227" s="45"/>
      <c r="BQ227" s="45"/>
      <c r="BR227" s="37"/>
      <c r="BS227" s="45"/>
      <c r="BT227" s="45"/>
      <c r="BU227" s="37"/>
      <c r="BV227" s="45"/>
      <c r="BW227" s="45"/>
      <c r="BX227" s="37"/>
      <c r="BY227" s="45"/>
      <c r="BZ227" s="45"/>
      <c r="CA227" s="37"/>
      <c r="CB227" s="45"/>
      <c r="CC227" s="45"/>
      <c r="CD227" s="37"/>
      <c r="CE227" s="45"/>
      <c r="CF227" s="45"/>
      <c r="CG227" s="37"/>
      <c r="CH227" s="45"/>
      <c r="CI227" s="45"/>
      <c r="CJ227" s="37"/>
      <c r="CK227" s="45"/>
      <c r="CL227" s="45"/>
      <c r="CM227" s="37"/>
      <c r="CN227" s="45"/>
      <c r="CO227" s="45"/>
      <c r="CP227" s="37"/>
      <c r="CQ227" s="45"/>
      <c r="CR227" s="45"/>
      <c r="CS227" s="37"/>
      <c r="CT227" s="45"/>
      <c r="CU227" s="45"/>
      <c r="CV227" s="37"/>
      <c r="CW227" s="45"/>
      <c r="CX227" s="45"/>
      <c r="CY227" s="37"/>
      <c r="CZ227" s="45"/>
      <c r="DB227" s="37"/>
      <c r="DE227" s="37"/>
      <c r="DH227" s="37"/>
      <c r="DK227" s="37"/>
      <c r="DN227" s="37"/>
      <c r="DQ227" s="37"/>
      <c r="DT227" s="37"/>
      <c r="DW227" s="37"/>
      <c r="DZ227" s="37"/>
      <c r="EC227" s="37"/>
      <c r="EF227" s="37"/>
      <c r="EI227" s="37"/>
      <c r="EL227" s="37"/>
      <c r="EO227" s="37"/>
      <c r="ER227" s="37"/>
      <c r="EU227" s="37"/>
      <c r="EV227" s="45"/>
      <c r="EW227" s="45"/>
      <c r="EX227" s="37"/>
      <c r="EY227" s="45"/>
      <c r="EZ227" s="45"/>
      <c r="FA227" s="37"/>
      <c r="FB227" s="45"/>
      <c r="FC227" s="45"/>
      <c r="FD227" s="37"/>
      <c r="FE227" s="45"/>
      <c r="FF227" s="45"/>
      <c r="FG227" s="37"/>
      <c r="FH227" s="45"/>
      <c r="FI227" s="45"/>
      <c r="FJ227" s="37"/>
      <c r="FK227" s="45"/>
      <c r="FL227" s="45"/>
      <c r="FM227" s="37"/>
      <c r="FN227" s="45"/>
      <c r="FO227" s="45"/>
      <c r="FP227" s="37"/>
      <c r="FQ227" s="45"/>
      <c r="FR227" s="45"/>
      <c r="FS227" s="37"/>
      <c r="FT227" s="45"/>
      <c r="FU227" s="45"/>
      <c r="FV227" s="37"/>
      <c r="FW227" s="45"/>
      <c r="FX227" s="45"/>
      <c r="FY227" s="37"/>
      <c r="FZ227" s="45"/>
      <c r="GA227" s="45"/>
      <c r="GB227" s="37"/>
      <c r="GC227" s="45"/>
      <c r="GD227" s="45"/>
      <c r="GE227" s="37"/>
      <c r="GF227" s="45"/>
      <c r="GG227" s="45"/>
      <c r="GH227" s="37"/>
      <c r="GI227" s="45"/>
      <c r="GJ227" s="45"/>
      <c r="GK227" s="37"/>
      <c r="GL227" s="45"/>
      <c r="GM227" s="45"/>
      <c r="GN227" s="37"/>
      <c r="GO227" s="45"/>
      <c r="HE227" s="56"/>
    </row>
    <row r="228" ht="12.0" customHeight="1">
      <c r="A228" s="37"/>
      <c r="D228" s="37"/>
      <c r="E228" s="37"/>
      <c r="I228" s="37"/>
      <c r="M228" s="37"/>
      <c r="Q228" s="37"/>
      <c r="U228" s="37"/>
      <c r="Y228" s="37"/>
      <c r="AC228" s="37"/>
      <c r="AG228" s="37"/>
      <c r="AK228" s="37"/>
      <c r="AN228" s="37"/>
      <c r="AQ228" s="37"/>
      <c r="AT228" s="37"/>
      <c r="AW228" s="37"/>
      <c r="AZ228" s="37"/>
      <c r="BC228" s="37"/>
      <c r="BF228" s="37"/>
      <c r="BG228" s="45"/>
      <c r="BH228" s="45"/>
      <c r="BI228" s="37"/>
      <c r="BJ228" s="45"/>
      <c r="BK228" s="45"/>
      <c r="BL228" s="37"/>
      <c r="BM228" s="45"/>
      <c r="BN228" s="45"/>
      <c r="BO228" s="37"/>
      <c r="BP228" s="45"/>
      <c r="BQ228" s="45"/>
      <c r="BR228" s="37"/>
      <c r="BS228" s="45"/>
      <c r="BT228" s="45"/>
      <c r="BU228" s="37"/>
      <c r="BV228" s="45"/>
      <c r="BW228" s="45"/>
      <c r="BX228" s="37"/>
      <c r="BY228" s="45"/>
      <c r="BZ228" s="45"/>
      <c r="CA228" s="37"/>
      <c r="CB228" s="45"/>
      <c r="CC228" s="45"/>
      <c r="CD228" s="37"/>
      <c r="CE228" s="45"/>
      <c r="CF228" s="45"/>
      <c r="CG228" s="37"/>
      <c r="CH228" s="45"/>
      <c r="CI228" s="45"/>
      <c r="CJ228" s="37"/>
      <c r="CK228" s="45"/>
      <c r="CL228" s="45"/>
      <c r="CM228" s="37"/>
      <c r="CN228" s="45"/>
      <c r="CO228" s="45"/>
      <c r="CP228" s="37"/>
      <c r="CQ228" s="45"/>
      <c r="CR228" s="45"/>
      <c r="CS228" s="37"/>
      <c r="CT228" s="45"/>
      <c r="CU228" s="45"/>
      <c r="CV228" s="37"/>
      <c r="CW228" s="45"/>
      <c r="CX228" s="45"/>
      <c r="CY228" s="37"/>
      <c r="CZ228" s="45"/>
      <c r="DB228" s="37"/>
      <c r="DE228" s="37"/>
      <c r="DH228" s="37"/>
      <c r="DK228" s="37"/>
      <c r="DN228" s="37"/>
      <c r="DQ228" s="37"/>
      <c r="DT228" s="37"/>
      <c r="DW228" s="37"/>
      <c r="DZ228" s="37"/>
      <c r="EC228" s="37"/>
      <c r="EF228" s="37"/>
      <c r="EI228" s="37"/>
      <c r="EL228" s="37"/>
      <c r="EO228" s="37"/>
      <c r="ER228" s="37"/>
      <c r="EU228" s="37"/>
      <c r="EV228" s="45"/>
      <c r="EW228" s="45"/>
      <c r="EX228" s="37"/>
      <c r="EY228" s="45"/>
      <c r="EZ228" s="45"/>
      <c r="FA228" s="37"/>
      <c r="FB228" s="45"/>
      <c r="FC228" s="45"/>
      <c r="FD228" s="37"/>
      <c r="FE228" s="45"/>
      <c r="FF228" s="45"/>
      <c r="FG228" s="37"/>
      <c r="FH228" s="45"/>
      <c r="FI228" s="45"/>
      <c r="FJ228" s="37"/>
      <c r="FK228" s="45"/>
      <c r="FL228" s="45"/>
      <c r="FM228" s="37"/>
      <c r="FN228" s="45"/>
      <c r="FO228" s="45"/>
      <c r="FP228" s="37"/>
      <c r="FQ228" s="45"/>
      <c r="FR228" s="45"/>
      <c r="FS228" s="37"/>
      <c r="FT228" s="45"/>
      <c r="FU228" s="45"/>
      <c r="FV228" s="37"/>
      <c r="FW228" s="45"/>
      <c r="FX228" s="45"/>
      <c r="FY228" s="37"/>
      <c r="FZ228" s="45"/>
      <c r="GA228" s="45"/>
      <c r="GB228" s="37"/>
      <c r="GC228" s="45"/>
      <c r="GD228" s="45"/>
      <c r="GE228" s="37"/>
      <c r="GF228" s="45"/>
      <c r="GG228" s="45"/>
      <c r="GH228" s="37"/>
      <c r="GI228" s="45"/>
      <c r="GJ228" s="45"/>
      <c r="GK228" s="37"/>
      <c r="GL228" s="45"/>
      <c r="GM228" s="45"/>
      <c r="GN228" s="37"/>
      <c r="GO228" s="45"/>
      <c r="HE228" s="56"/>
    </row>
    <row r="229" ht="12.0" customHeight="1">
      <c r="A229" s="37"/>
      <c r="D229" s="37"/>
      <c r="E229" s="37"/>
      <c r="I229" s="37"/>
      <c r="M229" s="37"/>
      <c r="Q229" s="37"/>
      <c r="U229" s="37"/>
      <c r="Y229" s="37"/>
      <c r="AC229" s="37"/>
      <c r="AG229" s="37"/>
      <c r="AK229" s="37"/>
      <c r="AN229" s="37"/>
      <c r="AQ229" s="37"/>
      <c r="AT229" s="37"/>
      <c r="AW229" s="37"/>
      <c r="AZ229" s="37"/>
      <c r="BC229" s="37"/>
      <c r="BF229" s="37"/>
      <c r="BG229" s="45"/>
      <c r="BH229" s="45"/>
      <c r="BI229" s="37"/>
      <c r="BJ229" s="45"/>
      <c r="BK229" s="45"/>
      <c r="BL229" s="37"/>
      <c r="BM229" s="45"/>
      <c r="BN229" s="45"/>
      <c r="BO229" s="37"/>
      <c r="BP229" s="45"/>
      <c r="BQ229" s="45"/>
      <c r="BR229" s="37"/>
      <c r="BS229" s="45"/>
      <c r="BT229" s="45"/>
      <c r="BU229" s="37"/>
      <c r="BV229" s="45"/>
      <c r="BW229" s="45"/>
      <c r="BX229" s="37"/>
      <c r="BY229" s="45"/>
      <c r="BZ229" s="45"/>
      <c r="CA229" s="37"/>
      <c r="CB229" s="45"/>
      <c r="CC229" s="45"/>
      <c r="CD229" s="37"/>
      <c r="CE229" s="45"/>
      <c r="CF229" s="45"/>
      <c r="CG229" s="37"/>
      <c r="CH229" s="45"/>
      <c r="CI229" s="45"/>
      <c r="CJ229" s="37"/>
      <c r="CK229" s="45"/>
      <c r="CL229" s="45"/>
      <c r="CM229" s="37"/>
      <c r="CN229" s="45"/>
      <c r="CO229" s="45"/>
      <c r="CP229" s="37"/>
      <c r="CQ229" s="45"/>
      <c r="CR229" s="45"/>
      <c r="CS229" s="37"/>
      <c r="CT229" s="45"/>
      <c r="CU229" s="45"/>
      <c r="CV229" s="37"/>
      <c r="CW229" s="45"/>
      <c r="CX229" s="45"/>
      <c r="CY229" s="37"/>
      <c r="CZ229" s="45"/>
      <c r="DB229" s="37"/>
      <c r="DE229" s="37"/>
      <c r="DH229" s="37"/>
      <c r="DK229" s="37"/>
      <c r="DN229" s="37"/>
      <c r="DQ229" s="37"/>
      <c r="DT229" s="37"/>
      <c r="DW229" s="37"/>
      <c r="DZ229" s="37"/>
      <c r="EC229" s="37"/>
      <c r="EF229" s="37"/>
      <c r="EI229" s="37"/>
      <c r="EL229" s="37"/>
      <c r="EO229" s="37"/>
      <c r="ER229" s="37"/>
      <c r="EU229" s="37"/>
      <c r="EV229" s="45"/>
      <c r="EW229" s="45"/>
      <c r="EX229" s="37"/>
      <c r="EY229" s="45"/>
      <c r="EZ229" s="45"/>
      <c r="FA229" s="37"/>
      <c r="FB229" s="45"/>
      <c r="FC229" s="45"/>
      <c r="FD229" s="37"/>
      <c r="FE229" s="45"/>
      <c r="FF229" s="45"/>
      <c r="FG229" s="37"/>
      <c r="FH229" s="45"/>
      <c r="FI229" s="45"/>
      <c r="FJ229" s="37"/>
      <c r="FK229" s="45"/>
      <c r="FL229" s="45"/>
      <c r="FM229" s="37"/>
      <c r="FN229" s="45"/>
      <c r="FO229" s="45"/>
      <c r="FP229" s="37"/>
      <c r="FQ229" s="45"/>
      <c r="FR229" s="45"/>
      <c r="FS229" s="37"/>
      <c r="FT229" s="45"/>
      <c r="FU229" s="45"/>
      <c r="FV229" s="37"/>
      <c r="FW229" s="45"/>
      <c r="FX229" s="45"/>
      <c r="FY229" s="37"/>
      <c r="FZ229" s="45"/>
      <c r="GA229" s="45"/>
      <c r="GB229" s="37"/>
      <c r="GC229" s="45"/>
      <c r="GD229" s="45"/>
      <c r="GE229" s="37"/>
      <c r="GF229" s="45"/>
      <c r="GG229" s="45"/>
      <c r="GH229" s="37"/>
      <c r="GI229" s="45"/>
      <c r="GJ229" s="45"/>
      <c r="GK229" s="37"/>
      <c r="GL229" s="45"/>
      <c r="GM229" s="45"/>
      <c r="GN229" s="37"/>
      <c r="GO229" s="45"/>
      <c r="HE229" s="56"/>
    </row>
    <row r="230" ht="12.0" customHeight="1">
      <c r="A230" s="37"/>
      <c r="D230" s="37"/>
      <c r="E230" s="37"/>
      <c r="I230" s="37"/>
      <c r="M230" s="37"/>
      <c r="Q230" s="37"/>
      <c r="U230" s="37"/>
      <c r="Y230" s="37"/>
      <c r="AC230" s="37"/>
      <c r="AG230" s="37"/>
      <c r="AK230" s="37"/>
      <c r="AN230" s="37"/>
      <c r="AQ230" s="37"/>
      <c r="AT230" s="37"/>
      <c r="AW230" s="37"/>
      <c r="AZ230" s="37"/>
      <c r="BC230" s="37"/>
      <c r="BF230" s="37"/>
      <c r="BG230" s="45"/>
      <c r="BH230" s="45"/>
      <c r="BI230" s="37"/>
      <c r="BJ230" s="45"/>
      <c r="BK230" s="45"/>
      <c r="BL230" s="37"/>
      <c r="BM230" s="45"/>
      <c r="BN230" s="45"/>
      <c r="BO230" s="37"/>
      <c r="BP230" s="45"/>
      <c r="BQ230" s="45"/>
      <c r="BR230" s="37"/>
      <c r="BS230" s="45"/>
      <c r="BT230" s="45"/>
      <c r="BU230" s="37"/>
      <c r="BV230" s="45"/>
      <c r="BW230" s="45"/>
      <c r="BX230" s="37"/>
      <c r="BY230" s="45"/>
      <c r="BZ230" s="45"/>
      <c r="CA230" s="37"/>
      <c r="CB230" s="45"/>
      <c r="CC230" s="45"/>
      <c r="CD230" s="37"/>
      <c r="CE230" s="45"/>
      <c r="CF230" s="45"/>
      <c r="CG230" s="37"/>
      <c r="CH230" s="45"/>
      <c r="CI230" s="45"/>
      <c r="CJ230" s="37"/>
      <c r="CK230" s="45"/>
      <c r="CL230" s="45"/>
      <c r="CM230" s="37"/>
      <c r="CN230" s="45"/>
      <c r="CO230" s="45"/>
      <c r="CP230" s="37"/>
      <c r="CQ230" s="45"/>
      <c r="CR230" s="45"/>
      <c r="CS230" s="37"/>
      <c r="CT230" s="45"/>
      <c r="CU230" s="45"/>
      <c r="CV230" s="37"/>
      <c r="CW230" s="45"/>
      <c r="CX230" s="45"/>
      <c r="CY230" s="37"/>
      <c r="CZ230" s="45"/>
      <c r="DB230" s="37"/>
      <c r="DE230" s="37"/>
      <c r="DH230" s="37"/>
      <c r="DK230" s="37"/>
      <c r="DN230" s="37"/>
      <c r="DQ230" s="37"/>
      <c r="DT230" s="37"/>
      <c r="DW230" s="37"/>
      <c r="DZ230" s="37"/>
      <c r="EC230" s="37"/>
      <c r="EF230" s="37"/>
      <c r="EI230" s="37"/>
      <c r="EL230" s="37"/>
      <c r="EO230" s="37"/>
      <c r="ER230" s="37"/>
      <c r="EU230" s="37"/>
      <c r="EV230" s="45"/>
      <c r="EW230" s="45"/>
      <c r="EX230" s="37"/>
      <c r="EY230" s="45"/>
      <c r="EZ230" s="45"/>
      <c r="FA230" s="37"/>
      <c r="FB230" s="45"/>
      <c r="FC230" s="45"/>
      <c r="FD230" s="37"/>
      <c r="FE230" s="45"/>
      <c r="FF230" s="45"/>
      <c r="FG230" s="37"/>
      <c r="FH230" s="45"/>
      <c r="FI230" s="45"/>
      <c r="FJ230" s="37"/>
      <c r="FK230" s="45"/>
      <c r="FL230" s="45"/>
      <c r="FM230" s="37"/>
      <c r="FN230" s="45"/>
      <c r="FO230" s="45"/>
      <c r="FP230" s="37"/>
      <c r="FQ230" s="45"/>
      <c r="FR230" s="45"/>
      <c r="FS230" s="37"/>
      <c r="FT230" s="45"/>
      <c r="FU230" s="45"/>
      <c r="FV230" s="37"/>
      <c r="FW230" s="45"/>
      <c r="FX230" s="45"/>
      <c r="FY230" s="37"/>
      <c r="FZ230" s="45"/>
      <c r="GA230" s="45"/>
      <c r="GB230" s="37"/>
      <c r="GC230" s="45"/>
      <c r="GD230" s="45"/>
      <c r="GE230" s="37"/>
      <c r="GF230" s="45"/>
      <c r="GG230" s="45"/>
      <c r="GH230" s="37"/>
      <c r="GI230" s="45"/>
      <c r="GJ230" s="45"/>
      <c r="GK230" s="37"/>
      <c r="GL230" s="45"/>
      <c r="GM230" s="45"/>
      <c r="GN230" s="37"/>
      <c r="GO230" s="45"/>
      <c r="HE230" s="56"/>
    </row>
    <row r="231" ht="12.0" customHeight="1">
      <c r="A231" s="37"/>
      <c r="D231" s="37"/>
      <c r="E231" s="37"/>
      <c r="I231" s="37"/>
      <c r="M231" s="37"/>
      <c r="Q231" s="37"/>
      <c r="U231" s="37"/>
      <c r="Y231" s="37"/>
      <c r="AC231" s="37"/>
      <c r="AG231" s="37"/>
      <c r="AK231" s="37"/>
      <c r="AN231" s="37"/>
      <c r="AQ231" s="37"/>
      <c r="AT231" s="37"/>
      <c r="AW231" s="37"/>
      <c r="AZ231" s="37"/>
      <c r="BC231" s="37"/>
      <c r="BF231" s="37"/>
      <c r="BG231" s="45"/>
      <c r="BH231" s="45"/>
      <c r="BI231" s="37"/>
      <c r="BJ231" s="45"/>
      <c r="BK231" s="45"/>
      <c r="BL231" s="37"/>
      <c r="BM231" s="45"/>
      <c r="BN231" s="45"/>
      <c r="BO231" s="37"/>
      <c r="BP231" s="45"/>
      <c r="BQ231" s="45"/>
      <c r="BR231" s="37"/>
      <c r="BS231" s="45"/>
      <c r="BT231" s="45"/>
      <c r="BU231" s="37"/>
      <c r="BV231" s="45"/>
      <c r="BW231" s="45"/>
      <c r="BX231" s="37"/>
      <c r="BY231" s="45"/>
      <c r="BZ231" s="45"/>
      <c r="CA231" s="37"/>
      <c r="CB231" s="45"/>
      <c r="CC231" s="45"/>
      <c r="CD231" s="37"/>
      <c r="CE231" s="45"/>
      <c r="CF231" s="45"/>
      <c r="CG231" s="37"/>
      <c r="CH231" s="45"/>
      <c r="CI231" s="45"/>
      <c r="CJ231" s="37"/>
      <c r="CK231" s="45"/>
      <c r="CL231" s="45"/>
      <c r="CM231" s="37"/>
      <c r="CN231" s="45"/>
      <c r="CO231" s="45"/>
      <c r="CP231" s="37"/>
      <c r="CQ231" s="45"/>
      <c r="CR231" s="45"/>
      <c r="CS231" s="37"/>
      <c r="CT231" s="45"/>
      <c r="CU231" s="45"/>
      <c r="CV231" s="37"/>
      <c r="CW231" s="45"/>
      <c r="CX231" s="45"/>
      <c r="CY231" s="37"/>
      <c r="CZ231" s="45"/>
      <c r="DB231" s="37"/>
      <c r="DE231" s="37"/>
      <c r="DH231" s="37"/>
      <c r="DK231" s="37"/>
      <c r="DN231" s="37"/>
      <c r="DQ231" s="37"/>
      <c r="DT231" s="37"/>
      <c r="DW231" s="37"/>
      <c r="DZ231" s="37"/>
      <c r="EC231" s="37"/>
      <c r="EF231" s="37"/>
      <c r="EI231" s="37"/>
      <c r="EL231" s="37"/>
      <c r="EO231" s="37"/>
      <c r="ER231" s="37"/>
      <c r="EU231" s="37"/>
      <c r="EV231" s="45"/>
      <c r="EW231" s="45"/>
      <c r="EX231" s="37"/>
      <c r="EY231" s="45"/>
      <c r="EZ231" s="45"/>
      <c r="FA231" s="37"/>
      <c r="FB231" s="45"/>
      <c r="FC231" s="45"/>
      <c r="FD231" s="37"/>
      <c r="FE231" s="45"/>
      <c r="FF231" s="45"/>
      <c r="FG231" s="37"/>
      <c r="FH231" s="45"/>
      <c r="FI231" s="45"/>
      <c r="FJ231" s="37"/>
      <c r="FK231" s="45"/>
      <c r="FL231" s="45"/>
      <c r="FM231" s="37"/>
      <c r="FN231" s="45"/>
      <c r="FO231" s="45"/>
      <c r="FP231" s="37"/>
      <c r="FQ231" s="45"/>
      <c r="FR231" s="45"/>
      <c r="FS231" s="37"/>
      <c r="FT231" s="45"/>
      <c r="FU231" s="45"/>
      <c r="FV231" s="37"/>
      <c r="FW231" s="45"/>
      <c r="FX231" s="45"/>
      <c r="FY231" s="37"/>
      <c r="FZ231" s="45"/>
      <c r="GA231" s="45"/>
      <c r="GB231" s="37"/>
      <c r="GC231" s="45"/>
      <c r="GD231" s="45"/>
      <c r="GE231" s="37"/>
      <c r="GF231" s="45"/>
      <c r="GG231" s="45"/>
      <c r="GH231" s="37"/>
      <c r="GI231" s="45"/>
      <c r="GJ231" s="45"/>
      <c r="GK231" s="37"/>
      <c r="GL231" s="45"/>
      <c r="GM231" s="45"/>
      <c r="GN231" s="37"/>
      <c r="GO231" s="45"/>
      <c r="HE231" s="56"/>
    </row>
    <row r="232" ht="12.0" customHeight="1">
      <c r="A232" s="37"/>
      <c r="D232" s="37"/>
      <c r="E232" s="37"/>
      <c r="I232" s="37"/>
      <c r="M232" s="37"/>
      <c r="Q232" s="37"/>
      <c r="U232" s="37"/>
      <c r="Y232" s="37"/>
      <c r="AC232" s="37"/>
      <c r="AG232" s="37"/>
      <c r="AK232" s="37"/>
      <c r="AN232" s="37"/>
      <c r="AQ232" s="37"/>
      <c r="AT232" s="37"/>
      <c r="AW232" s="37"/>
      <c r="AZ232" s="37"/>
      <c r="BC232" s="37"/>
      <c r="BF232" s="37"/>
      <c r="BG232" s="45"/>
      <c r="BH232" s="45"/>
      <c r="BI232" s="37"/>
      <c r="BJ232" s="45"/>
      <c r="BK232" s="45"/>
      <c r="BL232" s="37"/>
      <c r="BM232" s="45"/>
      <c r="BN232" s="45"/>
      <c r="BO232" s="37"/>
      <c r="BP232" s="45"/>
      <c r="BQ232" s="45"/>
      <c r="BR232" s="37"/>
      <c r="BS232" s="45"/>
      <c r="BT232" s="45"/>
      <c r="BU232" s="37"/>
      <c r="BV232" s="45"/>
      <c r="BW232" s="45"/>
      <c r="BX232" s="37"/>
      <c r="BY232" s="45"/>
      <c r="BZ232" s="45"/>
      <c r="CA232" s="37"/>
      <c r="CB232" s="45"/>
      <c r="CC232" s="45"/>
      <c r="CD232" s="37"/>
      <c r="CE232" s="45"/>
      <c r="CF232" s="45"/>
      <c r="CG232" s="37"/>
      <c r="CH232" s="45"/>
      <c r="CI232" s="45"/>
      <c r="CJ232" s="37"/>
      <c r="CK232" s="45"/>
      <c r="CL232" s="45"/>
      <c r="CM232" s="37"/>
      <c r="CN232" s="45"/>
      <c r="CO232" s="45"/>
      <c r="CP232" s="37"/>
      <c r="CQ232" s="45"/>
      <c r="CR232" s="45"/>
      <c r="CS232" s="37"/>
      <c r="CT232" s="45"/>
      <c r="CU232" s="45"/>
      <c r="CV232" s="37"/>
      <c r="CW232" s="45"/>
      <c r="CX232" s="45"/>
      <c r="CY232" s="37"/>
      <c r="CZ232" s="45"/>
      <c r="DB232" s="37"/>
      <c r="DE232" s="37"/>
      <c r="DH232" s="37"/>
      <c r="DK232" s="37"/>
      <c r="DN232" s="37"/>
      <c r="DQ232" s="37"/>
      <c r="DT232" s="37"/>
      <c r="DW232" s="37"/>
      <c r="DZ232" s="37"/>
      <c r="EC232" s="37"/>
      <c r="EF232" s="37"/>
      <c r="EI232" s="37"/>
      <c r="EL232" s="37"/>
      <c r="EO232" s="37"/>
      <c r="ER232" s="37"/>
      <c r="EU232" s="37"/>
      <c r="EV232" s="45"/>
      <c r="EW232" s="45"/>
      <c r="EX232" s="37"/>
      <c r="EY232" s="45"/>
      <c r="EZ232" s="45"/>
      <c r="FA232" s="37"/>
      <c r="FB232" s="45"/>
      <c r="FC232" s="45"/>
      <c r="FD232" s="37"/>
      <c r="FE232" s="45"/>
      <c r="FF232" s="45"/>
      <c r="FG232" s="37"/>
      <c r="FH232" s="45"/>
      <c r="FI232" s="45"/>
      <c r="FJ232" s="37"/>
      <c r="FK232" s="45"/>
      <c r="FL232" s="45"/>
      <c r="FM232" s="37"/>
      <c r="FN232" s="45"/>
      <c r="FO232" s="45"/>
      <c r="FP232" s="37"/>
      <c r="FQ232" s="45"/>
      <c r="FR232" s="45"/>
      <c r="FS232" s="37"/>
      <c r="FT232" s="45"/>
      <c r="FU232" s="45"/>
      <c r="FV232" s="37"/>
      <c r="FW232" s="45"/>
      <c r="FX232" s="45"/>
      <c r="FY232" s="37"/>
      <c r="FZ232" s="45"/>
      <c r="GA232" s="45"/>
      <c r="GB232" s="37"/>
      <c r="GC232" s="45"/>
      <c r="GD232" s="45"/>
      <c r="GE232" s="37"/>
      <c r="GF232" s="45"/>
      <c r="GG232" s="45"/>
      <c r="GH232" s="37"/>
      <c r="GI232" s="45"/>
      <c r="GJ232" s="45"/>
      <c r="GK232" s="37"/>
      <c r="GL232" s="45"/>
      <c r="GM232" s="45"/>
      <c r="GN232" s="37"/>
      <c r="GO232" s="45"/>
      <c r="HE232" s="56"/>
    </row>
    <row r="233" ht="12.0" customHeight="1">
      <c r="A233" s="37"/>
      <c r="D233" s="37"/>
      <c r="E233" s="37"/>
      <c r="I233" s="37"/>
      <c r="M233" s="37"/>
      <c r="Q233" s="37"/>
      <c r="U233" s="37"/>
      <c r="Y233" s="37"/>
      <c r="AC233" s="37"/>
      <c r="AG233" s="37"/>
      <c r="AK233" s="37"/>
      <c r="AN233" s="37"/>
      <c r="AQ233" s="37"/>
      <c r="AT233" s="37"/>
      <c r="AW233" s="37"/>
      <c r="AZ233" s="37"/>
      <c r="BC233" s="37"/>
      <c r="BF233" s="37"/>
      <c r="BG233" s="45"/>
      <c r="BH233" s="45"/>
      <c r="BI233" s="37"/>
      <c r="BJ233" s="45"/>
      <c r="BK233" s="45"/>
      <c r="BL233" s="37"/>
      <c r="BM233" s="45"/>
      <c r="BN233" s="45"/>
      <c r="BO233" s="37"/>
      <c r="BP233" s="45"/>
      <c r="BQ233" s="45"/>
      <c r="BR233" s="37"/>
      <c r="BS233" s="45"/>
      <c r="BT233" s="45"/>
      <c r="BU233" s="37"/>
      <c r="BV233" s="45"/>
      <c r="BW233" s="45"/>
      <c r="BX233" s="37"/>
      <c r="BY233" s="45"/>
      <c r="BZ233" s="45"/>
      <c r="CA233" s="37"/>
      <c r="CB233" s="45"/>
      <c r="CC233" s="45"/>
      <c r="CD233" s="37"/>
      <c r="CE233" s="45"/>
      <c r="CF233" s="45"/>
      <c r="CG233" s="37"/>
      <c r="CH233" s="45"/>
      <c r="CI233" s="45"/>
      <c r="CJ233" s="37"/>
      <c r="CK233" s="45"/>
      <c r="CL233" s="45"/>
      <c r="CM233" s="37"/>
      <c r="CN233" s="45"/>
      <c r="CO233" s="45"/>
      <c r="CP233" s="37"/>
      <c r="CQ233" s="45"/>
      <c r="CR233" s="45"/>
      <c r="CS233" s="37"/>
      <c r="CT233" s="45"/>
      <c r="CU233" s="45"/>
      <c r="CV233" s="37"/>
      <c r="CW233" s="45"/>
      <c r="CX233" s="45"/>
      <c r="CY233" s="37"/>
      <c r="CZ233" s="45"/>
      <c r="DB233" s="37"/>
      <c r="DE233" s="37"/>
      <c r="DH233" s="37"/>
      <c r="DK233" s="37"/>
      <c r="DN233" s="37"/>
      <c r="DQ233" s="37"/>
      <c r="DT233" s="37"/>
      <c r="DW233" s="37"/>
      <c r="DZ233" s="37"/>
      <c r="EC233" s="37"/>
      <c r="EF233" s="37"/>
      <c r="EI233" s="37"/>
      <c r="EL233" s="37"/>
      <c r="EO233" s="37"/>
      <c r="ER233" s="37"/>
      <c r="EU233" s="37"/>
      <c r="EV233" s="45"/>
      <c r="EW233" s="45"/>
      <c r="EX233" s="37"/>
      <c r="EY233" s="45"/>
      <c r="EZ233" s="45"/>
      <c r="FA233" s="37"/>
      <c r="FB233" s="45"/>
      <c r="FC233" s="45"/>
      <c r="FD233" s="37"/>
      <c r="FE233" s="45"/>
      <c r="FF233" s="45"/>
      <c r="FG233" s="37"/>
      <c r="FH233" s="45"/>
      <c r="FI233" s="45"/>
      <c r="FJ233" s="37"/>
      <c r="FK233" s="45"/>
      <c r="FL233" s="45"/>
      <c r="FM233" s="37"/>
      <c r="FN233" s="45"/>
      <c r="FO233" s="45"/>
      <c r="FP233" s="37"/>
      <c r="FQ233" s="45"/>
      <c r="FR233" s="45"/>
      <c r="FS233" s="37"/>
      <c r="FT233" s="45"/>
      <c r="FU233" s="45"/>
      <c r="FV233" s="37"/>
      <c r="FW233" s="45"/>
      <c r="FX233" s="45"/>
      <c r="FY233" s="37"/>
      <c r="FZ233" s="45"/>
      <c r="GA233" s="45"/>
      <c r="GB233" s="37"/>
      <c r="GC233" s="45"/>
      <c r="GD233" s="45"/>
      <c r="GE233" s="37"/>
      <c r="GF233" s="45"/>
      <c r="GG233" s="45"/>
      <c r="GH233" s="37"/>
      <c r="GI233" s="45"/>
      <c r="GJ233" s="45"/>
      <c r="GK233" s="37"/>
      <c r="GL233" s="45"/>
      <c r="GM233" s="45"/>
      <c r="GN233" s="37"/>
      <c r="GO233" s="45"/>
      <c r="HE233" s="56"/>
    </row>
    <row r="234" ht="12.0" customHeight="1">
      <c r="A234" s="37"/>
      <c r="D234" s="37"/>
      <c r="E234" s="37"/>
      <c r="I234" s="37"/>
      <c r="M234" s="37"/>
      <c r="Q234" s="37"/>
      <c r="U234" s="37"/>
      <c r="Y234" s="37"/>
      <c r="AC234" s="37"/>
      <c r="AG234" s="37"/>
      <c r="AK234" s="37"/>
      <c r="AN234" s="37"/>
      <c r="AQ234" s="37"/>
      <c r="AT234" s="37"/>
      <c r="AW234" s="37"/>
      <c r="AZ234" s="37"/>
      <c r="BC234" s="37"/>
      <c r="BF234" s="37"/>
      <c r="BG234" s="45"/>
      <c r="BH234" s="45"/>
      <c r="BI234" s="37"/>
      <c r="BJ234" s="45"/>
      <c r="BK234" s="45"/>
      <c r="BL234" s="37"/>
      <c r="BM234" s="45"/>
      <c r="BN234" s="45"/>
      <c r="BO234" s="37"/>
      <c r="BP234" s="45"/>
      <c r="BQ234" s="45"/>
      <c r="BR234" s="37"/>
      <c r="BS234" s="45"/>
      <c r="BT234" s="45"/>
      <c r="BU234" s="37"/>
      <c r="BV234" s="45"/>
      <c r="BW234" s="45"/>
      <c r="BX234" s="37"/>
      <c r="BY234" s="45"/>
      <c r="BZ234" s="45"/>
      <c r="CA234" s="37"/>
      <c r="CB234" s="45"/>
      <c r="CC234" s="45"/>
      <c r="CD234" s="37"/>
      <c r="CE234" s="45"/>
      <c r="CF234" s="45"/>
      <c r="CG234" s="37"/>
      <c r="CH234" s="45"/>
      <c r="CI234" s="45"/>
      <c r="CJ234" s="37"/>
      <c r="CK234" s="45"/>
      <c r="CL234" s="45"/>
      <c r="CM234" s="37"/>
      <c r="CN234" s="45"/>
      <c r="CO234" s="45"/>
      <c r="CP234" s="37"/>
      <c r="CQ234" s="45"/>
      <c r="CR234" s="45"/>
      <c r="CS234" s="37"/>
      <c r="CT234" s="45"/>
      <c r="CU234" s="45"/>
      <c r="CV234" s="37"/>
      <c r="CW234" s="45"/>
      <c r="CX234" s="45"/>
      <c r="CY234" s="37"/>
      <c r="CZ234" s="45"/>
      <c r="DB234" s="37"/>
      <c r="DE234" s="37"/>
      <c r="DH234" s="37"/>
      <c r="DK234" s="37"/>
      <c r="DN234" s="37"/>
      <c r="DQ234" s="37"/>
      <c r="DT234" s="37"/>
      <c r="DW234" s="37"/>
      <c r="DZ234" s="37"/>
      <c r="EC234" s="37"/>
      <c r="EF234" s="37"/>
      <c r="EI234" s="37"/>
      <c r="EL234" s="37"/>
      <c r="EO234" s="37"/>
      <c r="ER234" s="37"/>
      <c r="EU234" s="37"/>
      <c r="EV234" s="45"/>
      <c r="EW234" s="45"/>
      <c r="EX234" s="37"/>
      <c r="EY234" s="45"/>
      <c r="EZ234" s="45"/>
      <c r="FA234" s="37"/>
      <c r="FB234" s="45"/>
      <c r="FC234" s="45"/>
      <c r="FD234" s="37"/>
      <c r="FE234" s="45"/>
      <c r="FF234" s="45"/>
      <c r="FG234" s="37"/>
      <c r="FH234" s="45"/>
      <c r="FI234" s="45"/>
      <c r="FJ234" s="37"/>
      <c r="FK234" s="45"/>
      <c r="FL234" s="45"/>
      <c r="FM234" s="37"/>
      <c r="FN234" s="45"/>
      <c r="FO234" s="45"/>
      <c r="FP234" s="37"/>
      <c r="FQ234" s="45"/>
      <c r="FR234" s="45"/>
      <c r="FS234" s="37"/>
      <c r="FT234" s="45"/>
      <c r="FU234" s="45"/>
      <c r="FV234" s="37"/>
      <c r="FW234" s="45"/>
      <c r="FX234" s="45"/>
      <c r="FY234" s="37"/>
      <c r="FZ234" s="45"/>
      <c r="GA234" s="45"/>
      <c r="GB234" s="37"/>
      <c r="GC234" s="45"/>
      <c r="GD234" s="45"/>
      <c r="GE234" s="37"/>
      <c r="GF234" s="45"/>
      <c r="GG234" s="45"/>
      <c r="GH234" s="37"/>
      <c r="GI234" s="45"/>
      <c r="GJ234" s="45"/>
      <c r="GK234" s="37"/>
      <c r="GL234" s="45"/>
      <c r="GM234" s="45"/>
      <c r="GN234" s="37"/>
      <c r="GO234" s="45"/>
      <c r="HE234" s="56"/>
    </row>
    <row r="235" ht="12.0" customHeight="1">
      <c r="A235" s="37"/>
      <c r="D235" s="37"/>
      <c r="E235" s="37"/>
      <c r="I235" s="37"/>
      <c r="M235" s="37"/>
      <c r="Q235" s="37"/>
      <c r="U235" s="37"/>
      <c r="Y235" s="37"/>
      <c r="AC235" s="37"/>
      <c r="AG235" s="37"/>
      <c r="AK235" s="37"/>
      <c r="AN235" s="37"/>
      <c r="AQ235" s="37"/>
      <c r="AT235" s="37"/>
      <c r="AW235" s="37"/>
      <c r="AZ235" s="37"/>
      <c r="BC235" s="37"/>
      <c r="BF235" s="37"/>
      <c r="BG235" s="45"/>
      <c r="BH235" s="45"/>
      <c r="BI235" s="37"/>
      <c r="BJ235" s="45"/>
      <c r="BK235" s="45"/>
      <c r="BL235" s="37"/>
      <c r="BM235" s="45"/>
      <c r="BN235" s="45"/>
      <c r="BO235" s="37"/>
      <c r="BP235" s="45"/>
      <c r="BQ235" s="45"/>
      <c r="BR235" s="37"/>
      <c r="BS235" s="45"/>
      <c r="BT235" s="45"/>
      <c r="BU235" s="37"/>
      <c r="BV235" s="45"/>
      <c r="BW235" s="45"/>
      <c r="BX235" s="37"/>
      <c r="BY235" s="45"/>
      <c r="BZ235" s="45"/>
      <c r="CA235" s="37"/>
      <c r="CB235" s="45"/>
      <c r="CC235" s="45"/>
      <c r="CD235" s="37"/>
      <c r="CE235" s="45"/>
      <c r="CF235" s="45"/>
      <c r="CG235" s="37"/>
      <c r="CH235" s="45"/>
      <c r="CI235" s="45"/>
      <c r="CJ235" s="37"/>
      <c r="CK235" s="45"/>
      <c r="CL235" s="45"/>
      <c r="CM235" s="37"/>
      <c r="CN235" s="45"/>
      <c r="CO235" s="45"/>
      <c r="CP235" s="37"/>
      <c r="CQ235" s="45"/>
      <c r="CR235" s="45"/>
      <c r="CS235" s="37"/>
      <c r="CT235" s="45"/>
      <c r="CU235" s="45"/>
      <c r="CV235" s="37"/>
      <c r="CW235" s="45"/>
      <c r="CX235" s="45"/>
      <c r="CY235" s="37"/>
      <c r="CZ235" s="45"/>
      <c r="DB235" s="37"/>
      <c r="DE235" s="37"/>
      <c r="DH235" s="37"/>
      <c r="DK235" s="37"/>
      <c r="DN235" s="37"/>
      <c r="DQ235" s="37"/>
      <c r="DT235" s="37"/>
      <c r="DW235" s="37"/>
      <c r="DZ235" s="37"/>
      <c r="EC235" s="37"/>
      <c r="EF235" s="37"/>
      <c r="EI235" s="37"/>
      <c r="EL235" s="37"/>
      <c r="EO235" s="37"/>
      <c r="ER235" s="37"/>
      <c r="EU235" s="37"/>
      <c r="EV235" s="45"/>
      <c r="EW235" s="45"/>
      <c r="EX235" s="37"/>
      <c r="EY235" s="45"/>
      <c r="EZ235" s="45"/>
      <c r="FA235" s="37"/>
      <c r="FB235" s="45"/>
      <c r="FC235" s="45"/>
      <c r="FD235" s="37"/>
      <c r="FE235" s="45"/>
      <c r="FF235" s="45"/>
      <c r="FG235" s="37"/>
      <c r="FH235" s="45"/>
      <c r="FI235" s="45"/>
      <c r="FJ235" s="37"/>
      <c r="FK235" s="45"/>
      <c r="FL235" s="45"/>
      <c r="FM235" s="37"/>
      <c r="FN235" s="45"/>
      <c r="FO235" s="45"/>
      <c r="FP235" s="37"/>
      <c r="FQ235" s="45"/>
      <c r="FR235" s="45"/>
      <c r="FS235" s="37"/>
      <c r="FT235" s="45"/>
      <c r="FU235" s="45"/>
      <c r="FV235" s="37"/>
      <c r="FW235" s="45"/>
      <c r="FX235" s="45"/>
      <c r="FY235" s="37"/>
      <c r="FZ235" s="45"/>
      <c r="GA235" s="45"/>
      <c r="GB235" s="37"/>
      <c r="GC235" s="45"/>
      <c r="GD235" s="45"/>
      <c r="GE235" s="37"/>
      <c r="GF235" s="45"/>
      <c r="GG235" s="45"/>
      <c r="GH235" s="37"/>
      <c r="GI235" s="45"/>
      <c r="GJ235" s="45"/>
      <c r="GK235" s="37"/>
      <c r="GL235" s="45"/>
      <c r="GM235" s="45"/>
      <c r="GN235" s="37"/>
      <c r="GO235" s="45"/>
      <c r="HE235" s="56"/>
    </row>
    <row r="236" ht="12.0" customHeight="1">
      <c r="A236" s="37"/>
      <c r="D236" s="37"/>
      <c r="E236" s="37"/>
      <c r="I236" s="37"/>
      <c r="M236" s="37"/>
      <c r="Q236" s="37"/>
      <c r="U236" s="37"/>
      <c r="Y236" s="37"/>
      <c r="AC236" s="37"/>
      <c r="AG236" s="37"/>
      <c r="AK236" s="37"/>
      <c r="AN236" s="37"/>
      <c r="AQ236" s="37"/>
      <c r="AT236" s="37"/>
      <c r="AW236" s="37"/>
      <c r="AZ236" s="37"/>
      <c r="BC236" s="37"/>
      <c r="BF236" s="37"/>
      <c r="BG236" s="45"/>
      <c r="BH236" s="45"/>
      <c r="BI236" s="37"/>
      <c r="BJ236" s="45"/>
      <c r="BK236" s="45"/>
      <c r="BL236" s="37"/>
      <c r="BM236" s="45"/>
      <c r="BN236" s="45"/>
      <c r="BO236" s="37"/>
      <c r="BP236" s="45"/>
      <c r="BQ236" s="45"/>
      <c r="BR236" s="37"/>
      <c r="BS236" s="45"/>
      <c r="BT236" s="45"/>
      <c r="BU236" s="37"/>
      <c r="BV236" s="45"/>
      <c r="BW236" s="45"/>
      <c r="BX236" s="37"/>
      <c r="BY236" s="45"/>
      <c r="BZ236" s="45"/>
      <c r="CA236" s="37"/>
      <c r="CB236" s="45"/>
      <c r="CC236" s="45"/>
      <c r="CD236" s="37"/>
      <c r="CE236" s="45"/>
      <c r="CF236" s="45"/>
      <c r="CG236" s="37"/>
      <c r="CH236" s="45"/>
      <c r="CI236" s="45"/>
      <c r="CJ236" s="37"/>
      <c r="CK236" s="45"/>
      <c r="CL236" s="45"/>
      <c r="CM236" s="37"/>
      <c r="CN236" s="45"/>
      <c r="CO236" s="45"/>
      <c r="CP236" s="37"/>
      <c r="CQ236" s="45"/>
      <c r="CR236" s="45"/>
      <c r="CS236" s="37"/>
      <c r="CT236" s="45"/>
      <c r="CU236" s="45"/>
      <c r="CV236" s="37"/>
      <c r="CW236" s="45"/>
      <c r="CX236" s="45"/>
      <c r="CY236" s="37"/>
      <c r="CZ236" s="45"/>
      <c r="DB236" s="37"/>
      <c r="DE236" s="37"/>
      <c r="DH236" s="37"/>
      <c r="DK236" s="37"/>
      <c r="DN236" s="37"/>
      <c r="DQ236" s="37"/>
      <c r="DT236" s="37"/>
      <c r="DW236" s="37"/>
      <c r="DZ236" s="37"/>
      <c r="EC236" s="37"/>
      <c r="EF236" s="37"/>
      <c r="EI236" s="37"/>
      <c r="EL236" s="37"/>
      <c r="EO236" s="37"/>
      <c r="ER236" s="37"/>
      <c r="EU236" s="37"/>
      <c r="EV236" s="45"/>
      <c r="EW236" s="45"/>
      <c r="EX236" s="37"/>
      <c r="EY236" s="45"/>
      <c r="EZ236" s="45"/>
      <c r="FA236" s="37"/>
      <c r="FB236" s="45"/>
      <c r="FC236" s="45"/>
      <c r="FD236" s="37"/>
      <c r="FE236" s="45"/>
      <c r="FF236" s="45"/>
      <c r="FG236" s="37"/>
      <c r="FH236" s="45"/>
      <c r="FI236" s="45"/>
      <c r="FJ236" s="37"/>
      <c r="FK236" s="45"/>
      <c r="FL236" s="45"/>
      <c r="FM236" s="37"/>
      <c r="FN236" s="45"/>
      <c r="FO236" s="45"/>
      <c r="FP236" s="37"/>
      <c r="FQ236" s="45"/>
      <c r="FR236" s="45"/>
      <c r="FS236" s="37"/>
      <c r="FT236" s="45"/>
      <c r="FU236" s="45"/>
      <c r="FV236" s="37"/>
      <c r="FW236" s="45"/>
      <c r="FX236" s="45"/>
      <c r="FY236" s="37"/>
      <c r="FZ236" s="45"/>
      <c r="GA236" s="45"/>
      <c r="GB236" s="37"/>
      <c r="GC236" s="45"/>
      <c r="GD236" s="45"/>
      <c r="GE236" s="37"/>
      <c r="GF236" s="45"/>
      <c r="GG236" s="45"/>
      <c r="GH236" s="37"/>
      <c r="GI236" s="45"/>
      <c r="GJ236" s="45"/>
      <c r="GK236" s="37"/>
      <c r="GL236" s="45"/>
      <c r="GM236" s="45"/>
      <c r="GN236" s="37"/>
      <c r="GO236" s="45"/>
      <c r="HE236" s="56"/>
    </row>
    <row r="237" ht="12.0" customHeight="1">
      <c r="A237" s="37"/>
      <c r="D237" s="37"/>
      <c r="E237" s="37"/>
      <c r="I237" s="37"/>
      <c r="M237" s="37"/>
      <c r="Q237" s="37"/>
      <c r="U237" s="37"/>
      <c r="Y237" s="37"/>
      <c r="AC237" s="37"/>
      <c r="AG237" s="37"/>
      <c r="AK237" s="37"/>
      <c r="AN237" s="37"/>
      <c r="AQ237" s="37"/>
      <c r="AT237" s="37"/>
      <c r="AW237" s="37"/>
      <c r="AZ237" s="37"/>
      <c r="BC237" s="37"/>
      <c r="BF237" s="37"/>
      <c r="BG237" s="45"/>
      <c r="BH237" s="45"/>
      <c r="BI237" s="37"/>
      <c r="BJ237" s="45"/>
      <c r="BK237" s="45"/>
      <c r="BL237" s="37"/>
      <c r="BM237" s="45"/>
      <c r="BN237" s="45"/>
      <c r="BO237" s="37"/>
      <c r="BP237" s="45"/>
      <c r="BQ237" s="45"/>
      <c r="BR237" s="37"/>
      <c r="BS237" s="45"/>
      <c r="BT237" s="45"/>
      <c r="BU237" s="37"/>
      <c r="BV237" s="45"/>
      <c r="BW237" s="45"/>
      <c r="BX237" s="37"/>
      <c r="BY237" s="45"/>
      <c r="BZ237" s="45"/>
      <c r="CA237" s="37"/>
      <c r="CB237" s="45"/>
      <c r="CC237" s="45"/>
      <c r="CD237" s="37"/>
      <c r="CE237" s="45"/>
      <c r="CF237" s="45"/>
      <c r="CG237" s="37"/>
      <c r="CH237" s="45"/>
      <c r="CI237" s="45"/>
      <c r="CJ237" s="37"/>
      <c r="CK237" s="45"/>
      <c r="CL237" s="45"/>
      <c r="CM237" s="37"/>
      <c r="CN237" s="45"/>
      <c r="CO237" s="45"/>
      <c r="CP237" s="37"/>
      <c r="CQ237" s="45"/>
      <c r="CR237" s="45"/>
      <c r="CS237" s="37"/>
      <c r="CT237" s="45"/>
      <c r="CU237" s="45"/>
      <c r="CV237" s="37"/>
      <c r="CW237" s="45"/>
      <c r="CX237" s="45"/>
      <c r="CY237" s="37"/>
      <c r="CZ237" s="45"/>
      <c r="DB237" s="37"/>
      <c r="DE237" s="37"/>
      <c r="DH237" s="37"/>
      <c r="DK237" s="37"/>
      <c r="DN237" s="37"/>
      <c r="DQ237" s="37"/>
      <c r="DT237" s="37"/>
      <c r="DW237" s="37"/>
      <c r="DZ237" s="37"/>
      <c r="EC237" s="37"/>
      <c r="EF237" s="37"/>
      <c r="EI237" s="37"/>
      <c r="EL237" s="37"/>
      <c r="EO237" s="37"/>
      <c r="ER237" s="37"/>
      <c r="EU237" s="37"/>
      <c r="EV237" s="45"/>
      <c r="EW237" s="45"/>
      <c r="EX237" s="37"/>
      <c r="EY237" s="45"/>
      <c r="EZ237" s="45"/>
      <c r="FA237" s="37"/>
      <c r="FB237" s="45"/>
      <c r="FC237" s="45"/>
      <c r="FD237" s="37"/>
      <c r="FE237" s="45"/>
      <c r="FF237" s="45"/>
      <c r="FG237" s="37"/>
      <c r="FH237" s="45"/>
      <c r="FI237" s="45"/>
      <c r="FJ237" s="37"/>
      <c r="FK237" s="45"/>
      <c r="FL237" s="45"/>
      <c r="FM237" s="37"/>
      <c r="FN237" s="45"/>
      <c r="FO237" s="45"/>
      <c r="FP237" s="37"/>
      <c r="FQ237" s="45"/>
      <c r="FR237" s="45"/>
      <c r="FS237" s="37"/>
      <c r="FT237" s="45"/>
      <c r="FU237" s="45"/>
      <c r="FV237" s="37"/>
      <c r="FW237" s="45"/>
      <c r="FX237" s="45"/>
      <c r="FY237" s="37"/>
      <c r="FZ237" s="45"/>
      <c r="GA237" s="45"/>
      <c r="GB237" s="37"/>
      <c r="GC237" s="45"/>
      <c r="GD237" s="45"/>
      <c r="GE237" s="37"/>
      <c r="GF237" s="45"/>
      <c r="GG237" s="45"/>
      <c r="GH237" s="37"/>
      <c r="GI237" s="45"/>
      <c r="GJ237" s="45"/>
      <c r="GK237" s="37"/>
      <c r="GL237" s="45"/>
      <c r="GM237" s="45"/>
      <c r="GN237" s="37"/>
      <c r="GO237" s="45"/>
      <c r="HE237" s="56"/>
    </row>
    <row r="238" ht="12.0" customHeight="1">
      <c r="A238" s="37"/>
      <c r="D238" s="37"/>
      <c r="E238" s="37"/>
      <c r="I238" s="37"/>
      <c r="M238" s="37"/>
      <c r="Q238" s="37"/>
      <c r="U238" s="37"/>
      <c r="Y238" s="37"/>
      <c r="AC238" s="37"/>
      <c r="AG238" s="37"/>
      <c r="AK238" s="37"/>
      <c r="AN238" s="37"/>
      <c r="AQ238" s="37"/>
      <c r="AT238" s="37"/>
      <c r="AW238" s="37"/>
      <c r="AZ238" s="37"/>
      <c r="BC238" s="37"/>
      <c r="BF238" s="37"/>
      <c r="BG238" s="45"/>
      <c r="BH238" s="45"/>
      <c r="BI238" s="37"/>
      <c r="BJ238" s="45"/>
      <c r="BK238" s="45"/>
      <c r="BL238" s="37"/>
      <c r="BM238" s="45"/>
      <c r="BN238" s="45"/>
      <c r="BO238" s="37"/>
      <c r="BP238" s="45"/>
      <c r="BQ238" s="45"/>
      <c r="BR238" s="37"/>
      <c r="BS238" s="45"/>
      <c r="BT238" s="45"/>
      <c r="BU238" s="37"/>
      <c r="BV238" s="45"/>
      <c r="BW238" s="45"/>
      <c r="BX238" s="37"/>
      <c r="BY238" s="45"/>
      <c r="BZ238" s="45"/>
      <c r="CA238" s="37"/>
      <c r="CB238" s="45"/>
      <c r="CC238" s="45"/>
      <c r="CD238" s="37"/>
      <c r="CE238" s="45"/>
      <c r="CF238" s="45"/>
      <c r="CG238" s="37"/>
      <c r="CH238" s="45"/>
      <c r="CI238" s="45"/>
      <c r="CJ238" s="37"/>
      <c r="CK238" s="45"/>
      <c r="CL238" s="45"/>
      <c r="CM238" s="37"/>
      <c r="CN238" s="45"/>
      <c r="CO238" s="45"/>
      <c r="CP238" s="37"/>
      <c r="CQ238" s="45"/>
      <c r="CR238" s="45"/>
      <c r="CS238" s="37"/>
      <c r="CT238" s="45"/>
      <c r="CU238" s="45"/>
      <c r="CV238" s="37"/>
      <c r="CW238" s="45"/>
      <c r="CX238" s="45"/>
      <c r="CY238" s="37"/>
      <c r="CZ238" s="45"/>
      <c r="DB238" s="37"/>
      <c r="DE238" s="37"/>
      <c r="DH238" s="37"/>
      <c r="DK238" s="37"/>
      <c r="DN238" s="37"/>
      <c r="DQ238" s="37"/>
      <c r="DT238" s="37"/>
      <c r="DW238" s="37"/>
      <c r="DZ238" s="37"/>
      <c r="EC238" s="37"/>
      <c r="EF238" s="37"/>
      <c r="EI238" s="37"/>
      <c r="EL238" s="37"/>
      <c r="EO238" s="37"/>
      <c r="ER238" s="37"/>
      <c r="EU238" s="37"/>
      <c r="EV238" s="45"/>
      <c r="EW238" s="45"/>
      <c r="EX238" s="37"/>
      <c r="EY238" s="45"/>
      <c r="EZ238" s="45"/>
      <c r="FA238" s="37"/>
      <c r="FB238" s="45"/>
      <c r="FC238" s="45"/>
      <c r="FD238" s="37"/>
      <c r="FE238" s="45"/>
      <c r="FF238" s="45"/>
      <c r="FG238" s="37"/>
      <c r="FH238" s="45"/>
      <c r="FI238" s="45"/>
      <c r="FJ238" s="37"/>
      <c r="FK238" s="45"/>
      <c r="FL238" s="45"/>
      <c r="FM238" s="37"/>
      <c r="FN238" s="45"/>
      <c r="FO238" s="45"/>
      <c r="FP238" s="37"/>
      <c r="FQ238" s="45"/>
      <c r="FR238" s="45"/>
      <c r="FS238" s="37"/>
      <c r="FT238" s="45"/>
      <c r="FU238" s="45"/>
      <c r="FV238" s="37"/>
      <c r="FW238" s="45"/>
      <c r="FX238" s="45"/>
      <c r="FY238" s="37"/>
      <c r="FZ238" s="45"/>
      <c r="GA238" s="45"/>
      <c r="GB238" s="37"/>
      <c r="GC238" s="45"/>
      <c r="GD238" s="45"/>
      <c r="GE238" s="37"/>
      <c r="GF238" s="45"/>
      <c r="GG238" s="45"/>
      <c r="GH238" s="37"/>
      <c r="GI238" s="45"/>
      <c r="GJ238" s="45"/>
      <c r="GK238" s="37"/>
      <c r="GL238" s="45"/>
      <c r="GM238" s="45"/>
      <c r="GN238" s="37"/>
      <c r="GO238" s="45"/>
      <c r="HE238" s="56"/>
    </row>
    <row r="239" ht="12.0" customHeight="1">
      <c r="A239" s="37"/>
      <c r="D239" s="37"/>
      <c r="E239" s="37"/>
      <c r="I239" s="37"/>
      <c r="M239" s="37"/>
      <c r="Q239" s="37"/>
      <c r="U239" s="37"/>
      <c r="Y239" s="37"/>
      <c r="AC239" s="37"/>
      <c r="AG239" s="37"/>
      <c r="AK239" s="37"/>
      <c r="AN239" s="37"/>
      <c r="AQ239" s="37"/>
      <c r="AT239" s="37"/>
      <c r="AW239" s="37"/>
      <c r="AZ239" s="37"/>
      <c r="BC239" s="37"/>
      <c r="BF239" s="37"/>
      <c r="BG239" s="45"/>
      <c r="BH239" s="45"/>
      <c r="BI239" s="37"/>
      <c r="BJ239" s="45"/>
      <c r="BK239" s="45"/>
      <c r="BL239" s="37"/>
      <c r="BM239" s="45"/>
      <c r="BN239" s="45"/>
      <c r="BO239" s="37"/>
      <c r="BP239" s="45"/>
      <c r="BQ239" s="45"/>
      <c r="BR239" s="37"/>
      <c r="BS239" s="45"/>
      <c r="BT239" s="45"/>
      <c r="BU239" s="37"/>
      <c r="BV239" s="45"/>
      <c r="BW239" s="45"/>
      <c r="BX239" s="37"/>
      <c r="BY239" s="45"/>
      <c r="BZ239" s="45"/>
      <c r="CA239" s="37"/>
      <c r="CB239" s="45"/>
      <c r="CC239" s="45"/>
      <c r="CD239" s="37"/>
      <c r="CE239" s="45"/>
      <c r="CF239" s="45"/>
      <c r="CG239" s="37"/>
      <c r="CH239" s="45"/>
      <c r="CI239" s="45"/>
      <c r="CJ239" s="37"/>
      <c r="CK239" s="45"/>
      <c r="CL239" s="45"/>
      <c r="CM239" s="37"/>
      <c r="CN239" s="45"/>
      <c r="CO239" s="45"/>
      <c r="CP239" s="37"/>
      <c r="CQ239" s="45"/>
      <c r="CR239" s="45"/>
      <c r="CS239" s="37"/>
      <c r="CT239" s="45"/>
      <c r="CU239" s="45"/>
      <c r="CV239" s="37"/>
      <c r="CW239" s="45"/>
      <c r="CX239" s="45"/>
      <c r="CY239" s="37"/>
      <c r="CZ239" s="45"/>
      <c r="DB239" s="37"/>
      <c r="DE239" s="37"/>
      <c r="DH239" s="37"/>
      <c r="DK239" s="37"/>
      <c r="DN239" s="37"/>
      <c r="DQ239" s="37"/>
      <c r="DT239" s="37"/>
      <c r="DW239" s="37"/>
      <c r="DZ239" s="37"/>
      <c r="EC239" s="37"/>
      <c r="EF239" s="37"/>
      <c r="EI239" s="37"/>
      <c r="EL239" s="37"/>
      <c r="EO239" s="37"/>
      <c r="ER239" s="37"/>
      <c r="EU239" s="37"/>
      <c r="EV239" s="45"/>
      <c r="EW239" s="45"/>
      <c r="EX239" s="37"/>
      <c r="EY239" s="45"/>
      <c r="EZ239" s="45"/>
      <c r="FA239" s="37"/>
      <c r="FB239" s="45"/>
      <c r="FC239" s="45"/>
      <c r="FD239" s="37"/>
      <c r="FE239" s="45"/>
      <c r="FF239" s="45"/>
      <c r="FG239" s="37"/>
      <c r="FH239" s="45"/>
      <c r="FI239" s="45"/>
      <c r="FJ239" s="37"/>
      <c r="FK239" s="45"/>
      <c r="FL239" s="45"/>
      <c r="FM239" s="37"/>
      <c r="FN239" s="45"/>
      <c r="FO239" s="45"/>
      <c r="FP239" s="37"/>
      <c r="FQ239" s="45"/>
      <c r="FR239" s="45"/>
      <c r="FS239" s="37"/>
      <c r="FT239" s="45"/>
      <c r="FU239" s="45"/>
      <c r="FV239" s="37"/>
      <c r="FW239" s="45"/>
      <c r="FX239" s="45"/>
      <c r="FY239" s="37"/>
      <c r="FZ239" s="45"/>
      <c r="GA239" s="45"/>
      <c r="GB239" s="37"/>
      <c r="GC239" s="45"/>
      <c r="GD239" s="45"/>
      <c r="GE239" s="37"/>
      <c r="GF239" s="45"/>
      <c r="GG239" s="45"/>
      <c r="GH239" s="37"/>
      <c r="GI239" s="45"/>
      <c r="GJ239" s="45"/>
      <c r="GK239" s="37"/>
      <c r="GL239" s="45"/>
      <c r="GM239" s="45"/>
      <c r="GN239" s="37"/>
      <c r="GO239" s="45"/>
      <c r="HE239" s="56"/>
    </row>
    <row r="240" ht="12.0" customHeight="1">
      <c r="A240" s="37"/>
      <c r="D240" s="37"/>
      <c r="E240" s="37"/>
      <c r="I240" s="37"/>
      <c r="M240" s="37"/>
      <c r="Q240" s="37"/>
      <c r="U240" s="37"/>
      <c r="Y240" s="37"/>
      <c r="AC240" s="37"/>
      <c r="AG240" s="37"/>
      <c r="AK240" s="37"/>
      <c r="AN240" s="37"/>
      <c r="AQ240" s="37"/>
      <c r="AT240" s="37"/>
      <c r="AW240" s="37"/>
      <c r="AZ240" s="37"/>
      <c r="BC240" s="37"/>
      <c r="BF240" s="37"/>
      <c r="BG240" s="45"/>
      <c r="BH240" s="45"/>
      <c r="BI240" s="37"/>
      <c r="BJ240" s="45"/>
      <c r="BK240" s="45"/>
      <c r="BL240" s="37"/>
      <c r="BM240" s="45"/>
      <c r="BN240" s="45"/>
      <c r="BO240" s="37"/>
      <c r="BP240" s="45"/>
      <c r="BQ240" s="45"/>
      <c r="BR240" s="37"/>
      <c r="BS240" s="45"/>
      <c r="BT240" s="45"/>
      <c r="BU240" s="37"/>
      <c r="BV240" s="45"/>
      <c r="BW240" s="45"/>
      <c r="BX240" s="37"/>
      <c r="BY240" s="45"/>
      <c r="BZ240" s="45"/>
      <c r="CA240" s="37"/>
      <c r="CB240" s="45"/>
      <c r="CC240" s="45"/>
      <c r="CD240" s="37"/>
      <c r="CE240" s="45"/>
      <c r="CF240" s="45"/>
      <c r="CG240" s="37"/>
      <c r="CH240" s="45"/>
      <c r="CI240" s="45"/>
      <c r="CJ240" s="37"/>
      <c r="CK240" s="45"/>
      <c r="CL240" s="45"/>
      <c r="CM240" s="37"/>
      <c r="CN240" s="45"/>
      <c r="CO240" s="45"/>
      <c r="CP240" s="37"/>
      <c r="CQ240" s="45"/>
      <c r="CR240" s="45"/>
      <c r="CS240" s="37"/>
      <c r="CT240" s="45"/>
      <c r="CU240" s="45"/>
      <c r="CV240" s="37"/>
      <c r="CW240" s="45"/>
      <c r="CX240" s="45"/>
      <c r="CY240" s="37"/>
      <c r="CZ240" s="45"/>
      <c r="DB240" s="37"/>
      <c r="DE240" s="37"/>
      <c r="DH240" s="37"/>
      <c r="DK240" s="37"/>
      <c r="DN240" s="37"/>
      <c r="DQ240" s="37"/>
      <c r="DT240" s="37"/>
      <c r="DW240" s="37"/>
      <c r="DZ240" s="37"/>
      <c r="EC240" s="37"/>
      <c r="EF240" s="37"/>
      <c r="EI240" s="37"/>
      <c r="EL240" s="37"/>
      <c r="EO240" s="37"/>
      <c r="ER240" s="37"/>
      <c r="EU240" s="37"/>
      <c r="EV240" s="45"/>
      <c r="EW240" s="45"/>
      <c r="EX240" s="37"/>
      <c r="EY240" s="45"/>
      <c r="EZ240" s="45"/>
      <c r="FA240" s="37"/>
      <c r="FB240" s="45"/>
      <c r="FC240" s="45"/>
      <c r="FD240" s="37"/>
      <c r="FE240" s="45"/>
      <c r="FF240" s="45"/>
      <c r="FG240" s="37"/>
      <c r="FH240" s="45"/>
      <c r="FI240" s="45"/>
      <c r="FJ240" s="37"/>
      <c r="FK240" s="45"/>
      <c r="FL240" s="45"/>
      <c r="FM240" s="37"/>
      <c r="FN240" s="45"/>
      <c r="FO240" s="45"/>
      <c r="FP240" s="37"/>
      <c r="FQ240" s="45"/>
      <c r="FR240" s="45"/>
      <c r="FS240" s="37"/>
      <c r="FT240" s="45"/>
      <c r="FU240" s="45"/>
      <c r="FV240" s="37"/>
      <c r="FW240" s="45"/>
      <c r="FX240" s="45"/>
      <c r="FY240" s="37"/>
      <c r="FZ240" s="45"/>
      <c r="GA240" s="45"/>
      <c r="GB240" s="37"/>
      <c r="GC240" s="45"/>
      <c r="GD240" s="45"/>
      <c r="GE240" s="37"/>
      <c r="GF240" s="45"/>
      <c r="GG240" s="45"/>
      <c r="GH240" s="37"/>
      <c r="GI240" s="45"/>
      <c r="GJ240" s="45"/>
      <c r="GK240" s="37"/>
      <c r="GL240" s="45"/>
      <c r="GM240" s="45"/>
      <c r="GN240" s="37"/>
      <c r="GO240" s="45"/>
      <c r="HE240" s="56"/>
    </row>
    <row r="241" ht="12.0" customHeight="1">
      <c r="A241" s="37"/>
      <c r="D241" s="37"/>
      <c r="E241" s="37"/>
      <c r="I241" s="37"/>
      <c r="M241" s="37"/>
      <c r="Q241" s="37"/>
      <c r="U241" s="37"/>
      <c r="Y241" s="37"/>
      <c r="AC241" s="37"/>
      <c r="AG241" s="37"/>
      <c r="AK241" s="37"/>
      <c r="AN241" s="37"/>
      <c r="AQ241" s="37"/>
      <c r="AT241" s="37"/>
      <c r="AW241" s="37"/>
      <c r="AZ241" s="37"/>
      <c r="BC241" s="37"/>
      <c r="BF241" s="37"/>
      <c r="BG241" s="45"/>
      <c r="BH241" s="45"/>
      <c r="BI241" s="37"/>
      <c r="BJ241" s="45"/>
      <c r="BK241" s="45"/>
      <c r="BL241" s="37"/>
      <c r="BM241" s="45"/>
      <c r="BN241" s="45"/>
      <c r="BO241" s="37"/>
      <c r="BP241" s="45"/>
      <c r="BQ241" s="45"/>
      <c r="BR241" s="37"/>
      <c r="BS241" s="45"/>
      <c r="BT241" s="45"/>
      <c r="BU241" s="37"/>
      <c r="BV241" s="45"/>
      <c r="BW241" s="45"/>
      <c r="BX241" s="37"/>
      <c r="BY241" s="45"/>
      <c r="BZ241" s="45"/>
      <c r="CA241" s="37"/>
      <c r="CB241" s="45"/>
      <c r="CC241" s="45"/>
      <c r="CD241" s="37"/>
      <c r="CE241" s="45"/>
      <c r="CF241" s="45"/>
      <c r="CG241" s="37"/>
      <c r="CH241" s="45"/>
      <c r="CI241" s="45"/>
      <c r="CJ241" s="37"/>
      <c r="CK241" s="45"/>
      <c r="CL241" s="45"/>
      <c r="CM241" s="37"/>
      <c r="CN241" s="45"/>
      <c r="CO241" s="45"/>
      <c r="CP241" s="37"/>
      <c r="CQ241" s="45"/>
      <c r="CR241" s="45"/>
      <c r="CS241" s="37"/>
      <c r="CT241" s="45"/>
      <c r="CU241" s="45"/>
      <c r="CV241" s="37"/>
      <c r="CW241" s="45"/>
      <c r="CX241" s="45"/>
      <c r="CY241" s="37"/>
      <c r="CZ241" s="45"/>
      <c r="DB241" s="37"/>
      <c r="DE241" s="37"/>
      <c r="DH241" s="37"/>
      <c r="DK241" s="37"/>
      <c r="DN241" s="37"/>
      <c r="DQ241" s="37"/>
      <c r="DT241" s="37"/>
      <c r="DW241" s="37"/>
      <c r="DZ241" s="37"/>
      <c r="EC241" s="37"/>
      <c r="EF241" s="37"/>
      <c r="EI241" s="37"/>
      <c r="EL241" s="37"/>
      <c r="EO241" s="37"/>
      <c r="ER241" s="37"/>
      <c r="EU241" s="37"/>
      <c r="EV241" s="45"/>
      <c r="EW241" s="45"/>
      <c r="EX241" s="37"/>
      <c r="EY241" s="45"/>
      <c r="EZ241" s="45"/>
      <c r="FA241" s="37"/>
      <c r="FB241" s="45"/>
      <c r="FC241" s="45"/>
      <c r="FD241" s="37"/>
      <c r="FE241" s="45"/>
      <c r="FF241" s="45"/>
      <c r="FG241" s="37"/>
      <c r="FH241" s="45"/>
      <c r="FI241" s="45"/>
      <c r="FJ241" s="37"/>
      <c r="FK241" s="45"/>
      <c r="FL241" s="45"/>
      <c r="FM241" s="37"/>
      <c r="FN241" s="45"/>
      <c r="FO241" s="45"/>
      <c r="FP241" s="37"/>
      <c r="FQ241" s="45"/>
      <c r="FR241" s="45"/>
      <c r="FS241" s="37"/>
      <c r="FT241" s="45"/>
      <c r="FU241" s="45"/>
      <c r="FV241" s="37"/>
      <c r="FW241" s="45"/>
      <c r="FX241" s="45"/>
      <c r="FY241" s="37"/>
      <c r="FZ241" s="45"/>
      <c r="GA241" s="45"/>
      <c r="GB241" s="37"/>
      <c r="GC241" s="45"/>
      <c r="GD241" s="45"/>
      <c r="GE241" s="37"/>
      <c r="GF241" s="45"/>
      <c r="GG241" s="45"/>
      <c r="GH241" s="37"/>
      <c r="GI241" s="45"/>
      <c r="GJ241" s="45"/>
      <c r="GK241" s="37"/>
      <c r="GL241" s="45"/>
      <c r="GM241" s="45"/>
      <c r="GN241" s="37"/>
      <c r="GO241" s="45"/>
      <c r="HE241" s="56"/>
    </row>
    <row r="242" ht="12.0" customHeight="1">
      <c r="A242" s="37"/>
      <c r="D242" s="37"/>
      <c r="E242" s="37"/>
      <c r="I242" s="37"/>
      <c r="M242" s="37"/>
      <c r="Q242" s="37"/>
      <c r="U242" s="37"/>
      <c r="Y242" s="37"/>
      <c r="AC242" s="37"/>
      <c r="AG242" s="37"/>
      <c r="AK242" s="37"/>
      <c r="AN242" s="37"/>
      <c r="AQ242" s="37"/>
      <c r="AT242" s="37"/>
      <c r="AW242" s="37"/>
      <c r="AZ242" s="37"/>
      <c r="BC242" s="37"/>
      <c r="BF242" s="37"/>
      <c r="BG242" s="45"/>
      <c r="BH242" s="45"/>
      <c r="BI242" s="37"/>
      <c r="BJ242" s="45"/>
      <c r="BK242" s="45"/>
      <c r="BL242" s="37"/>
      <c r="BM242" s="45"/>
      <c r="BN242" s="45"/>
      <c r="BO242" s="37"/>
      <c r="BP242" s="45"/>
      <c r="BQ242" s="45"/>
      <c r="BR242" s="37"/>
      <c r="BS242" s="45"/>
      <c r="BT242" s="45"/>
      <c r="BU242" s="37"/>
      <c r="BV242" s="45"/>
      <c r="BW242" s="45"/>
      <c r="BX242" s="37"/>
      <c r="BY242" s="45"/>
      <c r="BZ242" s="45"/>
      <c r="CA242" s="37"/>
      <c r="CB242" s="45"/>
      <c r="CC242" s="45"/>
      <c r="CD242" s="37"/>
      <c r="CE242" s="45"/>
      <c r="CF242" s="45"/>
      <c r="CG242" s="37"/>
      <c r="CH242" s="45"/>
      <c r="CI242" s="45"/>
      <c r="CJ242" s="37"/>
      <c r="CK242" s="45"/>
      <c r="CL242" s="45"/>
      <c r="CM242" s="37"/>
      <c r="CN242" s="45"/>
      <c r="CO242" s="45"/>
      <c r="CP242" s="37"/>
      <c r="CQ242" s="45"/>
      <c r="CR242" s="45"/>
      <c r="CS242" s="37"/>
      <c r="CT242" s="45"/>
      <c r="CU242" s="45"/>
      <c r="CV242" s="37"/>
      <c r="CW242" s="45"/>
      <c r="CX242" s="45"/>
      <c r="CY242" s="37"/>
      <c r="CZ242" s="45"/>
      <c r="DB242" s="37"/>
      <c r="DE242" s="37"/>
      <c r="DH242" s="37"/>
      <c r="DK242" s="37"/>
      <c r="DN242" s="37"/>
      <c r="DQ242" s="37"/>
      <c r="DT242" s="37"/>
      <c r="DW242" s="37"/>
      <c r="DZ242" s="37"/>
      <c r="EC242" s="37"/>
      <c r="EF242" s="37"/>
      <c r="EI242" s="37"/>
      <c r="EL242" s="37"/>
      <c r="EO242" s="37"/>
      <c r="ER242" s="37"/>
      <c r="EU242" s="37"/>
      <c r="EV242" s="45"/>
      <c r="EW242" s="45"/>
      <c r="EX242" s="37"/>
      <c r="EY242" s="45"/>
      <c r="EZ242" s="45"/>
      <c r="FA242" s="37"/>
      <c r="FB242" s="45"/>
      <c r="FC242" s="45"/>
      <c r="FD242" s="37"/>
      <c r="FE242" s="45"/>
      <c r="FF242" s="45"/>
      <c r="FG242" s="37"/>
      <c r="FH242" s="45"/>
      <c r="FI242" s="45"/>
      <c r="FJ242" s="37"/>
      <c r="FK242" s="45"/>
      <c r="FL242" s="45"/>
      <c r="FM242" s="37"/>
      <c r="FN242" s="45"/>
      <c r="FO242" s="45"/>
      <c r="FP242" s="37"/>
      <c r="FQ242" s="45"/>
      <c r="FR242" s="45"/>
      <c r="FS242" s="37"/>
      <c r="FT242" s="45"/>
      <c r="FU242" s="45"/>
      <c r="FV242" s="37"/>
      <c r="FW242" s="45"/>
      <c r="FX242" s="45"/>
      <c r="FY242" s="37"/>
      <c r="FZ242" s="45"/>
      <c r="GA242" s="45"/>
      <c r="GB242" s="37"/>
      <c r="GC242" s="45"/>
      <c r="GD242" s="45"/>
      <c r="GE242" s="37"/>
      <c r="GF242" s="45"/>
      <c r="GG242" s="45"/>
      <c r="GH242" s="37"/>
      <c r="GI242" s="45"/>
      <c r="GJ242" s="45"/>
      <c r="GK242" s="37"/>
      <c r="GL242" s="45"/>
      <c r="GM242" s="45"/>
      <c r="GN242" s="37"/>
      <c r="GO242" s="45"/>
      <c r="HE242" s="56"/>
    </row>
    <row r="243" ht="12.0" customHeight="1">
      <c r="A243" s="37"/>
      <c r="D243" s="37"/>
      <c r="E243" s="37"/>
      <c r="I243" s="37"/>
      <c r="M243" s="37"/>
      <c r="Q243" s="37"/>
      <c r="U243" s="37"/>
      <c r="Y243" s="37"/>
      <c r="AC243" s="37"/>
      <c r="AG243" s="37"/>
      <c r="AK243" s="37"/>
      <c r="AN243" s="37"/>
      <c r="AQ243" s="37"/>
      <c r="AT243" s="37"/>
      <c r="AW243" s="37"/>
      <c r="AZ243" s="37"/>
      <c r="BC243" s="37"/>
      <c r="BF243" s="37"/>
      <c r="BG243" s="45"/>
      <c r="BH243" s="45"/>
      <c r="BI243" s="37"/>
      <c r="BJ243" s="45"/>
      <c r="BK243" s="45"/>
      <c r="BL243" s="37"/>
      <c r="BM243" s="45"/>
      <c r="BN243" s="45"/>
      <c r="BO243" s="37"/>
      <c r="BP243" s="45"/>
      <c r="BQ243" s="45"/>
      <c r="BR243" s="37"/>
      <c r="BS243" s="45"/>
      <c r="BT243" s="45"/>
      <c r="BU243" s="37"/>
      <c r="BV243" s="45"/>
      <c r="BW243" s="45"/>
      <c r="BX243" s="37"/>
      <c r="BY243" s="45"/>
      <c r="BZ243" s="45"/>
      <c r="CA243" s="37"/>
      <c r="CB243" s="45"/>
      <c r="CC243" s="45"/>
      <c r="CD243" s="37"/>
      <c r="CE243" s="45"/>
      <c r="CF243" s="45"/>
      <c r="CG243" s="37"/>
      <c r="CH243" s="45"/>
      <c r="CI243" s="45"/>
      <c r="CJ243" s="37"/>
      <c r="CK243" s="45"/>
      <c r="CL243" s="45"/>
      <c r="CM243" s="37"/>
      <c r="CN243" s="45"/>
      <c r="CO243" s="45"/>
      <c r="CP243" s="37"/>
      <c r="CQ243" s="45"/>
      <c r="CR243" s="45"/>
      <c r="CS243" s="37"/>
      <c r="CT243" s="45"/>
      <c r="CU243" s="45"/>
      <c r="CV243" s="37"/>
      <c r="CW243" s="45"/>
      <c r="CX243" s="45"/>
      <c r="CY243" s="37"/>
      <c r="CZ243" s="45"/>
      <c r="DB243" s="37"/>
      <c r="DE243" s="37"/>
      <c r="DH243" s="37"/>
      <c r="DK243" s="37"/>
      <c r="DN243" s="37"/>
      <c r="DQ243" s="37"/>
      <c r="DT243" s="37"/>
      <c r="DW243" s="37"/>
      <c r="DZ243" s="37"/>
      <c r="EC243" s="37"/>
      <c r="EF243" s="37"/>
      <c r="EI243" s="37"/>
      <c r="EL243" s="37"/>
      <c r="EO243" s="37"/>
      <c r="ER243" s="37"/>
      <c r="EU243" s="37"/>
      <c r="EV243" s="45"/>
      <c r="EW243" s="45"/>
      <c r="EX243" s="37"/>
      <c r="EY243" s="45"/>
      <c r="EZ243" s="45"/>
      <c r="FA243" s="37"/>
      <c r="FB243" s="45"/>
      <c r="FC243" s="45"/>
      <c r="FD243" s="37"/>
      <c r="FE243" s="45"/>
      <c r="FF243" s="45"/>
      <c r="FG243" s="37"/>
      <c r="FH243" s="45"/>
      <c r="FI243" s="45"/>
      <c r="FJ243" s="37"/>
      <c r="FK243" s="45"/>
      <c r="FL243" s="45"/>
      <c r="FM243" s="37"/>
      <c r="FN243" s="45"/>
      <c r="FO243" s="45"/>
      <c r="FP243" s="37"/>
      <c r="FQ243" s="45"/>
      <c r="FR243" s="45"/>
      <c r="FS243" s="37"/>
      <c r="FT243" s="45"/>
      <c r="FU243" s="45"/>
      <c r="FV243" s="37"/>
      <c r="FW243" s="45"/>
      <c r="FX243" s="45"/>
      <c r="FY243" s="37"/>
      <c r="FZ243" s="45"/>
      <c r="GA243" s="45"/>
      <c r="GB243" s="37"/>
      <c r="GC243" s="45"/>
      <c r="GD243" s="45"/>
      <c r="GE243" s="37"/>
      <c r="GF243" s="45"/>
      <c r="GG243" s="45"/>
      <c r="GH243" s="37"/>
      <c r="GI243" s="45"/>
      <c r="GJ243" s="45"/>
      <c r="GK243" s="37"/>
      <c r="GL243" s="45"/>
      <c r="GM243" s="45"/>
      <c r="GN243" s="37"/>
      <c r="GO243" s="45"/>
      <c r="HE243" s="56"/>
    </row>
    <row r="244" ht="12.0" customHeight="1">
      <c r="A244" s="37"/>
      <c r="D244" s="37"/>
      <c r="E244" s="37"/>
      <c r="I244" s="37"/>
      <c r="M244" s="37"/>
      <c r="Q244" s="37"/>
      <c r="U244" s="37"/>
      <c r="Y244" s="37"/>
      <c r="AC244" s="37"/>
      <c r="AG244" s="37"/>
      <c r="AK244" s="37"/>
      <c r="AN244" s="37"/>
      <c r="AQ244" s="37"/>
      <c r="AT244" s="37"/>
      <c r="AW244" s="37"/>
      <c r="AZ244" s="37"/>
      <c r="BC244" s="37"/>
      <c r="BF244" s="37"/>
      <c r="BG244" s="45"/>
      <c r="BH244" s="45"/>
      <c r="BI244" s="37"/>
      <c r="BJ244" s="45"/>
      <c r="BK244" s="45"/>
      <c r="BL244" s="37"/>
      <c r="BM244" s="45"/>
      <c r="BN244" s="45"/>
      <c r="BO244" s="37"/>
      <c r="BP244" s="45"/>
      <c r="BQ244" s="45"/>
      <c r="BR244" s="37"/>
      <c r="BS244" s="45"/>
      <c r="BT244" s="45"/>
      <c r="BU244" s="37"/>
      <c r="BV244" s="45"/>
      <c r="BW244" s="45"/>
      <c r="BX244" s="37"/>
      <c r="BY244" s="45"/>
      <c r="BZ244" s="45"/>
      <c r="CA244" s="37"/>
      <c r="CB244" s="45"/>
      <c r="CC244" s="45"/>
      <c r="CD244" s="37"/>
      <c r="CE244" s="45"/>
      <c r="CF244" s="45"/>
      <c r="CG244" s="37"/>
      <c r="CH244" s="45"/>
      <c r="CI244" s="45"/>
      <c r="CJ244" s="37"/>
      <c r="CK244" s="45"/>
      <c r="CL244" s="45"/>
      <c r="CM244" s="37"/>
      <c r="CN244" s="45"/>
      <c r="CO244" s="45"/>
      <c r="CP244" s="37"/>
      <c r="CQ244" s="45"/>
      <c r="CR244" s="45"/>
      <c r="CS244" s="37"/>
      <c r="CT244" s="45"/>
      <c r="CU244" s="45"/>
      <c r="CV244" s="37"/>
      <c r="CW244" s="45"/>
      <c r="CX244" s="45"/>
      <c r="CY244" s="37"/>
      <c r="CZ244" s="45"/>
      <c r="DB244" s="37"/>
      <c r="DE244" s="37"/>
      <c r="DH244" s="37"/>
      <c r="DK244" s="37"/>
      <c r="DN244" s="37"/>
      <c r="DQ244" s="37"/>
      <c r="DT244" s="37"/>
      <c r="DW244" s="37"/>
      <c r="DZ244" s="37"/>
      <c r="EC244" s="37"/>
      <c r="EF244" s="37"/>
      <c r="EI244" s="37"/>
      <c r="EL244" s="37"/>
      <c r="EO244" s="37"/>
      <c r="ER244" s="37"/>
      <c r="EU244" s="37"/>
      <c r="EV244" s="45"/>
      <c r="EW244" s="45"/>
      <c r="EX244" s="37"/>
      <c r="EY244" s="45"/>
      <c r="EZ244" s="45"/>
      <c r="FA244" s="37"/>
      <c r="FB244" s="45"/>
      <c r="FC244" s="45"/>
      <c r="FD244" s="37"/>
      <c r="FE244" s="45"/>
      <c r="FF244" s="45"/>
      <c r="FG244" s="37"/>
      <c r="FH244" s="45"/>
      <c r="FI244" s="45"/>
      <c r="FJ244" s="37"/>
      <c r="FK244" s="45"/>
      <c r="FL244" s="45"/>
      <c r="FM244" s="37"/>
      <c r="FN244" s="45"/>
      <c r="FO244" s="45"/>
      <c r="FP244" s="37"/>
      <c r="FQ244" s="45"/>
      <c r="FR244" s="45"/>
      <c r="FS244" s="37"/>
      <c r="FT244" s="45"/>
      <c r="FU244" s="45"/>
      <c r="FV244" s="37"/>
      <c r="FW244" s="45"/>
      <c r="FX244" s="45"/>
      <c r="FY244" s="37"/>
      <c r="FZ244" s="45"/>
      <c r="GA244" s="45"/>
      <c r="GB244" s="37"/>
      <c r="GC244" s="45"/>
      <c r="GD244" s="45"/>
      <c r="GE244" s="37"/>
      <c r="GF244" s="45"/>
      <c r="GG244" s="45"/>
      <c r="GH244" s="37"/>
      <c r="GI244" s="45"/>
      <c r="GJ244" s="45"/>
      <c r="GK244" s="37"/>
      <c r="GL244" s="45"/>
      <c r="GM244" s="45"/>
      <c r="GN244" s="37"/>
      <c r="GO244" s="45"/>
      <c r="HE244" s="56"/>
    </row>
    <row r="245" ht="12.0" customHeight="1">
      <c r="A245" s="37"/>
      <c r="D245" s="37"/>
      <c r="E245" s="37"/>
      <c r="I245" s="37"/>
      <c r="M245" s="37"/>
      <c r="Q245" s="37"/>
      <c r="U245" s="37"/>
      <c r="Y245" s="37"/>
      <c r="AC245" s="37"/>
      <c r="AG245" s="37"/>
      <c r="AK245" s="37"/>
      <c r="AN245" s="37"/>
      <c r="AQ245" s="37"/>
      <c r="AT245" s="37"/>
      <c r="AW245" s="37"/>
      <c r="AZ245" s="37"/>
      <c r="BC245" s="37"/>
      <c r="BF245" s="37"/>
      <c r="BG245" s="45"/>
      <c r="BH245" s="45"/>
      <c r="BI245" s="37"/>
      <c r="BJ245" s="45"/>
      <c r="BK245" s="45"/>
      <c r="BL245" s="37"/>
      <c r="BM245" s="45"/>
      <c r="BN245" s="45"/>
      <c r="BO245" s="37"/>
      <c r="BP245" s="45"/>
      <c r="BQ245" s="45"/>
      <c r="BR245" s="37"/>
      <c r="BS245" s="45"/>
      <c r="BT245" s="45"/>
      <c r="BU245" s="37"/>
      <c r="BV245" s="45"/>
      <c r="BW245" s="45"/>
      <c r="BX245" s="37"/>
      <c r="BY245" s="45"/>
      <c r="BZ245" s="45"/>
      <c r="CA245" s="37"/>
      <c r="CB245" s="45"/>
      <c r="CC245" s="45"/>
      <c r="CD245" s="37"/>
      <c r="CE245" s="45"/>
      <c r="CF245" s="45"/>
      <c r="CG245" s="37"/>
      <c r="CH245" s="45"/>
      <c r="CI245" s="45"/>
      <c r="CJ245" s="37"/>
      <c r="CK245" s="45"/>
      <c r="CL245" s="45"/>
      <c r="CM245" s="37"/>
      <c r="CN245" s="45"/>
      <c r="CO245" s="45"/>
      <c r="CP245" s="37"/>
      <c r="CQ245" s="45"/>
      <c r="CR245" s="45"/>
      <c r="CS245" s="37"/>
      <c r="CT245" s="45"/>
      <c r="CU245" s="45"/>
      <c r="CV245" s="37"/>
      <c r="CW245" s="45"/>
      <c r="CX245" s="45"/>
      <c r="CY245" s="37"/>
      <c r="CZ245" s="45"/>
      <c r="DB245" s="37"/>
      <c r="DE245" s="37"/>
      <c r="DH245" s="37"/>
      <c r="DK245" s="37"/>
      <c r="DN245" s="37"/>
      <c r="DQ245" s="37"/>
      <c r="DT245" s="37"/>
      <c r="DW245" s="37"/>
      <c r="DZ245" s="37"/>
      <c r="EC245" s="37"/>
      <c r="EF245" s="37"/>
      <c r="EI245" s="37"/>
      <c r="EL245" s="37"/>
      <c r="EO245" s="37"/>
      <c r="ER245" s="37"/>
      <c r="EU245" s="37"/>
      <c r="EV245" s="45"/>
      <c r="EW245" s="45"/>
      <c r="EX245" s="37"/>
      <c r="EY245" s="45"/>
      <c r="EZ245" s="45"/>
      <c r="FA245" s="37"/>
      <c r="FB245" s="45"/>
      <c r="FC245" s="45"/>
      <c r="FD245" s="37"/>
      <c r="FE245" s="45"/>
      <c r="FF245" s="45"/>
      <c r="FG245" s="37"/>
      <c r="FH245" s="45"/>
      <c r="FI245" s="45"/>
      <c r="FJ245" s="37"/>
      <c r="FK245" s="45"/>
      <c r="FL245" s="45"/>
      <c r="FM245" s="37"/>
      <c r="FN245" s="45"/>
      <c r="FO245" s="45"/>
      <c r="FP245" s="37"/>
      <c r="FQ245" s="45"/>
      <c r="FR245" s="45"/>
      <c r="FS245" s="37"/>
      <c r="FT245" s="45"/>
      <c r="FU245" s="45"/>
      <c r="FV245" s="37"/>
      <c r="FW245" s="45"/>
      <c r="FX245" s="45"/>
      <c r="FY245" s="37"/>
      <c r="FZ245" s="45"/>
      <c r="GA245" s="45"/>
      <c r="GB245" s="37"/>
      <c r="GC245" s="45"/>
      <c r="GD245" s="45"/>
      <c r="GE245" s="37"/>
      <c r="GF245" s="45"/>
      <c r="GG245" s="45"/>
      <c r="GH245" s="37"/>
      <c r="GI245" s="45"/>
      <c r="GJ245" s="45"/>
      <c r="GK245" s="37"/>
      <c r="GL245" s="45"/>
      <c r="GM245" s="45"/>
      <c r="GN245" s="37"/>
      <c r="GO245" s="45"/>
      <c r="HE245" s="56"/>
    </row>
    <row r="246" ht="12.0" customHeight="1">
      <c r="A246" s="37"/>
      <c r="D246" s="37"/>
      <c r="E246" s="37"/>
      <c r="I246" s="37"/>
      <c r="M246" s="37"/>
      <c r="Q246" s="37"/>
      <c r="U246" s="37"/>
      <c r="Y246" s="37"/>
      <c r="AC246" s="37"/>
      <c r="AG246" s="37"/>
      <c r="AK246" s="37"/>
      <c r="AN246" s="37"/>
      <c r="AQ246" s="37"/>
      <c r="AT246" s="37"/>
      <c r="AW246" s="37"/>
      <c r="AZ246" s="37"/>
      <c r="BC246" s="37"/>
      <c r="BF246" s="37"/>
      <c r="BG246" s="45"/>
      <c r="BH246" s="45"/>
      <c r="BI246" s="37"/>
      <c r="BJ246" s="45"/>
      <c r="BK246" s="45"/>
      <c r="BL246" s="37"/>
      <c r="BM246" s="45"/>
      <c r="BN246" s="45"/>
      <c r="BO246" s="37"/>
      <c r="BP246" s="45"/>
      <c r="BQ246" s="45"/>
      <c r="BR246" s="37"/>
      <c r="BS246" s="45"/>
      <c r="BT246" s="45"/>
      <c r="BU246" s="37"/>
      <c r="BV246" s="45"/>
      <c r="BW246" s="45"/>
      <c r="BX246" s="37"/>
      <c r="BY246" s="45"/>
      <c r="BZ246" s="45"/>
      <c r="CA246" s="37"/>
      <c r="CB246" s="45"/>
      <c r="CC246" s="45"/>
      <c r="CD246" s="37"/>
      <c r="CE246" s="45"/>
      <c r="CF246" s="45"/>
      <c r="CG246" s="37"/>
      <c r="CH246" s="45"/>
      <c r="CI246" s="45"/>
      <c r="CJ246" s="37"/>
      <c r="CK246" s="45"/>
      <c r="CL246" s="45"/>
      <c r="CM246" s="37"/>
      <c r="CN246" s="45"/>
      <c r="CO246" s="45"/>
      <c r="CP246" s="37"/>
      <c r="CQ246" s="45"/>
      <c r="CR246" s="45"/>
      <c r="CS246" s="37"/>
      <c r="CT246" s="45"/>
      <c r="CU246" s="45"/>
      <c r="CV246" s="37"/>
      <c r="CW246" s="45"/>
      <c r="CX246" s="45"/>
      <c r="CY246" s="37"/>
      <c r="CZ246" s="45"/>
      <c r="DB246" s="37"/>
      <c r="DE246" s="37"/>
      <c r="DH246" s="37"/>
      <c r="DK246" s="37"/>
      <c r="DN246" s="37"/>
      <c r="DQ246" s="37"/>
      <c r="DT246" s="37"/>
      <c r="DW246" s="37"/>
      <c r="DZ246" s="37"/>
      <c r="EC246" s="37"/>
      <c r="EF246" s="37"/>
      <c r="EI246" s="37"/>
      <c r="EL246" s="37"/>
      <c r="EO246" s="37"/>
      <c r="ER246" s="37"/>
      <c r="EU246" s="37"/>
      <c r="EV246" s="45"/>
      <c r="EW246" s="45"/>
      <c r="EX246" s="37"/>
      <c r="EY246" s="45"/>
      <c r="EZ246" s="45"/>
      <c r="FA246" s="37"/>
      <c r="FB246" s="45"/>
      <c r="FC246" s="45"/>
      <c r="FD246" s="37"/>
      <c r="FE246" s="45"/>
      <c r="FF246" s="45"/>
      <c r="FG246" s="37"/>
      <c r="FH246" s="45"/>
      <c r="FI246" s="45"/>
      <c r="FJ246" s="37"/>
      <c r="FK246" s="45"/>
      <c r="FL246" s="45"/>
      <c r="FM246" s="37"/>
      <c r="FN246" s="45"/>
      <c r="FO246" s="45"/>
      <c r="FP246" s="37"/>
      <c r="FQ246" s="45"/>
      <c r="FR246" s="45"/>
      <c r="FS246" s="37"/>
      <c r="FT246" s="45"/>
      <c r="FU246" s="45"/>
      <c r="FV246" s="37"/>
      <c r="FW246" s="45"/>
      <c r="FX246" s="45"/>
      <c r="FY246" s="37"/>
      <c r="FZ246" s="45"/>
      <c r="GA246" s="45"/>
      <c r="GB246" s="37"/>
      <c r="GC246" s="45"/>
      <c r="GD246" s="45"/>
      <c r="GE246" s="37"/>
      <c r="GF246" s="45"/>
      <c r="GG246" s="45"/>
      <c r="GH246" s="37"/>
      <c r="GI246" s="45"/>
      <c r="GJ246" s="45"/>
      <c r="GK246" s="37"/>
      <c r="GL246" s="45"/>
      <c r="GM246" s="45"/>
      <c r="GN246" s="37"/>
      <c r="GO246" s="45"/>
      <c r="HE246" s="56"/>
    </row>
    <row r="247" ht="12.0" customHeight="1">
      <c r="A247" s="37"/>
      <c r="D247" s="37"/>
      <c r="E247" s="37"/>
      <c r="I247" s="37"/>
      <c r="M247" s="37"/>
      <c r="Q247" s="37"/>
      <c r="U247" s="37"/>
      <c r="Y247" s="37"/>
      <c r="AC247" s="37"/>
      <c r="AG247" s="37"/>
      <c r="AK247" s="37"/>
      <c r="AN247" s="37"/>
      <c r="AQ247" s="37"/>
      <c r="AT247" s="37"/>
      <c r="AW247" s="37"/>
      <c r="AZ247" s="37"/>
      <c r="BC247" s="37"/>
      <c r="BF247" s="37"/>
      <c r="BG247" s="45"/>
      <c r="BH247" s="45"/>
      <c r="BI247" s="37"/>
      <c r="BJ247" s="45"/>
      <c r="BK247" s="45"/>
      <c r="BL247" s="37"/>
      <c r="BM247" s="45"/>
      <c r="BN247" s="45"/>
      <c r="BO247" s="37"/>
      <c r="BP247" s="45"/>
      <c r="BQ247" s="45"/>
      <c r="BR247" s="37"/>
      <c r="BS247" s="45"/>
      <c r="BT247" s="45"/>
      <c r="BU247" s="37"/>
      <c r="BV247" s="45"/>
      <c r="BW247" s="45"/>
      <c r="BX247" s="37"/>
      <c r="BY247" s="45"/>
      <c r="BZ247" s="45"/>
      <c r="CA247" s="37"/>
      <c r="CB247" s="45"/>
      <c r="CC247" s="45"/>
      <c r="CD247" s="37"/>
      <c r="CE247" s="45"/>
      <c r="CF247" s="45"/>
      <c r="CG247" s="37"/>
      <c r="CH247" s="45"/>
      <c r="CI247" s="45"/>
      <c r="CJ247" s="37"/>
      <c r="CK247" s="45"/>
      <c r="CL247" s="45"/>
      <c r="CM247" s="37"/>
      <c r="CN247" s="45"/>
      <c r="CO247" s="45"/>
      <c r="CP247" s="37"/>
      <c r="CQ247" s="45"/>
      <c r="CR247" s="45"/>
      <c r="CS247" s="37"/>
      <c r="CT247" s="45"/>
      <c r="CU247" s="45"/>
      <c r="CV247" s="37"/>
      <c r="CW247" s="45"/>
      <c r="CX247" s="45"/>
      <c r="CY247" s="37"/>
      <c r="CZ247" s="45"/>
      <c r="DB247" s="37"/>
      <c r="DE247" s="37"/>
      <c r="DH247" s="37"/>
      <c r="DK247" s="37"/>
      <c r="DN247" s="37"/>
      <c r="DQ247" s="37"/>
      <c r="DT247" s="37"/>
      <c r="DW247" s="37"/>
      <c r="DZ247" s="37"/>
      <c r="EC247" s="37"/>
      <c r="EF247" s="37"/>
      <c r="EI247" s="37"/>
      <c r="EL247" s="37"/>
      <c r="EO247" s="37"/>
      <c r="ER247" s="37"/>
      <c r="EU247" s="37"/>
      <c r="EV247" s="45"/>
      <c r="EW247" s="45"/>
      <c r="EX247" s="37"/>
      <c r="EY247" s="45"/>
      <c r="EZ247" s="45"/>
      <c r="FA247" s="37"/>
      <c r="FB247" s="45"/>
      <c r="FC247" s="45"/>
      <c r="FD247" s="37"/>
      <c r="FE247" s="45"/>
      <c r="FF247" s="45"/>
      <c r="FG247" s="37"/>
      <c r="FH247" s="45"/>
      <c r="FI247" s="45"/>
      <c r="FJ247" s="37"/>
      <c r="FK247" s="45"/>
      <c r="FL247" s="45"/>
      <c r="FM247" s="37"/>
      <c r="FN247" s="45"/>
      <c r="FO247" s="45"/>
      <c r="FP247" s="37"/>
      <c r="FQ247" s="45"/>
      <c r="FR247" s="45"/>
      <c r="FS247" s="37"/>
      <c r="FT247" s="45"/>
      <c r="FU247" s="45"/>
      <c r="FV247" s="37"/>
      <c r="FW247" s="45"/>
      <c r="FX247" s="45"/>
      <c r="FY247" s="37"/>
      <c r="FZ247" s="45"/>
      <c r="GA247" s="45"/>
      <c r="GB247" s="37"/>
      <c r="GC247" s="45"/>
      <c r="GD247" s="45"/>
      <c r="GE247" s="37"/>
      <c r="GF247" s="45"/>
      <c r="GG247" s="45"/>
      <c r="GH247" s="37"/>
      <c r="GI247" s="45"/>
      <c r="GJ247" s="45"/>
      <c r="GK247" s="37"/>
      <c r="GL247" s="45"/>
      <c r="GM247" s="45"/>
      <c r="GN247" s="37"/>
      <c r="GO247" s="45"/>
      <c r="HE247" s="5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8">
        <f>IFERROR(__xludf.DUMMYFUNCTION("IFNA(IFERROR(IF(GOOGLEFINANCE(""NSE:""&amp;C24,""PRICE""), GOOGLEFINANCE(""NSE:""&amp;C24,""PRICE""), GOOGLEFINANCE(""BOM:""&amp;C24,""PRICE"")), GOOGLEFINANCE(""BOM:""&amp;C24,""PRICE"")))"),213.05)</f>
        <v>213.05</v>
      </c>
    </row>
    <row r="24">
      <c r="C24" s="57" t="s">
        <v>836</v>
      </c>
    </row>
  </sheetData>
  <drawing r:id="rId1"/>
</worksheet>
</file>