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drawings/drawing6.xml" ContentType="application/vnd.openxmlformats-officedocument.drawing+xml"/>
  <Override PartName="/xl/charts/chart3.xml" ContentType="application/vnd.openxmlformats-officedocument.drawingml.chart+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mc:AlternateContent xmlns:mc="http://schemas.openxmlformats.org/markup-compatibility/2006">
    <mc:Choice Requires="x15">
      <x15ac:absPath xmlns:x15ac="http://schemas.microsoft.com/office/spreadsheetml/2010/11/ac" url="D:\PPP\PPP 2023\SPA-034\SPA-034 FINAL SHOW\"/>
    </mc:Choice>
  </mc:AlternateContent>
  <xr:revisionPtr revIDLastSave="0" documentId="13_ncr:1_{E2F6990A-843C-43D2-A7E0-912EF399E05C}" xr6:coauthVersionLast="47" xr6:coauthVersionMax="47" xr10:uidLastSave="{00000000-0000-0000-0000-000000000000}"/>
  <bookViews>
    <workbookView xWindow="-108" yWindow="-108" windowWidth="23256" windowHeight="12456" tabRatio="832" firstSheet="2" activeTab="8" xr2:uid="{00000000-000D-0000-FFFF-FFFF00000000}"/>
  </bookViews>
  <sheets>
    <sheet name="1_INPUT" sheetId="27" r:id="rId1"/>
    <sheet name="BUDGET" sheetId="2" r:id="rId2"/>
    <sheet name="2_DATA" sheetId="28" r:id="rId3"/>
    <sheet name="4_CHART" sheetId="29" r:id="rId4"/>
    <sheet name="3_TIME SUM" sheetId="6" r:id="rId5"/>
    <sheet name="5_PERFORM (1)_Table" sheetId="17" r:id="rId6"/>
    <sheet name="5_PERFORM (2)_Graph" sheetId="32" r:id="rId7"/>
    <sheet name="6_LESSON LEARN" sheetId="24" r:id="rId8"/>
    <sheet name="BUDGET PPP)" sheetId="33" r:id="rId9"/>
  </sheets>
  <externalReferences>
    <externalReference r:id="rId10"/>
    <externalReference r:id="rId11"/>
    <externalReference r:id="rId12"/>
    <externalReference r:id="rId13"/>
    <externalReference r:id="rId14"/>
  </externalReferences>
  <definedNames>
    <definedName name="__123Graph_A" hidden="1">'[1]PERHITUNGAN  KEEKONOMIAN'!$C$7:$C$19</definedName>
    <definedName name="__123Graph_B" hidden="1">'[1]PERHITUNGAN  KEEKONOMIAN'!$D$7:$D$19</definedName>
    <definedName name="__123Graph_C" hidden="1">'[1]PERHITUNGAN  KEEKONOMIAN'!$E$7:$E$19</definedName>
    <definedName name="__123Graph_D" hidden="1">'[1]PERHITUNGAN  KEEKONOMIAN'!#REF!</definedName>
    <definedName name="__123Graph_E" hidden="1">'[1]PERHITUNGAN  KEEKONOMIAN'!#REF!</definedName>
    <definedName name="__123Graph_F" hidden="1">'[1]PERHITUNGAN  KEEKONOMIAN'!$H$7:$H$19</definedName>
    <definedName name="__123Graph_X" hidden="1">'[1]PERHITUNGAN  KEEKONOMIAN'!#REF!</definedName>
    <definedName name="_Fill" hidden="1">#REF!</definedName>
    <definedName name="_xlnm._FilterDatabase" localSheetId="2" hidden="1">'2_DATA'!$C$9:$Z$194</definedName>
    <definedName name="_xlnm._FilterDatabase" localSheetId="4" hidden="1">'3_TIME SUM'!$A$3:$K$128</definedName>
    <definedName name="_xlnm._FilterDatabase" localSheetId="7" hidden="1">'6_LESSON LEARN'!$C$6:$G$67</definedName>
    <definedName name="_Order1" hidden="1">255</definedName>
    <definedName name="_Regression_Int" hidden="1">1</definedName>
    <definedName name="_Sort" hidden="1">#REF!</definedName>
    <definedName name="database2">[2]Database!$B$4:$B$204</definedName>
    <definedName name="DISCUSSION" hidden="1">{#N/A,#N/A,TRUE,"AFE";#N/A,#N/A,TRUE,"Tangible";#N/A,#N/A,TRUE,"Construction";#N/A,#N/A,TRUE,"Rignmud";#N/A,#N/A,TRUE,"Bitnddr";#N/A,#N/A,TRUE,"Cmtdesign";#N/A,#N/A,TRUE,"Pumpfee";#N/A,#N/A,TRUE,"Corendst";#N/A,#N/A,TRUE,"Ohlogging";#N/A,#N/A,TRUE,"Perforating";#N/A,#N/A,TRUE,"Chlogging";#N/A,#N/A,TRUE,"Stimulation";#N/A,#N/A,TRUE,"Completion";#N/A,#N/A,TRUE,"General"}</definedName>
    <definedName name="pi">3.14159265</definedName>
    <definedName name="pird">3.14159265/180</definedName>
    <definedName name="_xlnm.Print_Area" localSheetId="0">'1_INPUT'!$A$1:$Q$137</definedName>
    <definedName name="_xlnm.Print_Area" localSheetId="4">'3_TIME SUM'!$A$1:$K$127</definedName>
    <definedName name="_xlnm.Print_Area" localSheetId="3">'4_CHART'!$H$2:$BL$65</definedName>
    <definedName name="_xlnm.Print_Area" localSheetId="5">'5_PERFORM (1)_Table'!$V$2:$AB$39</definedName>
    <definedName name="_xlnm.Print_Area" localSheetId="7">'6_LESSON LEARN'!$C$5:$G$67</definedName>
    <definedName name="_xlnm.Print_Area" localSheetId="1">BUDGET!$A$1:$K$69</definedName>
    <definedName name="_xlnm.Print_Area" localSheetId="8">'BUDGET PPP)'!$A$1:$K$69</definedName>
    <definedName name="_xlnm.Print_Titles" localSheetId="2">'2_DATA'!$7:$8</definedName>
    <definedName name="_xlnm.Print_Titles" localSheetId="5">OFFSET('5_PERFORM (1)_Table'!$V$2,,,'5_PERFORM (1)_Table'!$T$3+1,7)</definedName>
    <definedName name="WELLCOST">[3]REKAP!$B$1:$P$65536</definedName>
    <definedName name="wrn.Wellplan." hidden="1">{#N/A,#N/A,TRUE,"AFE";#N/A,#N/A,TRUE,"Tangible";#N/A,#N/A,TRUE,"Construction";#N/A,#N/A,TRUE,"Rignmud";#N/A,#N/A,TRUE,"Bitnddr";#N/A,#N/A,TRUE,"Cmtdesign";#N/A,#N/A,TRUE,"Pumpfee";#N/A,#N/A,TRUE,"Corendst";#N/A,#N/A,TRUE,"Ohlogging";#N/A,#N/A,TRUE,"Perforating";#N/A,#N/A,TRUE,"Chlogging";#N/A,#N/A,TRUE,"Stimulation";#N/A,#N/A,TRUE,"Completion";#N/A,#N/A,TRUE,"General"}</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1" i="33" l="1"/>
  <c r="I12" i="33" s="1"/>
  <c r="I13" i="33" s="1"/>
  <c r="I14" i="33" s="1"/>
  <c r="I15" i="33" s="1"/>
  <c r="I16" i="33" s="1"/>
  <c r="I17" i="33" s="1"/>
  <c r="I18" i="33" s="1"/>
  <c r="I19" i="33" s="1"/>
  <c r="I20" i="33" s="1"/>
  <c r="I21" i="33" s="1"/>
  <c r="I22" i="33" s="1"/>
  <c r="I23" i="33" s="1"/>
  <c r="I24" i="33" s="1"/>
  <c r="I25" i="33" s="1"/>
  <c r="I26" i="33" s="1"/>
  <c r="I27" i="33" s="1"/>
  <c r="I28" i="33" s="1"/>
  <c r="I29" i="33" s="1"/>
  <c r="I30" i="33" s="1"/>
  <c r="I31" i="33" s="1"/>
  <c r="I32" i="33" s="1"/>
  <c r="M5" i="33"/>
  <c r="H9" i="33" s="1"/>
  <c r="H10" i="33" s="1"/>
  <c r="I9" i="33" l="1"/>
  <c r="I10" i="33" s="1"/>
  <c r="AD8" i="33"/>
  <c r="F9" i="33" l="1"/>
  <c r="F10" i="33" s="1"/>
  <c r="F11" i="33" l="1"/>
  <c r="F12" i="33" s="1"/>
  <c r="F13" i="33" s="1"/>
  <c r="F14" i="33" s="1"/>
  <c r="F15" i="33" s="1"/>
  <c r="F16" i="33" s="1"/>
  <c r="F17" i="33" s="1"/>
  <c r="F18" i="33" s="1"/>
  <c r="F19" i="33" s="1"/>
  <c r="F20" i="33" s="1"/>
  <c r="F21" i="33" s="1"/>
  <c r="F22" i="33" s="1"/>
  <c r="F23" i="33" s="1"/>
  <c r="F24" i="33" s="1"/>
  <c r="F25" i="33" s="1"/>
  <c r="F26" i="33" s="1"/>
  <c r="F27" i="33" s="1"/>
  <c r="F28" i="33" s="1"/>
  <c r="F29" i="33" s="1"/>
  <c r="F30" i="33" s="1"/>
  <c r="F31" i="33" s="1"/>
  <c r="B10" i="33" l="1"/>
  <c r="B11" i="33" s="1"/>
  <c r="B12" i="33" s="1"/>
  <c r="B13" i="33" s="1"/>
  <c r="B14" i="33" s="1"/>
  <c r="B15" i="33" s="1"/>
  <c r="B16" i="33" s="1"/>
  <c r="B17" i="33" s="1"/>
  <c r="B18" i="33" s="1"/>
  <c r="B19" i="33" s="1"/>
  <c r="B20" i="33" s="1"/>
  <c r="B21" i="33" s="1"/>
  <c r="B22" i="33" s="1"/>
  <c r="B23" i="33" s="1"/>
  <c r="B24" i="33" s="1"/>
  <c r="B25" i="33" s="1"/>
  <c r="B26" i="33" s="1"/>
  <c r="B27" i="33" s="1"/>
  <c r="B28" i="33" s="1"/>
  <c r="B29" i="33" s="1"/>
  <c r="P34" i="33"/>
  <c r="AD30" i="33"/>
  <c r="AD29" i="33"/>
  <c r="AD28" i="33"/>
  <c r="AD27" i="33"/>
  <c r="AD26" i="33"/>
  <c r="AD25" i="33"/>
  <c r="AD24" i="33"/>
  <c r="AD23" i="33"/>
  <c r="AD22" i="33"/>
  <c r="AD21" i="33"/>
  <c r="AD20" i="33"/>
  <c r="AD19" i="33"/>
  <c r="AD18" i="33"/>
  <c r="AD17" i="33"/>
  <c r="AD16" i="33"/>
  <c r="AD15" i="33"/>
  <c r="AD14" i="33"/>
  <c r="AD13" i="33"/>
  <c r="AD12" i="33"/>
  <c r="AD11" i="33"/>
  <c r="AD31" i="33" s="1"/>
  <c r="AD10" i="33"/>
  <c r="AD9" i="33"/>
  <c r="I8" i="33"/>
  <c r="F8" i="33"/>
  <c r="D5" i="33"/>
  <c r="D8" i="33" s="1"/>
  <c r="D9" i="33" s="1"/>
  <c r="D10" i="33" s="1"/>
  <c r="D11" i="33" s="1"/>
  <c r="D12" i="33" s="1"/>
  <c r="D13" i="33" s="1"/>
  <c r="D14" i="33" s="1"/>
  <c r="D15" i="33" s="1"/>
  <c r="D16" i="33" s="1"/>
  <c r="D17" i="33" s="1"/>
  <c r="D18" i="33" s="1"/>
  <c r="D19" i="33" s="1"/>
  <c r="D20" i="33" s="1"/>
  <c r="D21" i="33" s="1"/>
  <c r="D22" i="33" s="1"/>
  <c r="D23" i="33" s="1"/>
  <c r="D24" i="33" s="1"/>
  <c r="D25" i="33" s="1"/>
  <c r="D26" i="33" s="1"/>
  <c r="D27" i="33" s="1"/>
  <c r="D28" i="33" s="1"/>
  <c r="D29" i="33" s="1"/>
  <c r="D30" i="33" s="1"/>
  <c r="D31" i="33" s="1"/>
  <c r="D32" i="33" s="1"/>
  <c r="D4" i="33"/>
  <c r="D3" i="33"/>
  <c r="B1" i="33"/>
  <c r="J8" i="33" l="1"/>
  <c r="J10" i="33"/>
  <c r="J11" i="33"/>
  <c r="G10" i="33"/>
  <c r="G9" i="33"/>
  <c r="J12" i="33"/>
  <c r="G12" i="33"/>
  <c r="G11" i="33"/>
  <c r="G13" i="33"/>
  <c r="J13" i="33"/>
  <c r="G14" i="33"/>
  <c r="J14" i="33"/>
  <c r="G15" i="33"/>
  <c r="J15" i="33"/>
  <c r="G16" i="33"/>
  <c r="J16" i="33"/>
  <c r="G17" i="33"/>
  <c r="J17" i="33"/>
  <c r="G18" i="33"/>
  <c r="J18" i="33"/>
  <c r="G19" i="33"/>
  <c r="J19" i="33"/>
  <c r="G20" i="33"/>
  <c r="J20" i="33"/>
  <c r="G21" i="33"/>
  <c r="J21" i="33"/>
  <c r="G22" i="33"/>
  <c r="J22" i="33"/>
  <c r="G23" i="33"/>
  <c r="J23" i="33"/>
  <c r="G24" i="33"/>
  <c r="G25" i="33"/>
  <c r="J24" i="33"/>
  <c r="J25" i="33"/>
  <c r="G26" i="33"/>
  <c r="J26" i="33"/>
  <c r="G27" i="33"/>
  <c r="J27" i="33"/>
  <c r="G28" i="33"/>
  <c r="J28" i="33"/>
  <c r="G29" i="33"/>
  <c r="J29" i="33"/>
  <c r="G31" i="33"/>
  <c r="G30" i="33"/>
  <c r="J30" i="33"/>
  <c r="J9" i="33"/>
  <c r="J31" i="33"/>
  <c r="G8" i="33"/>
  <c r="J32" i="33" l="1"/>
  <c r="AX190" i="28"/>
  <c r="AO190" i="28"/>
  <c r="AN190" i="28" s="1"/>
  <c r="AM190" i="28" s="1"/>
  <c r="AG190" i="28"/>
  <c r="S190" i="28"/>
  <c r="Q190" i="28"/>
  <c r="H190" i="28"/>
  <c r="AE190" i="28"/>
  <c r="AX188" i="28" l="1"/>
  <c r="AO188" i="28"/>
  <c r="AN188" i="28" s="1"/>
  <c r="AM188" i="28" s="1"/>
  <c r="S188" i="28"/>
  <c r="Q188" i="28"/>
  <c r="H188" i="28"/>
  <c r="AX187" i="28"/>
  <c r="AO187" i="28"/>
  <c r="AN187" i="28" s="1"/>
  <c r="AM187" i="28" s="1"/>
  <c r="S187" i="28"/>
  <c r="Q187" i="28"/>
  <c r="H187" i="28"/>
  <c r="AX189" i="28"/>
  <c r="AO189" i="28"/>
  <c r="AN189" i="28" s="1"/>
  <c r="AM189" i="28" s="1"/>
  <c r="S189" i="28"/>
  <c r="Q189" i="28"/>
  <c r="H189" i="28"/>
  <c r="AE187" i="28"/>
  <c r="AE189" i="28"/>
  <c r="AE188" i="28"/>
  <c r="AX182" i="28" l="1"/>
  <c r="AO182" i="28"/>
  <c r="AN182" i="28" s="1"/>
  <c r="AM182" i="28" s="1"/>
  <c r="S182" i="28"/>
  <c r="Q182" i="28"/>
  <c r="H182" i="28"/>
  <c r="AX181" i="28"/>
  <c r="AO181" i="28"/>
  <c r="AN181" i="28" s="1"/>
  <c r="AM181" i="28" s="1"/>
  <c r="S181" i="28"/>
  <c r="Q181" i="28"/>
  <c r="H181" i="28"/>
  <c r="AX183" i="28"/>
  <c r="AO183" i="28"/>
  <c r="AN183" i="28" s="1"/>
  <c r="AM183" i="28" s="1"/>
  <c r="S183" i="28"/>
  <c r="Q183" i="28"/>
  <c r="H183" i="28"/>
  <c r="AE183" i="28"/>
  <c r="AE182" i="28"/>
  <c r="AE181" i="28"/>
  <c r="AX178" i="28" l="1"/>
  <c r="AO178" i="28"/>
  <c r="AN178" i="28" s="1"/>
  <c r="AM178" i="28" s="1"/>
  <c r="S178" i="28"/>
  <c r="Q178" i="28"/>
  <c r="H178" i="28"/>
  <c r="AO179" i="28"/>
  <c r="S179" i="28"/>
  <c r="Q179" i="28"/>
  <c r="H179" i="28"/>
  <c r="AE179" i="28"/>
  <c r="AE178" i="28"/>
  <c r="AX177" i="28" l="1"/>
  <c r="AO177" i="28"/>
  <c r="AN177" i="28" s="1"/>
  <c r="AM177" i="28" s="1"/>
  <c r="S177" i="28"/>
  <c r="Q177" i="28"/>
  <c r="H177" i="28"/>
  <c r="AX176" i="28"/>
  <c r="AO176" i="28"/>
  <c r="AN176" i="28" s="1"/>
  <c r="AM176" i="28" s="1"/>
  <c r="S176" i="28"/>
  <c r="Q176" i="28"/>
  <c r="H176" i="28"/>
  <c r="AX168" i="28"/>
  <c r="AO168" i="28"/>
  <c r="AN168" i="28" s="1"/>
  <c r="AM168" i="28" s="1"/>
  <c r="S168" i="28"/>
  <c r="Q168" i="28"/>
  <c r="H168" i="28"/>
  <c r="AX167" i="28"/>
  <c r="AO167" i="28"/>
  <c r="AN167" i="28" s="1"/>
  <c r="AM167" i="28" s="1"/>
  <c r="S167" i="28"/>
  <c r="Q167" i="28"/>
  <c r="H167" i="28"/>
  <c r="AX166" i="28"/>
  <c r="AO166" i="28"/>
  <c r="AN166" i="28" s="1"/>
  <c r="AM166" i="28" s="1"/>
  <c r="S166" i="28"/>
  <c r="Q166" i="28"/>
  <c r="H166" i="28"/>
  <c r="AX165" i="28"/>
  <c r="AO165" i="28"/>
  <c r="AN165" i="28" s="1"/>
  <c r="AM165" i="28" s="1"/>
  <c r="S165" i="28"/>
  <c r="Q165" i="28"/>
  <c r="H165" i="28"/>
  <c r="AX164" i="28"/>
  <c r="AO164" i="28"/>
  <c r="AN164" i="28" s="1"/>
  <c r="AM164" i="28" s="1"/>
  <c r="S164" i="28"/>
  <c r="Q164" i="28"/>
  <c r="H164" i="28"/>
  <c r="AX163" i="28"/>
  <c r="AO163" i="28"/>
  <c r="AN163" i="28" s="1"/>
  <c r="AM163" i="28" s="1"/>
  <c r="S163" i="28"/>
  <c r="Q163" i="28"/>
  <c r="H163" i="28"/>
  <c r="AX162" i="28"/>
  <c r="AO162" i="28"/>
  <c r="AN162" i="28" s="1"/>
  <c r="AM162" i="28" s="1"/>
  <c r="S162" i="28"/>
  <c r="Q162" i="28"/>
  <c r="H162" i="28"/>
  <c r="AX160" i="28"/>
  <c r="AO160" i="28"/>
  <c r="AN160" i="28" s="1"/>
  <c r="AM160" i="28" s="1"/>
  <c r="AG160" i="28"/>
  <c r="S160" i="28"/>
  <c r="Q160" i="28"/>
  <c r="H160" i="28"/>
  <c r="C160" i="28"/>
  <c r="AX159" i="28"/>
  <c r="AO159" i="28"/>
  <c r="AN159" i="28" s="1"/>
  <c r="AM159" i="28" s="1"/>
  <c r="S159" i="28"/>
  <c r="Q159" i="28"/>
  <c r="H159" i="28"/>
  <c r="AX158" i="28"/>
  <c r="AO158" i="28"/>
  <c r="AN158" i="28" s="1"/>
  <c r="AM158" i="28" s="1"/>
  <c r="S158" i="28"/>
  <c r="Q158" i="28"/>
  <c r="H158" i="28"/>
  <c r="AX145" i="28"/>
  <c r="AO145" i="28"/>
  <c r="AN145" i="28" s="1"/>
  <c r="AM145" i="28" s="1"/>
  <c r="AG145" i="28"/>
  <c r="S145" i="28"/>
  <c r="Q145" i="28"/>
  <c r="H145" i="28"/>
  <c r="C145" i="28"/>
  <c r="AX144" i="28"/>
  <c r="AO144" i="28"/>
  <c r="AN144" i="28" s="1"/>
  <c r="AM144" i="28" s="1"/>
  <c r="S144" i="28"/>
  <c r="Q144" i="28"/>
  <c r="H144" i="28"/>
  <c r="AX143" i="28"/>
  <c r="AO143" i="28"/>
  <c r="AN143" i="28" s="1"/>
  <c r="AM143" i="28" s="1"/>
  <c r="S143" i="28"/>
  <c r="Q143" i="28"/>
  <c r="H143" i="28"/>
  <c r="AX142" i="28"/>
  <c r="AO142" i="28"/>
  <c r="AN142" i="28" s="1"/>
  <c r="AM142" i="28" s="1"/>
  <c r="S142" i="28"/>
  <c r="Q142" i="28"/>
  <c r="H142" i="28"/>
  <c r="AO124" i="28"/>
  <c r="AG124" i="28"/>
  <c r="S124" i="28"/>
  <c r="Q124" i="28"/>
  <c r="H124" i="28"/>
  <c r="C124" i="28"/>
  <c r="AO123" i="28"/>
  <c r="AG123" i="28"/>
  <c r="S123" i="28"/>
  <c r="Q123" i="28"/>
  <c r="H123" i="28"/>
  <c r="C123" i="28"/>
  <c r="AO122" i="28"/>
  <c r="AG122" i="28"/>
  <c r="S122" i="28"/>
  <c r="Q122" i="28"/>
  <c r="H122" i="28"/>
  <c r="C122" i="28"/>
  <c r="AE165" i="28"/>
  <c r="AE160" i="28"/>
  <c r="AE142" i="28"/>
  <c r="AE144" i="28"/>
  <c r="AE158" i="28"/>
  <c r="AE159" i="28"/>
  <c r="AE143" i="28"/>
  <c r="AE162" i="28"/>
  <c r="AE163" i="28"/>
  <c r="AE166" i="28"/>
  <c r="AE123" i="28"/>
  <c r="AE164" i="28"/>
  <c r="AE167" i="28"/>
  <c r="AE124" i="28"/>
  <c r="AE145" i="28"/>
  <c r="AE177" i="28"/>
  <c r="AE122" i="28"/>
  <c r="AE168" i="28"/>
  <c r="AE176" i="28"/>
  <c r="AO121" i="28" l="1"/>
  <c r="S121" i="28"/>
  <c r="Q121" i="28"/>
  <c r="H121" i="28"/>
  <c r="C121" i="28"/>
  <c r="AO120" i="28"/>
  <c r="S120" i="28"/>
  <c r="Q120" i="28"/>
  <c r="H120" i="28"/>
  <c r="AO119" i="28"/>
  <c r="S119" i="28"/>
  <c r="Q119" i="28"/>
  <c r="H119" i="28"/>
  <c r="AO118" i="28"/>
  <c r="S118" i="28"/>
  <c r="Q118" i="28"/>
  <c r="H118" i="28"/>
  <c r="AX115" i="28"/>
  <c r="AO115" i="28"/>
  <c r="AN115" i="28" s="1"/>
  <c r="AM115" i="28" s="1"/>
  <c r="AG115" i="28"/>
  <c r="S115" i="28"/>
  <c r="Q115" i="28"/>
  <c r="H115" i="28"/>
  <c r="AX114" i="28"/>
  <c r="AO114" i="28"/>
  <c r="AN114" i="28" s="1"/>
  <c r="AM114" i="28" s="1"/>
  <c r="AG114" i="28"/>
  <c r="S114" i="28"/>
  <c r="Q114" i="28"/>
  <c r="H114" i="28"/>
  <c r="AE121" i="28"/>
  <c r="AE114" i="28"/>
  <c r="AE118" i="28"/>
  <c r="AE119" i="28"/>
  <c r="AE120" i="28"/>
  <c r="AE115" i="28"/>
  <c r="AX111" i="28" l="1"/>
  <c r="AO111" i="28"/>
  <c r="AN111" i="28" s="1"/>
  <c r="AM111" i="28" s="1"/>
  <c r="S111" i="28"/>
  <c r="Q111" i="28"/>
  <c r="H111" i="28"/>
  <c r="AE111" i="28"/>
  <c r="AX109" i="28" l="1"/>
  <c r="AO109" i="28"/>
  <c r="AN109" i="28" s="1"/>
  <c r="AM109" i="28" s="1"/>
  <c r="AG109" i="28"/>
  <c r="S109" i="28"/>
  <c r="Q109" i="28"/>
  <c r="H109" i="28"/>
  <c r="C109" i="28"/>
  <c r="AX108" i="28"/>
  <c r="AO108" i="28"/>
  <c r="AN108" i="28" s="1"/>
  <c r="AM108" i="28" s="1"/>
  <c r="AG108" i="28"/>
  <c r="S108" i="28"/>
  <c r="Q108" i="28"/>
  <c r="H108" i="28"/>
  <c r="C108" i="28"/>
  <c r="AX107" i="28"/>
  <c r="AO107" i="28"/>
  <c r="AN107" i="28" s="1"/>
  <c r="AM107" i="28" s="1"/>
  <c r="AG107" i="28"/>
  <c r="S107" i="28"/>
  <c r="Q107" i="28"/>
  <c r="H107" i="28"/>
  <c r="C107" i="28"/>
  <c r="AX106" i="28"/>
  <c r="AO106" i="28"/>
  <c r="AN106" i="28" s="1"/>
  <c r="AM106" i="28" s="1"/>
  <c r="AG106" i="28"/>
  <c r="S106" i="28"/>
  <c r="Q106" i="28"/>
  <c r="H106" i="28"/>
  <c r="C106" i="28"/>
  <c r="AX105" i="28"/>
  <c r="AO105" i="28"/>
  <c r="AN105" i="28" s="1"/>
  <c r="AM105" i="28" s="1"/>
  <c r="AG105" i="28"/>
  <c r="S105" i="28"/>
  <c r="Q105" i="28"/>
  <c r="H105" i="28"/>
  <c r="C105" i="28"/>
  <c r="AX104" i="28"/>
  <c r="AO104" i="28"/>
  <c r="AN104" i="28" s="1"/>
  <c r="AM104" i="28" s="1"/>
  <c r="AG104" i="28"/>
  <c r="S104" i="28"/>
  <c r="Q104" i="28"/>
  <c r="H104" i="28"/>
  <c r="C104" i="28"/>
  <c r="AX103" i="28"/>
  <c r="AO103" i="28"/>
  <c r="AN103" i="28" s="1"/>
  <c r="AM103" i="28" s="1"/>
  <c r="AG103" i="28"/>
  <c r="S103" i="28"/>
  <c r="Q103" i="28"/>
  <c r="H103" i="28"/>
  <c r="C103" i="28"/>
  <c r="AX102" i="28"/>
  <c r="AO102" i="28"/>
  <c r="AN102" i="28" s="1"/>
  <c r="AM102" i="28" s="1"/>
  <c r="AG102" i="28"/>
  <c r="S102" i="28"/>
  <c r="Q102" i="28"/>
  <c r="H102" i="28"/>
  <c r="C102" i="28"/>
  <c r="AX101" i="28"/>
  <c r="AO101" i="28"/>
  <c r="AN101" i="28" s="1"/>
  <c r="AM101" i="28" s="1"/>
  <c r="AG101" i="28"/>
  <c r="S101" i="28"/>
  <c r="Q101" i="28"/>
  <c r="H101" i="28"/>
  <c r="C101" i="28"/>
  <c r="AX100" i="28"/>
  <c r="AO100" i="28"/>
  <c r="AN100" i="28" s="1"/>
  <c r="AM100" i="28" s="1"/>
  <c r="AG100" i="28"/>
  <c r="S100" i="28"/>
  <c r="Q100" i="28"/>
  <c r="H100" i="28"/>
  <c r="C100" i="28"/>
  <c r="AX99" i="28"/>
  <c r="AO99" i="28"/>
  <c r="AN99" i="28" s="1"/>
  <c r="AM99" i="28" s="1"/>
  <c r="AG99" i="28"/>
  <c r="S99" i="28"/>
  <c r="Q99" i="28"/>
  <c r="H99" i="28"/>
  <c r="C99" i="28"/>
  <c r="AX98" i="28"/>
  <c r="AO98" i="28"/>
  <c r="AN98" i="28" s="1"/>
  <c r="AM98" i="28" s="1"/>
  <c r="AG98" i="28"/>
  <c r="S98" i="28"/>
  <c r="Q98" i="28"/>
  <c r="H98" i="28"/>
  <c r="C98" i="28"/>
  <c r="AD8" i="2"/>
  <c r="AD9" i="2"/>
  <c r="AD10" i="2"/>
  <c r="AD11" i="2"/>
  <c r="AD12" i="2"/>
  <c r="AD13" i="2"/>
  <c r="AD14" i="2"/>
  <c r="AD15" i="2"/>
  <c r="AD16" i="2"/>
  <c r="AD17" i="2"/>
  <c r="AD18" i="2"/>
  <c r="AD19" i="2"/>
  <c r="AD20" i="2"/>
  <c r="AD21" i="2"/>
  <c r="AD22" i="2"/>
  <c r="AD23" i="2"/>
  <c r="AD24" i="2"/>
  <c r="AD25" i="2"/>
  <c r="AD26" i="2"/>
  <c r="AD27" i="2"/>
  <c r="AD28" i="2"/>
  <c r="AD29" i="2"/>
  <c r="AD30" i="2"/>
  <c r="P34" i="2"/>
  <c r="AE108" i="28"/>
  <c r="AE105" i="28"/>
  <c r="AE103" i="28"/>
  <c r="AE104" i="28"/>
  <c r="AE102" i="28"/>
  <c r="AE98" i="28"/>
  <c r="AE107" i="28"/>
  <c r="AE99" i="28"/>
  <c r="AE109" i="28"/>
  <c r="AE106" i="28"/>
  <c r="AE100" i="28"/>
  <c r="AE101" i="28"/>
  <c r="AD31" i="2" l="1"/>
  <c r="AX97" i="28" l="1"/>
  <c r="AO97" i="28"/>
  <c r="AN97" i="28" s="1"/>
  <c r="AM97" i="28" s="1"/>
  <c r="AG97" i="28"/>
  <c r="S97" i="28"/>
  <c r="Q97" i="28"/>
  <c r="H97" i="28"/>
  <c r="C97" i="28"/>
  <c r="AX96" i="28"/>
  <c r="AO96" i="28"/>
  <c r="AN96" i="28" s="1"/>
  <c r="AM96" i="28" s="1"/>
  <c r="AG96" i="28"/>
  <c r="S96" i="28"/>
  <c r="Q96" i="28"/>
  <c r="H96" i="28"/>
  <c r="C96" i="28"/>
  <c r="AX95" i="28"/>
  <c r="AO95" i="28"/>
  <c r="AN95" i="28" s="1"/>
  <c r="AM95" i="28" s="1"/>
  <c r="AG95" i="28"/>
  <c r="S95" i="28"/>
  <c r="Q95" i="28"/>
  <c r="H95" i="28"/>
  <c r="C95" i="28"/>
  <c r="AX94" i="28"/>
  <c r="AO94" i="28"/>
  <c r="AN94" i="28" s="1"/>
  <c r="AM94" i="28" s="1"/>
  <c r="AG94" i="28"/>
  <c r="S94" i="28"/>
  <c r="Q94" i="28"/>
  <c r="H94" i="28"/>
  <c r="C94" i="28"/>
  <c r="AX93" i="28"/>
  <c r="AO93" i="28"/>
  <c r="AN93" i="28" s="1"/>
  <c r="AM93" i="28" s="1"/>
  <c r="AG93" i="28"/>
  <c r="S93" i="28"/>
  <c r="Q93" i="28"/>
  <c r="H93" i="28"/>
  <c r="C93" i="28"/>
  <c r="AE93" i="28"/>
  <c r="AE97" i="28"/>
  <c r="AE94" i="28"/>
  <c r="AE95" i="28"/>
  <c r="AE96" i="28"/>
  <c r="AX92" i="28" l="1"/>
  <c r="AO92" i="28"/>
  <c r="AN92" i="28" s="1"/>
  <c r="AM92" i="28" s="1"/>
  <c r="AG92" i="28"/>
  <c r="S92" i="28"/>
  <c r="Q92" i="28"/>
  <c r="H92" i="28"/>
  <c r="C92" i="28"/>
  <c r="AX91" i="28"/>
  <c r="AO91" i="28"/>
  <c r="AN91" i="28" s="1"/>
  <c r="AM91" i="28" s="1"/>
  <c r="AG91" i="28"/>
  <c r="S91" i="28"/>
  <c r="Q91" i="28"/>
  <c r="H91" i="28"/>
  <c r="C91" i="28"/>
  <c r="AX90" i="28"/>
  <c r="AO90" i="28"/>
  <c r="AN90" i="28" s="1"/>
  <c r="AM90" i="28" s="1"/>
  <c r="AG90" i="28"/>
  <c r="S90" i="28"/>
  <c r="Q90" i="28"/>
  <c r="H90" i="28"/>
  <c r="C90" i="28"/>
  <c r="AX89" i="28"/>
  <c r="AO89" i="28"/>
  <c r="AN89" i="28" s="1"/>
  <c r="AM89" i="28" s="1"/>
  <c r="AG89" i="28"/>
  <c r="S89" i="28"/>
  <c r="Q89" i="28"/>
  <c r="H89" i="28"/>
  <c r="C89" i="28"/>
  <c r="AX88" i="28"/>
  <c r="AO88" i="28"/>
  <c r="AN88" i="28" s="1"/>
  <c r="AM88" i="28" s="1"/>
  <c r="AG88" i="28"/>
  <c r="S88" i="28"/>
  <c r="Q88" i="28"/>
  <c r="H88" i="28"/>
  <c r="C88" i="28"/>
  <c r="AX87" i="28"/>
  <c r="AO87" i="28"/>
  <c r="AN87" i="28" s="1"/>
  <c r="AM87" i="28" s="1"/>
  <c r="AG87" i="28"/>
  <c r="S87" i="28"/>
  <c r="Q87" i="28"/>
  <c r="H87" i="28"/>
  <c r="C87" i="28"/>
  <c r="AX86" i="28"/>
  <c r="AO86" i="28"/>
  <c r="AN86" i="28" s="1"/>
  <c r="AM86" i="28" s="1"/>
  <c r="AG86" i="28"/>
  <c r="S86" i="28"/>
  <c r="Q86" i="28"/>
  <c r="H86" i="28"/>
  <c r="C86" i="28"/>
  <c r="AE90" i="28"/>
  <c r="AE91" i="28"/>
  <c r="AE89" i="28"/>
  <c r="AE88" i="28"/>
  <c r="AE87" i="28"/>
  <c r="AE92" i="28"/>
  <c r="AE86" i="28"/>
  <c r="AX85" i="28" l="1"/>
  <c r="AO85" i="28"/>
  <c r="AN85" i="28" s="1"/>
  <c r="AM85" i="28" s="1"/>
  <c r="AG85" i="28"/>
  <c r="S85" i="28"/>
  <c r="Q85" i="28"/>
  <c r="H85" i="28"/>
  <c r="C85" i="28"/>
  <c r="AX84" i="28"/>
  <c r="AO84" i="28"/>
  <c r="AN84" i="28" s="1"/>
  <c r="AM84" i="28" s="1"/>
  <c r="AG84" i="28"/>
  <c r="S84" i="28"/>
  <c r="Q84" i="28"/>
  <c r="H84" i="28"/>
  <c r="C84" i="28"/>
  <c r="AX83" i="28"/>
  <c r="AO83" i="28"/>
  <c r="AN83" i="28" s="1"/>
  <c r="AM83" i="28" s="1"/>
  <c r="AG83" i="28"/>
  <c r="S83" i="28"/>
  <c r="Q83" i="28"/>
  <c r="H83" i="28"/>
  <c r="C83" i="28"/>
  <c r="AX82" i="28"/>
  <c r="AO82" i="28"/>
  <c r="AN82" i="28" s="1"/>
  <c r="AM82" i="28" s="1"/>
  <c r="AG82" i="28"/>
  <c r="S82" i="28"/>
  <c r="Q82" i="28"/>
  <c r="H82" i="28"/>
  <c r="C82" i="28"/>
  <c r="AX81" i="28"/>
  <c r="AO81" i="28"/>
  <c r="AN81" i="28" s="1"/>
  <c r="AM81" i="28" s="1"/>
  <c r="AG81" i="28"/>
  <c r="S81" i="28"/>
  <c r="Q81" i="28"/>
  <c r="H81" i="28"/>
  <c r="C81" i="28"/>
  <c r="AX80" i="28"/>
  <c r="AO80" i="28"/>
  <c r="AN80" i="28" s="1"/>
  <c r="AM80" i="28" s="1"/>
  <c r="AG80" i="28"/>
  <c r="S80" i="28"/>
  <c r="Q80" i="28"/>
  <c r="H80" i="28"/>
  <c r="C80" i="28"/>
  <c r="AX79" i="28"/>
  <c r="AO79" i="28"/>
  <c r="AN79" i="28" s="1"/>
  <c r="AM79" i="28" s="1"/>
  <c r="AG79" i="28"/>
  <c r="S79" i="28"/>
  <c r="Q79" i="28"/>
  <c r="H79" i="28"/>
  <c r="C79" i="28"/>
  <c r="AX78" i="28"/>
  <c r="AO78" i="28"/>
  <c r="AN78" i="28" s="1"/>
  <c r="AM78" i="28" s="1"/>
  <c r="AG78" i="28"/>
  <c r="S78" i="28"/>
  <c r="Q78" i="28"/>
  <c r="H78" i="28"/>
  <c r="C78" i="28"/>
  <c r="AE82" i="28"/>
  <c r="AE79" i="28"/>
  <c r="AE83" i="28"/>
  <c r="AE78" i="28"/>
  <c r="AE80" i="28"/>
  <c r="AE81" i="28"/>
  <c r="AE84" i="28"/>
  <c r="AE85" i="28"/>
  <c r="AX77" i="28" l="1"/>
  <c r="AO77" i="28"/>
  <c r="AN77" i="28" s="1"/>
  <c r="AM77" i="28" s="1"/>
  <c r="AG77" i="28"/>
  <c r="S77" i="28"/>
  <c r="Q77" i="28"/>
  <c r="H77" i="28"/>
  <c r="C77" i="28"/>
  <c r="AX76" i="28"/>
  <c r="AO76" i="28"/>
  <c r="AN76" i="28" s="1"/>
  <c r="AM76" i="28" s="1"/>
  <c r="AG76" i="28"/>
  <c r="S76" i="28"/>
  <c r="Q76" i="28"/>
  <c r="H76" i="28"/>
  <c r="C76" i="28"/>
  <c r="AX75" i="28"/>
  <c r="AO75" i="28"/>
  <c r="AN75" i="28" s="1"/>
  <c r="AM75" i="28" s="1"/>
  <c r="AG75" i="28"/>
  <c r="S75" i="28"/>
  <c r="Q75" i="28"/>
  <c r="H75" i="28"/>
  <c r="C75" i="28"/>
  <c r="AX74" i="28"/>
  <c r="AO74" i="28"/>
  <c r="AN74" i="28" s="1"/>
  <c r="AM74" i="28" s="1"/>
  <c r="AG74" i="28"/>
  <c r="S74" i="28"/>
  <c r="Q74" i="28"/>
  <c r="H74" i="28"/>
  <c r="C74" i="28"/>
  <c r="AE75" i="28"/>
  <c r="AE76" i="28"/>
  <c r="AE74" i="28"/>
  <c r="AE77" i="28"/>
  <c r="C73" i="28" l="1"/>
  <c r="AX73" i="28"/>
  <c r="AO73" i="28"/>
  <c r="AN73" i="28" s="1"/>
  <c r="AM73" i="28" s="1"/>
  <c r="AG73" i="28"/>
  <c r="S73" i="28"/>
  <c r="Q73" i="28"/>
  <c r="H73" i="28"/>
  <c r="AX72" i="28"/>
  <c r="AO72" i="28"/>
  <c r="AN72" i="28" s="1"/>
  <c r="AM72" i="28" s="1"/>
  <c r="AG72" i="28"/>
  <c r="S72" i="28"/>
  <c r="Q72" i="28"/>
  <c r="H72" i="28"/>
  <c r="AX71" i="28"/>
  <c r="AO71" i="28"/>
  <c r="AN71" i="28" s="1"/>
  <c r="AM71" i="28" s="1"/>
  <c r="AG71" i="28"/>
  <c r="S71" i="28"/>
  <c r="Q71" i="28"/>
  <c r="H71" i="28"/>
  <c r="AX70" i="28"/>
  <c r="AO70" i="28"/>
  <c r="AN70" i="28" s="1"/>
  <c r="AM70" i="28" s="1"/>
  <c r="AG70" i="28"/>
  <c r="S70" i="28"/>
  <c r="Q70" i="28"/>
  <c r="H70" i="28"/>
  <c r="AX69" i="28"/>
  <c r="AO69" i="28"/>
  <c r="AN69" i="28" s="1"/>
  <c r="AM69" i="28" s="1"/>
  <c r="AG69" i="28"/>
  <c r="S69" i="28"/>
  <c r="Q69" i="28"/>
  <c r="H69" i="28"/>
  <c r="AE70" i="28"/>
  <c r="AE72" i="28"/>
  <c r="AE69" i="28"/>
  <c r="AE71" i="28"/>
  <c r="AE73" i="28"/>
  <c r="C61" i="28" l="1"/>
  <c r="C62" i="28"/>
  <c r="C63" i="28"/>
  <c r="C65" i="28"/>
  <c r="C67" i="28"/>
  <c r="AX67" i="28"/>
  <c r="AO67" i="28"/>
  <c r="AN67" i="28" s="1"/>
  <c r="AM67" i="28" s="1"/>
  <c r="S67" i="28"/>
  <c r="Q67" i="28"/>
  <c r="H67" i="28"/>
  <c r="AX65" i="28"/>
  <c r="AO65" i="28"/>
  <c r="AN65" i="28" s="1"/>
  <c r="AM65" i="28" s="1"/>
  <c r="AG65" i="28"/>
  <c r="S65" i="28"/>
  <c r="Q65" i="28"/>
  <c r="H65" i="28"/>
  <c r="AE65" i="28"/>
  <c r="AE67" i="28"/>
  <c r="AX63" i="28" l="1"/>
  <c r="AO63" i="28"/>
  <c r="AN63" i="28" s="1"/>
  <c r="AM63" i="28" s="1"/>
  <c r="AG63" i="28"/>
  <c r="S63" i="28"/>
  <c r="Q63" i="28"/>
  <c r="H63" i="28"/>
  <c r="AX62" i="28"/>
  <c r="AO62" i="28"/>
  <c r="AN62" i="28" s="1"/>
  <c r="AM62" i="28" s="1"/>
  <c r="AG62" i="28"/>
  <c r="S62" i="28"/>
  <c r="Q62" i="28"/>
  <c r="H62" i="28"/>
  <c r="AE63" i="28"/>
  <c r="AE62" i="28"/>
  <c r="AX61" i="28" l="1"/>
  <c r="AO61" i="28"/>
  <c r="AN61" i="28" s="1"/>
  <c r="AM61" i="28" s="1"/>
  <c r="S61" i="28"/>
  <c r="Q61" i="28"/>
  <c r="H61" i="28"/>
  <c r="AX60" i="28"/>
  <c r="AO60" i="28"/>
  <c r="AN60" i="28" s="1"/>
  <c r="AM60" i="28" s="1"/>
  <c r="S60" i="28"/>
  <c r="Q60" i="28"/>
  <c r="H60" i="28"/>
  <c r="AX58" i="28"/>
  <c r="AO58" i="28"/>
  <c r="AN58" i="28" s="1"/>
  <c r="AM58" i="28" s="1"/>
  <c r="AG58" i="28"/>
  <c r="S58" i="28"/>
  <c r="Q58" i="28"/>
  <c r="H58" i="28"/>
  <c r="AE60" i="28"/>
  <c r="AE61" i="28"/>
  <c r="AE58" i="28"/>
  <c r="AX56" i="28" l="1"/>
  <c r="AO56" i="28"/>
  <c r="AN56" i="28" s="1"/>
  <c r="AM56" i="28" s="1"/>
  <c r="AG56" i="28"/>
  <c r="S56" i="28"/>
  <c r="Q56" i="28"/>
  <c r="H56" i="28"/>
  <c r="C56" i="28"/>
  <c r="AX55" i="28"/>
  <c r="AO55" i="28"/>
  <c r="AN55" i="28" s="1"/>
  <c r="AM55" i="28" s="1"/>
  <c r="AG55" i="28"/>
  <c r="S55" i="28"/>
  <c r="Q55" i="28"/>
  <c r="H55" i="28"/>
  <c r="C55" i="28"/>
  <c r="AX54" i="28"/>
  <c r="AO54" i="28"/>
  <c r="AN54" i="28" s="1"/>
  <c r="AM54" i="28" s="1"/>
  <c r="AG54" i="28"/>
  <c r="S54" i="28"/>
  <c r="Q54" i="28"/>
  <c r="H54" i="28"/>
  <c r="C54" i="28"/>
  <c r="AX53" i="28"/>
  <c r="AO53" i="28"/>
  <c r="AN53" i="28" s="1"/>
  <c r="AM53" i="28" s="1"/>
  <c r="AG53" i="28"/>
  <c r="S53" i="28"/>
  <c r="Q53" i="28"/>
  <c r="H53" i="28"/>
  <c r="C53" i="28"/>
  <c r="AX52" i="28"/>
  <c r="AO52" i="28"/>
  <c r="AN52" i="28" s="1"/>
  <c r="AM52" i="28" s="1"/>
  <c r="AG52" i="28"/>
  <c r="S52" i="28"/>
  <c r="Q52" i="28"/>
  <c r="H52" i="28"/>
  <c r="C52" i="28"/>
  <c r="AE55" i="28"/>
  <c r="AE52" i="28"/>
  <c r="AE56" i="28"/>
  <c r="AE54" i="28"/>
  <c r="AE53" i="28"/>
  <c r="C47" i="28" l="1"/>
  <c r="C48" i="28"/>
  <c r="C49" i="28"/>
  <c r="C50" i="28"/>
  <c r="C51" i="28"/>
  <c r="C45" i="28"/>
  <c r="C46" i="28"/>
  <c r="AX51" i="28"/>
  <c r="AO51" i="28"/>
  <c r="AN51" i="28" s="1"/>
  <c r="AM51" i="28" s="1"/>
  <c r="AG51" i="28"/>
  <c r="S51" i="28"/>
  <c r="Q51" i="28"/>
  <c r="H51" i="28"/>
  <c r="AX50" i="28"/>
  <c r="AO50" i="28"/>
  <c r="AN50" i="28" s="1"/>
  <c r="AM50" i="28" s="1"/>
  <c r="AG50" i="28"/>
  <c r="S50" i="28"/>
  <c r="Q50" i="28"/>
  <c r="H50" i="28"/>
  <c r="AX49" i="28"/>
  <c r="AO49" i="28"/>
  <c r="AN49" i="28" s="1"/>
  <c r="AM49" i="28" s="1"/>
  <c r="AG49" i="28"/>
  <c r="S49" i="28"/>
  <c r="Q49" i="28"/>
  <c r="H49" i="28"/>
  <c r="AX48" i="28"/>
  <c r="AO48" i="28"/>
  <c r="AN48" i="28" s="1"/>
  <c r="AM48" i="28" s="1"/>
  <c r="AG48" i="28"/>
  <c r="S48" i="28"/>
  <c r="Q48" i="28"/>
  <c r="H48" i="28"/>
  <c r="AX47" i="28"/>
  <c r="AO47" i="28"/>
  <c r="AN47" i="28" s="1"/>
  <c r="AM47" i="28" s="1"/>
  <c r="AG47" i="28"/>
  <c r="S47" i="28"/>
  <c r="Q47" i="28"/>
  <c r="H47" i="28"/>
  <c r="AX46" i="28"/>
  <c r="AO46" i="28"/>
  <c r="AN46" i="28" s="1"/>
  <c r="AM46" i="28" s="1"/>
  <c r="AG46" i="28"/>
  <c r="S46" i="28"/>
  <c r="Q46" i="28"/>
  <c r="H46" i="28"/>
  <c r="AX45" i="28"/>
  <c r="AO45" i="28"/>
  <c r="AN45" i="28" s="1"/>
  <c r="AM45" i="28" s="1"/>
  <c r="AG45" i="28"/>
  <c r="S45" i="28"/>
  <c r="Q45" i="28"/>
  <c r="H45" i="28"/>
  <c r="AX44" i="28"/>
  <c r="AO44" i="28"/>
  <c r="AN44" i="28" s="1"/>
  <c r="AM44" i="28" s="1"/>
  <c r="AG44" i="28"/>
  <c r="S44" i="28"/>
  <c r="Q44" i="28"/>
  <c r="H44" i="28"/>
  <c r="AX42" i="28"/>
  <c r="AO42" i="28"/>
  <c r="AN42" i="28" s="1"/>
  <c r="AM42" i="28" s="1"/>
  <c r="AG42" i="28"/>
  <c r="S42" i="28"/>
  <c r="Q42" i="28"/>
  <c r="H42" i="28"/>
  <c r="AX41" i="28"/>
  <c r="AO41" i="28"/>
  <c r="AN41" i="28" s="1"/>
  <c r="AM41" i="28" s="1"/>
  <c r="AG41" i="28"/>
  <c r="S41" i="28"/>
  <c r="Q41" i="28"/>
  <c r="H41" i="28"/>
  <c r="AX39" i="28"/>
  <c r="AO39" i="28"/>
  <c r="AN39" i="28" s="1"/>
  <c r="AM39" i="28" s="1"/>
  <c r="AG39" i="28"/>
  <c r="S39" i="28"/>
  <c r="Q39" i="28"/>
  <c r="H39" i="28"/>
  <c r="AX38" i="28"/>
  <c r="AO38" i="28"/>
  <c r="AN38" i="28" s="1"/>
  <c r="AM38" i="28" s="1"/>
  <c r="AG38" i="28"/>
  <c r="S38" i="28"/>
  <c r="Q38" i="28"/>
  <c r="H38" i="28"/>
  <c r="AX37" i="28"/>
  <c r="AO37" i="28"/>
  <c r="AN37" i="28" s="1"/>
  <c r="AM37" i="28" s="1"/>
  <c r="AG37" i="28"/>
  <c r="S37" i="28"/>
  <c r="Q37" i="28"/>
  <c r="H37" i="28"/>
  <c r="AX35" i="28"/>
  <c r="AO35" i="28"/>
  <c r="AN35" i="28" s="1"/>
  <c r="AM35" i="28" s="1"/>
  <c r="S35" i="28"/>
  <c r="Q35" i="28"/>
  <c r="H35" i="28"/>
  <c r="C35" i="28"/>
  <c r="AE50" i="28"/>
  <c r="AE35" i="28"/>
  <c r="AE49" i="28"/>
  <c r="AE42" i="28"/>
  <c r="AE51" i="28"/>
  <c r="AE39" i="28"/>
  <c r="AE48" i="28"/>
  <c r="AE37" i="28"/>
  <c r="AE45" i="28"/>
  <c r="AE41" i="28"/>
  <c r="AE47" i="28"/>
  <c r="AE44" i="28"/>
  <c r="AE46" i="28"/>
  <c r="AE38" i="28"/>
  <c r="AX34" i="28" l="1"/>
  <c r="AO34" i="28"/>
  <c r="AN34" i="28" s="1"/>
  <c r="AM34" i="28" s="1"/>
  <c r="S34" i="28"/>
  <c r="Q34" i="28"/>
  <c r="H34" i="28"/>
  <c r="AX32" i="28"/>
  <c r="AO32" i="28"/>
  <c r="AN32" i="28" s="1"/>
  <c r="AM32" i="28" s="1"/>
  <c r="S32" i="28"/>
  <c r="Q32" i="28"/>
  <c r="H32" i="28"/>
  <c r="AX30" i="28"/>
  <c r="AO30" i="28"/>
  <c r="AN30" i="28" s="1"/>
  <c r="AM30" i="28" s="1"/>
  <c r="S30" i="28"/>
  <c r="Q30" i="28"/>
  <c r="H30" i="28"/>
  <c r="C30" i="28"/>
  <c r="AX29" i="28"/>
  <c r="AO29" i="28"/>
  <c r="AN29" i="28" s="1"/>
  <c r="AM29" i="28" s="1"/>
  <c r="S29" i="28"/>
  <c r="Q29" i="28"/>
  <c r="H29" i="28"/>
  <c r="C29" i="28"/>
  <c r="AX28" i="28"/>
  <c r="AO28" i="28"/>
  <c r="AN28" i="28" s="1"/>
  <c r="AM28" i="28" s="1"/>
  <c r="AG28" i="28"/>
  <c r="AG29" i="28" s="1"/>
  <c r="AG30" i="28" s="1"/>
  <c r="S28" i="28"/>
  <c r="Q28" i="28"/>
  <c r="H28" i="28"/>
  <c r="C28" i="28"/>
  <c r="AX27" i="28"/>
  <c r="AO27" i="28"/>
  <c r="AN27" i="28" s="1"/>
  <c r="AM27" i="28" s="1"/>
  <c r="AG27" i="28"/>
  <c r="S27" i="28"/>
  <c r="Q27" i="28"/>
  <c r="H27" i="28"/>
  <c r="C27" i="28"/>
  <c r="AX26" i="28"/>
  <c r="AO26" i="28"/>
  <c r="AN26" i="28" s="1"/>
  <c r="AM26" i="28" s="1"/>
  <c r="AG26" i="28"/>
  <c r="S26" i="28"/>
  <c r="Q26" i="28"/>
  <c r="H26" i="28"/>
  <c r="AO24" i="28"/>
  <c r="AG24" i="28"/>
  <c r="S24" i="28"/>
  <c r="Q24" i="28"/>
  <c r="H24" i="28"/>
  <c r="C24" i="28"/>
  <c r="C10" i="2"/>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AO23" i="28"/>
  <c r="S23" i="28"/>
  <c r="Q23" i="28"/>
  <c r="H23" i="28"/>
  <c r="AX19" i="28"/>
  <c r="AO19" i="28"/>
  <c r="AN19" i="28" s="1"/>
  <c r="AM19" i="28" s="1"/>
  <c r="S19" i="28"/>
  <c r="Q19" i="28"/>
  <c r="H19" i="28"/>
  <c r="AX17" i="28"/>
  <c r="AO17" i="28"/>
  <c r="AN17" i="28" s="1"/>
  <c r="AM17" i="28" s="1"/>
  <c r="S17" i="28"/>
  <c r="Q17" i="28"/>
  <c r="H17" i="28"/>
  <c r="AE26" i="28"/>
  <c r="AE30" i="28"/>
  <c r="AE27" i="28"/>
  <c r="AE34" i="28"/>
  <c r="AE19" i="28"/>
  <c r="AE17" i="28"/>
  <c r="AE32" i="28"/>
  <c r="AE29" i="28"/>
  <c r="AE23" i="28"/>
  <c r="AE24" i="28"/>
  <c r="AE28" i="28"/>
  <c r="AX13" i="28" l="1"/>
  <c r="AO13" i="28"/>
  <c r="AN13" i="28" s="1"/>
  <c r="AM13" i="28" s="1"/>
  <c r="S13" i="28"/>
  <c r="Q13" i="28"/>
  <c r="H13" i="28"/>
  <c r="L17" i="27"/>
  <c r="AE13" i="28"/>
  <c r="AA42" i="29" l="1"/>
  <c r="AX110" i="28"/>
  <c r="AO110" i="28"/>
  <c r="AN110" i="28" s="1"/>
  <c r="AM110" i="28" s="1"/>
  <c r="S110" i="28"/>
  <c r="Q110" i="28"/>
  <c r="H110" i="28"/>
  <c r="AX68" i="28"/>
  <c r="AO68" i="28"/>
  <c r="AN68" i="28" s="1"/>
  <c r="AM68" i="28" s="1"/>
  <c r="S68" i="28"/>
  <c r="Q68" i="28"/>
  <c r="H68" i="28"/>
  <c r="AX66" i="28"/>
  <c r="AO66" i="28"/>
  <c r="AN66" i="28" s="1"/>
  <c r="AM66" i="28" s="1"/>
  <c r="S66" i="28"/>
  <c r="Q66" i="28"/>
  <c r="H66" i="28"/>
  <c r="AX64" i="28"/>
  <c r="AO64" i="28"/>
  <c r="AN64" i="28" s="1"/>
  <c r="AM64" i="28" s="1"/>
  <c r="S64" i="28"/>
  <c r="Q64" i="28"/>
  <c r="H64" i="28"/>
  <c r="AX36" i="28"/>
  <c r="AO36" i="28"/>
  <c r="AN36" i="28" s="1"/>
  <c r="AM36" i="28" s="1"/>
  <c r="S36" i="28"/>
  <c r="Q36" i="28"/>
  <c r="H36" i="28"/>
  <c r="AX33" i="28"/>
  <c r="AO33" i="28"/>
  <c r="AN33" i="28" s="1"/>
  <c r="AM33" i="28" s="1"/>
  <c r="S33" i="28"/>
  <c r="Q33" i="28"/>
  <c r="H33" i="28"/>
  <c r="AX31" i="28"/>
  <c r="AO31" i="28"/>
  <c r="AN31" i="28" s="1"/>
  <c r="AM31" i="28" s="1"/>
  <c r="S31" i="28"/>
  <c r="Q31" i="28"/>
  <c r="H31" i="28"/>
  <c r="AE110" i="28"/>
  <c r="AE36" i="28"/>
  <c r="AE68" i="28"/>
  <c r="AE33" i="28"/>
  <c r="AE64" i="28"/>
  <c r="AE31" i="28"/>
  <c r="AE66" i="28"/>
  <c r="AX173" i="28" l="1"/>
  <c r="AO173" i="28"/>
  <c r="AN173" i="28" s="1"/>
  <c r="AM173" i="28" s="1"/>
  <c r="S173" i="28"/>
  <c r="Q173" i="28"/>
  <c r="H173" i="28"/>
  <c r="AE173" i="28"/>
  <c r="AX149" i="28" l="1"/>
  <c r="AO149" i="28"/>
  <c r="AN149" i="28" s="1"/>
  <c r="AM149" i="28" s="1"/>
  <c r="S149" i="28"/>
  <c r="Q149" i="28"/>
  <c r="H149" i="28"/>
  <c r="AE149" i="28"/>
  <c r="AO25" i="28" l="1"/>
  <c r="S25" i="28"/>
  <c r="Q25" i="28"/>
  <c r="H25" i="28"/>
  <c r="D9" i="24"/>
  <c r="D10" i="24"/>
  <c r="D11" i="24"/>
  <c r="D12" i="24"/>
  <c r="D13" i="24"/>
  <c r="D14" i="24"/>
  <c r="D15" i="24"/>
  <c r="D16" i="24"/>
  <c r="D17" i="24"/>
  <c r="D18" i="24"/>
  <c r="D19" i="24"/>
  <c r="D20" i="24"/>
  <c r="D21" i="24"/>
  <c r="D22" i="24"/>
  <c r="D23" i="24"/>
  <c r="D24" i="24"/>
  <c r="D25" i="24"/>
  <c r="D26" i="24"/>
  <c r="D27" i="24"/>
  <c r="D28" i="24"/>
  <c r="D29" i="24"/>
  <c r="D30" i="24"/>
  <c r="D31" i="24"/>
  <c r="D32" i="24"/>
  <c r="D33" i="24"/>
  <c r="D34" i="24"/>
  <c r="D35" i="24"/>
  <c r="D36" i="24"/>
  <c r="D37" i="24"/>
  <c r="D38" i="24"/>
  <c r="D39" i="24"/>
  <c r="D40" i="24"/>
  <c r="D41" i="24"/>
  <c r="D42" i="24"/>
  <c r="D43" i="24"/>
  <c r="D44" i="24"/>
  <c r="D45" i="24"/>
  <c r="D46" i="24"/>
  <c r="D47" i="24"/>
  <c r="D48" i="24"/>
  <c r="D49" i="24"/>
  <c r="C47" i="24"/>
  <c r="C48" i="24"/>
  <c r="C49" i="24"/>
  <c r="C24" i="24"/>
  <c r="C25" i="24"/>
  <c r="C26" i="24"/>
  <c r="C27" i="24"/>
  <c r="C28" i="24"/>
  <c r="C29" i="24"/>
  <c r="C30" i="24"/>
  <c r="C31" i="24"/>
  <c r="C32" i="24"/>
  <c r="C33" i="24"/>
  <c r="C34" i="24"/>
  <c r="C35" i="24"/>
  <c r="C36" i="24"/>
  <c r="C37" i="24"/>
  <c r="C38" i="24"/>
  <c r="C39" i="24"/>
  <c r="C40" i="24"/>
  <c r="C41" i="24"/>
  <c r="C42" i="24"/>
  <c r="C43" i="24"/>
  <c r="C44" i="24"/>
  <c r="C45" i="24"/>
  <c r="C46" i="24"/>
  <c r="C23" i="24"/>
  <c r="C22" i="24"/>
  <c r="C21" i="24"/>
  <c r="C20" i="24"/>
  <c r="C19" i="24"/>
  <c r="C13" i="24"/>
  <c r="C14" i="24"/>
  <c r="C15" i="24"/>
  <c r="C16" i="24"/>
  <c r="C17" i="24"/>
  <c r="C18" i="24"/>
  <c r="C12" i="24"/>
  <c r="C11" i="24"/>
  <c r="C10" i="24"/>
  <c r="C9" i="24"/>
  <c r="D7" i="24"/>
  <c r="D8" i="24"/>
  <c r="C8" i="24"/>
  <c r="C7" i="24"/>
  <c r="AE25" i="28"/>
  <c r="B11" i="28"/>
  <c r="AX172" i="28" l="1"/>
  <c r="AO172" i="28"/>
  <c r="AN172" i="28" s="1"/>
  <c r="AM172" i="28" s="1"/>
  <c r="S172" i="28"/>
  <c r="Q172" i="28"/>
  <c r="H172" i="28"/>
  <c r="AX171" i="28"/>
  <c r="AO171" i="28"/>
  <c r="AN171" i="28" s="1"/>
  <c r="AM171" i="28" s="1"/>
  <c r="S171" i="28"/>
  <c r="Q171" i="28"/>
  <c r="H171" i="28"/>
  <c r="AX170" i="28"/>
  <c r="AO170" i="28"/>
  <c r="AN170" i="28" s="1"/>
  <c r="AM170" i="28" s="1"/>
  <c r="S170" i="28"/>
  <c r="Q170" i="28"/>
  <c r="H170" i="28"/>
  <c r="AX169" i="28"/>
  <c r="AO169" i="28"/>
  <c r="AN169" i="28" s="1"/>
  <c r="AM169" i="28" s="1"/>
  <c r="S169" i="28"/>
  <c r="Q169" i="28"/>
  <c r="H169" i="28"/>
  <c r="AX161" i="28"/>
  <c r="AO161" i="28"/>
  <c r="AN161" i="28" s="1"/>
  <c r="AM161" i="28" s="1"/>
  <c r="S161" i="28"/>
  <c r="Q161" i="28"/>
  <c r="H161" i="28"/>
  <c r="AX157" i="28"/>
  <c r="AO157" i="28"/>
  <c r="AN157" i="28" s="1"/>
  <c r="AM157" i="28" s="1"/>
  <c r="S157" i="28"/>
  <c r="Q157" i="28"/>
  <c r="H157" i="28"/>
  <c r="AX156" i="28"/>
  <c r="AO156" i="28"/>
  <c r="AN156" i="28" s="1"/>
  <c r="AM156" i="28" s="1"/>
  <c r="S156" i="28"/>
  <c r="Q156" i="28"/>
  <c r="H156" i="28"/>
  <c r="AX155" i="28"/>
  <c r="AO155" i="28"/>
  <c r="AN155" i="28" s="1"/>
  <c r="AM155" i="28" s="1"/>
  <c r="S155" i="28"/>
  <c r="Q155" i="28"/>
  <c r="H155" i="28"/>
  <c r="AX154" i="28"/>
  <c r="AO154" i="28"/>
  <c r="AN154" i="28" s="1"/>
  <c r="AM154" i="28" s="1"/>
  <c r="S154" i="28"/>
  <c r="Q154" i="28"/>
  <c r="H154" i="28"/>
  <c r="AX153" i="28"/>
  <c r="AO153" i="28"/>
  <c r="AN153" i="28" s="1"/>
  <c r="AM153" i="28" s="1"/>
  <c r="Z153" i="28"/>
  <c r="S153" i="28"/>
  <c r="Q153" i="28"/>
  <c r="H153" i="28"/>
  <c r="AX126" i="28"/>
  <c r="AO126" i="28"/>
  <c r="AN126" i="28" s="1"/>
  <c r="AM126" i="28" s="1"/>
  <c r="Z126" i="28"/>
  <c r="S126" i="28"/>
  <c r="Q126" i="28"/>
  <c r="H126" i="28"/>
  <c r="AE161" i="28"/>
  <c r="AE169" i="28"/>
  <c r="AE156" i="28"/>
  <c r="AE126" i="28"/>
  <c r="AE154" i="28"/>
  <c r="AE171" i="28"/>
  <c r="AE155" i="28"/>
  <c r="U11" i="28"/>
  <c r="AE157" i="28"/>
  <c r="AE153" i="28"/>
  <c r="AE172" i="28"/>
  <c r="AE170" i="28"/>
  <c r="AO14" i="28" l="1"/>
  <c r="S14" i="28"/>
  <c r="Q14" i="28"/>
  <c r="H14" i="28"/>
  <c r="AX21" i="28"/>
  <c r="AO21" i="28"/>
  <c r="AN21" i="28" s="1"/>
  <c r="AM21" i="28" s="1"/>
  <c r="S21" i="28"/>
  <c r="Q21" i="28"/>
  <c r="H21" i="28"/>
  <c r="AX20" i="28"/>
  <c r="AO20" i="28"/>
  <c r="AN20" i="28" s="1"/>
  <c r="AM20" i="28" s="1"/>
  <c r="Z20" i="28"/>
  <c r="S20" i="28"/>
  <c r="Q20" i="28"/>
  <c r="H20" i="28"/>
  <c r="AX18" i="28"/>
  <c r="AO18" i="28"/>
  <c r="AN18" i="28" s="1"/>
  <c r="AM18" i="28" s="1"/>
  <c r="S18" i="28"/>
  <c r="Q18" i="28"/>
  <c r="H18" i="28"/>
  <c r="AX16" i="28"/>
  <c r="AO16" i="28"/>
  <c r="AN16" i="28" s="1"/>
  <c r="AM16" i="28" s="1"/>
  <c r="S16" i="28"/>
  <c r="Q16" i="28"/>
  <c r="H16" i="28"/>
  <c r="AX15" i="28"/>
  <c r="AO15" i="28"/>
  <c r="AN15" i="28" s="1"/>
  <c r="AM15" i="28" s="1"/>
  <c r="S15" i="28"/>
  <c r="Q15" i="28"/>
  <c r="H15" i="28"/>
  <c r="AE20" i="28"/>
  <c r="AI21" i="28"/>
  <c r="AE15" i="28"/>
  <c r="AE18" i="28"/>
  <c r="AI14" i="28"/>
  <c r="AE21" i="28"/>
  <c r="AI20" i="28"/>
  <c r="AI18" i="28"/>
  <c r="AE16" i="28"/>
  <c r="AI16" i="28"/>
  <c r="AI15" i="28"/>
  <c r="AE14" i="28"/>
  <c r="AX125" i="28" l="1"/>
  <c r="AO125" i="28"/>
  <c r="AN125" i="28" s="1"/>
  <c r="AM125" i="28" s="1"/>
  <c r="Z125" i="28"/>
  <c r="S125" i="28"/>
  <c r="Q125" i="28"/>
  <c r="H125" i="28"/>
  <c r="AE125" i="28"/>
  <c r="AI19" i="28"/>
  <c r="AI17" i="28"/>
  <c r="U6" i="29" l="1"/>
  <c r="T6" i="29"/>
  <c r="J6" i="29"/>
  <c r="I6" i="29"/>
  <c r="G72" i="24" l="1"/>
  <c r="I63" i="24"/>
  <c r="I62" i="24"/>
  <c r="I61" i="24"/>
  <c r="I60" i="24"/>
  <c r="I59" i="24"/>
  <c r="I58" i="24"/>
  <c r="I57" i="24"/>
  <c r="I56" i="24"/>
  <c r="I55" i="24"/>
  <c r="I54" i="24"/>
  <c r="I53" i="24"/>
  <c r="I52" i="24"/>
  <c r="I51" i="24"/>
  <c r="I50" i="24"/>
  <c r="L7" i="24"/>
  <c r="T400" i="17"/>
  <c r="T399" i="17"/>
  <c r="T398" i="17"/>
  <c r="T397" i="17"/>
  <c r="T396" i="17"/>
  <c r="T395" i="17"/>
  <c r="T394" i="17"/>
  <c r="T393" i="17"/>
  <c r="T392" i="17"/>
  <c r="T391" i="17"/>
  <c r="T390" i="17"/>
  <c r="T389" i="17"/>
  <c r="T388" i="17"/>
  <c r="T387" i="17"/>
  <c r="T386" i="17"/>
  <c r="T385" i="17"/>
  <c r="T384" i="17"/>
  <c r="T383" i="17"/>
  <c r="T382" i="17"/>
  <c r="T381" i="17"/>
  <c r="T380" i="17"/>
  <c r="T379" i="17"/>
  <c r="T378" i="17"/>
  <c r="W377" i="17"/>
  <c r="V377" i="17"/>
  <c r="T377" i="17"/>
  <c r="W376" i="17"/>
  <c r="V376" i="17"/>
  <c r="T376" i="17"/>
  <c r="W375" i="17"/>
  <c r="V375" i="17"/>
  <c r="T375" i="17"/>
  <c r="W374" i="17"/>
  <c r="V374" i="17"/>
  <c r="T374" i="17"/>
  <c r="W373" i="17"/>
  <c r="V373" i="17"/>
  <c r="T373" i="17"/>
  <c r="W372" i="17"/>
  <c r="V372" i="17"/>
  <c r="T372" i="17"/>
  <c r="W371" i="17"/>
  <c r="V371" i="17"/>
  <c r="T371" i="17"/>
  <c r="W370" i="17"/>
  <c r="V370" i="17"/>
  <c r="T370" i="17"/>
  <c r="W369" i="17"/>
  <c r="V369" i="17"/>
  <c r="T369" i="17"/>
  <c r="W368" i="17"/>
  <c r="V368" i="17"/>
  <c r="T368" i="17"/>
  <c r="W367" i="17"/>
  <c r="V367" i="17"/>
  <c r="T367" i="17"/>
  <c r="W366" i="17"/>
  <c r="V366" i="17"/>
  <c r="T366" i="17"/>
  <c r="W365" i="17"/>
  <c r="V365" i="17"/>
  <c r="T365" i="17"/>
  <c r="W364" i="17"/>
  <c r="V364" i="17"/>
  <c r="T364" i="17"/>
  <c r="W363" i="17"/>
  <c r="V363" i="17"/>
  <c r="T363" i="17"/>
  <c r="W362" i="17"/>
  <c r="V362" i="17"/>
  <c r="T362" i="17"/>
  <c r="W361" i="17"/>
  <c r="V361" i="17"/>
  <c r="T361" i="17"/>
  <c r="W360" i="17"/>
  <c r="V360" i="17"/>
  <c r="T360" i="17"/>
  <c r="W359" i="17"/>
  <c r="V359" i="17"/>
  <c r="T359" i="17"/>
  <c r="W358" i="17"/>
  <c r="V358" i="17"/>
  <c r="T358" i="17"/>
  <c r="W357" i="17"/>
  <c r="V357" i="17"/>
  <c r="T357" i="17"/>
  <c r="W356" i="17"/>
  <c r="V356" i="17"/>
  <c r="T356" i="17"/>
  <c r="W355" i="17"/>
  <c r="V355" i="17"/>
  <c r="T355" i="17"/>
  <c r="W354" i="17"/>
  <c r="V354" i="17"/>
  <c r="T354" i="17"/>
  <c r="W353" i="17"/>
  <c r="V353" i="17"/>
  <c r="T353" i="17"/>
  <c r="W352" i="17"/>
  <c r="V352" i="17"/>
  <c r="T352" i="17"/>
  <c r="W351" i="17"/>
  <c r="V351" i="17"/>
  <c r="T351" i="17"/>
  <c r="W350" i="17"/>
  <c r="V350" i="17"/>
  <c r="T350" i="17"/>
  <c r="W349" i="17"/>
  <c r="V349" i="17"/>
  <c r="T349" i="17"/>
  <c r="W348" i="17"/>
  <c r="V348" i="17"/>
  <c r="T348" i="17"/>
  <c r="W347" i="17"/>
  <c r="V347" i="17"/>
  <c r="T347" i="17"/>
  <c r="W346" i="17"/>
  <c r="V346" i="17"/>
  <c r="T346" i="17"/>
  <c r="W345" i="17"/>
  <c r="V345" i="17"/>
  <c r="T345" i="17"/>
  <c r="W344" i="17"/>
  <c r="V344" i="17"/>
  <c r="T344" i="17"/>
  <c r="W343" i="17"/>
  <c r="V343" i="17"/>
  <c r="T343" i="17"/>
  <c r="W342" i="17"/>
  <c r="V342" i="17"/>
  <c r="T342" i="17"/>
  <c r="W341" i="17"/>
  <c r="V341" i="17"/>
  <c r="T341" i="17"/>
  <c r="W340" i="17"/>
  <c r="V340" i="17"/>
  <c r="T340" i="17"/>
  <c r="W339" i="17"/>
  <c r="V339" i="17"/>
  <c r="T339" i="17"/>
  <c r="W338" i="17"/>
  <c r="V338" i="17"/>
  <c r="T338" i="17"/>
  <c r="W337" i="17"/>
  <c r="V337" i="17"/>
  <c r="T337" i="17"/>
  <c r="W336" i="17"/>
  <c r="V336" i="17"/>
  <c r="T336" i="17"/>
  <c r="W335" i="17"/>
  <c r="V335" i="17"/>
  <c r="T335" i="17"/>
  <c r="W334" i="17"/>
  <c r="V334" i="17"/>
  <c r="T334" i="17"/>
  <c r="W333" i="17"/>
  <c r="V333" i="17"/>
  <c r="T333" i="17"/>
  <c r="W332" i="17"/>
  <c r="V332" i="17"/>
  <c r="T332" i="17"/>
  <c r="W331" i="17"/>
  <c r="V331" i="17"/>
  <c r="T331" i="17"/>
  <c r="W330" i="17"/>
  <c r="V330" i="17"/>
  <c r="T330" i="17"/>
  <c r="W329" i="17"/>
  <c r="V329" i="17"/>
  <c r="T329" i="17"/>
  <c r="W328" i="17"/>
  <c r="V328" i="17"/>
  <c r="T328" i="17"/>
  <c r="W327" i="17"/>
  <c r="V327" i="17"/>
  <c r="T327" i="17"/>
  <c r="W326" i="17"/>
  <c r="V326" i="17"/>
  <c r="T326" i="17"/>
  <c r="W325" i="17"/>
  <c r="V325" i="17"/>
  <c r="T325" i="17"/>
  <c r="W324" i="17"/>
  <c r="V324" i="17"/>
  <c r="T324" i="17"/>
  <c r="W323" i="17"/>
  <c r="V323" i="17"/>
  <c r="T323" i="17"/>
  <c r="W322" i="17"/>
  <c r="V322" i="17"/>
  <c r="T322" i="17"/>
  <c r="W321" i="17"/>
  <c r="V321" i="17"/>
  <c r="T321" i="17"/>
  <c r="W320" i="17"/>
  <c r="V320" i="17"/>
  <c r="T320" i="17"/>
  <c r="W319" i="17"/>
  <c r="V319" i="17"/>
  <c r="T319" i="17"/>
  <c r="W318" i="17"/>
  <c r="V318" i="17"/>
  <c r="T318" i="17"/>
  <c r="W317" i="17"/>
  <c r="V317" i="17"/>
  <c r="T317" i="17"/>
  <c r="W316" i="17"/>
  <c r="V316" i="17"/>
  <c r="T316" i="17"/>
  <c r="W315" i="17"/>
  <c r="V315" i="17"/>
  <c r="T315" i="17"/>
  <c r="W314" i="17"/>
  <c r="V314" i="17"/>
  <c r="T314" i="17"/>
  <c r="W313" i="17"/>
  <c r="V313" i="17"/>
  <c r="T313" i="17"/>
  <c r="W312" i="17"/>
  <c r="V312" i="17"/>
  <c r="T312" i="17"/>
  <c r="W311" i="17"/>
  <c r="V311" i="17"/>
  <c r="T311" i="17"/>
  <c r="W310" i="17"/>
  <c r="V310" i="17"/>
  <c r="T310" i="17"/>
  <c r="W309" i="17"/>
  <c r="V309" i="17"/>
  <c r="T309" i="17"/>
  <c r="W308" i="17"/>
  <c r="V308" i="17"/>
  <c r="T308" i="17"/>
  <c r="W307" i="17"/>
  <c r="V307" i="17"/>
  <c r="T307" i="17"/>
  <c r="W306" i="17"/>
  <c r="V306" i="17"/>
  <c r="T306" i="17"/>
  <c r="W305" i="17"/>
  <c r="V305" i="17"/>
  <c r="T305" i="17"/>
  <c r="W304" i="17"/>
  <c r="V304" i="17"/>
  <c r="T304" i="17"/>
  <c r="W303" i="17"/>
  <c r="V303" i="17"/>
  <c r="T303" i="17"/>
  <c r="W302" i="17"/>
  <c r="V302" i="17"/>
  <c r="T302" i="17"/>
  <c r="W301" i="17"/>
  <c r="V301" i="17"/>
  <c r="T301" i="17"/>
  <c r="W300" i="17"/>
  <c r="V300" i="17"/>
  <c r="T300" i="17"/>
  <c r="W299" i="17"/>
  <c r="V299" i="17"/>
  <c r="T299" i="17"/>
  <c r="W298" i="17"/>
  <c r="V298" i="17"/>
  <c r="T298" i="17"/>
  <c r="W297" i="17"/>
  <c r="V297" i="17"/>
  <c r="T297" i="17"/>
  <c r="W296" i="17"/>
  <c r="V296" i="17"/>
  <c r="T296" i="17"/>
  <c r="W295" i="17"/>
  <c r="V295" i="17"/>
  <c r="T295" i="17"/>
  <c r="W294" i="17"/>
  <c r="V294" i="17"/>
  <c r="T294" i="17"/>
  <c r="W293" i="17"/>
  <c r="V293" i="17"/>
  <c r="T293" i="17"/>
  <c r="W292" i="17"/>
  <c r="V292" i="17"/>
  <c r="T292" i="17"/>
  <c r="W291" i="17"/>
  <c r="V291" i="17"/>
  <c r="T291" i="17"/>
  <c r="W290" i="17"/>
  <c r="V290" i="17"/>
  <c r="T290" i="17"/>
  <c r="W289" i="17"/>
  <c r="V289" i="17"/>
  <c r="T289" i="17"/>
  <c r="W288" i="17"/>
  <c r="V288" i="17"/>
  <c r="T288" i="17"/>
  <c r="W287" i="17"/>
  <c r="V287" i="17"/>
  <c r="T287" i="17"/>
  <c r="W286" i="17"/>
  <c r="V286" i="17"/>
  <c r="T286" i="17"/>
  <c r="W285" i="17"/>
  <c r="V285" i="17"/>
  <c r="T285" i="17"/>
  <c r="W284" i="17"/>
  <c r="V284" i="17"/>
  <c r="T284" i="17"/>
  <c r="W283" i="17"/>
  <c r="V283" i="17"/>
  <c r="T283" i="17"/>
  <c r="W282" i="17"/>
  <c r="V282" i="17"/>
  <c r="T282" i="17"/>
  <c r="W281" i="17"/>
  <c r="V281" i="17"/>
  <c r="T281" i="17"/>
  <c r="W280" i="17"/>
  <c r="V280" i="17"/>
  <c r="T280" i="17"/>
  <c r="W279" i="17"/>
  <c r="V279" i="17"/>
  <c r="T279" i="17"/>
  <c r="W278" i="17"/>
  <c r="V278" i="17"/>
  <c r="T278" i="17"/>
  <c r="W277" i="17"/>
  <c r="V277" i="17"/>
  <c r="T277" i="17"/>
  <c r="W276" i="17"/>
  <c r="V276" i="17"/>
  <c r="T276" i="17"/>
  <c r="W275" i="17"/>
  <c r="V275" i="17"/>
  <c r="T275" i="17"/>
  <c r="W274" i="17"/>
  <c r="V274" i="17"/>
  <c r="T274" i="17"/>
  <c r="W273" i="17"/>
  <c r="V273" i="17"/>
  <c r="T273" i="17"/>
  <c r="W272" i="17"/>
  <c r="V272" i="17"/>
  <c r="T272" i="17"/>
  <c r="W271" i="17"/>
  <c r="V271" i="17"/>
  <c r="T271" i="17"/>
  <c r="W270" i="17"/>
  <c r="V270" i="17"/>
  <c r="T270" i="17"/>
  <c r="W269" i="17"/>
  <c r="V269" i="17"/>
  <c r="T269" i="17"/>
  <c r="W268" i="17"/>
  <c r="V268" i="17"/>
  <c r="T268" i="17"/>
  <c r="W267" i="17"/>
  <c r="V267" i="17"/>
  <c r="T267" i="17"/>
  <c r="W266" i="17"/>
  <c r="V266" i="17"/>
  <c r="T266" i="17"/>
  <c r="W265" i="17"/>
  <c r="V265" i="17"/>
  <c r="T265" i="17"/>
  <c r="W264" i="17"/>
  <c r="V264" i="17"/>
  <c r="T264" i="17"/>
  <c r="W263" i="17"/>
  <c r="V263" i="17"/>
  <c r="T263" i="17"/>
  <c r="W262" i="17"/>
  <c r="V262" i="17"/>
  <c r="T262" i="17"/>
  <c r="W261" i="17"/>
  <c r="V261" i="17"/>
  <c r="T261" i="17"/>
  <c r="W260" i="17"/>
  <c r="V260" i="17"/>
  <c r="T260" i="17"/>
  <c r="W259" i="17"/>
  <c r="V259" i="17"/>
  <c r="T259" i="17"/>
  <c r="W258" i="17"/>
  <c r="V258" i="17"/>
  <c r="T258" i="17"/>
  <c r="W257" i="17"/>
  <c r="V257" i="17"/>
  <c r="W256" i="17"/>
  <c r="V256" i="17"/>
  <c r="W255" i="17"/>
  <c r="V255" i="17"/>
  <c r="W254" i="17"/>
  <c r="V254" i="17"/>
  <c r="W253" i="17"/>
  <c r="V253" i="17"/>
  <c r="W252" i="17"/>
  <c r="V252" i="17"/>
  <c r="W251" i="17"/>
  <c r="V251" i="17"/>
  <c r="W250" i="17"/>
  <c r="V250" i="17"/>
  <c r="W249" i="17"/>
  <c r="V249" i="17"/>
  <c r="W248" i="17"/>
  <c r="V248" i="17"/>
  <c r="W247" i="17"/>
  <c r="V247" i="17"/>
  <c r="W246" i="17"/>
  <c r="V246" i="17"/>
  <c r="W245" i="17"/>
  <c r="V245" i="17"/>
  <c r="W244" i="17"/>
  <c r="V244" i="17"/>
  <c r="W243" i="17"/>
  <c r="V243" i="17"/>
  <c r="W242" i="17"/>
  <c r="V242" i="17"/>
  <c r="W241" i="17"/>
  <c r="V241" i="17"/>
  <c r="W240" i="17"/>
  <c r="V240" i="17"/>
  <c r="W239" i="17"/>
  <c r="V239" i="17"/>
  <c r="W238" i="17"/>
  <c r="V238" i="17"/>
  <c r="W237" i="17"/>
  <c r="V237" i="17"/>
  <c r="W236" i="17"/>
  <c r="V236" i="17"/>
  <c r="D214" i="17"/>
  <c r="D213" i="17"/>
  <c r="D223" i="17"/>
  <c r="D225" i="17"/>
  <c r="D205" i="17"/>
  <c r="D218" i="17"/>
  <c r="D224" i="17"/>
  <c r="D204" i="17"/>
  <c r="D203" i="17"/>
  <c r="D209" i="17"/>
  <c r="D222" i="17"/>
  <c r="D206" i="17"/>
  <c r="D211" i="17"/>
  <c r="D226" i="17"/>
  <c r="D212" i="17"/>
  <c r="D207" i="17"/>
  <c r="D216" i="17"/>
  <c r="D220" i="17"/>
  <c r="D221" i="17"/>
  <c r="D215" i="17"/>
  <c r="D210" i="17"/>
  <c r="D217" i="17"/>
  <c r="D219" i="17"/>
  <c r="D208" i="17"/>
  <c r="I65" i="24" l="1"/>
  <c r="I64" i="24"/>
  <c r="H211" i="17"/>
  <c r="G214" i="17"/>
  <c r="D109" i="17"/>
  <c r="D175" i="17"/>
  <c r="G211" i="17"/>
  <c r="D128" i="17"/>
  <c r="D140" i="17"/>
  <c r="D143" i="17"/>
  <c r="D155" i="17"/>
  <c r="D170" i="17"/>
  <c r="G207" i="17"/>
  <c r="D121" i="17"/>
  <c r="D190" i="17"/>
  <c r="D108" i="17"/>
  <c r="D193" i="17"/>
  <c r="D101" i="17"/>
  <c r="D133" i="17"/>
  <c r="G215" i="17"/>
  <c r="D188" i="17"/>
  <c r="D178" i="17"/>
  <c r="D126" i="17"/>
  <c r="H213" i="17"/>
  <c r="D117" i="17"/>
  <c r="E111" i="17"/>
  <c r="D197" i="17"/>
  <c r="D198" i="17"/>
  <c r="D103" i="17"/>
  <c r="H215" i="17"/>
  <c r="D187" i="17"/>
  <c r="E118" i="17"/>
  <c r="H206" i="17"/>
  <c r="D176" i="17"/>
  <c r="G226" i="17"/>
  <c r="D119" i="17"/>
  <c r="D153" i="17"/>
  <c r="G212" i="17"/>
  <c r="D192" i="17"/>
  <c r="D123" i="17"/>
  <c r="E112" i="17"/>
  <c r="D189" i="17"/>
  <c r="D112" i="17"/>
  <c r="G208" i="17"/>
  <c r="H210" i="17"/>
  <c r="D186" i="17"/>
  <c r="E119" i="17"/>
  <c r="H223" i="17"/>
  <c r="D115" i="17"/>
  <c r="D167" i="17"/>
  <c r="D127" i="17"/>
  <c r="H203" i="17"/>
  <c r="D129" i="17"/>
  <c r="G221" i="17"/>
  <c r="E114" i="17"/>
  <c r="H209" i="17"/>
  <c r="G218" i="17"/>
  <c r="D171" i="17"/>
  <c r="D195" i="17"/>
  <c r="D157" i="17"/>
  <c r="G217" i="17"/>
  <c r="D196" i="17"/>
  <c r="H224" i="17"/>
  <c r="D174" i="17"/>
  <c r="D152" i="17"/>
  <c r="G216" i="17"/>
  <c r="G204" i="17"/>
  <c r="G203" i="17"/>
  <c r="D173" i="17"/>
  <c r="D106" i="17"/>
  <c r="D164" i="17"/>
  <c r="H221" i="17"/>
  <c r="D180" i="17"/>
  <c r="D179" i="17"/>
  <c r="D144" i="17"/>
  <c r="D102" i="17"/>
  <c r="E117" i="17"/>
  <c r="D159" i="17"/>
  <c r="G224" i="17"/>
  <c r="H218" i="17"/>
  <c r="D184" i="17"/>
  <c r="D130" i="17"/>
  <c r="D162" i="17"/>
  <c r="D122" i="17"/>
  <c r="D161" i="17"/>
  <c r="D148" i="17"/>
  <c r="D99" i="17"/>
  <c r="G210" i="17"/>
  <c r="D172" i="17"/>
  <c r="E120" i="17"/>
  <c r="D147" i="17"/>
  <c r="D160" i="17"/>
  <c r="D120" i="17"/>
  <c r="G213" i="17"/>
  <c r="H220" i="17"/>
  <c r="H225" i="17"/>
  <c r="D135" i="17"/>
  <c r="D200" i="17"/>
  <c r="D137" i="17"/>
  <c r="H217" i="17"/>
  <c r="D191" i="17"/>
  <c r="H216" i="17"/>
  <c r="H208" i="17"/>
  <c r="D182" i="17"/>
  <c r="D201" i="17"/>
  <c r="D199" i="17"/>
  <c r="D168" i="17"/>
  <c r="D97" i="17"/>
  <c r="D131" i="17"/>
  <c r="D202" i="17"/>
  <c r="D132" i="17"/>
  <c r="H205" i="17"/>
  <c r="D166" i="17"/>
  <c r="H214" i="17"/>
  <c r="D111" i="17"/>
  <c r="G220" i="17"/>
  <c r="D194" i="17"/>
  <c r="D165" i="17"/>
  <c r="H212" i="17"/>
  <c r="D154" i="17"/>
  <c r="D124" i="17"/>
  <c r="D116" i="17"/>
  <c r="D96" i="17"/>
  <c r="D169" i="17"/>
  <c r="G209" i="17"/>
  <c r="D104" i="17"/>
  <c r="G219" i="17"/>
  <c r="D136" i="17"/>
  <c r="G223" i="17"/>
  <c r="D134" i="17"/>
  <c r="D105" i="17"/>
  <c r="D185" i="17"/>
  <c r="D125" i="17"/>
  <c r="D138" i="17"/>
  <c r="D113" i="17"/>
  <c r="G205" i="17"/>
  <c r="D158" i="17"/>
  <c r="H207" i="17"/>
  <c r="D98" i="17"/>
  <c r="E101" i="17"/>
  <c r="D151" i="17"/>
  <c r="D150" i="17"/>
  <c r="H219" i="17"/>
  <c r="D156" i="17"/>
  <c r="D107" i="17"/>
  <c r="E108" i="17"/>
  <c r="D118" i="17"/>
  <c r="D139" i="17"/>
  <c r="G206" i="17"/>
  <c r="D141" i="17"/>
  <c r="D183" i="17"/>
  <c r="H222" i="17"/>
  <c r="G222" i="17"/>
  <c r="D142" i="17"/>
  <c r="D110" i="17"/>
  <c r="G225" i="17"/>
  <c r="D100" i="17"/>
  <c r="H204" i="17"/>
  <c r="D177" i="17"/>
  <c r="D146" i="17"/>
  <c r="D149" i="17"/>
  <c r="D163" i="17"/>
  <c r="D181" i="17"/>
  <c r="H226" i="17"/>
  <c r="D114" i="17"/>
  <c r="D145" i="17"/>
  <c r="F120" i="17" l="1"/>
  <c r="F118" i="17"/>
  <c r="F111" i="17"/>
  <c r="F108" i="17"/>
  <c r="F114" i="17"/>
  <c r="F101" i="17"/>
  <c r="L220" i="17"/>
  <c r="L226" i="17"/>
  <c r="L221" i="17"/>
  <c r="L204" i="17"/>
  <c r="L207" i="17"/>
  <c r="L215" i="17"/>
  <c r="L205" i="17"/>
  <c r="L225" i="17"/>
  <c r="L203" i="17"/>
  <c r="F117" i="17"/>
  <c r="L222" i="17"/>
  <c r="L218" i="17"/>
  <c r="L216" i="17"/>
  <c r="L206" i="17"/>
  <c r="L213" i="17"/>
  <c r="F119" i="17"/>
  <c r="L219" i="17"/>
  <c r="L209" i="17"/>
  <c r="F112" i="17"/>
  <c r="L217" i="17"/>
  <c r="L223" i="17"/>
  <c r="L224" i="17"/>
  <c r="L212" i="17"/>
  <c r="L210" i="17"/>
  <c r="L214" i="17"/>
  <c r="L211" i="17"/>
  <c r="L208" i="17"/>
  <c r="A12" i="17"/>
  <c r="W6" i="17"/>
  <c r="KH5" i="17"/>
  <c r="W5" i="17"/>
  <c r="KH3" i="17"/>
  <c r="D2" i="17"/>
  <c r="I220" i="17" s="1"/>
  <c r="C5" i="6"/>
  <c r="C4" i="6"/>
  <c r="BZ240" i="29"/>
  <c r="BV240" i="29"/>
  <c r="BZ239" i="29"/>
  <c r="CA239" i="29" s="1"/>
  <c r="CB239" i="29" s="1"/>
  <c r="BV239" i="29"/>
  <c r="BU238" i="29"/>
  <c r="CX237" i="29"/>
  <c r="CY237" i="29" s="1"/>
  <c r="BU237" i="29"/>
  <c r="BV237" i="29" s="1"/>
  <c r="CX236" i="29"/>
  <c r="CY236" i="29" s="1"/>
  <c r="BU236" i="29"/>
  <c r="CX235" i="29"/>
  <c r="CY235" i="29" s="1"/>
  <c r="BU235" i="29"/>
  <c r="BV235" i="29" s="1"/>
  <c r="CX234" i="29"/>
  <c r="CA234" i="29"/>
  <c r="BV234" i="29"/>
  <c r="CA233" i="29"/>
  <c r="BV233" i="29"/>
  <c r="BU232" i="29"/>
  <c r="BU231" i="29"/>
  <c r="BU230" i="29"/>
  <c r="BU229" i="29"/>
  <c r="BU228" i="29"/>
  <c r="CH217" i="29"/>
  <c r="CF217" i="29"/>
  <c r="CH216" i="29"/>
  <c r="CF216" i="29"/>
  <c r="CH215" i="29"/>
  <c r="CF215" i="29"/>
  <c r="CH214" i="29"/>
  <c r="CF214" i="29"/>
  <c r="CH213" i="29"/>
  <c r="CF213" i="29"/>
  <c r="CH212" i="29"/>
  <c r="CF212" i="29"/>
  <c r="CH211" i="29"/>
  <c r="CF211" i="29"/>
  <c r="CH210" i="29"/>
  <c r="CF210" i="29"/>
  <c r="I219" i="17" l="1"/>
  <c r="J219" i="17" s="1"/>
  <c r="M219" i="17" s="1"/>
  <c r="I207" i="17"/>
  <c r="J207" i="17" s="1"/>
  <c r="M207" i="17" s="1"/>
  <c r="I224" i="17"/>
  <c r="J224" i="17" s="1"/>
  <c r="M224" i="17" s="1"/>
  <c r="I221" i="17"/>
  <c r="J221" i="17" s="1"/>
  <c r="M221" i="17" s="1"/>
  <c r="I223" i="17"/>
  <c r="J223" i="17" s="1"/>
  <c r="M223" i="17" s="1"/>
  <c r="I222" i="17"/>
  <c r="J222" i="17" s="1"/>
  <c r="M222" i="17" s="1"/>
  <c r="I208" i="17"/>
  <c r="J208" i="17" s="1"/>
  <c r="M208" i="17" s="1"/>
  <c r="I206" i="17"/>
  <c r="J206" i="17" s="1"/>
  <c r="M206" i="17" s="1"/>
  <c r="I215" i="17"/>
  <c r="J215" i="17" s="1"/>
  <c r="M215" i="17" s="1"/>
  <c r="I211" i="17"/>
  <c r="J211" i="17" s="1"/>
  <c r="M211" i="17" s="1"/>
  <c r="BZ229" i="29"/>
  <c r="N6" i="29"/>
  <c r="L6" i="29"/>
  <c r="BV231" i="29"/>
  <c r="K6" i="29"/>
  <c r="BZ232" i="29"/>
  <c r="BV228" i="29"/>
  <c r="O6" i="29"/>
  <c r="BV230" i="29"/>
  <c r="BW230" i="29" s="1"/>
  <c r="M6" i="29"/>
  <c r="I210" i="17"/>
  <c r="J210" i="17" s="1"/>
  <c r="M210" i="17" s="1"/>
  <c r="I212" i="17"/>
  <c r="J212" i="17" s="1"/>
  <c r="M212" i="17" s="1"/>
  <c r="I225" i="17"/>
  <c r="J225" i="17" s="1"/>
  <c r="M225" i="17" s="1"/>
  <c r="I213" i="17"/>
  <c r="J213" i="17" s="1"/>
  <c r="M213" i="17" s="1"/>
  <c r="I214" i="17"/>
  <c r="J214" i="17" s="1"/>
  <c r="M214" i="17" s="1"/>
  <c r="I216" i="17"/>
  <c r="J216" i="17" s="1"/>
  <c r="M216" i="17" s="1"/>
  <c r="I218" i="17"/>
  <c r="J218" i="17" s="1"/>
  <c r="M218" i="17" s="1"/>
  <c r="I217" i="17"/>
  <c r="J217" i="17" s="1"/>
  <c r="M217" i="17" s="1"/>
  <c r="I203" i="17"/>
  <c r="J203" i="17" s="1"/>
  <c r="M203" i="17" s="1"/>
  <c r="I205" i="17"/>
  <c r="J205" i="17" s="1"/>
  <c r="M205" i="17" s="1"/>
  <c r="I209" i="17"/>
  <c r="J209" i="17" s="1"/>
  <c r="M209" i="17" s="1"/>
  <c r="I204" i="17"/>
  <c r="J204" i="17" s="1"/>
  <c r="M204" i="17" s="1"/>
  <c r="I226" i="17"/>
  <c r="J226" i="17" s="1"/>
  <c r="M226" i="17" s="1"/>
  <c r="BZ236" i="29"/>
  <c r="CB234" i="29"/>
  <c r="BZ238" i="29"/>
  <c r="J220" i="17"/>
  <c r="M220" i="17" s="1"/>
  <c r="Y61" i="29"/>
  <c r="Y60" i="29"/>
  <c r="Y59" i="29"/>
  <c r="Y58" i="29"/>
  <c r="Y57" i="29"/>
  <c r="Y56" i="29"/>
  <c r="Y55" i="29"/>
  <c r="Y54" i="29"/>
  <c r="Y53" i="29"/>
  <c r="Y52" i="29"/>
  <c r="Y51" i="29"/>
  <c r="Y50" i="29"/>
  <c r="Y49" i="29"/>
  <c r="Y48" i="29"/>
  <c r="Y47" i="29"/>
  <c r="Y46" i="29"/>
  <c r="Y45" i="29"/>
  <c r="H2" i="29"/>
  <c r="AO194" i="28"/>
  <c r="AO193" i="28"/>
  <c r="Z193" i="28"/>
  <c r="S193" i="28"/>
  <c r="Q193" i="28"/>
  <c r="H193" i="28"/>
  <c r="AO192" i="28"/>
  <c r="V6" i="29" l="1"/>
  <c r="CA232" i="29"/>
  <c r="CA229" i="29"/>
  <c r="CB229" i="29" s="1"/>
  <c r="Y6" i="29"/>
  <c r="CA238" i="29"/>
  <c r="D57" i="17"/>
  <c r="E54" i="17"/>
  <c r="D9" i="17"/>
  <c r="G103" i="17"/>
  <c r="E113" i="17"/>
  <c r="H169" i="17"/>
  <c r="H196" i="17"/>
  <c r="D76" i="17"/>
  <c r="H167" i="17"/>
  <c r="D27" i="17"/>
  <c r="G117" i="17"/>
  <c r="H158" i="17"/>
  <c r="D25" i="17"/>
  <c r="D12" i="17"/>
  <c r="D50" i="17"/>
  <c r="D90" i="17"/>
  <c r="D80" i="17"/>
  <c r="D65" i="17"/>
  <c r="E33" i="17"/>
  <c r="G108" i="17"/>
  <c r="E25" i="17"/>
  <c r="D95" i="17"/>
  <c r="D47" i="17"/>
  <c r="H172" i="17"/>
  <c r="G154" i="17"/>
  <c r="G189" i="17"/>
  <c r="D11" i="17"/>
  <c r="D85" i="17"/>
  <c r="E70" i="17"/>
  <c r="H180" i="17"/>
  <c r="D70" i="17"/>
  <c r="G123" i="17"/>
  <c r="G111" i="17"/>
  <c r="H185" i="17"/>
  <c r="D44" i="17"/>
  <c r="H145" i="17"/>
  <c r="D30" i="17"/>
  <c r="G153" i="17"/>
  <c r="G109" i="17"/>
  <c r="G139" i="17"/>
  <c r="H171" i="17"/>
  <c r="H198" i="17"/>
  <c r="G178" i="17"/>
  <c r="G173" i="17"/>
  <c r="G195" i="17"/>
  <c r="D75" i="17"/>
  <c r="G141" i="17"/>
  <c r="G110" i="17"/>
  <c r="G99" i="17"/>
  <c r="G185" i="17"/>
  <c r="G116" i="17"/>
  <c r="G191" i="17"/>
  <c r="H105" i="17"/>
  <c r="H124" i="17"/>
  <c r="E15" i="17"/>
  <c r="H104" i="17"/>
  <c r="D52" i="17"/>
  <c r="H129" i="17"/>
  <c r="G162" i="17"/>
  <c r="D10" i="17"/>
  <c r="H147" i="17"/>
  <c r="D60" i="17"/>
  <c r="H192" i="17"/>
  <c r="G163" i="17"/>
  <c r="G176" i="17"/>
  <c r="G115" i="17"/>
  <c r="D72" i="17"/>
  <c r="G194" i="17"/>
  <c r="D38" i="17"/>
  <c r="G159" i="17"/>
  <c r="G181" i="17"/>
  <c r="G145" i="17"/>
  <c r="G157" i="17"/>
  <c r="D39" i="17"/>
  <c r="G188" i="17"/>
  <c r="D94" i="17"/>
  <c r="D13" i="17"/>
  <c r="D67" i="17"/>
  <c r="H116" i="17"/>
  <c r="D15" i="17"/>
  <c r="D24" i="17"/>
  <c r="E78" i="17"/>
  <c r="D91" i="17"/>
  <c r="D42" i="17"/>
  <c r="H175" i="17"/>
  <c r="D87" i="17"/>
  <c r="G112" i="17"/>
  <c r="H199" i="17"/>
  <c r="G106" i="17"/>
  <c r="D89" i="17"/>
  <c r="H107" i="17"/>
  <c r="G132" i="17"/>
  <c r="H131" i="17"/>
  <c r="H193" i="17"/>
  <c r="D68" i="17"/>
  <c r="H115" i="17"/>
  <c r="G186" i="17"/>
  <c r="D49" i="17"/>
  <c r="D88" i="17"/>
  <c r="H133" i="17"/>
  <c r="G156" i="17"/>
  <c r="G136" i="17"/>
  <c r="G97" i="17"/>
  <c r="H134" i="17"/>
  <c r="G165" i="17"/>
  <c r="H148" i="17"/>
  <c r="D32" i="17"/>
  <c r="H106" i="17"/>
  <c r="H165" i="17"/>
  <c r="G167" i="17"/>
  <c r="G144" i="17"/>
  <c r="H195" i="17"/>
  <c r="D86" i="17"/>
  <c r="H156" i="17"/>
  <c r="H149" i="17"/>
  <c r="H201" i="17"/>
  <c r="H174" i="17"/>
  <c r="H112" i="17"/>
  <c r="H127" i="17"/>
  <c r="G131" i="17"/>
  <c r="G164" i="17"/>
  <c r="H191" i="17"/>
  <c r="H186" i="17"/>
  <c r="D51" i="17"/>
  <c r="G125" i="17"/>
  <c r="G171" i="17"/>
  <c r="D34" i="17"/>
  <c r="D14" i="17"/>
  <c r="H155" i="17"/>
  <c r="H96" i="17"/>
  <c r="D81" i="17"/>
  <c r="D31" i="17"/>
  <c r="G200" i="17"/>
  <c r="H132" i="17"/>
  <c r="D59" i="17"/>
  <c r="H181" i="17"/>
  <c r="D78" i="17"/>
  <c r="H120" i="17"/>
  <c r="E75" i="17"/>
  <c r="D71" i="17"/>
  <c r="D4" i="17"/>
  <c r="G202" i="17"/>
  <c r="H184" i="17"/>
  <c r="H152" i="17"/>
  <c r="H183" i="17"/>
  <c r="G169" i="17"/>
  <c r="H179" i="17"/>
  <c r="H161" i="17"/>
  <c r="G114" i="17"/>
  <c r="D35" i="17"/>
  <c r="E121" i="17"/>
  <c r="E53" i="17"/>
  <c r="G149" i="17"/>
  <c r="D16" i="17"/>
  <c r="H109" i="17"/>
  <c r="H136" i="17"/>
  <c r="H119" i="17"/>
  <c r="H146" i="17"/>
  <c r="G180" i="17"/>
  <c r="G101" i="17"/>
  <c r="G126" i="17"/>
  <c r="H140" i="17"/>
  <c r="H99" i="17"/>
  <c r="G161" i="17"/>
  <c r="E44" i="17"/>
  <c r="H111" i="17"/>
  <c r="G170" i="17"/>
  <c r="H123" i="17"/>
  <c r="E4" i="17"/>
  <c r="G100" i="17"/>
  <c r="G155" i="17"/>
  <c r="D92" i="17"/>
  <c r="G158" i="17"/>
  <c r="H170" i="17"/>
  <c r="E71" i="17"/>
  <c r="H142" i="17"/>
  <c r="H168" i="17"/>
  <c r="E81" i="17"/>
  <c r="D64" i="17"/>
  <c r="D74" i="17"/>
  <c r="D17" i="17"/>
  <c r="G119" i="17"/>
  <c r="D36" i="17"/>
  <c r="G140" i="17"/>
  <c r="G127" i="17"/>
  <c r="H157" i="17"/>
  <c r="H103" i="17"/>
  <c r="D84" i="17"/>
  <c r="G172" i="17"/>
  <c r="H117" i="17"/>
  <c r="D62" i="17"/>
  <c r="G166" i="17"/>
  <c r="E66" i="17"/>
  <c r="G148" i="17"/>
  <c r="G130" i="17"/>
  <c r="E77" i="17"/>
  <c r="H164" i="17"/>
  <c r="G179" i="17"/>
  <c r="D40" i="17"/>
  <c r="H98" i="17"/>
  <c r="D63" i="17"/>
  <c r="E102" i="17"/>
  <c r="H163" i="17"/>
  <c r="E65" i="17"/>
  <c r="G137" i="17"/>
  <c r="H100" i="17"/>
  <c r="G152" i="17"/>
  <c r="D69" i="17"/>
  <c r="H122" i="17"/>
  <c r="H166" i="17"/>
  <c r="G120" i="17"/>
  <c r="D79" i="17"/>
  <c r="D37" i="17"/>
  <c r="D22" i="17"/>
  <c r="H101" i="17"/>
  <c r="D55" i="17"/>
  <c r="H102" i="17"/>
  <c r="G146" i="17"/>
  <c r="G134" i="17"/>
  <c r="D29" i="17"/>
  <c r="H188" i="17"/>
  <c r="D7" i="17"/>
  <c r="G184" i="17"/>
  <c r="G105" i="17"/>
  <c r="G96" i="17"/>
  <c r="H143" i="17"/>
  <c r="D56" i="17"/>
  <c r="D82" i="17"/>
  <c r="D21" i="17"/>
  <c r="G168" i="17"/>
  <c r="G197" i="17"/>
  <c r="D28" i="17"/>
  <c r="G107" i="17"/>
  <c r="D6" i="17"/>
  <c r="G177" i="17"/>
  <c r="H159" i="17"/>
  <c r="D73" i="17"/>
  <c r="G124" i="17"/>
  <c r="G198" i="17"/>
  <c r="H114" i="17"/>
  <c r="E72" i="17"/>
  <c r="H113" i="17"/>
  <c r="H144" i="17"/>
  <c r="H130" i="17"/>
  <c r="G113" i="17"/>
  <c r="G118" i="17"/>
  <c r="E28" i="17"/>
  <c r="D77" i="17"/>
  <c r="H176" i="17"/>
  <c r="H139" i="17"/>
  <c r="H150" i="17"/>
  <c r="D45" i="17"/>
  <c r="H190" i="17"/>
  <c r="G175" i="17"/>
  <c r="H118" i="17"/>
  <c r="G135" i="17"/>
  <c r="G128" i="17"/>
  <c r="D58" i="17"/>
  <c r="AE193" i="28"/>
  <c r="D26" i="17"/>
  <c r="H141" i="17"/>
  <c r="E115" i="17"/>
  <c r="H200" i="17"/>
  <c r="G196" i="17"/>
  <c r="D66" i="17"/>
  <c r="H137" i="17"/>
  <c r="H173" i="17"/>
  <c r="H110" i="17"/>
  <c r="G160" i="17"/>
  <c r="D33" i="17"/>
  <c r="G102" i="17"/>
  <c r="D8" i="17"/>
  <c r="E36" i="17"/>
  <c r="H162" i="17"/>
  <c r="H202" i="17"/>
  <c r="D83" i="17"/>
  <c r="G201" i="17"/>
  <c r="G174" i="17"/>
  <c r="H194" i="17"/>
  <c r="H160" i="17"/>
  <c r="E46" i="17"/>
  <c r="D53" i="17"/>
  <c r="H128" i="17"/>
  <c r="H125" i="17"/>
  <c r="H108" i="17"/>
  <c r="G190" i="17"/>
  <c r="G182" i="17"/>
  <c r="G129" i="17"/>
  <c r="G122" i="17"/>
  <c r="E55" i="17"/>
  <c r="H135" i="17"/>
  <c r="E109" i="17"/>
  <c r="D18" i="17"/>
  <c r="G193" i="17"/>
  <c r="D5" i="17"/>
  <c r="G192" i="17"/>
  <c r="G199" i="17"/>
  <c r="H197" i="17"/>
  <c r="D43" i="17"/>
  <c r="D93" i="17"/>
  <c r="G121" i="17"/>
  <c r="D46" i="17"/>
  <c r="H154" i="17"/>
  <c r="G98" i="17"/>
  <c r="H126" i="17"/>
  <c r="H187" i="17"/>
  <c r="H182" i="17"/>
  <c r="G143" i="17"/>
  <c r="D54" i="17"/>
  <c r="H189" i="17"/>
  <c r="H178" i="17"/>
  <c r="G187" i="17"/>
  <c r="D48" i="17"/>
  <c r="E59" i="17"/>
  <c r="G133" i="17"/>
  <c r="H151" i="17"/>
  <c r="H138" i="17"/>
  <c r="G183" i="17"/>
  <c r="H177" i="17"/>
  <c r="G150" i="17"/>
  <c r="H153" i="17"/>
  <c r="D23" i="17"/>
  <c r="D19" i="17"/>
  <c r="G151" i="17"/>
  <c r="D61" i="17"/>
  <c r="D20" i="17"/>
  <c r="G147" i="17"/>
  <c r="G142" i="17"/>
  <c r="H97" i="17"/>
  <c r="D41" i="17"/>
  <c r="G104" i="17"/>
  <c r="G138" i="17"/>
  <c r="H121" i="17"/>
  <c r="I154" i="17" l="1"/>
  <c r="J154" i="17" s="1"/>
  <c r="I188" i="17"/>
  <c r="J188" i="17" s="1"/>
  <c r="F44" i="17"/>
  <c r="F59" i="17"/>
  <c r="I149" i="17"/>
  <c r="J149" i="17" s="1"/>
  <c r="L198" i="17"/>
  <c r="L142" i="17"/>
  <c r="L156" i="17"/>
  <c r="F115" i="17"/>
  <c r="I122" i="17"/>
  <c r="J122" i="17" s="1"/>
  <c r="L151" i="17"/>
  <c r="I159" i="17"/>
  <c r="J159" i="17" s="1"/>
  <c r="I151" i="17"/>
  <c r="J151" i="17" s="1"/>
  <c r="I168" i="17"/>
  <c r="J168" i="17" s="1"/>
  <c r="I131" i="17"/>
  <c r="J131" i="17" s="1"/>
  <c r="I145" i="17"/>
  <c r="J145" i="17" s="1"/>
  <c r="I138" i="17"/>
  <c r="J138" i="17" s="1"/>
  <c r="I170" i="17"/>
  <c r="J170" i="17" s="1"/>
  <c r="I139" i="17"/>
  <c r="J139" i="17" s="1"/>
  <c r="F54" i="17"/>
  <c r="L173" i="17"/>
  <c r="L182" i="17"/>
  <c r="L127" i="17"/>
  <c r="L148" i="17"/>
  <c r="I125" i="17"/>
  <c r="J125" i="17" s="1"/>
  <c r="F109" i="17"/>
  <c r="F72" i="17"/>
  <c r="I161" i="17"/>
  <c r="J161" i="17" s="1"/>
  <c r="L170" i="17"/>
  <c r="L101" i="17"/>
  <c r="I184" i="17"/>
  <c r="J184" i="17" s="1"/>
  <c r="L130" i="17"/>
  <c r="L149" i="17"/>
  <c r="F33" i="17"/>
  <c r="L180" i="17"/>
  <c r="F102" i="17"/>
  <c r="I180" i="17"/>
  <c r="J180" i="17" s="1"/>
  <c r="I189" i="17"/>
  <c r="J189" i="17" s="1"/>
  <c r="L162" i="17"/>
  <c r="I158" i="17"/>
  <c r="J158" i="17" s="1"/>
  <c r="I191" i="17"/>
  <c r="J191" i="17" s="1"/>
  <c r="L158" i="17"/>
  <c r="L196" i="17"/>
  <c r="L179" i="17"/>
  <c r="L147" i="17"/>
  <c r="I130" i="17"/>
  <c r="J130" i="17" s="1"/>
  <c r="L123" i="17"/>
  <c r="F113" i="17"/>
  <c r="L145" i="17"/>
  <c r="I140" i="17"/>
  <c r="J140" i="17" s="1"/>
  <c r="I137" i="17"/>
  <c r="J137" i="17" s="1"/>
  <c r="L199" i="17"/>
  <c r="L109" i="17"/>
  <c r="L129" i="17"/>
  <c r="L102" i="17"/>
  <c r="L197" i="17"/>
  <c r="L177" i="17"/>
  <c r="L121" i="17"/>
  <c r="I193" i="17"/>
  <c r="J193" i="17" s="1"/>
  <c r="F71" i="17"/>
  <c r="L113" i="17"/>
  <c r="F15" i="17"/>
  <c r="L185" i="17"/>
  <c r="I183" i="17"/>
  <c r="J183" i="17" s="1"/>
  <c r="L146" i="17"/>
  <c r="L125" i="17"/>
  <c r="I123" i="17"/>
  <c r="J123" i="17" s="1"/>
  <c r="I126" i="17"/>
  <c r="J126" i="17" s="1"/>
  <c r="L112" i="17"/>
  <c r="L137" i="17"/>
  <c r="F66" i="17"/>
  <c r="L133" i="17"/>
  <c r="L119" i="17"/>
  <c r="I171" i="17"/>
  <c r="J171" i="17" s="1"/>
  <c r="I129" i="17"/>
  <c r="J129" i="17" s="1"/>
  <c r="L131" i="17"/>
  <c r="L105" i="17"/>
  <c r="L99" i="17"/>
  <c r="I182" i="17"/>
  <c r="J182" i="17" s="1"/>
  <c r="L115" i="17"/>
  <c r="I128" i="17"/>
  <c r="J128" i="17" s="1"/>
  <c r="I153" i="17"/>
  <c r="J153" i="17" s="1"/>
  <c r="L194" i="17"/>
  <c r="I196" i="17"/>
  <c r="J196" i="17" s="1"/>
  <c r="I163" i="17"/>
  <c r="J163" i="17" s="1"/>
  <c r="L190" i="17"/>
  <c r="L96" i="17"/>
  <c r="I150" i="17"/>
  <c r="J150" i="17" s="1"/>
  <c r="L136" i="17"/>
  <c r="L188" i="17"/>
  <c r="I165" i="17"/>
  <c r="J165" i="17" s="1"/>
  <c r="F78" i="17"/>
  <c r="I141" i="17"/>
  <c r="J141" i="17" s="1"/>
  <c r="L168" i="17"/>
  <c r="I199" i="17"/>
  <c r="J199" i="17" s="1"/>
  <c r="I146" i="17"/>
  <c r="J146" i="17" s="1"/>
  <c r="I143" i="17"/>
  <c r="J143" i="17" s="1"/>
  <c r="I186" i="17"/>
  <c r="J186" i="17" s="1"/>
  <c r="I134" i="17"/>
  <c r="J134" i="17" s="1"/>
  <c r="I169" i="17"/>
  <c r="J169" i="17" s="1"/>
  <c r="L111" i="17"/>
  <c r="F53" i="17"/>
  <c r="I132" i="17"/>
  <c r="J132" i="17" s="1"/>
  <c r="L104" i="17"/>
  <c r="I174" i="17"/>
  <c r="J174" i="17" s="1"/>
  <c r="L144" i="17"/>
  <c r="I142" i="17"/>
  <c r="J142" i="17" s="1"/>
  <c r="L159" i="17"/>
  <c r="L126" i="17"/>
  <c r="L178" i="17"/>
  <c r="L184" i="17"/>
  <c r="L150" i="17"/>
  <c r="I200" i="17"/>
  <c r="J200" i="17" s="1"/>
  <c r="I152" i="17"/>
  <c r="J152" i="17" s="1"/>
  <c r="L107" i="17"/>
  <c r="F77" i="17"/>
  <c r="I187" i="17"/>
  <c r="J187" i="17" s="1"/>
  <c r="L186" i="17"/>
  <c r="L114" i="17"/>
  <c r="L164" i="17"/>
  <c r="L116" i="17"/>
  <c r="L176" i="17"/>
  <c r="I201" i="17"/>
  <c r="J201" i="17" s="1"/>
  <c r="F55" i="17"/>
  <c r="L166" i="17"/>
  <c r="L128" i="17"/>
  <c r="L192" i="17"/>
  <c r="L200" i="17"/>
  <c r="L117" i="17"/>
  <c r="L155" i="17"/>
  <c r="F36" i="17"/>
  <c r="I155" i="17"/>
  <c r="J155" i="17" s="1"/>
  <c r="L174" i="17"/>
  <c r="I177" i="17"/>
  <c r="J177" i="17" s="1"/>
  <c r="I135" i="17"/>
  <c r="J135" i="17" s="1"/>
  <c r="L167" i="17"/>
  <c r="I195" i="17"/>
  <c r="J195" i="17" s="1"/>
  <c r="L153" i="17"/>
  <c r="L183" i="17"/>
  <c r="L165" i="17"/>
  <c r="F70" i="17"/>
  <c r="I190" i="17"/>
  <c r="J190" i="17" s="1"/>
  <c r="L189" i="17"/>
  <c r="I156" i="17"/>
  <c r="J156" i="17" s="1"/>
  <c r="F121" i="17"/>
  <c r="I179" i="17"/>
  <c r="J179" i="17" s="1"/>
  <c r="L187" i="17"/>
  <c r="L98" i="17"/>
  <c r="L108" i="17"/>
  <c r="I178" i="17"/>
  <c r="J178" i="17" s="1"/>
  <c r="F65" i="17"/>
  <c r="L175" i="17"/>
  <c r="L193" i="17"/>
  <c r="L97" i="17"/>
  <c r="I202" i="17"/>
  <c r="J202" i="17" s="1"/>
  <c r="I185" i="17"/>
  <c r="J185" i="17" s="1"/>
  <c r="I175" i="17"/>
  <c r="J175" i="17" s="1"/>
  <c r="I144" i="17"/>
  <c r="J144" i="17" s="1"/>
  <c r="L103" i="17"/>
  <c r="L110" i="17"/>
  <c r="L202" i="17"/>
  <c r="L122" i="17"/>
  <c r="I198" i="17"/>
  <c r="J198" i="17" s="1"/>
  <c r="L139" i="17"/>
  <c r="L141" i="17"/>
  <c r="L152" i="17"/>
  <c r="L195" i="17"/>
  <c r="F75" i="17"/>
  <c r="I136" i="17"/>
  <c r="J136" i="17" s="1"/>
  <c r="I127" i="17"/>
  <c r="J127" i="17" s="1"/>
  <c r="L100" i="17"/>
  <c r="L157" i="17"/>
  <c r="L134" i="17"/>
  <c r="L124" i="17"/>
  <c r="I172" i="17"/>
  <c r="J172" i="17" s="1"/>
  <c r="L138" i="17"/>
  <c r="L154" i="17"/>
  <c r="F4" i="17"/>
  <c r="L135" i="17"/>
  <c r="I157" i="17"/>
  <c r="J157" i="17" s="1"/>
  <c r="I124" i="17"/>
  <c r="J124" i="17" s="1"/>
  <c r="L169" i="17"/>
  <c r="I166" i="17"/>
  <c r="J166" i="17" s="1"/>
  <c r="L132" i="17"/>
  <c r="F25" i="17"/>
  <c r="I162" i="17"/>
  <c r="J162" i="17" s="1"/>
  <c r="I147" i="17"/>
  <c r="J147" i="17" s="1"/>
  <c r="I192" i="17"/>
  <c r="J192" i="17" s="1"/>
  <c r="L191" i="17"/>
  <c r="L163" i="17"/>
  <c r="F28" i="17"/>
  <c r="I160" i="17"/>
  <c r="J160" i="17" s="1"/>
  <c r="I194" i="17"/>
  <c r="J194" i="17" s="1"/>
  <c r="L140" i="17"/>
  <c r="L118" i="17"/>
  <c r="L160" i="17"/>
  <c r="L106" i="17"/>
  <c r="F81" i="17"/>
  <c r="I176" i="17"/>
  <c r="J176" i="17" s="1"/>
  <c r="L161" i="17"/>
  <c r="I164" i="17"/>
  <c r="J164" i="17" s="1"/>
  <c r="I197" i="17"/>
  <c r="J197" i="17" s="1"/>
  <c r="I167" i="17"/>
  <c r="J167" i="17" s="1"/>
  <c r="L143" i="17"/>
  <c r="F46" i="17"/>
  <c r="L120" i="17"/>
  <c r="L171" i="17"/>
  <c r="I173" i="17"/>
  <c r="J173" i="17" s="1"/>
  <c r="L172" i="17"/>
  <c r="L201" i="17"/>
  <c r="I181" i="17"/>
  <c r="J181" i="17" s="1"/>
  <c r="L181" i="17"/>
  <c r="I148" i="17"/>
  <c r="J148" i="17" s="1"/>
  <c r="I133" i="17"/>
  <c r="J133" i="17" s="1"/>
  <c r="H87" i="17"/>
  <c r="H31" i="17"/>
  <c r="H59" i="17"/>
  <c r="G30" i="17"/>
  <c r="G84" i="17"/>
  <c r="G69" i="17"/>
  <c r="H82" i="17"/>
  <c r="H71" i="17"/>
  <c r="G44" i="17"/>
  <c r="G51" i="17"/>
  <c r="G22" i="17"/>
  <c r="G27" i="17"/>
  <c r="E122" i="17"/>
  <c r="G80" i="17"/>
  <c r="H20" i="17"/>
  <c r="H10" i="17"/>
  <c r="H69" i="17"/>
  <c r="G41" i="17"/>
  <c r="G72" i="17"/>
  <c r="G52" i="17"/>
  <c r="E16" i="17"/>
  <c r="G12" i="17"/>
  <c r="H48" i="17"/>
  <c r="G60" i="17"/>
  <c r="H89" i="17"/>
  <c r="H27" i="17"/>
  <c r="G54" i="17"/>
  <c r="H60" i="17"/>
  <c r="E56" i="17"/>
  <c r="H26" i="17"/>
  <c r="E67" i="17"/>
  <c r="G8" i="17"/>
  <c r="G49" i="17"/>
  <c r="H83" i="17"/>
  <c r="G43" i="17"/>
  <c r="G59" i="17"/>
  <c r="G33" i="17"/>
  <c r="H17" i="17"/>
  <c r="H57" i="17"/>
  <c r="H36" i="17"/>
  <c r="G58" i="17"/>
  <c r="H51" i="17"/>
  <c r="G32" i="17"/>
  <c r="G13" i="17"/>
  <c r="G23" i="17"/>
  <c r="H29" i="17"/>
  <c r="G10" i="17"/>
  <c r="E47" i="17"/>
  <c r="G34" i="17"/>
  <c r="H22" i="17"/>
  <c r="H43" i="17"/>
  <c r="H61" i="17"/>
  <c r="G78" i="17"/>
  <c r="H32" i="17"/>
  <c r="H63" i="17"/>
  <c r="H4" i="17"/>
  <c r="G71" i="17"/>
  <c r="G74" i="17"/>
  <c r="E34" i="17"/>
  <c r="H38" i="17"/>
  <c r="H86" i="17"/>
  <c r="H81" i="17"/>
  <c r="G89" i="17"/>
  <c r="H49" i="17"/>
  <c r="G91" i="17"/>
  <c r="H13" i="17"/>
  <c r="H47" i="17"/>
  <c r="G61" i="17"/>
  <c r="G9" i="17"/>
  <c r="G46" i="17"/>
  <c r="G7" i="17"/>
  <c r="G20" i="17"/>
  <c r="G39" i="17"/>
  <c r="G62" i="17"/>
  <c r="G56" i="17"/>
  <c r="H52" i="17"/>
  <c r="H92" i="17"/>
  <c r="H91" i="17"/>
  <c r="G45" i="17"/>
  <c r="H88" i="17"/>
  <c r="E79" i="17"/>
  <c r="G64" i="17"/>
  <c r="G36" i="17"/>
  <c r="H37" i="17"/>
  <c r="H77" i="17"/>
  <c r="H30" i="17"/>
  <c r="G37" i="17"/>
  <c r="H95" i="17"/>
  <c r="E116" i="17"/>
  <c r="H70" i="17"/>
  <c r="G28" i="17"/>
  <c r="H23" i="17"/>
  <c r="G55" i="17"/>
  <c r="G35" i="17"/>
  <c r="E73" i="17"/>
  <c r="H7" i="17"/>
  <c r="E26" i="17"/>
  <c r="H6" i="17"/>
  <c r="E60" i="17"/>
  <c r="G29" i="17"/>
  <c r="G21" i="17"/>
  <c r="G6" i="17"/>
  <c r="G87" i="17"/>
  <c r="G63" i="17"/>
  <c r="G81" i="17"/>
  <c r="H5" i="17"/>
  <c r="H53" i="17"/>
  <c r="G77" i="17"/>
  <c r="H66" i="17"/>
  <c r="H67" i="17"/>
  <c r="H85" i="17"/>
  <c r="G94" i="17"/>
  <c r="H16" i="17"/>
  <c r="G79" i="17"/>
  <c r="H28" i="17"/>
  <c r="G15" i="17"/>
  <c r="E5" i="17"/>
  <c r="G16" i="17"/>
  <c r="H9" i="17"/>
  <c r="H21" i="17"/>
  <c r="E103" i="17"/>
  <c r="G24" i="17"/>
  <c r="H33" i="17"/>
  <c r="H15" i="17"/>
  <c r="H42" i="17"/>
  <c r="G70" i="17"/>
  <c r="H62" i="17"/>
  <c r="G40" i="17"/>
  <c r="G57" i="17"/>
  <c r="H8" i="17"/>
  <c r="H18" i="17"/>
  <c r="G68" i="17"/>
  <c r="G17" i="17"/>
  <c r="G82" i="17"/>
  <c r="H11" i="17"/>
  <c r="G75" i="17"/>
  <c r="H64" i="17"/>
  <c r="H24" i="17"/>
  <c r="G65" i="17"/>
  <c r="G25" i="17"/>
  <c r="H45" i="17"/>
  <c r="H19" i="17"/>
  <c r="H75" i="17"/>
  <c r="H74" i="17"/>
  <c r="H34" i="17"/>
  <c r="G38" i="17"/>
  <c r="G90" i="17"/>
  <c r="H54" i="17"/>
  <c r="G76" i="17"/>
  <c r="E76" i="17"/>
  <c r="G66" i="17"/>
  <c r="E82" i="17"/>
  <c r="G85" i="17"/>
  <c r="H84" i="17"/>
  <c r="G47" i="17"/>
  <c r="H73" i="17"/>
  <c r="E37" i="17"/>
  <c r="G19" i="17"/>
  <c r="G18" i="17"/>
  <c r="H50" i="17"/>
  <c r="H93" i="17"/>
  <c r="E110" i="17"/>
  <c r="G73" i="17"/>
  <c r="H40" i="17"/>
  <c r="H79" i="17"/>
  <c r="G67" i="17"/>
  <c r="H12" i="17"/>
  <c r="H55" i="17"/>
  <c r="G50" i="17"/>
  <c r="H90" i="17"/>
  <c r="G14" i="17"/>
  <c r="H44" i="17"/>
  <c r="G5" i="17"/>
  <c r="H39" i="17"/>
  <c r="G86" i="17"/>
  <c r="G11" i="17"/>
  <c r="G31" i="17"/>
  <c r="G92" i="17"/>
  <c r="G26" i="17"/>
  <c r="H14" i="17"/>
  <c r="H41" i="17"/>
  <c r="H65" i="17"/>
  <c r="E45" i="17"/>
  <c r="H80" i="17"/>
  <c r="G53" i="17"/>
  <c r="H94" i="17"/>
  <c r="H25" i="17"/>
  <c r="G48" i="17"/>
  <c r="H72" i="17"/>
  <c r="H46" i="17"/>
  <c r="H56" i="17"/>
  <c r="H35" i="17"/>
  <c r="H68" i="17"/>
  <c r="E29" i="17"/>
  <c r="G93" i="17"/>
  <c r="G4" i="17"/>
  <c r="G42" i="17"/>
  <c r="G95" i="17"/>
  <c r="H76" i="17"/>
  <c r="H78" i="17"/>
  <c r="G88" i="17"/>
  <c r="G83" i="17"/>
  <c r="H58" i="17"/>
  <c r="F45" i="17" l="1"/>
  <c r="F67" i="17"/>
  <c r="M140" i="17"/>
  <c r="F56" i="17"/>
  <c r="F82" i="17"/>
  <c r="F122" i="17"/>
  <c r="M187" i="17"/>
  <c r="F73" i="17"/>
  <c r="F47" i="17"/>
  <c r="F110" i="17"/>
  <c r="F103" i="17"/>
  <c r="F76" i="17"/>
  <c r="F5" i="17"/>
  <c r="M141" i="17"/>
  <c r="F116" i="17"/>
  <c r="F60" i="17"/>
  <c r="F79" i="17"/>
  <c r="F37" i="17"/>
  <c r="F34" i="17"/>
  <c r="F16" i="17"/>
  <c r="F29" i="17"/>
  <c r="F26" i="17"/>
  <c r="M195" i="17"/>
  <c r="M159" i="17"/>
  <c r="M125" i="17"/>
  <c r="M142" i="17"/>
  <c r="M148" i="17"/>
  <c r="M122" i="17"/>
  <c r="M173" i="17"/>
  <c r="M164" i="17"/>
  <c r="M189" i="17"/>
  <c r="M197" i="17"/>
  <c r="M186" i="17"/>
  <c r="M154" i="17"/>
  <c r="M177" i="17"/>
  <c r="M147" i="17"/>
  <c r="M185" i="17"/>
  <c r="M162" i="17"/>
  <c r="M156" i="17"/>
  <c r="M166" i="17"/>
  <c r="M201" i="17"/>
  <c r="M128" i="17"/>
  <c r="M135" i="17"/>
  <c r="M190" i="17"/>
  <c r="M168" i="17"/>
  <c r="M131" i="17"/>
  <c r="M137" i="17"/>
  <c r="M174" i="17"/>
  <c r="M188" i="17"/>
  <c r="M176" i="17"/>
  <c r="M175" i="17"/>
  <c r="M129" i="17"/>
  <c r="M202" i="17"/>
  <c r="M170" i="17"/>
  <c r="M133" i="17"/>
  <c r="M163" i="17"/>
  <c r="M132" i="17"/>
  <c r="M157" i="17"/>
  <c r="M152" i="17"/>
  <c r="M155" i="17"/>
  <c r="M139" i="17"/>
  <c r="M146" i="17"/>
  <c r="M193" i="17"/>
  <c r="M123" i="17"/>
  <c r="M191" i="17"/>
  <c r="M180" i="17"/>
  <c r="M151" i="17"/>
  <c r="M149" i="17"/>
  <c r="M153" i="17"/>
  <c r="M158" i="17"/>
  <c r="M145" i="17"/>
  <c r="M199" i="17"/>
  <c r="M181" i="17"/>
  <c r="M161" i="17"/>
  <c r="M138" i="17"/>
  <c r="M178" i="17"/>
  <c r="M194" i="17"/>
  <c r="M136" i="17"/>
  <c r="M172" i="17"/>
  <c r="M144" i="17"/>
  <c r="M134" i="17"/>
  <c r="M167" i="17"/>
  <c r="M126" i="17"/>
  <c r="M160" i="17"/>
  <c r="M124" i="17"/>
  <c r="M196" i="17"/>
  <c r="M198" i="17"/>
  <c r="M150" i="17"/>
  <c r="M183" i="17"/>
  <c r="M182" i="17"/>
  <c r="M169" i="17"/>
  <c r="M165" i="17"/>
  <c r="M200" i="17"/>
  <c r="M171" i="17"/>
  <c r="M179" i="17"/>
  <c r="M130" i="17"/>
  <c r="L93" i="17"/>
  <c r="L8" i="17"/>
  <c r="L64" i="17"/>
  <c r="L86" i="17"/>
  <c r="L89" i="17"/>
  <c r="L29" i="17"/>
  <c r="L88" i="17"/>
  <c r="L79" i="17"/>
  <c r="L18" i="17"/>
  <c r="L55" i="17"/>
  <c r="L24" i="17"/>
  <c r="L34" i="17"/>
  <c r="L94" i="17"/>
  <c r="L15" i="17"/>
  <c r="L82" i="17"/>
  <c r="L90" i="17"/>
  <c r="L13" i="17"/>
  <c r="L68" i="17"/>
  <c r="L54" i="17"/>
  <c r="L44" i="17"/>
  <c r="L60" i="17"/>
  <c r="L14" i="17"/>
  <c r="L11" i="17"/>
  <c r="L50" i="17"/>
  <c r="L46" i="17"/>
  <c r="L81" i="17"/>
  <c r="L85" i="17"/>
  <c r="L27" i="17"/>
  <c r="L74" i="17"/>
  <c r="L36" i="17"/>
  <c r="L9" i="17"/>
  <c r="I80" i="17"/>
  <c r="J80" i="17" s="1"/>
  <c r="L84" i="17"/>
  <c r="L19" i="17"/>
  <c r="I14" i="17"/>
  <c r="J14" i="17" s="1"/>
  <c r="L38" i="17"/>
  <c r="L72" i="17"/>
  <c r="L10" i="17"/>
  <c r="L4" i="17"/>
  <c r="L80" i="17"/>
  <c r="L66" i="17"/>
  <c r="L31" i="17"/>
  <c r="L33" i="17"/>
  <c r="L41" i="17"/>
  <c r="L40" i="17"/>
  <c r="L28" i="17"/>
  <c r="L25" i="17"/>
  <c r="L32" i="17"/>
  <c r="L67" i="17"/>
  <c r="L47" i="17"/>
  <c r="L48" i="17"/>
  <c r="L5" i="17"/>
  <c r="L77" i="17"/>
  <c r="L39" i="17"/>
  <c r="L83" i="17"/>
  <c r="L22" i="17"/>
  <c r="L58" i="17"/>
  <c r="L76" i="17"/>
  <c r="L26" i="17"/>
  <c r="L95" i="17"/>
  <c r="L62" i="17"/>
  <c r="L92" i="17"/>
  <c r="L42" i="17"/>
  <c r="L49" i="17"/>
  <c r="L59" i="17"/>
  <c r="L73" i="17"/>
  <c r="L65" i="17"/>
  <c r="L17" i="17"/>
  <c r="L71" i="17"/>
  <c r="L35" i="17"/>
  <c r="L56" i="17"/>
  <c r="I32" i="17"/>
  <c r="J32" i="17" s="1"/>
  <c r="L6" i="17"/>
  <c r="L70" i="17"/>
  <c r="L53" i="17"/>
  <c r="L57" i="17"/>
  <c r="L12" i="17"/>
  <c r="L91" i="17"/>
  <c r="L16" i="17"/>
  <c r="L20" i="17"/>
  <c r="L61" i="17"/>
  <c r="L7" i="17"/>
  <c r="L45" i="17"/>
  <c r="L63" i="17"/>
  <c r="L21" i="17"/>
  <c r="L52" i="17"/>
  <c r="L37" i="17"/>
  <c r="L51" i="17"/>
  <c r="L75" i="17"/>
  <c r="L23" i="17"/>
  <c r="L43" i="17"/>
  <c r="L69" i="17"/>
  <c r="L30" i="17"/>
  <c r="L78" i="17"/>
  <c r="L87" i="17"/>
  <c r="M143" i="17"/>
  <c r="E17" i="17"/>
  <c r="E80" i="17"/>
  <c r="E104" i="17"/>
  <c r="E27" i="17"/>
  <c r="E57" i="17"/>
  <c r="E35" i="17"/>
  <c r="E68" i="17"/>
  <c r="E38" i="17"/>
  <c r="E61" i="17"/>
  <c r="E48" i="17"/>
  <c r="E74" i="17"/>
  <c r="E6" i="17"/>
  <c r="E83" i="17"/>
  <c r="E30" i="17"/>
  <c r="E123" i="17"/>
  <c r="F83" i="17" l="1"/>
  <c r="F68" i="17"/>
  <c r="F27" i="17"/>
  <c r="F38" i="17"/>
  <c r="F57" i="17"/>
  <c r="F74" i="17"/>
  <c r="F123" i="17"/>
  <c r="F6" i="17"/>
  <c r="F30" i="17"/>
  <c r="F80" i="17"/>
  <c r="F48" i="17"/>
  <c r="F61" i="17"/>
  <c r="F104" i="17"/>
  <c r="F35" i="17"/>
  <c r="F17" i="17"/>
  <c r="M80" i="17"/>
  <c r="M14" i="17"/>
  <c r="M32" i="17"/>
  <c r="E49" i="17"/>
  <c r="E105" i="17"/>
  <c r="E84" i="17"/>
  <c r="E69" i="17"/>
  <c r="E62" i="17"/>
  <c r="E39" i="17"/>
  <c r="E124" i="17"/>
  <c r="E7" i="17"/>
  <c r="E31" i="17"/>
  <c r="E18" i="17"/>
  <c r="E58" i="17"/>
  <c r="F69" i="17" l="1"/>
  <c r="F39" i="17"/>
  <c r="F84" i="17"/>
  <c r="F58" i="17"/>
  <c r="F7" i="17"/>
  <c r="F124" i="17"/>
  <c r="F31" i="17"/>
  <c r="F105" i="17"/>
  <c r="F49" i="17"/>
  <c r="F62" i="17"/>
  <c r="F18" i="17"/>
  <c r="E40" i="17"/>
  <c r="E32" i="17"/>
  <c r="E125" i="17"/>
  <c r="E50" i="17"/>
  <c r="E106" i="17"/>
  <c r="E63" i="17"/>
  <c r="E8" i="17"/>
  <c r="E19" i="17"/>
  <c r="E85" i="17"/>
  <c r="F85" i="17" l="1"/>
  <c r="F40" i="17"/>
  <c r="F8" i="17"/>
  <c r="F125" i="17"/>
  <c r="F106" i="17"/>
  <c r="F32" i="17"/>
  <c r="F50" i="17"/>
  <c r="F63" i="17"/>
  <c r="F19" i="17"/>
  <c r="E41" i="17"/>
  <c r="E9" i="17"/>
  <c r="E64" i="17"/>
  <c r="E126" i="17"/>
  <c r="E86" i="17"/>
  <c r="E51" i="17"/>
  <c r="E107" i="17"/>
  <c r="E20" i="17"/>
  <c r="F86" i="17" l="1"/>
  <c r="F41" i="17"/>
  <c r="F126" i="17"/>
  <c r="F9" i="17"/>
  <c r="F107" i="17"/>
  <c r="F20" i="17"/>
  <c r="F64" i="17"/>
  <c r="F51" i="17"/>
  <c r="AX191" i="28"/>
  <c r="AO191" i="28"/>
  <c r="AN191" i="28" s="1"/>
  <c r="AM191" i="28" s="1"/>
  <c r="S191" i="28"/>
  <c r="Q191" i="28"/>
  <c r="H191" i="28"/>
  <c r="AX186" i="28"/>
  <c r="AO186" i="28"/>
  <c r="AN186" i="28" s="1"/>
  <c r="AM186" i="28" s="1"/>
  <c r="S186" i="28"/>
  <c r="Q186" i="28"/>
  <c r="H186" i="28"/>
  <c r="AO185" i="28"/>
  <c r="S185" i="28"/>
  <c r="Q185" i="28"/>
  <c r="H185" i="28"/>
  <c r="AX184" i="28"/>
  <c r="AO184" i="28"/>
  <c r="AN184" i="28" s="1"/>
  <c r="AM184" i="28" s="1"/>
  <c r="S184" i="28"/>
  <c r="Q184" i="28"/>
  <c r="H184" i="28"/>
  <c r="AX180" i="28"/>
  <c r="AO180" i="28"/>
  <c r="AN180" i="28" s="1"/>
  <c r="AM180" i="28" s="1"/>
  <c r="S180" i="28"/>
  <c r="Q180" i="28"/>
  <c r="H180" i="28"/>
  <c r="AO175" i="28"/>
  <c r="S175" i="28"/>
  <c r="Q175" i="28"/>
  <c r="H175" i="28"/>
  <c r="AX174" i="28"/>
  <c r="AO174" i="28"/>
  <c r="AN174" i="28" s="1"/>
  <c r="AM174" i="28" s="1"/>
  <c r="S174" i="28"/>
  <c r="Q174" i="28"/>
  <c r="H174" i="28"/>
  <c r="AX152" i="28"/>
  <c r="AO152" i="28"/>
  <c r="AN152" i="28" s="1"/>
  <c r="AM152" i="28" s="1"/>
  <c r="S152" i="28"/>
  <c r="Q152" i="28"/>
  <c r="H152" i="28"/>
  <c r="AO151" i="28"/>
  <c r="S151" i="28"/>
  <c r="Q151" i="28"/>
  <c r="H151" i="28"/>
  <c r="AO150" i="28"/>
  <c r="S150" i="28"/>
  <c r="Q150" i="28"/>
  <c r="H150" i="28"/>
  <c r="AX148" i="28"/>
  <c r="AO148" i="28"/>
  <c r="AN148" i="28" s="1"/>
  <c r="AM148" i="28" s="1"/>
  <c r="S148" i="28"/>
  <c r="Q148" i="28"/>
  <c r="H148" i="28"/>
  <c r="AX147" i="28"/>
  <c r="AO147" i="28"/>
  <c r="AN147" i="28" s="1"/>
  <c r="AM147" i="28" s="1"/>
  <c r="S147" i="28"/>
  <c r="Q147" i="28"/>
  <c r="H147" i="28"/>
  <c r="AX146" i="28"/>
  <c r="AO146" i="28"/>
  <c r="AN146" i="28" s="1"/>
  <c r="AM146" i="28" s="1"/>
  <c r="S146" i="28"/>
  <c r="Q146" i="28"/>
  <c r="H146" i="28"/>
  <c r="AX141" i="28"/>
  <c r="AO141" i="28"/>
  <c r="AN141" i="28" s="1"/>
  <c r="AM141" i="28" s="1"/>
  <c r="S141" i="28"/>
  <c r="Q141" i="28"/>
  <c r="H141" i="28"/>
  <c r="AO140" i="28"/>
  <c r="S140" i="28"/>
  <c r="Q140" i="28"/>
  <c r="H140" i="28"/>
  <c r="AX139" i="28"/>
  <c r="AO139" i="28"/>
  <c r="AN139" i="28" s="1"/>
  <c r="AM139" i="28" s="1"/>
  <c r="S139" i="28"/>
  <c r="Q139" i="28"/>
  <c r="H139" i="28"/>
  <c r="AX138" i="28"/>
  <c r="AO138" i="28"/>
  <c r="AN138" i="28" s="1"/>
  <c r="AM138" i="28" s="1"/>
  <c r="S138" i="28"/>
  <c r="Q138" i="28"/>
  <c r="H138" i="28"/>
  <c r="AX137" i="28"/>
  <c r="AO137" i="28"/>
  <c r="AN137" i="28" s="1"/>
  <c r="AM137" i="28" s="1"/>
  <c r="S137" i="28"/>
  <c r="Q137" i="28"/>
  <c r="H137" i="28"/>
  <c r="AX136" i="28"/>
  <c r="AO136" i="28"/>
  <c r="AN136" i="28" s="1"/>
  <c r="AM136" i="28" s="1"/>
  <c r="S136" i="28"/>
  <c r="Q136" i="28"/>
  <c r="H136" i="28"/>
  <c r="AX135" i="28"/>
  <c r="AO135" i="28"/>
  <c r="AN135" i="28" s="1"/>
  <c r="AM135" i="28" s="1"/>
  <c r="S135" i="28"/>
  <c r="Q135" i="28"/>
  <c r="H135" i="28"/>
  <c r="AX134" i="28"/>
  <c r="AO134" i="28"/>
  <c r="AN134" i="28" s="1"/>
  <c r="AM134" i="28" s="1"/>
  <c r="S134" i="28"/>
  <c r="Q134" i="28"/>
  <c r="H134" i="28"/>
  <c r="AX133" i="28"/>
  <c r="AO133" i="28"/>
  <c r="AN133" i="28" s="1"/>
  <c r="AM133" i="28" s="1"/>
  <c r="S133" i="28"/>
  <c r="Q133" i="28"/>
  <c r="H133" i="28"/>
  <c r="AX132" i="28"/>
  <c r="AO132" i="28"/>
  <c r="AN132" i="28" s="1"/>
  <c r="AM132" i="28" s="1"/>
  <c r="S132" i="28"/>
  <c r="Q132" i="28"/>
  <c r="H132" i="28"/>
  <c r="AO131" i="28"/>
  <c r="S131" i="28"/>
  <c r="Q131" i="28"/>
  <c r="H131" i="28"/>
  <c r="AX130" i="28"/>
  <c r="AO130" i="28"/>
  <c r="AN130" i="28" s="1"/>
  <c r="AM130" i="28" s="1"/>
  <c r="S130" i="28"/>
  <c r="Q130" i="28"/>
  <c r="H130" i="28"/>
  <c r="AX129" i="28"/>
  <c r="AO129" i="28"/>
  <c r="AN129" i="28" s="1"/>
  <c r="AM129" i="28" s="1"/>
  <c r="S129" i="28"/>
  <c r="Q129" i="28"/>
  <c r="H129" i="28"/>
  <c r="AX128" i="28"/>
  <c r="AO128" i="28"/>
  <c r="AN128" i="28" s="1"/>
  <c r="AM128" i="28" s="1"/>
  <c r="S128" i="28"/>
  <c r="Q128" i="28"/>
  <c r="H128" i="28"/>
  <c r="AX127" i="28"/>
  <c r="AO127" i="28"/>
  <c r="AN127" i="28" s="1"/>
  <c r="AM127" i="28" s="1"/>
  <c r="S127" i="28"/>
  <c r="Q127" i="28"/>
  <c r="H127" i="28"/>
  <c r="AO117" i="28"/>
  <c r="S117" i="28"/>
  <c r="Q117" i="28"/>
  <c r="H117" i="28"/>
  <c r="AX116" i="28"/>
  <c r="AO116" i="28"/>
  <c r="AN116" i="28" s="1"/>
  <c r="AM116" i="28" s="1"/>
  <c r="S116" i="28"/>
  <c r="Q116" i="28"/>
  <c r="H116" i="28"/>
  <c r="AX113" i="28"/>
  <c r="AO113" i="28"/>
  <c r="AN113" i="28" s="1"/>
  <c r="AM113" i="28" s="1"/>
  <c r="S113" i="28"/>
  <c r="Q113" i="28"/>
  <c r="H113" i="28"/>
  <c r="AX112" i="28"/>
  <c r="AO112" i="28"/>
  <c r="AN112" i="28" s="1"/>
  <c r="AM112" i="28" s="1"/>
  <c r="S112" i="28"/>
  <c r="Q112" i="28"/>
  <c r="H112" i="28"/>
  <c r="AO59" i="28"/>
  <c r="E42" i="17"/>
  <c r="AE134" i="28"/>
  <c r="AE175" i="28"/>
  <c r="AE127" i="28"/>
  <c r="E10" i="17"/>
  <c r="AE138" i="28"/>
  <c r="AE148" i="28"/>
  <c r="E52" i="17"/>
  <c r="AE112" i="28"/>
  <c r="E87" i="17"/>
  <c r="AE136" i="28"/>
  <c r="AE131" i="28"/>
  <c r="AE130" i="28"/>
  <c r="AE113" i="28"/>
  <c r="AE139" i="28"/>
  <c r="AE117" i="28"/>
  <c r="E21" i="17"/>
  <c r="AE150" i="28"/>
  <c r="AE147" i="28"/>
  <c r="AE185" i="28"/>
  <c r="AE186" i="28"/>
  <c r="AE141" i="28"/>
  <c r="AE180" i="28"/>
  <c r="AE191" i="28"/>
  <c r="AE146" i="28"/>
  <c r="AE152" i="28"/>
  <c r="AE174" i="28"/>
  <c r="AE184" i="28"/>
  <c r="AE129" i="28"/>
  <c r="AE151" i="28"/>
  <c r="E127" i="17"/>
  <c r="AE132" i="28"/>
  <c r="AE135" i="28"/>
  <c r="AE137" i="28"/>
  <c r="AE128" i="28"/>
  <c r="AE140" i="28"/>
  <c r="AE133" i="28"/>
  <c r="AE116" i="28"/>
  <c r="F87" i="17" l="1"/>
  <c r="F42" i="17"/>
  <c r="F10" i="17"/>
  <c r="F127" i="17"/>
  <c r="F52" i="17"/>
  <c r="F21" i="17"/>
  <c r="S59" i="28"/>
  <c r="Q59" i="28"/>
  <c r="H59" i="28"/>
  <c r="AX57" i="28"/>
  <c r="AO57" i="28"/>
  <c r="AN57" i="28" s="1"/>
  <c r="AM57" i="28" s="1"/>
  <c r="S57" i="28"/>
  <c r="Q57" i="28"/>
  <c r="H57" i="28"/>
  <c r="AX43" i="28"/>
  <c r="AO43" i="28"/>
  <c r="AN43" i="28" s="1"/>
  <c r="AM43" i="28" s="1"/>
  <c r="S43" i="28"/>
  <c r="Q43" i="28"/>
  <c r="H43" i="28"/>
  <c r="AX40" i="28"/>
  <c r="AO40" i="28"/>
  <c r="AN40" i="28" s="1"/>
  <c r="AM40" i="28" s="1"/>
  <c r="S40" i="28"/>
  <c r="Q40" i="28"/>
  <c r="H40" i="28"/>
  <c r="AO22" i="28"/>
  <c r="S22" i="28"/>
  <c r="Q22" i="28"/>
  <c r="H22" i="28"/>
  <c r="AX12" i="28"/>
  <c r="AO12" i="28"/>
  <c r="AN12" i="28" s="1"/>
  <c r="AM12" i="28" s="1"/>
  <c r="S12" i="28"/>
  <c r="Q12" i="28"/>
  <c r="H12" i="28"/>
  <c r="AO11" i="28"/>
  <c r="AX10" i="28"/>
  <c r="AO10" i="28"/>
  <c r="AN10" i="28" s="1"/>
  <c r="AM10" i="28" s="1"/>
  <c r="S10" i="28"/>
  <c r="H10" i="28"/>
  <c r="C10" i="28"/>
  <c r="A4" i="28"/>
  <c r="A3" i="28"/>
  <c r="A2" i="28"/>
  <c r="B125" i="27"/>
  <c r="B126" i="27" s="1"/>
  <c r="O121" i="27"/>
  <c r="N121" i="27"/>
  <c r="M121" i="27"/>
  <c r="L121" i="27"/>
  <c r="I121" i="27"/>
  <c r="H121" i="27"/>
  <c r="E121" i="27"/>
  <c r="B111" i="27"/>
  <c r="B95" i="27"/>
  <c r="V88" i="27"/>
  <c r="V87" i="27"/>
  <c r="V86" i="27"/>
  <c r="V85" i="27"/>
  <c r="V84" i="27"/>
  <c r="V83" i="27"/>
  <c r="V82" i="27"/>
  <c r="V81" i="27"/>
  <c r="V80" i="27"/>
  <c r="V79" i="27"/>
  <c r="V78" i="27"/>
  <c r="V77" i="27"/>
  <c r="E88" i="17"/>
  <c r="E43" i="17"/>
  <c r="AG10" i="28"/>
  <c r="O10" i="28"/>
  <c r="T10" i="28"/>
  <c r="AE10" i="28"/>
  <c r="E22" i="17"/>
  <c r="AE59" i="28"/>
  <c r="AE12" i="28"/>
  <c r="AE22" i="28"/>
  <c r="E128" i="17"/>
  <c r="AE57" i="28"/>
  <c r="AE40" i="28"/>
  <c r="E11" i="17"/>
  <c r="G10" i="28"/>
  <c r="AI10" i="28"/>
  <c r="I10" i="28"/>
  <c r="AE43" i="28"/>
  <c r="P11" i="28"/>
  <c r="F88" i="17" l="1"/>
  <c r="F128" i="17"/>
  <c r="F11" i="17"/>
  <c r="F43" i="17"/>
  <c r="F22" i="17"/>
  <c r="AD10" i="28"/>
  <c r="AF10" i="28"/>
  <c r="AK11" i="28"/>
  <c r="B127" i="27"/>
  <c r="X11" i="28"/>
  <c r="E129" i="17"/>
  <c r="S11" i="28"/>
  <c r="E23" i="17"/>
  <c r="B192" i="28"/>
  <c r="H11" i="28"/>
  <c r="N11" i="28"/>
  <c r="O12" i="28"/>
  <c r="F11" i="28"/>
  <c r="P192" i="28"/>
  <c r="E12" i="17"/>
  <c r="J11" i="28"/>
  <c r="E89" i="17"/>
  <c r="G12" i="28"/>
  <c r="L124" i="27"/>
  <c r="F89" i="17" l="1"/>
  <c r="F129" i="17"/>
  <c r="F12" i="17"/>
  <c r="F23" i="17"/>
  <c r="AK192" i="28"/>
  <c r="V76" i="27"/>
  <c r="V75" i="27"/>
  <c r="O124" i="27"/>
  <c r="L125" i="27"/>
  <c r="O11" i="28"/>
  <c r="E124" i="27"/>
  <c r="O193" i="28"/>
  <c r="B194" i="28"/>
  <c r="G193" i="28"/>
  <c r="AK10" i="28"/>
  <c r="I11" i="28"/>
  <c r="AE11" i="28"/>
  <c r="E13" i="17"/>
  <c r="E130" i="17"/>
  <c r="AG11" i="28"/>
  <c r="O13" i="28"/>
  <c r="E24" i="17"/>
  <c r="N192" i="28"/>
  <c r="G13" i="28"/>
  <c r="S192" i="28"/>
  <c r="F192" i="28"/>
  <c r="AI11" i="28"/>
  <c r="E90" i="17"/>
  <c r="G11" i="28"/>
  <c r="J192" i="28"/>
  <c r="P194" i="28"/>
  <c r="H124" i="27"/>
  <c r="AI12" i="28"/>
  <c r="T11" i="28"/>
  <c r="H192" i="28"/>
  <c r="F90" i="17" l="1"/>
  <c r="F130" i="17"/>
  <c r="F13" i="17"/>
  <c r="F24" i="17"/>
  <c r="AK194" i="28"/>
  <c r="AF11" i="28"/>
  <c r="F124" i="27"/>
  <c r="G124" i="27" s="1"/>
  <c r="AD11" i="28"/>
  <c r="V74" i="27"/>
  <c r="V73" i="27"/>
  <c r="E127" i="27"/>
  <c r="E131" i="17"/>
  <c r="O194" i="28"/>
  <c r="M127" i="27"/>
  <c r="S194" i="28"/>
  <c r="AG12" i="28"/>
  <c r="E91" i="17"/>
  <c r="L126" i="27"/>
  <c r="F194" i="28"/>
  <c r="AI13" i="28"/>
  <c r="G194" i="28"/>
  <c r="AK193" i="28"/>
  <c r="E14" i="17"/>
  <c r="AE192" i="28"/>
  <c r="H127" i="27"/>
  <c r="N194" i="28"/>
  <c r="L127" i="27"/>
  <c r="V11" i="28"/>
  <c r="I127" i="27"/>
  <c r="N127" i="27"/>
  <c r="J194" i="28"/>
  <c r="AI193" i="28"/>
  <c r="AI22" i="28"/>
  <c r="I12" i="28"/>
  <c r="E125" i="27"/>
  <c r="H194" i="28"/>
  <c r="H125" i="27"/>
  <c r="I124" i="27"/>
  <c r="T12" i="28"/>
  <c r="O127" i="27"/>
  <c r="AI192" i="28"/>
  <c r="F91" i="17" l="1"/>
  <c r="F131" i="17"/>
  <c r="F14" i="17"/>
  <c r="F127" i="27"/>
  <c r="J127" i="27"/>
  <c r="J124" i="27"/>
  <c r="K124" i="27" s="1"/>
  <c r="Z12" i="28"/>
  <c r="U12" i="28"/>
  <c r="AF12" i="28"/>
  <c r="AD12" i="28"/>
  <c r="V12" i="28"/>
  <c r="F125" i="27"/>
  <c r="W11" i="28"/>
  <c r="V72" i="27"/>
  <c r="T13" i="28"/>
  <c r="E132" i="17"/>
  <c r="AI194" i="28"/>
  <c r="E92" i="17"/>
  <c r="M124" i="27"/>
  <c r="N124" i="27"/>
  <c r="I13" i="28"/>
  <c r="H126" i="27"/>
  <c r="AG13" i="28"/>
  <c r="I126" i="27"/>
  <c r="E126" i="27"/>
  <c r="AE194" i="28"/>
  <c r="AI23" i="28"/>
  <c r="F132" i="17" l="1"/>
  <c r="F92" i="17"/>
  <c r="Z13" i="28"/>
  <c r="U13" i="28"/>
  <c r="X13" i="28" s="1"/>
  <c r="AF13" i="28"/>
  <c r="V13" i="28"/>
  <c r="W13" i="28" s="1"/>
  <c r="AD13" i="28"/>
  <c r="F126" i="27"/>
  <c r="G133" i="27" s="1"/>
  <c r="J126" i="27"/>
  <c r="G125" i="27"/>
  <c r="V71" i="27"/>
  <c r="V70" i="27"/>
  <c r="B70" i="27"/>
  <c r="B71" i="27" s="1"/>
  <c r="V69" i="27"/>
  <c r="V63" i="27"/>
  <c r="V62" i="27"/>
  <c r="V61" i="27"/>
  <c r="V60" i="27"/>
  <c r="V59" i="27"/>
  <c r="V58" i="27"/>
  <c r="V57" i="27"/>
  <c r="V56" i="27"/>
  <c r="V55" i="27"/>
  <c r="V54" i="27"/>
  <c r="V53" i="27"/>
  <c r="V52" i="27"/>
  <c r="V51" i="27"/>
  <c r="V50" i="27"/>
  <c r="V49" i="27"/>
  <c r="V48" i="27"/>
  <c r="V47" i="27"/>
  <c r="V46" i="27"/>
  <c r="U46" i="27"/>
  <c r="W46" i="27" s="1"/>
  <c r="V45" i="27"/>
  <c r="V44" i="27"/>
  <c r="V43" i="27"/>
  <c r="U43" i="27"/>
  <c r="Z43" i="27" s="1"/>
  <c r="AB32" i="27"/>
  <c r="B10" i="2"/>
  <c r="B11" i="2" s="1"/>
  <c r="B12" i="2" s="1"/>
  <c r="I8" i="2"/>
  <c r="I9" i="2" s="1"/>
  <c r="I10" i="2" s="1"/>
  <c r="F8" i="2"/>
  <c r="F9" i="2" s="1"/>
  <c r="F10" i="2" s="1"/>
  <c r="F11" i="2" s="1"/>
  <c r="F12" i="2" s="1"/>
  <c r="F13" i="2" s="1"/>
  <c r="F14" i="2" s="1"/>
  <c r="F15" i="2" s="1"/>
  <c r="F16" i="2" s="1"/>
  <c r="F17" i="2" s="1"/>
  <c r="F18" i="2" s="1"/>
  <c r="F19" i="2" s="1"/>
  <c r="F20" i="2" s="1"/>
  <c r="F21" i="2" s="1"/>
  <c r="F22" i="2" s="1"/>
  <c r="F23" i="2" s="1"/>
  <c r="F24" i="2" s="1"/>
  <c r="F25" i="2" s="1"/>
  <c r="F26" i="2" s="1"/>
  <c r="F27" i="2" s="1"/>
  <c r="D5" i="2"/>
  <c r="D4" i="2"/>
  <c r="D3" i="2"/>
  <c r="B1" i="2"/>
  <c r="AD52" i="27"/>
  <c r="B47" i="27"/>
  <c r="AD53" i="27"/>
  <c r="E133" i="17"/>
  <c r="AD61" i="27"/>
  <c r="B52" i="27"/>
  <c r="AD46" i="27"/>
  <c r="AD58" i="27"/>
  <c r="AD47" i="27"/>
  <c r="B49" i="27"/>
  <c r="B43" i="27"/>
  <c r="B62" i="27"/>
  <c r="AD48" i="27"/>
  <c r="AD50" i="27"/>
  <c r="AD51" i="27"/>
  <c r="AD63" i="27"/>
  <c r="AD62" i="27"/>
  <c r="B54" i="27"/>
  <c r="AC46" i="27"/>
  <c r="B57" i="27"/>
  <c r="AD56" i="27"/>
  <c r="AD45" i="27"/>
  <c r="AD44" i="27"/>
  <c r="AD60" i="27"/>
  <c r="B55" i="27"/>
  <c r="AD57" i="27"/>
  <c r="B51" i="27"/>
  <c r="AD54" i="27"/>
  <c r="B59" i="27"/>
  <c r="AD49" i="27"/>
  <c r="B63" i="27"/>
  <c r="AC43" i="27"/>
  <c r="B48" i="27"/>
  <c r="B61" i="27"/>
  <c r="AD43" i="27"/>
  <c r="B56" i="27"/>
  <c r="B44" i="27"/>
  <c r="B50" i="27"/>
  <c r="B60" i="27"/>
  <c r="E93" i="17"/>
  <c r="B58" i="27"/>
  <c r="AD59" i="27"/>
  <c r="B45" i="27"/>
  <c r="AD55" i="27"/>
  <c r="AI24" i="28"/>
  <c r="F93" i="17" l="1"/>
  <c r="F133" i="17"/>
  <c r="G9" i="2"/>
  <c r="G26" i="2"/>
  <c r="G27" i="2"/>
  <c r="G25" i="2"/>
  <c r="G127" i="27"/>
  <c r="G129" i="27"/>
  <c r="G130" i="27"/>
  <c r="G131" i="27"/>
  <c r="G126" i="27"/>
  <c r="G132" i="27"/>
  <c r="G134" i="27"/>
  <c r="J9" i="2"/>
  <c r="G135" i="27"/>
  <c r="G128" i="27"/>
  <c r="D8" i="2"/>
  <c r="D9" i="2" s="1"/>
  <c r="D10" i="2" s="1"/>
  <c r="D11" i="2" s="1"/>
  <c r="D12" i="2" s="1"/>
  <c r="G13" i="2"/>
  <c r="G15" i="2"/>
  <c r="G17" i="2"/>
  <c r="G18" i="2"/>
  <c r="G19" i="2"/>
  <c r="G20" i="2"/>
  <c r="J8" i="2"/>
  <c r="G10" i="2"/>
  <c r="G24" i="2"/>
  <c r="G8" i="2"/>
  <c r="G12" i="2"/>
  <c r="G23" i="2"/>
  <c r="G14" i="2"/>
  <c r="G16" i="2"/>
  <c r="G21" i="2"/>
  <c r="G11" i="2"/>
  <c r="G22" i="2"/>
  <c r="Z46" i="27"/>
  <c r="E145" i="27"/>
  <c r="E144" i="27"/>
  <c r="D45" i="27"/>
  <c r="B46" i="27"/>
  <c r="E134" i="17"/>
  <c r="AI25" i="28"/>
  <c r="D51" i="27"/>
  <c r="E94" i="17"/>
  <c r="B53" i="27"/>
  <c r="D44" i="27"/>
  <c r="D47" i="27"/>
  <c r="D48" i="27"/>
  <c r="D52" i="27"/>
  <c r="F94" i="17" l="1"/>
  <c r="F134" i="17"/>
  <c r="AB52" i="27"/>
  <c r="AB48" i="27"/>
  <c r="U44" i="27"/>
  <c r="W44" i="27" s="1"/>
  <c r="AB44" i="27"/>
  <c r="AB51" i="27"/>
  <c r="AB45" i="27"/>
  <c r="AB47" i="27"/>
  <c r="U47" i="27"/>
  <c r="W47" i="27" s="1"/>
  <c r="D13" i="2"/>
  <c r="X44" i="27"/>
  <c r="D58" i="27"/>
  <c r="D49" i="27"/>
  <c r="X47" i="27"/>
  <c r="AI26" i="28"/>
  <c r="D60" i="27"/>
  <c r="D53" i="27"/>
  <c r="T14" i="28"/>
  <c r="D55" i="27"/>
  <c r="D56" i="27"/>
  <c r="D50" i="27"/>
  <c r="D57" i="27"/>
  <c r="F48" i="27"/>
  <c r="D61" i="27"/>
  <c r="D62" i="27"/>
  <c r="E135" i="17"/>
  <c r="AC51" i="27"/>
  <c r="D63" i="27"/>
  <c r="F45" i="27"/>
  <c r="D59" i="27"/>
  <c r="E95" i="17"/>
  <c r="AC48" i="27"/>
  <c r="AC52" i="27"/>
  <c r="AC45" i="27"/>
  <c r="AB56" i="27" l="1"/>
  <c r="AB57" i="27"/>
  <c r="AB53" i="27"/>
  <c r="AB49" i="27"/>
  <c r="AB60" i="27"/>
  <c r="AB55" i="27"/>
  <c r="F95" i="17"/>
  <c r="AB50" i="27"/>
  <c r="F135" i="17"/>
  <c r="AB58" i="27"/>
  <c r="AB61" i="27"/>
  <c r="AB62" i="27"/>
  <c r="U62" i="27"/>
  <c r="W62" i="27" s="1"/>
  <c r="AB63" i="27"/>
  <c r="AB59" i="27"/>
  <c r="U45" i="27"/>
  <c r="Z45" i="27" s="1"/>
  <c r="Z44" i="27"/>
  <c r="U48" i="27"/>
  <c r="Z48" i="27" s="1"/>
  <c r="Z14" i="28"/>
  <c r="U14" i="28"/>
  <c r="X14" i="28" s="1"/>
  <c r="AF14" i="28"/>
  <c r="Z47" i="27"/>
  <c r="D14" i="2"/>
  <c r="D15" i="2" s="1"/>
  <c r="D16" i="2" s="1"/>
  <c r="D17" i="2" s="1"/>
  <c r="D18" i="2" s="1"/>
  <c r="D19" i="2" s="1"/>
  <c r="D20" i="2" s="1"/>
  <c r="D21" i="2" s="1"/>
  <c r="D22" i="2" s="1"/>
  <c r="D23" i="2" s="1"/>
  <c r="D24" i="2" s="1"/>
  <c r="D25" i="2" s="1"/>
  <c r="D26" i="2" s="1"/>
  <c r="D27" i="2" s="1"/>
  <c r="D28" i="2" s="1"/>
  <c r="D29" i="2" s="1"/>
  <c r="D30" i="2" s="1"/>
  <c r="D31" i="2" s="1"/>
  <c r="D32" i="2" s="1"/>
  <c r="D33" i="2" s="1"/>
  <c r="D34" i="2" s="1"/>
  <c r="D35" i="2" s="1"/>
  <c r="D36" i="2" s="1"/>
  <c r="D37" i="2" s="1"/>
  <c r="D38" i="2" s="1"/>
  <c r="D39" i="2" s="1"/>
  <c r="D40" i="2" s="1"/>
  <c r="D41" i="2" s="1"/>
  <c r="D42" i="2" s="1"/>
  <c r="D43" i="2" s="1"/>
  <c r="D44" i="2" s="1"/>
  <c r="D45" i="2" s="1"/>
  <c r="D46" i="2" s="1"/>
  <c r="D47" i="2" s="1"/>
  <c r="D48" i="2" s="1"/>
  <c r="D49" i="2" s="1"/>
  <c r="D50" i="2" s="1"/>
  <c r="D51" i="2" s="1"/>
  <c r="D52" i="2" s="1"/>
  <c r="D53" i="2" s="1"/>
  <c r="D54" i="2" s="1"/>
  <c r="D55" i="2" s="1"/>
  <c r="D56" i="2" s="1"/>
  <c r="D57" i="2" s="1"/>
  <c r="D58" i="2" s="1"/>
  <c r="D59" i="2" s="1"/>
  <c r="D60" i="2" s="1"/>
  <c r="D61" i="2" s="1"/>
  <c r="D62" i="2" s="1"/>
  <c r="D63" i="2" s="1"/>
  <c r="D64" i="2" s="1"/>
  <c r="D65" i="2" s="1"/>
  <c r="D66" i="2" s="1"/>
  <c r="D67" i="2" s="1"/>
  <c r="D68" i="2" s="1"/>
  <c r="D69" i="2" s="1"/>
  <c r="AC59" i="27"/>
  <c r="F53" i="27"/>
  <c r="E96" i="17"/>
  <c r="F49" i="27"/>
  <c r="AI27" i="28"/>
  <c r="O14" i="28"/>
  <c r="D54" i="27"/>
  <c r="AC50" i="27"/>
  <c r="AC53" i="27"/>
  <c r="F57" i="27"/>
  <c r="AC60" i="27"/>
  <c r="E136" i="17"/>
  <c r="X62" i="27"/>
  <c r="AC61" i="27"/>
  <c r="AC63" i="27"/>
  <c r="AC55" i="27"/>
  <c r="AC49" i="27"/>
  <c r="G14" i="28"/>
  <c r="F58" i="27"/>
  <c r="AC56" i="27"/>
  <c r="AC57" i="27"/>
  <c r="AC58" i="27"/>
  <c r="AC62" i="27"/>
  <c r="X46" i="27"/>
  <c r="F59" i="27"/>
  <c r="F55" i="27"/>
  <c r="F63" i="27"/>
  <c r="F56" i="27"/>
  <c r="F60" i="27"/>
  <c r="F61" i="27"/>
  <c r="U54" i="27" l="1"/>
  <c r="W54" i="27" s="1"/>
  <c r="AB54" i="27"/>
  <c r="F96" i="17"/>
  <c r="F136" i="17"/>
  <c r="U53" i="27"/>
  <c r="W53" i="27" s="1"/>
  <c r="Z62" i="27"/>
  <c r="U59" i="27"/>
  <c r="W59" i="27" s="1"/>
  <c r="U63" i="27"/>
  <c r="Z63" i="27" s="1"/>
  <c r="U60" i="27"/>
  <c r="W60" i="27" s="1"/>
  <c r="U56" i="27"/>
  <c r="Z56" i="27" s="1"/>
  <c r="U55" i="27"/>
  <c r="Z55" i="27" s="1"/>
  <c r="U58" i="27"/>
  <c r="W58" i="27" s="1"/>
  <c r="U57" i="27"/>
  <c r="Z57" i="27" s="1"/>
  <c r="U61" i="27"/>
  <c r="Z61" i="27" s="1"/>
  <c r="U49" i="27"/>
  <c r="Z49" i="27" s="1"/>
  <c r="Z15" i="28"/>
  <c r="B13" i="2"/>
  <c r="B14" i="2" s="1"/>
  <c r="B15" i="2" s="1"/>
  <c r="B16" i="2" s="1"/>
  <c r="B17" i="2" s="1"/>
  <c r="B18" i="2" s="1"/>
  <c r="B19" i="2" s="1"/>
  <c r="B20" i="2" s="1"/>
  <c r="B21" i="2" s="1"/>
  <c r="B22" i="2" s="1"/>
  <c r="B23" i="2" s="1"/>
  <c r="B24" i="2" s="1"/>
  <c r="B25" i="2" s="1"/>
  <c r="B26" i="2" s="1"/>
  <c r="T15" i="28"/>
  <c r="AC44" i="27"/>
  <c r="X53" i="27"/>
  <c r="Y62" i="27"/>
  <c r="E137" i="17"/>
  <c r="Y46" i="27"/>
  <c r="I14" i="28"/>
  <c r="F50" i="27"/>
  <c r="AI28" i="28"/>
  <c r="AC47" i="27"/>
  <c r="E97" i="17"/>
  <c r="X58" i="27"/>
  <c r="AE44" i="27"/>
  <c r="X59" i="27"/>
  <c r="AC54" i="27"/>
  <c r="X60" i="27"/>
  <c r="X54" i="27"/>
  <c r="AE56" i="27"/>
  <c r="AE43" i="27"/>
  <c r="AE59" i="27"/>
  <c r="AE48" i="27"/>
  <c r="AE49" i="27"/>
  <c r="AE47" i="27"/>
  <c r="AE55" i="27"/>
  <c r="AE58" i="27"/>
  <c r="AE46" i="27"/>
  <c r="AE53" i="27"/>
  <c r="AE54" i="27"/>
  <c r="AE63" i="27"/>
  <c r="AE57" i="27"/>
  <c r="AE62" i="27"/>
  <c r="AE51" i="27"/>
  <c r="AE60" i="27"/>
  <c r="AE52" i="27"/>
  <c r="AE50" i="27"/>
  <c r="AE61" i="27"/>
  <c r="Z54" i="27" l="1"/>
  <c r="F97" i="17"/>
  <c r="F137" i="17"/>
  <c r="Z53" i="27"/>
  <c r="Z59" i="27"/>
  <c r="Z60" i="27"/>
  <c r="Z58" i="27"/>
  <c r="C125" i="27"/>
  <c r="C124" i="27"/>
  <c r="C11" i="28" s="1"/>
  <c r="U50" i="27"/>
  <c r="Z50" i="27" s="1"/>
  <c r="C127" i="27"/>
  <c r="U15" i="28"/>
  <c r="X15" i="28" s="1"/>
  <c r="AF15" i="28"/>
  <c r="AN193" i="28"/>
  <c r="AD14" i="28"/>
  <c r="V14" i="28"/>
  <c r="G15" i="28"/>
  <c r="E98" i="17"/>
  <c r="E138" i="17"/>
  <c r="AE45" i="27"/>
  <c r="T16" i="28"/>
  <c r="AG14" i="28"/>
  <c r="AI29" i="28"/>
  <c r="O15" i="28"/>
  <c r="F51" i="27"/>
  <c r="W14" i="28" l="1"/>
  <c r="F98" i="17"/>
  <c r="F138" i="17"/>
  <c r="C126" i="27"/>
  <c r="C194" i="28" s="1"/>
  <c r="A5" i="17"/>
  <c r="C192" i="28"/>
  <c r="AN192" i="28"/>
  <c r="AR11" i="28"/>
  <c r="AX11" i="28" s="1"/>
  <c r="U51" i="27"/>
  <c r="Z51" i="27" s="1"/>
  <c r="AN11" i="28"/>
  <c r="C12" i="28"/>
  <c r="U16" i="28"/>
  <c r="X16" i="28" s="1"/>
  <c r="Z16" i="28"/>
  <c r="AF16" i="28"/>
  <c r="E139" i="17"/>
  <c r="I15" i="28"/>
  <c r="E99" i="17"/>
  <c r="AI30" i="28"/>
  <c r="Y44" i="27"/>
  <c r="O16" i="28"/>
  <c r="AR10" i="28"/>
  <c r="G16" i="28"/>
  <c r="F52" i="27"/>
  <c r="T17" i="28"/>
  <c r="AM11" i="28"/>
  <c r="F99" i="17" l="1"/>
  <c r="F139" i="17"/>
  <c r="A6" i="17"/>
  <c r="AN194" i="28"/>
  <c r="U17" i="28"/>
  <c r="X17" i="28" s="1"/>
  <c r="Z17" i="28"/>
  <c r="AF17" i="28"/>
  <c r="C13" i="28"/>
  <c r="C14" i="28"/>
  <c r="U52" i="27"/>
  <c r="Z52" i="27" s="1"/>
  <c r="AT11" i="28"/>
  <c r="AS11" i="28"/>
  <c r="V15" i="28"/>
  <c r="W15" i="28" s="1"/>
  <c r="AD15" i="28"/>
  <c r="AS10" i="28"/>
  <c r="AT10" i="28"/>
  <c r="J69" i="27"/>
  <c r="G17" i="28"/>
  <c r="C69" i="27"/>
  <c r="E69" i="27"/>
  <c r="H69" i="27"/>
  <c r="E100" i="17"/>
  <c r="T18" i="28"/>
  <c r="O17" i="28"/>
  <c r="I16" i="28"/>
  <c r="AI31" i="28"/>
  <c r="AG15" i="28"/>
  <c r="F100" i="17" l="1"/>
  <c r="I69" i="27"/>
  <c r="AL11" i="28"/>
  <c r="X69" i="27"/>
  <c r="Y69" i="27" s="1"/>
  <c r="Z69" i="27"/>
  <c r="W69" i="27"/>
  <c r="AF18" i="28"/>
  <c r="Z18" i="28"/>
  <c r="U18" i="28"/>
  <c r="X18" i="28" s="1"/>
  <c r="C15" i="28"/>
  <c r="G69" i="27"/>
  <c r="AD16" i="28"/>
  <c r="V16" i="28"/>
  <c r="W16" i="28" s="1"/>
  <c r="AG16" i="28"/>
  <c r="AI32" i="28"/>
  <c r="G18" i="28"/>
  <c r="O18" i="28"/>
  <c r="T19" i="28"/>
  <c r="I17" i="28"/>
  <c r="AL10" i="28"/>
  <c r="AP10" i="28" l="1"/>
  <c r="AP11" i="28"/>
  <c r="U19" i="28"/>
  <c r="X19" i="28" s="1"/>
  <c r="AF19" i="28"/>
  <c r="Z19" i="28"/>
  <c r="AD17" i="28"/>
  <c r="V17" i="28"/>
  <c r="W17" i="28" s="1"/>
  <c r="C16" i="28"/>
  <c r="AI33" i="28"/>
  <c r="O19" i="28"/>
  <c r="I18" i="28"/>
  <c r="AG17" i="28"/>
  <c r="T20" i="28"/>
  <c r="G19" i="28"/>
  <c r="U20" i="28" l="1"/>
  <c r="X20" i="28" s="1"/>
  <c r="AF20" i="28"/>
  <c r="AD18" i="28"/>
  <c r="V18" i="28"/>
  <c r="W18" i="28" s="1"/>
  <c r="C17" i="28"/>
  <c r="C19" i="28"/>
  <c r="C18" i="28"/>
  <c r="Z21" i="28"/>
  <c r="AI34" i="28"/>
  <c r="G20" i="28"/>
  <c r="T21" i="28"/>
  <c r="O20" i="28"/>
  <c r="I19" i="28"/>
  <c r="AG18" i="28"/>
  <c r="U21" i="28" l="1"/>
  <c r="X21" i="28" s="1"/>
  <c r="AF21" i="28"/>
  <c r="V19" i="28"/>
  <c r="AD19" i="28"/>
  <c r="C20" i="28"/>
  <c r="C23" i="28"/>
  <c r="AG20" i="28"/>
  <c r="I20" i="28"/>
  <c r="V20" i="28"/>
  <c r="T22" i="28"/>
  <c r="O21" i="28"/>
  <c r="AG19" i="28"/>
  <c r="G21" i="28"/>
  <c r="AI35" i="28"/>
  <c r="Z22" i="28" l="1"/>
  <c r="AF22" i="28"/>
  <c r="U22" i="28"/>
  <c r="AD20" i="28"/>
  <c r="W20" i="28"/>
  <c r="W19" i="28"/>
  <c r="C21" i="28"/>
  <c r="C26" i="28"/>
  <c r="C32" i="28"/>
  <c r="AG21" i="28"/>
  <c r="AG22" i="28" s="1"/>
  <c r="AG23" i="28" s="1"/>
  <c r="I21" i="28"/>
  <c r="T23" i="28"/>
  <c r="AI36" i="28"/>
  <c r="O22" i="28"/>
  <c r="G22" i="28"/>
  <c r="U23" i="28" l="1"/>
  <c r="X23" i="28" s="1"/>
  <c r="AF23" i="28"/>
  <c r="Z23" i="28"/>
  <c r="V21" i="28"/>
  <c r="W21" i="28" s="1"/>
  <c r="AD21" i="28"/>
  <c r="C22" i="28"/>
  <c r="C25" i="28" s="1"/>
  <c r="C34" i="28"/>
  <c r="T24" i="28"/>
  <c r="G23" i="28"/>
  <c r="O23" i="28"/>
  <c r="I22" i="28"/>
  <c r="AI37" i="28"/>
  <c r="Z24" i="28" l="1"/>
  <c r="AF24" i="28"/>
  <c r="U24" i="28"/>
  <c r="X24" i="28" s="1"/>
  <c r="V22" i="28"/>
  <c r="AD22" i="28"/>
  <c r="C31" i="28"/>
  <c r="C33" i="28" s="1"/>
  <c r="C39" i="28"/>
  <c r="C38" i="28"/>
  <c r="C37" i="28"/>
  <c r="O24" i="28"/>
  <c r="G24" i="28"/>
  <c r="T25" i="28"/>
  <c r="I23" i="28"/>
  <c r="AI38" i="28"/>
  <c r="AD23" i="28" l="1"/>
  <c r="V23" i="28"/>
  <c r="W23" i="28" s="1"/>
  <c r="C36" i="28"/>
  <c r="C40" i="28" s="1"/>
  <c r="C42" i="28"/>
  <c r="C41" i="28"/>
  <c r="Z25" i="28"/>
  <c r="AF25" i="28"/>
  <c r="U25" i="28"/>
  <c r="X25" i="28" s="1"/>
  <c r="I24" i="28"/>
  <c r="T26" i="28"/>
  <c r="AI39" i="28"/>
  <c r="V24" i="28" l="1"/>
  <c r="W24" i="28" s="1"/>
  <c r="AD24" i="28"/>
  <c r="C44" i="28"/>
  <c r="C43" i="28"/>
  <c r="AF26" i="28"/>
  <c r="U26" i="28"/>
  <c r="Z26" i="28"/>
  <c r="A7" i="17"/>
  <c r="B128" i="27"/>
  <c r="C128" i="27" s="1"/>
  <c r="A8" i="17" s="1"/>
  <c r="W43" i="27"/>
  <c r="W45" i="27"/>
  <c r="W48" i="27"/>
  <c r="W49" i="27"/>
  <c r="W50" i="27"/>
  <c r="W51" i="27"/>
  <c r="W52" i="27"/>
  <c r="W55" i="27"/>
  <c r="W56" i="27"/>
  <c r="W57" i="27"/>
  <c r="W61" i="27"/>
  <c r="W63" i="27"/>
  <c r="AR192" i="28"/>
  <c r="T27" i="28"/>
  <c r="AI40" i="28"/>
  <c r="AF27" i="28" l="1"/>
  <c r="Z27" i="28"/>
  <c r="U27" i="28"/>
  <c r="X27" i="28" s="1"/>
  <c r="C58" i="28"/>
  <c r="C57" i="28"/>
  <c r="C59" i="28" s="1"/>
  <c r="X26" i="28"/>
  <c r="B129" i="27"/>
  <c r="B130" i="27" s="1"/>
  <c r="C130" i="27" s="1"/>
  <c r="A10" i="17" s="1"/>
  <c r="AU10" i="28"/>
  <c r="AV10" i="28" s="1"/>
  <c r="AU11" i="28"/>
  <c r="AV11" i="28" s="1"/>
  <c r="AX192" i="28"/>
  <c r="AR194" i="28"/>
  <c r="AX194" i="28" s="1"/>
  <c r="T28" i="28"/>
  <c r="AI41" i="28"/>
  <c r="I25" i="28"/>
  <c r="Z28" i="28" l="1"/>
  <c r="U28" i="28"/>
  <c r="X28" i="28" s="1"/>
  <c r="AF28" i="28"/>
  <c r="C60" i="28"/>
  <c r="C64" i="28" s="1"/>
  <c r="C66" i="28" s="1"/>
  <c r="C68" i="28" s="1"/>
  <c r="AD25" i="28"/>
  <c r="V25" i="28"/>
  <c r="W25" i="28" s="1"/>
  <c r="B131" i="27"/>
  <c r="C131" i="27" s="1"/>
  <c r="A11" i="17" s="1"/>
  <c r="C129" i="27"/>
  <c r="A9" i="17" s="1"/>
  <c r="E146" i="27"/>
  <c r="B145" i="27"/>
  <c r="B72" i="27"/>
  <c r="B73" i="27" s="1"/>
  <c r="B74" i="27" s="1"/>
  <c r="B75" i="27" s="1"/>
  <c r="X61" i="27"/>
  <c r="X43" i="27"/>
  <c r="I26" i="28"/>
  <c r="AI42" i="28"/>
  <c r="X55" i="27"/>
  <c r="X56" i="27"/>
  <c r="X57" i="27"/>
  <c r="X48" i="27"/>
  <c r="X63" i="27"/>
  <c r="X45" i="27"/>
  <c r="X51" i="27"/>
  <c r="X49" i="27"/>
  <c r="X50" i="27"/>
  <c r="T29" i="28"/>
  <c r="X52" i="27"/>
  <c r="C69" i="28" l="1"/>
  <c r="C70" i="28" s="1"/>
  <c r="C71" i="28" s="1"/>
  <c r="C72" i="28" s="1"/>
  <c r="C111" i="28" s="1"/>
  <c r="AF29" i="28"/>
  <c r="Z29" i="28"/>
  <c r="U29" i="28"/>
  <c r="X29" i="28" s="1"/>
  <c r="AD26" i="28"/>
  <c r="V26" i="28"/>
  <c r="W26" i="28" s="1"/>
  <c r="AA69" i="27"/>
  <c r="B165" i="27" s="1"/>
  <c r="I27" i="28"/>
  <c r="Y45" i="27"/>
  <c r="T30" i="28"/>
  <c r="Y43" i="27"/>
  <c r="AI43" i="28"/>
  <c r="C110" i="28" l="1"/>
  <c r="C112" i="28" s="1"/>
  <c r="C113" i="28" s="1"/>
  <c r="AF30" i="28"/>
  <c r="U30" i="28"/>
  <c r="X30" i="28" s="1"/>
  <c r="Z30" i="28"/>
  <c r="AD27" i="28"/>
  <c r="V27" i="28"/>
  <c r="W27" i="28" s="1"/>
  <c r="K45" i="27"/>
  <c r="I28" i="28"/>
  <c r="O25" i="28"/>
  <c r="T31" i="28"/>
  <c r="AI44" i="28"/>
  <c r="G25" i="28"/>
  <c r="C116" i="28" l="1"/>
  <c r="C114" i="28"/>
  <c r="C115" i="28" s="1"/>
  <c r="AF31" i="28"/>
  <c r="U31" i="28"/>
  <c r="X31" i="28" s="1"/>
  <c r="Z31" i="28"/>
  <c r="V28" i="28"/>
  <c r="W28" i="28" s="1"/>
  <c r="AD28" i="28"/>
  <c r="X12" i="28"/>
  <c r="X22" i="28"/>
  <c r="AG25" i="28"/>
  <c r="AG31" i="28" s="1"/>
  <c r="I29" i="28"/>
  <c r="AI45" i="28"/>
  <c r="T32" i="28"/>
  <c r="O26" i="28"/>
  <c r="G26" i="28"/>
  <c r="C117" i="28" l="1"/>
  <c r="AF32" i="28"/>
  <c r="U32" i="28"/>
  <c r="X32" i="28" s="1"/>
  <c r="Z32" i="28"/>
  <c r="V29" i="28"/>
  <c r="W29" i="28" s="1"/>
  <c r="AD29" i="28"/>
  <c r="AG32" i="28"/>
  <c r="AG33" i="28" s="1"/>
  <c r="Y29" i="28"/>
  <c r="Y30" i="28"/>
  <c r="Y27" i="28"/>
  <c r="Y28" i="28"/>
  <c r="Y26" i="28"/>
  <c r="Y24" i="28"/>
  <c r="Y19" i="28"/>
  <c r="Y23" i="28"/>
  <c r="Y13" i="28"/>
  <c r="Y17" i="28"/>
  <c r="Y31" i="28"/>
  <c r="Y25" i="28"/>
  <c r="Y14" i="28"/>
  <c r="Y18" i="28"/>
  <c r="Y16" i="28"/>
  <c r="Y20" i="28"/>
  <c r="Y15" i="28"/>
  <c r="Y21" i="28"/>
  <c r="Y22" i="28"/>
  <c r="W22" i="28"/>
  <c r="Y12" i="28"/>
  <c r="W12" i="28"/>
  <c r="B76" i="27"/>
  <c r="B96" i="27"/>
  <c r="B97" i="27" s="1"/>
  <c r="B98" i="27" s="1"/>
  <c r="B99" i="27" s="1"/>
  <c r="B100" i="27" s="1"/>
  <c r="B101" i="27" s="1"/>
  <c r="B102" i="27" s="1"/>
  <c r="B103" i="27" s="1"/>
  <c r="B104" i="27" s="1"/>
  <c r="B132" i="27"/>
  <c r="B133" i="27" s="1"/>
  <c r="B134" i="27" s="1"/>
  <c r="T33" i="28"/>
  <c r="E128" i="27"/>
  <c r="I30" i="28"/>
  <c r="AI46" i="28"/>
  <c r="E134" i="27"/>
  <c r="I131" i="27"/>
  <c r="O27" i="28"/>
  <c r="I130" i="27"/>
  <c r="G27" i="28"/>
  <c r="AI57" i="28"/>
  <c r="C125" i="28" l="1"/>
  <c r="C118" i="28"/>
  <c r="C119" i="28" s="1"/>
  <c r="C120" i="28" s="1"/>
  <c r="AF33" i="28"/>
  <c r="U33" i="28"/>
  <c r="X33" i="28" s="1"/>
  <c r="Y33" i="28" s="1"/>
  <c r="Z33" i="28"/>
  <c r="Y32" i="28"/>
  <c r="V30" i="28"/>
  <c r="W30" i="28" s="1"/>
  <c r="AD30" i="28"/>
  <c r="AG34" i="28"/>
  <c r="J131" i="27"/>
  <c r="F128" i="27"/>
  <c r="J130" i="27"/>
  <c r="F134" i="27"/>
  <c r="B135" i="27"/>
  <c r="I129" i="27"/>
  <c r="O28" i="28"/>
  <c r="E133" i="27"/>
  <c r="AI58" i="28"/>
  <c r="I31" i="28"/>
  <c r="AI47" i="28"/>
  <c r="G28" i="28"/>
  <c r="T34" i="28"/>
  <c r="I135" i="27"/>
  <c r="C126" i="28" l="1"/>
  <c r="C127" i="28" s="1"/>
  <c r="AF34" i="28"/>
  <c r="U34" i="28"/>
  <c r="X34" i="28" s="1"/>
  <c r="Z34" i="28"/>
  <c r="AD31" i="28"/>
  <c r="V31" i="28"/>
  <c r="W31" i="28" s="1"/>
  <c r="AG35" i="28"/>
  <c r="AG36" i="28" s="1"/>
  <c r="AG40" i="28" s="1"/>
  <c r="AG43" i="28" s="1"/>
  <c r="J129" i="27"/>
  <c r="J135" i="27"/>
  <c r="F133" i="27"/>
  <c r="AG57" i="28"/>
  <c r="G29" i="28"/>
  <c r="I32" i="28"/>
  <c r="T35" i="28"/>
  <c r="AI48" i="28"/>
  <c r="AI59" i="28"/>
  <c r="O29" i="28"/>
  <c r="U35" i="28" l="1"/>
  <c r="X35" i="28" s="1"/>
  <c r="Z35" i="28"/>
  <c r="AF35" i="28"/>
  <c r="Y34" i="28"/>
  <c r="V32" i="28"/>
  <c r="W32" i="28" s="1"/>
  <c r="AD32" i="28"/>
  <c r="E147" i="27"/>
  <c r="AG59" i="28"/>
  <c r="I33" i="28"/>
  <c r="AI60" i="28"/>
  <c r="O30" i="28"/>
  <c r="I134" i="27"/>
  <c r="I128" i="27"/>
  <c r="AI49" i="28"/>
  <c r="G30" i="28"/>
  <c r="T36" i="28"/>
  <c r="E132" i="27"/>
  <c r="Y35" i="28" l="1"/>
  <c r="AF36" i="28"/>
  <c r="U36" i="28"/>
  <c r="X36" i="28" s="1"/>
  <c r="Z36" i="28"/>
  <c r="AD33" i="28"/>
  <c r="V33" i="28"/>
  <c r="W33" i="28" s="1"/>
  <c r="AG60" i="28"/>
  <c r="AG61" i="28" s="1"/>
  <c r="J128" i="27"/>
  <c r="F132" i="27"/>
  <c r="J134" i="27"/>
  <c r="AG64" i="28"/>
  <c r="E135" i="27"/>
  <c r="I133" i="27"/>
  <c r="I34" i="28"/>
  <c r="AI50" i="28"/>
  <c r="AI61" i="28"/>
  <c r="O31" i="28"/>
  <c r="G31" i="28"/>
  <c r="E131" i="27"/>
  <c r="T37" i="28"/>
  <c r="U37" i="28" l="1"/>
  <c r="X37" i="28" s="1"/>
  <c r="AF37" i="28"/>
  <c r="Z37" i="28"/>
  <c r="Y36" i="28"/>
  <c r="V34" i="28"/>
  <c r="W34" i="28" s="1"/>
  <c r="AD34" i="28"/>
  <c r="C128" i="28"/>
  <c r="F135" i="27"/>
  <c r="F131" i="27"/>
  <c r="J133" i="27"/>
  <c r="B77" i="27"/>
  <c r="B78" i="27" s="1"/>
  <c r="B79" i="27" s="1"/>
  <c r="B80" i="27" s="1"/>
  <c r="B81" i="27" s="1"/>
  <c r="B82" i="27" s="1"/>
  <c r="B83" i="27" s="1"/>
  <c r="B84" i="27" s="1"/>
  <c r="B85" i="27" s="1"/>
  <c r="B86" i="27" s="1"/>
  <c r="B87" i="27" s="1"/>
  <c r="B88" i="27" s="1"/>
  <c r="C132" i="27"/>
  <c r="C133" i="27"/>
  <c r="C134" i="27"/>
  <c r="C135" i="27"/>
  <c r="AG66" i="28"/>
  <c r="AG67" i="28" s="1"/>
  <c r="M130" i="27"/>
  <c r="N133" i="27"/>
  <c r="L128" i="27"/>
  <c r="H134" i="27"/>
  <c r="M135" i="27"/>
  <c r="M133" i="27"/>
  <c r="N134" i="27"/>
  <c r="L131" i="27"/>
  <c r="O129" i="27"/>
  <c r="O133" i="27"/>
  <c r="L135" i="27"/>
  <c r="N128" i="27"/>
  <c r="M132" i="27"/>
  <c r="O32" i="28"/>
  <c r="M134" i="27"/>
  <c r="I35" i="28"/>
  <c r="O132" i="27"/>
  <c r="L129" i="27"/>
  <c r="H133" i="27"/>
  <c r="E130" i="27"/>
  <c r="N132" i="27"/>
  <c r="L130" i="27"/>
  <c r="G32" i="28"/>
  <c r="E129" i="27"/>
  <c r="O128" i="27"/>
  <c r="L134" i="27"/>
  <c r="O135" i="27"/>
  <c r="M128" i="27"/>
  <c r="AI146" i="28"/>
  <c r="I132" i="27"/>
  <c r="O134" i="27"/>
  <c r="H129" i="27"/>
  <c r="N131" i="27"/>
  <c r="L132" i="27"/>
  <c r="H132" i="27"/>
  <c r="N135" i="27"/>
  <c r="M131" i="27"/>
  <c r="H128" i="27"/>
  <c r="H135" i="27"/>
  <c r="M129" i="27"/>
  <c r="L133" i="27"/>
  <c r="O131" i="27"/>
  <c r="H130" i="27"/>
  <c r="AI62" i="28"/>
  <c r="O130" i="27"/>
  <c r="H131" i="27"/>
  <c r="T38" i="28"/>
  <c r="AI51" i="28"/>
  <c r="N130" i="27"/>
  <c r="N129" i="27"/>
  <c r="AF38" i="28" l="1"/>
  <c r="U38" i="28"/>
  <c r="X38" i="28" s="1"/>
  <c r="Z38" i="28"/>
  <c r="Y37" i="28"/>
  <c r="V35" i="28"/>
  <c r="W35" i="28" s="1"/>
  <c r="AD35" i="28"/>
  <c r="C129" i="28"/>
  <c r="J132" i="27"/>
  <c r="F130" i="27"/>
  <c r="F129" i="27"/>
  <c r="Z129" i="28"/>
  <c r="Z130" i="28"/>
  <c r="AG68" i="28"/>
  <c r="G33" i="28"/>
  <c r="AI52" i="28"/>
  <c r="I36" i="28"/>
  <c r="AI63" i="28"/>
  <c r="T39" i="28"/>
  <c r="O33" i="28"/>
  <c r="AF39" i="28" l="1"/>
  <c r="Z39" i="28"/>
  <c r="U39" i="28"/>
  <c r="Y38" i="28"/>
  <c r="V36" i="28"/>
  <c r="W36" i="28" s="1"/>
  <c r="AD36" i="28"/>
  <c r="C130" i="28"/>
  <c r="C131" i="28" s="1"/>
  <c r="C132" i="28" s="1"/>
  <c r="Z132" i="28"/>
  <c r="Z133" i="28"/>
  <c r="AG110" i="28"/>
  <c r="AG111" i="28" s="1"/>
  <c r="AI147" i="28"/>
  <c r="I37" i="28"/>
  <c r="G34" i="28"/>
  <c r="T40" i="28"/>
  <c r="AI64" i="28"/>
  <c r="O34" i="28"/>
  <c r="AI53" i="28"/>
  <c r="U40" i="28" l="1"/>
  <c r="X40" i="28" s="1"/>
  <c r="Z40" i="28"/>
  <c r="AF40" i="28"/>
  <c r="X39" i="28"/>
  <c r="Y39" i="28" s="1"/>
  <c r="V37" i="28"/>
  <c r="W37" i="28" s="1"/>
  <c r="AD37" i="28"/>
  <c r="C133" i="28"/>
  <c r="C134" i="28" s="1"/>
  <c r="Z134" i="28"/>
  <c r="Z135" i="28"/>
  <c r="Z127" i="28"/>
  <c r="Z131" i="28"/>
  <c r="Z128" i="28"/>
  <c r="AG112" i="28"/>
  <c r="O35" i="28"/>
  <c r="I38" i="28"/>
  <c r="T41" i="28"/>
  <c r="AI148" i="28"/>
  <c r="AI54" i="28"/>
  <c r="G35" i="28"/>
  <c r="AI65" i="28"/>
  <c r="AF41" i="28" l="1"/>
  <c r="U41" i="28"/>
  <c r="X41" i="28" s="1"/>
  <c r="Z41" i="28"/>
  <c r="Y40" i="28"/>
  <c r="V38" i="28"/>
  <c r="W38" i="28" s="1"/>
  <c r="AD38" i="28"/>
  <c r="C135" i="28"/>
  <c r="C136" i="28" s="1"/>
  <c r="Z136" i="28"/>
  <c r="AG113" i="28"/>
  <c r="AI66" i="28"/>
  <c r="I39" i="28"/>
  <c r="G36" i="28"/>
  <c r="T42" i="28"/>
  <c r="AI55" i="28"/>
  <c r="O36" i="28"/>
  <c r="AI149" i="28"/>
  <c r="Y41" i="28" l="1"/>
  <c r="U42" i="28"/>
  <c r="X42" i="28" s="1"/>
  <c r="Y42" i="28" s="1"/>
  <c r="Z42" i="28"/>
  <c r="AF42" i="28"/>
  <c r="AD39" i="28"/>
  <c r="V39" i="28"/>
  <c r="W39" i="28" s="1"/>
  <c r="C137" i="28"/>
  <c r="C138" i="28" s="1"/>
  <c r="C139" i="28" s="1"/>
  <c r="C140" i="28" s="1"/>
  <c r="C141" i="28" s="1"/>
  <c r="AG116" i="28"/>
  <c r="AI150" i="28"/>
  <c r="O37" i="28"/>
  <c r="AI56" i="28"/>
  <c r="T43" i="28"/>
  <c r="G37" i="28"/>
  <c r="I40" i="28"/>
  <c r="AI67" i="28"/>
  <c r="Z43" i="28" l="1"/>
  <c r="AF43" i="28"/>
  <c r="U43" i="28"/>
  <c r="X43" i="28" s="1"/>
  <c r="C146" i="28"/>
  <c r="C142" i="28"/>
  <c r="C143" i="28" s="1"/>
  <c r="C144" i="28" s="1"/>
  <c r="V40" i="28"/>
  <c r="W40" i="28" s="1"/>
  <c r="AD40" i="28"/>
  <c r="AG117" i="28"/>
  <c r="AG118" i="28" s="1"/>
  <c r="AG119" i="28" s="1"/>
  <c r="AG120" i="28" s="1"/>
  <c r="AG121" i="28"/>
  <c r="O38" i="28"/>
  <c r="AI68" i="28"/>
  <c r="T44" i="28"/>
  <c r="G38" i="28"/>
  <c r="AI151" i="28"/>
  <c r="I41" i="28"/>
  <c r="AF44" i="28" l="1"/>
  <c r="Z44" i="28"/>
  <c r="U44" i="28"/>
  <c r="X44" i="28" s="1"/>
  <c r="Y43" i="28"/>
  <c r="C147" i="28"/>
  <c r="C148" i="28" s="1"/>
  <c r="C149" i="28" s="1"/>
  <c r="C150" i="28" s="1"/>
  <c r="C151" i="28" s="1"/>
  <c r="C152" i="28" s="1"/>
  <c r="C153" i="28" s="1"/>
  <c r="C154" i="28" s="1"/>
  <c r="C155" i="28" s="1"/>
  <c r="C156" i="28" s="1"/>
  <c r="C157" i="28" s="1"/>
  <c r="V41" i="28"/>
  <c r="W41" i="28" s="1"/>
  <c r="AD41" i="28"/>
  <c r="AG125" i="28"/>
  <c r="I42" i="28"/>
  <c r="AI152" i="28"/>
  <c r="T45" i="28"/>
  <c r="AI69" i="28"/>
  <c r="G39" i="28"/>
  <c r="O39" i="28"/>
  <c r="U45" i="28" l="1"/>
  <c r="X45" i="28" s="1"/>
  <c r="AF45" i="28"/>
  <c r="Z45" i="28"/>
  <c r="Y44" i="28"/>
  <c r="C161" i="28"/>
  <c r="C158" i="28"/>
  <c r="AD42" i="28"/>
  <c r="V42" i="28"/>
  <c r="W42" i="28" s="1"/>
  <c r="Z140" i="28"/>
  <c r="AG126" i="28"/>
  <c r="T46" i="28"/>
  <c r="I43" i="28"/>
  <c r="G40" i="28"/>
  <c r="AI70" i="28"/>
  <c r="AI153" i="28"/>
  <c r="O40" i="28"/>
  <c r="O41" i="28" s="1"/>
  <c r="AF46" i="28" l="1"/>
  <c r="U46" i="28"/>
  <c r="X46" i="28" s="1"/>
  <c r="Z46" i="28"/>
  <c r="Y45" i="28"/>
  <c r="C159" i="28"/>
  <c r="C169" i="28" s="1"/>
  <c r="C162" i="28"/>
  <c r="C166" i="28" s="1"/>
  <c r="C165" i="28"/>
  <c r="V43" i="28"/>
  <c r="W43" i="28" s="1"/>
  <c r="AD43" i="28"/>
  <c r="AG127" i="28"/>
  <c r="T47" i="28"/>
  <c r="AI154" i="28"/>
  <c r="I44" i="28"/>
  <c r="O42" i="28"/>
  <c r="G41" i="28"/>
  <c r="AI71" i="28"/>
  <c r="U47" i="28" l="1"/>
  <c r="X47" i="28" s="1"/>
  <c r="AF47" i="28"/>
  <c r="Z47" i="28"/>
  <c r="Y46" i="28"/>
  <c r="C163" i="28"/>
  <c r="C167" i="28" s="1"/>
  <c r="C164" i="28"/>
  <c r="C168" i="28" s="1"/>
  <c r="V44" i="28"/>
  <c r="W44" i="28" s="1"/>
  <c r="AD44" i="28"/>
  <c r="AG128" i="28"/>
  <c r="O43" i="28"/>
  <c r="I45" i="28"/>
  <c r="T48" i="28"/>
  <c r="E140" i="17"/>
  <c r="AI72" i="28"/>
  <c r="G42" i="28"/>
  <c r="AI155" i="28"/>
  <c r="Z48" i="28" l="1"/>
  <c r="AF48" i="28"/>
  <c r="U48" i="28"/>
  <c r="X48" i="28" s="1"/>
  <c r="Y47" i="28"/>
  <c r="AD45" i="28"/>
  <c r="V45" i="28"/>
  <c r="W45" i="28" s="1"/>
  <c r="F140" i="17"/>
  <c r="AG129" i="28"/>
  <c r="O44" i="28"/>
  <c r="I46" i="28"/>
  <c r="AI156" i="28"/>
  <c r="E141" i="17"/>
  <c r="AI73" i="28"/>
  <c r="G43" i="28"/>
  <c r="T49" i="28"/>
  <c r="T50" i="28"/>
  <c r="T51" i="28" s="1"/>
  <c r="Z49" i="28" l="1"/>
  <c r="AF49" i="28"/>
  <c r="U49" i="28"/>
  <c r="X49" i="28" s="1"/>
  <c r="AF50" i="28"/>
  <c r="U50" i="28"/>
  <c r="X50" i="28" s="1"/>
  <c r="Z50" i="28"/>
  <c r="Y49" i="28"/>
  <c r="Y48" i="28"/>
  <c r="C170" i="28"/>
  <c r="C171" i="28" s="1"/>
  <c r="C172" i="28" s="1"/>
  <c r="C173" i="28" s="1"/>
  <c r="C174" i="28" s="1"/>
  <c r="AD46" i="28"/>
  <c r="V46" i="28"/>
  <c r="W46" i="28" s="1"/>
  <c r="Z51" i="28"/>
  <c r="AF51" i="28"/>
  <c r="U51" i="28"/>
  <c r="X51" i="28" s="1"/>
  <c r="F141" i="17"/>
  <c r="AG130" i="28"/>
  <c r="T52" i="28"/>
  <c r="G44" i="28"/>
  <c r="E142" i="17"/>
  <c r="I47" i="28"/>
  <c r="AI74" i="28"/>
  <c r="O45" i="28"/>
  <c r="AI157" i="28"/>
  <c r="AD47" i="28" l="1"/>
  <c r="V47" i="28"/>
  <c r="W47" i="28" s="1"/>
  <c r="C175" i="28"/>
  <c r="AF52" i="28"/>
  <c r="Z52" i="28"/>
  <c r="U52" i="28"/>
  <c r="X52" i="28" s="1"/>
  <c r="Y50" i="28"/>
  <c r="Y51" i="28"/>
  <c r="F142" i="17"/>
  <c r="Z150" i="28"/>
  <c r="AG131" i="28"/>
  <c r="AI161" i="28"/>
  <c r="G45" i="28"/>
  <c r="O46" i="28"/>
  <c r="I48" i="28"/>
  <c r="AI158" i="28"/>
  <c r="I49" i="28"/>
  <c r="T53" i="28"/>
  <c r="AI75" i="28"/>
  <c r="E143" i="17"/>
  <c r="AD48" i="28" l="1"/>
  <c r="V48" i="28"/>
  <c r="W48" i="28" s="1"/>
  <c r="V49" i="28"/>
  <c r="W49" i="28" s="1"/>
  <c r="AD49" i="28"/>
  <c r="C180" i="28"/>
  <c r="C184" i="28" s="1"/>
  <c r="C185" i="28" s="1"/>
  <c r="C186" i="28" s="1"/>
  <c r="C190" i="28" s="1"/>
  <c r="Z53" i="28"/>
  <c r="U53" i="28"/>
  <c r="X53" i="28" s="1"/>
  <c r="Y53" i="28" s="1"/>
  <c r="AF53" i="28"/>
  <c r="Y52" i="28"/>
  <c r="F143" i="17"/>
  <c r="AG132" i="28"/>
  <c r="O47" i="28"/>
  <c r="I50" i="28"/>
  <c r="AI169" i="28"/>
  <c r="AI159" i="28"/>
  <c r="E144" i="17"/>
  <c r="AI76" i="28"/>
  <c r="G46" i="28"/>
  <c r="T54" i="28"/>
  <c r="AI162" i="28"/>
  <c r="AD50" i="28" l="1"/>
  <c r="V50" i="28"/>
  <c r="W50" i="28" s="1"/>
  <c r="C193" i="28"/>
  <c r="Z54" i="28"/>
  <c r="AF54" i="28"/>
  <c r="U54" i="28"/>
  <c r="X54" i="28" s="1"/>
  <c r="F144" i="17"/>
  <c r="Z152" i="28"/>
  <c r="AG133" i="28"/>
  <c r="AI160" i="28"/>
  <c r="I51" i="28"/>
  <c r="G47" i="28"/>
  <c r="AI170" i="28"/>
  <c r="E145" i="17"/>
  <c r="G48" i="28"/>
  <c r="AI163" i="28"/>
  <c r="O48" i="28"/>
  <c r="T55" i="28"/>
  <c r="AI77" i="28"/>
  <c r="AD51" i="28" l="1"/>
  <c r="V51" i="28"/>
  <c r="W51" i="28" s="1"/>
  <c r="AF55" i="28"/>
  <c r="U55" i="28"/>
  <c r="X55" i="28" s="1"/>
  <c r="Y55" i="28" s="1"/>
  <c r="Z55" i="28"/>
  <c r="Y54" i="28"/>
  <c r="F145" i="17"/>
  <c r="AG134" i="28"/>
  <c r="G49" i="28"/>
  <c r="AI164" i="28"/>
  <c r="T56" i="28"/>
  <c r="AI171" i="28"/>
  <c r="E146" i="17"/>
  <c r="AI78" i="28"/>
  <c r="I52" i="28"/>
  <c r="I53" i="28" s="1"/>
  <c r="O49" i="28"/>
  <c r="AD52" i="28" l="1"/>
  <c r="V52" i="28"/>
  <c r="W52" i="28" s="1"/>
  <c r="V53" i="28"/>
  <c r="W53" i="28" s="1"/>
  <c r="AD53" i="28"/>
  <c r="Z56" i="28"/>
  <c r="AF56" i="28"/>
  <c r="U56" i="28"/>
  <c r="X56" i="28" s="1"/>
  <c r="F146" i="17"/>
  <c r="AT192" i="28"/>
  <c r="AU192" i="28" s="1"/>
  <c r="AS192" i="28"/>
  <c r="AG135" i="28"/>
  <c r="G50" i="28"/>
  <c r="AI79" i="28"/>
  <c r="AI165" i="28"/>
  <c r="I54" i="28"/>
  <c r="AI172" i="28"/>
  <c r="O50" i="28"/>
  <c r="E147" i="17"/>
  <c r="AD54" i="28" l="1"/>
  <c r="V54" i="28"/>
  <c r="W54" i="28" s="1"/>
  <c r="Y56" i="28"/>
  <c r="F147" i="17"/>
  <c r="AV192" i="28"/>
  <c r="AS194" i="28"/>
  <c r="AT194" i="28"/>
  <c r="AU194" i="28" s="1"/>
  <c r="CA240" i="29"/>
  <c r="AG136" i="28"/>
  <c r="G51" i="28"/>
  <c r="AI173" i="28"/>
  <c r="AI166" i="28"/>
  <c r="T57" i="28"/>
  <c r="E148" i="17"/>
  <c r="I55" i="28"/>
  <c r="I56" i="28"/>
  <c r="G52" i="28"/>
  <c r="O51" i="28"/>
  <c r="AI80" i="28"/>
  <c r="AR193" i="28"/>
  <c r="AD55" i="28" l="1"/>
  <c r="V55" i="28"/>
  <c r="W55" i="28" s="1"/>
  <c r="V56" i="28"/>
  <c r="W56" i="28" s="1"/>
  <c r="AD56" i="28"/>
  <c r="Z57" i="28"/>
  <c r="AF57" i="28"/>
  <c r="U57" i="28"/>
  <c r="F148" i="17"/>
  <c r="AX193" i="28"/>
  <c r="AT193" i="28"/>
  <c r="AU193" i="28" s="1"/>
  <c r="AS193" i="28"/>
  <c r="CB240" i="29"/>
  <c r="AV194" i="28"/>
  <c r="M127" i="17"/>
  <c r="O130" i="17" s="1"/>
  <c r="M184" i="17"/>
  <c r="O187" i="17" s="1"/>
  <c r="M192" i="17"/>
  <c r="O195" i="17" s="1"/>
  <c r="O17" i="17"/>
  <c r="O35" i="17"/>
  <c r="O83" i="17"/>
  <c r="O125" i="17"/>
  <c r="O126" i="17"/>
  <c r="O127" i="17"/>
  <c r="O128" i="17"/>
  <c r="O129"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8" i="17"/>
  <c r="O189" i="17"/>
  <c r="O190" i="17"/>
  <c r="O191" i="17"/>
  <c r="O192" i="17"/>
  <c r="O193" i="17"/>
  <c r="O194"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KH6" i="17"/>
  <c r="KH7" i="17" s="1"/>
  <c r="KH8" i="17" s="1"/>
  <c r="KH9" i="17" s="1"/>
  <c r="KH10" i="17" s="1"/>
  <c r="KH11" i="17" s="1"/>
  <c r="KH12" i="17" s="1"/>
  <c r="KH13" i="17" s="1"/>
  <c r="KH14" i="17" s="1"/>
  <c r="KH15" i="17" s="1"/>
  <c r="KH16" i="17" s="1"/>
  <c r="KH17" i="17" s="1"/>
  <c r="KH18" i="17" s="1"/>
  <c r="KH19" i="17" s="1"/>
  <c r="KH20" i="17" s="1"/>
  <c r="KH21" i="17" s="1"/>
  <c r="KH22" i="17" s="1"/>
  <c r="KH23" i="17" s="1"/>
  <c r="KH24" i="17" s="1"/>
  <c r="KH25" i="17" s="1"/>
  <c r="KH26" i="17" s="1"/>
  <c r="KH27" i="17" s="1"/>
  <c r="KH28" i="17" s="1"/>
  <c r="KH29" i="17" s="1"/>
  <c r="KH30" i="17" s="1"/>
  <c r="KH31" i="17" s="1"/>
  <c r="KH32" i="17" s="1"/>
  <c r="KH33" i="17" s="1"/>
  <c r="KH34" i="17" s="1"/>
  <c r="KH35" i="17" s="1"/>
  <c r="KH36" i="17" s="1"/>
  <c r="KH37" i="17" s="1"/>
  <c r="KH38" i="17" s="1"/>
  <c r="KH39" i="17" s="1"/>
  <c r="KH40" i="17" s="1"/>
  <c r="KH41" i="17" s="1"/>
  <c r="KH42" i="17" s="1"/>
  <c r="KH43" i="17" s="1"/>
  <c r="KH44" i="17" s="1"/>
  <c r="KH45" i="17" s="1"/>
  <c r="KH46" i="17" s="1"/>
  <c r="KH47" i="17" s="1"/>
  <c r="KH48" i="17" s="1"/>
  <c r="KH49" i="17" s="1"/>
  <c r="KH50" i="17" s="1"/>
  <c r="KH51" i="17" s="1"/>
  <c r="KH52" i="17" s="1"/>
  <c r="KH53" i="17" s="1"/>
  <c r="KH54" i="17" s="1"/>
  <c r="KH55" i="17" s="1"/>
  <c r="KH56" i="17" s="1"/>
  <c r="KH57" i="17" s="1"/>
  <c r="KH58" i="17" s="1"/>
  <c r="KH59" i="17" s="1"/>
  <c r="KH60" i="17" s="1"/>
  <c r="KH61" i="17" s="1"/>
  <c r="KH62" i="17" s="1"/>
  <c r="KH63" i="17" s="1"/>
  <c r="KH64" i="17" s="1"/>
  <c r="KH65" i="17" s="1"/>
  <c r="KH66" i="17" s="1"/>
  <c r="KH67" i="17" s="1"/>
  <c r="KH68" i="17" s="1"/>
  <c r="KH69" i="17" s="1"/>
  <c r="KH70" i="17" s="1"/>
  <c r="KH71" i="17" s="1"/>
  <c r="KH72" i="17" s="1"/>
  <c r="KH73" i="17" s="1"/>
  <c r="KH74" i="17" s="1"/>
  <c r="KH75" i="17" s="1"/>
  <c r="KH76" i="17" s="1"/>
  <c r="KH77" i="17" s="1"/>
  <c r="KH78" i="17" s="1"/>
  <c r="KH79" i="17" s="1"/>
  <c r="KH80" i="17" s="1"/>
  <c r="KH81" i="17" s="1"/>
  <c r="KH82" i="17" s="1"/>
  <c r="KH83" i="17" s="1"/>
  <c r="KH84" i="17" s="1"/>
  <c r="KH85" i="17" s="1"/>
  <c r="KH86" i="17" s="1"/>
  <c r="KH87" i="17" s="1"/>
  <c r="KH88" i="17" s="1"/>
  <c r="KH89" i="17" s="1"/>
  <c r="KH90" i="17" s="1"/>
  <c r="KH91" i="17" s="1"/>
  <c r="KH92" i="17" s="1"/>
  <c r="KH93" i="17" s="1"/>
  <c r="KH94" i="17" s="1"/>
  <c r="KH95" i="17" s="1"/>
  <c r="KH96" i="17" s="1"/>
  <c r="KH97" i="17" s="1"/>
  <c r="KH98" i="17" s="1"/>
  <c r="KH99" i="17" s="1"/>
  <c r="KH100" i="17" s="1"/>
  <c r="KH101" i="17" s="1"/>
  <c r="KH102" i="17" s="1"/>
  <c r="KH103" i="17" s="1"/>
  <c r="KH104" i="17" s="1"/>
  <c r="KH105" i="17" s="1"/>
  <c r="KH106" i="17" s="1"/>
  <c r="L8" i="24"/>
  <c r="L9" i="24" s="1"/>
  <c r="L10" i="24" s="1"/>
  <c r="L11" i="24" s="1"/>
  <c r="L12" i="24" s="1"/>
  <c r="L13" i="24" s="1"/>
  <c r="L14" i="24" s="1"/>
  <c r="L15" i="24" s="1"/>
  <c r="L16" i="24" s="1"/>
  <c r="L17" i="24" s="1"/>
  <c r="L18" i="24" s="1"/>
  <c r="L19" i="24" s="1"/>
  <c r="L20" i="24" s="1"/>
  <c r="L21" i="24" s="1"/>
  <c r="L22" i="24" s="1"/>
  <c r="L23" i="24" s="1"/>
  <c r="L24" i="24" s="1"/>
  <c r="L25" i="24" s="1"/>
  <c r="L26" i="24" s="1"/>
  <c r="L27" i="24" s="1"/>
  <c r="L28" i="24" s="1"/>
  <c r="L29" i="24" s="1"/>
  <c r="L30" i="24" s="1"/>
  <c r="L31" i="24" s="1"/>
  <c r="L32" i="24" s="1"/>
  <c r="L33" i="24" s="1"/>
  <c r="L34" i="24" s="1"/>
  <c r="L35" i="24" s="1"/>
  <c r="L36" i="24" s="1"/>
  <c r="L37" i="24" s="1"/>
  <c r="L38" i="24" s="1"/>
  <c r="L39" i="24" s="1"/>
  <c r="L40" i="24" s="1"/>
  <c r="L41" i="24" s="1"/>
  <c r="L42" i="24" s="1"/>
  <c r="L43" i="24" s="1"/>
  <c r="L44" i="24" s="1"/>
  <c r="L45" i="24" s="1"/>
  <c r="L46" i="24" s="1"/>
  <c r="L47" i="24" s="1"/>
  <c r="L48" i="24" s="1"/>
  <c r="L49" i="24" s="1"/>
  <c r="L50" i="24" s="1"/>
  <c r="L51" i="24" s="1"/>
  <c r="L52" i="24" s="1"/>
  <c r="L53" i="24" s="1"/>
  <c r="L54" i="24" s="1"/>
  <c r="L55" i="24" s="1"/>
  <c r="L56" i="24" s="1"/>
  <c r="L57" i="24" s="1"/>
  <c r="L58" i="24" s="1"/>
  <c r="L59" i="24" s="1"/>
  <c r="L60" i="24" s="1"/>
  <c r="L61" i="24" s="1"/>
  <c r="L62" i="24" s="1"/>
  <c r="L63" i="24" s="1"/>
  <c r="L64" i="24" s="1"/>
  <c r="L65" i="24" s="1"/>
  <c r="G73" i="24"/>
  <c r="G74" i="24" s="1"/>
  <c r="F72" i="24" s="1"/>
  <c r="AG137" i="28"/>
  <c r="AI174" i="28"/>
  <c r="O52" i="28"/>
  <c r="O53" i="28" s="1"/>
  <c r="AI167" i="28"/>
  <c r="I57" i="28"/>
  <c r="I58" i="28" s="1"/>
  <c r="I59" i="28" s="1"/>
  <c r="AI81" i="28"/>
  <c r="G53" i="28"/>
  <c r="E149" i="17"/>
  <c r="T58" i="28"/>
  <c r="V57" i="28" l="1"/>
  <c r="W57" i="28" s="1"/>
  <c r="AD57" i="28"/>
  <c r="AD58" i="28"/>
  <c r="AD59" i="28"/>
  <c r="AF58" i="28"/>
  <c r="U58" i="28"/>
  <c r="X58" i="28" s="1"/>
  <c r="V58" i="28"/>
  <c r="W58" i="28" s="1"/>
  <c r="Z58" i="28"/>
  <c r="X57" i="28"/>
  <c r="Y57" i="28" s="1"/>
  <c r="F149" i="17"/>
  <c r="AV193" i="28"/>
  <c r="AG138" i="28"/>
  <c r="E150" i="17"/>
  <c r="AI175" i="28"/>
  <c r="I60" i="28"/>
  <c r="AI168" i="28"/>
  <c r="O54" i="28"/>
  <c r="AI82" i="28"/>
  <c r="T59" i="28"/>
  <c r="G54" i="28"/>
  <c r="G55" i="28" s="1"/>
  <c r="AD60" i="28" l="1"/>
  <c r="Z59" i="28"/>
  <c r="U59" i="28"/>
  <c r="X59" i="28" s="1"/>
  <c r="AF59" i="28"/>
  <c r="V59" i="28"/>
  <c r="W59" i="28" s="1"/>
  <c r="Y58" i="28"/>
  <c r="F150" i="17"/>
  <c r="AG139" i="28"/>
  <c r="I61" i="28"/>
  <c r="AI83" i="28"/>
  <c r="I62" i="28"/>
  <c r="E151" i="17"/>
  <c r="T60" i="28"/>
  <c r="AI180" i="28"/>
  <c r="AI176" i="28"/>
  <c r="G56" i="28"/>
  <c r="O55" i="28"/>
  <c r="AD61" i="28" l="1"/>
  <c r="AD62" i="28"/>
  <c r="AF60" i="28"/>
  <c r="Z60" i="28"/>
  <c r="U60" i="28"/>
  <c r="X60" i="28" s="1"/>
  <c r="V60" i="28"/>
  <c r="W60" i="28" s="1"/>
  <c r="Y59" i="28"/>
  <c r="F151" i="17"/>
  <c r="AG140" i="28"/>
  <c r="G57" i="28"/>
  <c r="AI184" i="28"/>
  <c r="O56" i="28"/>
  <c r="AI177" i="28"/>
  <c r="E152" i="17"/>
  <c r="AI181" i="28"/>
  <c r="T61" i="28"/>
  <c r="AI84" i="28"/>
  <c r="I63" i="28"/>
  <c r="AD63" i="28" l="1"/>
  <c r="Z61" i="28"/>
  <c r="AF61" i="28"/>
  <c r="U61" i="28"/>
  <c r="X61" i="28" s="1"/>
  <c r="V61" i="28"/>
  <c r="W61" i="28" s="1"/>
  <c r="Y60" i="28"/>
  <c r="F152" i="17"/>
  <c r="AG141" i="28"/>
  <c r="AG142" i="28" s="1"/>
  <c r="AG143" i="28" s="1"/>
  <c r="AG144" i="28" s="1"/>
  <c r="AI182" i="28"/>
  <c r="O57" i="28"/>
  <c r="AI185" i="28"/>
  <c r="T62" i="28"/>
  <c r="AI183" i="28"/>
  <c r="E153" i="17"/>
  <c r="G58" i="28"/>
  <c r="AI85" i="28"/>
  <c r="AI178" i="28"/>
  <c r="Z62" i="28" l="1"/>
  <c r="V62" i="28"/>
  <c r="W62" i="28" s="1"/>
  <c r="U62" i="28"/>
  <c r="X62" i="28" s="1"/>
  <c r="AF62" i="28"/>
  <c r="Y61" i="28"/>
  <c r="F153" i="17"/>
  <c r="AG146" i="28"/>
  <c r="O58" i="28"/>
  <c r="G59" i="28"/>
  <c r="E154" i="17"/>
  <c r="AI186" i="28"/>
  <c r="T63" i="28"/>
  <c r="AI179" i="28"/>
  <c r="AI86" i="28"/>
  <c r="O59" i="28"/>
  <c r="AI110" i="28"/>
  <c r="Z63" i="28" l="1"/>
  <c r="AF63" i="28"/>
  <c r="U63" i="28"/>
  <c r="X63" i="28" s="1"/>
  <c r="V63" i="28"/>
  <c r="W63" i="28" s="1"/>
  <c r="Y62" i="28"/>
  <c r="F154" i="17"/>
  <c r="BV229" i="29"/>
  <c r="BW229" i="29" s="1"/>
  <c r="BV232" i="29"/>
  <c r="BW232" i="29" s="1"/>
  <c r="BZ228" i="29"/>
  <c r="Z6" i="29" s="1"/>
  <c r="BZ230" i="29"/>
  <c r="X6" i="29" s="1"/>
  <c r="BZ231" i="29"/>
  <c r="W6" i="29" s="1"/>
  <c r="BZ235" i="29"/>
  <c r="CA235" i="29" s="1"/>
  <c r="CB235" i="29" s="1"/>
  <c r="BV236" i="29"/>
  <c r="BW236" i="29" s="1"/>
  <c r="BW237" i="29"/>
  <c r="BV238" i="29"/>
  <c r="BW238" i="29" s="1"/>
  <c r="BW239" i="29"/>
  <c r="BW240" i="29"/>
  <c r="CA236" i="29"/>
  <c r="CB236" i="29" s="1"/>
  <c r="BZ237" i="29"/>
  <c r="CA237" i="29" s="1"/>
  <c r="CB237" i="29" s="1"/>
  <c r="BW228" i="29"/>
  <c r="CB233" i="29"/>
  <c r="CB238" i="29"/>
  <c r="CB232" i="29"/>
  <c r="BW234" i="29"/>
  <c r="BW233" i="29"/>
  <c r="BW231" i="29"/>
  <c r="BW235" i="29"/>
  <c r="AG147" i="28"/>
  <c r="AI87" i="28"/>
  <c r="E155" i="17"/>
  <c r="AI111" i="28"/>
  <c r="O60" i="28"/>
  <c r="AI112" i="28"/>
  <c r="AI187" i="28"/>
  <c r="G60" i="28"/>
  <c r="Y63" i="28" l="1"/>
  <c r="F155" i="17"/>
  <c r="CA230" i="29"/>
  <c r="CB230" i="29" s="1"/>
  <c r="CA228" i="29"/>
  <c r="CB228" i="29" s="1"/>
  <c r="CA231" i="29"/>
  <c r="CB231" i="29" s="1"/>
  <c r="AG148" i="28"/>
  <c r="AI113" i="28"/>
  <c r="I64" i="28"/>
  <c r="AI88" i="28"/>
  <c r="G61" i="28"/>
  <c r="E156" i="17"/>
  <c r="O61" i="28"/>
  <c r="AI188" i="28"/>
  <c r="AI189" i="28" s="1"/>
  <c r="AD64" i="28" l="1"/>
  <c r="F156" i="17"/>
  <c r="Z137" i="28"/>
  <c r="CE228" i="29"/>
  <c r="CE230" i="29" s="1"/>
  <c r="G62" i="28"/>
  <c r="AI89" i="28"/>
  <c r="AI114" i="28"/>
  <c r="AI116" i="28"/>
  <c r="E157" i="17"/>
  <c r="I65" i="28"/>
  <c r="O62" i="28"/>
  <c r="AI190" i="28"/>
  <c r="AD65" i="28" l="1"/>
  <c r="F157" i="17"/>
  <c r="BT229" i="29"/>
  <c r="B7" i="29"/>
  <c r="BT233" i="29"/>
  <c r="B14" i="29"/>
  <c r="BT236" i="29"/>
  <c r="BY228" i="29"/>
  <c r="B40" i="29"/>
  <c r="BY234" i="29"/>
  <c r="BT231" i="29"/>
  <c r="B18" i="29"/>
  <c r="BY232" i="29"/>
  <c r="B27" i="29"/>
  <c r="B12" i="29"/>
  <c r="BT228" i="29"/>
  <c r="B41" i="29"/>
  <c r="B30" i="29"/>
  <c r="BY235" i="29"/>
  <c r="B36" i="29"/>
  <c r="B33" i="29"/>
  <c r="BY229" i="29"/>
  <c r="B29" i="29"/>
  <c r="CG211" i="29"/>
  <c r="B21" i="29"/>
  <c r="BY238" i="29"/>
  <c r="CG212" i="29"/>
  <c r="B15" i="29"/>
  <c r="BY231" i="29"/>
  <c r="B35" i="29"/>
  <c r="B16" i="29"/>
  <c r="B8" i="29"/>
  <c r="CG216" i="29"/>
  <c r="BY236" i="29"/>
  <c r="BT230" i="29"/>
  <c r="BT240" i="29"/>
  <c r="B37" i="29"/>
  <c r="CG213" i="29"/>
  <c r="B23" i="29"/>
  <c r="CG210" i="29"/>
  <c r="B26" i="29"/>
  <c r="B11" i="29"/>
  <c r="CG214" i="29"/>
  <c r="B28" i="29"/>
  <c r="B19" i="29"/>
  <c r="CG217" i="29"/>
  <c r="B24" i="29"/>
  <c r="BT238" i="29"/>
  <c r="BY239" i="29"/>
  <c r="B34" i="29"/>
  <c r="BT237" i="29"/>
  <c r="B22" i="29"/>
  <c r="B20" i="29"/>
  <c r="B17" i="29"/>
  <c r="BT239" i="29"/>
  <c r="B39" i="29"/>
  <c r="B25" i="29"/>
  <c r="B31" i="29"/>
  <c r="B10" i="29"/>
  <c r="BY230" i="29"/>
  <c r="B9" i="29"/>
  <c r="BY240" i="29"/>
  <c r="B38" i="29"/>
  <c r="BY233" i="29"/>
  <c r="BT234" i="29"/>
  <c r="BT235" i="29"/>
  <c r="BY237" i="29"/>
  <c r="B32" i="29"/>
  <c r="B13" i="29"/>
  <c r="BT232" i="29"/>
  <c r="CG215" i="29"/>
  <c r="I66" i="28"/>
  <c r="AI191" i="28"/>
  <c r="E158" i="17"/>
  <c r="AI90" i="28"/>
  <c r="O63" i="28"/>
  <c r="G63" i="28"/>
  <c r="T64" i="28"/>
  <c r="AI115" i="28"/>
  <c r="AI117" i="28"/>
  <c r="AD66" i="28" l="1"/>
  <c r="Z64" i="28"/>
  <c r="AF64" i="28"/>
  <c r="U64" i="28"/>
  <c r="V64" i="28"/>
  <c r="W64" i="28" s="1"/>
  <c r="AA8" i="29"/>
  <c r="F158" i="17"/>
  <c r="AA7" i="29"/>
  <c r="D24" i="29"/>
  <c r="E39" i="29"/>
  <c r="D18" i="29"/>
  <c r="D7" i="29"/>
  <c r="D37" i="29"/>
  <c r="L37" i="29" s="1"/>
  <c r="D20" i="29"/>
  <c r="D17" i="29"/>
  <c r="D35" i="29"/>
  <c r="AJ28" i="29"/>
  <c r="F33" i="29"/>
  <c r="C19" i="29"/>
  <c r="P29" i="29"/>
  <c r="E38" i="29"/>
  <c r="F22" i="29"/>
  <c r="F14" i="29"/>
  <c r="Y14" i="29" s="1"/>
  <c r="D15" i="29"/>
  <c r="J15" i="29" s="1"/>
  <c r="D41" i="29"/>
  <c r="P17" i="29"/>
  <c r="F36" i="29"/>
  <c r="F39" i="29"/>
  <c r="D9" i="29"/>
  <c r="D21" i="29"/>
  <c r="AJ40" i="29"/>
  <c r="AA20" i="29"/>
  <c r="E12" i="29"/>
  <c r="F16" i="29"/>
  <c r="F18" i="29"/>
  <c r="AA19" i="29"/>
  <c r="C11" i="29"/>
  <c r="AJ21" i="29"/>
  <c r="E41" i="29"/>
  <c r="AA31" i="29"/>
  <c r="E10" i="29"/>
  <c r="C25" i="29"/>
  <c r="E9" i="29"/>
  <c r="AJ14" i="29"/>
  <c r="C27" i="29"/>
  <c r="F40" i="29"/>
  <c r="AJ32" i="29"/>
  <c r="E24" i="29"/>
  <c r="AJ37" i="29"/>
  <c r="E23" i="29"/>
  <c r="AJ41" i="29"/>
  <c r="AJ34" i="29"/>
  <c r="E18" i="29"/>
  <c r="T18" i="29" s="1"/>
  <c r="D10" i="29"/>
  <c r="D39" i="29"/>
  <c r="AA24" i="29"/>
  <c r="AA34" i="29"/>
  <c r="D28" i="29"/>
  <c r="D33" i="29"/>
  <c r="F12" i="29"/>
  <c r="C37" i="29"/>
  <c r="K37" i="29" s="1"/>
  <c r="E16" i="29"/>
  <c r="F41" i="29"/>
  <c r="X41" i="29" s="1"/>
  <c r="E19" i="29"/>
  <c r="Z19" i="29" s="1"/>
  <c r="C36" i="29"/>
  <c r="F34" i="29"/>
  <c r="AJ18" i="29"/>
  <c r="F10" i="29"/>
  <c r="W10" i="29" s="1"/>
  <c r="F28" i="29"/>
  <c r="AJ29" i="29"/>
  <c r="P22" i="29"/>
  <c r="AJ33" i="29"/>
  <c r="C32" i="29"/>
  <c r="AA14" i="29"/>
  <c r="AJ12" i="29"/>
  <c r="C17" i="29"/>
  <c r="F29" i="29"/>
  <c r="E25" i="29"/>
  <c r="Z25" i="29" s="1"/>
  <c r="C7" i="29"/>
  <c r="I7" i="29" s="1"/>
  <c r="AA41" i="29"/>
  <c r="E17" i="29"/>
  <c r="D11" i="29"/>
  <c r="AA35" i="29"/>
  <c r="F9" i="29"/>
  <c r="E14" i="29"/>
  <c r="D12" i="29"/>
  <c r="D23" i="29"/>
  <c r="AJ17" i="29"/>
  <c r="D40" i="29"/>
  <c r="D29" i="29"/>
  <c r="AJ7" i="29"/>
  <c r="AJ13" i="29"/>
  <c r="C31" i="29"/>
  <c r="C9" i="29"/>
  <c r="F37" i="29"/>
  <c r="D16" i="29"/>
  <c r="D36" i="29"/>
  <c r="AJ27" i="29"/>
  <c r="E27" i="29"/>
  <c r="C40" i="29"/>
  <c r="AJ26" i="29"/>
  <c r="P27" i="29"/>
  <c r="F20" i="29"/>
  <c r="T20" i="29" s="1"/>
  <c r="F26" i="29"/>
  <c r="AJ30" i="29"/>
  <c r="C29" i="29"/>
  <c r="N29" i="29" s="1"/>
  <c r="F31" i="29"/>
  <c r="AA18" i="29"/>
  <c r="AJ11" i="29"/>
  <c r="D8" i="29"/>
  <c r="M8" i="29" s="1"/>
  <c r="C28" i="29"/>
  <c r="D32" i="29"/>
  <c r="L32" i="29" s="1"/>
  <c r="AJ8" i="29"/>
  <c r="AJ9" i="29"/>
  <c r="C14" i="29"/>
  <c r="E33" i="29"/>
  <c r="Y33" i="29" s="1"/>
  <c r="E11" i="29"/>
  <c r="AJ16" i="29"/>
  <c r="D27" i="29"/>
  <c r="AJ19" i="29"/>
  <c r="D22" i="29"/>
  <c r="AJ36" i="29"/>
  <c r="AJ35" i="29"/>
  <c r="E26" i="29"/>
  <c r="C13" i="29"/>
  <c r="D38" i="29"/>
  <c r="K38" i="29" s="1"/>
  <c r="D31" i="29"/>
  <c r="D25" i="29"/>
  <c r="N25" i="29" s="1"/>
  <c r="E15" i="29"/>
  <c r="E28" i="29"/>
  <c r="E30" i="29"/>
  <c r="P20" i="29"/>
  <c r="P10" i="29"/>
  <c r="AA12" i="29"/>
  <c r="AA16" i="29"/>
  <c r="C33" i="29"/>
  <c r="F11" i="29"/>
  <c r="F23" i="29"/>
  <c r="F27" i="29"/>
  <c r="C41" i="29"/>
  <c r="K41" i="29" s="1"/>
  <c r="D19" i="29"/>
  <c r="AJ22" i="29"/>
  <c r="F8" i="29"/>
  <c r="C35" i="29"/>
  <c r="E34" i="29"/>
  <c r="W34" i="29" s="1"/>
  <c r="D26" i="29"/>
  <c r="F13" i="29"/>
  <c r="F38" i="29"/>
  <c r="AJ31" i="29"/>
  <c r="AJ25" i="29"/>
  <c r="C15" i="29"/>
  <c r="P32" i="29"/>
  <c r="P12" i="29"/>
  <c r="AA38" i="29"/>
  <c r="D14" i="29"/>
  <c r="K14" i="29" s="1"/>
  <c r="AJ23" i="29"/>
  <c r="F19" i="29"/>
  <c r="C22" i="29"/>
  <c r="L22" i="29" s="1"/>
  <c r="D34" i="29"/>
  <c r="C20" i="29"/>
  <c r="M20" i="29" s="1"/>
  <c r="P31" i="29"/>
  <c r="E13" i="29"/>
  <c r="AJ38" i="29"/>
  <c r="F25" i="29"/>
  <c r="V25" i="29" s="1"/>
  <c r="D30" i="29"/>
  <c r="P41" i="29"/>
  <c r="P40" i="29"/>
  <c r="P28" i="29"/>
  <c r="C8" i="29"/>
  <c r="P21" i="29"/>
  <c r="E37" i="29"/>
  <c r="C23" i="29"/>
  <c r="E31" i="29"/>
  <c r="C24" i="29"/>
  <c r="P23" i="29"/>
  <c r="P33" i="29"/>
  <c r="AA10" i="29"/>
  <c r="AA21" i="29"/>
  <c r="AA36" i="29"/>
  <c r="AJ24" i="29"/>
  <c r="AJ10" i="29"/>
  <c r="AA13" i="29"/>
  <c r="P25" i="29"/>
  <c r="P14" i="29"/>
  <c r="P13" i="29"/>
  <c r="AA33" i="29"/>
  <c r="AA25" i="29"/>
  <c r="AA32" i="29"/>
  <c r="F30" i="29"/>
  <c r="AJ39" i="29"/>
  <c r="E22" i="29"/>
  <c r="E36" i="29"/>
  <c r="E29" i="29"/>
  <c r="E35" i="29"/>
  <c r="E7" i="29"/>
  <c r="C26" i="29"/>
  <c r="D13" i="29"/>
  <c r="L13" i="29" s="1"/>
  <c r="F32" i="29"/>
  <c r="C38" i="29"/>
  <c r="C10" i="29"/>
  <c r="C39" i="29"/>
  <c r="F15" i="29"/>
  <c r="E21" i="29"/>
  <c r="E20" i="29"/>
  <c r="F24" i="29"/>
  <c r="V24" i="29" s="1"/>
  <c r="P34" i="29"/>
  <c r="P36" i="29"/>
  <c r="P30" i="29"/>
  <c r="P26" i="29"/>
  <c r="P18" i="29"/>
  <c r="P24" i="29"/>
  <c r="AA23" i="29"/>
  <c r="AA28" i="29"/>
  <c r="AA40" i="29"/>
  <c r="AA22" i="29"/>
  <c r="AA37" i="29"/>
  <c r="AA9" i="29"/>
  <c r="C30" i="29"/>
  <c r="P19" i="29"/>
  <c r="P16" i="29"/>
  <c r="P39" i="29"/>
  <c r="P11" i="29"/>
  <c r="P8" i="29"/>
  <c r="P38" i="29"/>
  <c r="AA26" i="29"/>
  <c r="AA11" i="29"/>
  <c r="AA39" i="29"/>
  <c r="AA29" i="29"/>
  <c r="AA15" i="29"/>
  <c r="F21" i="29"/>
  <c r="C12" i="29"/>
  <c r="I12" i="29" s="1"/>
  <c r="C16" i="29"/>
  <c r="F17" i="29"/>
  <c r="Z17" i="29" s="1"/>
  <c r="E40" i="29"/>
  <c r="E8" i="29"/>
  <c r="F35" i="29"/>
  <c r="Y35" i="29" s="1"/>
  <c r="C34" i="29"/>
  <c r="F7" i="29"/>
  <c r="X7" i="29" s="1"/>
  <c r="C18" i="29"/>
  <c r="E32" i="29"/>
  <c r="Z32" i="29" s="1"/>
  <c r="AJ15" i="29"/>
  <c r="C21" i="29"/>
  <c r="AJ20" i="29"/>
  <c r="P9" i="29"/>
  <c r="P15" i="29"/>
  <c r="P37" i="29"/>
  <c r="P35" i="29"/>
  <c r="P7" i="29"/>
  <c r="AA17" i="29"/>
  <c r="AA30" i="29"/>
  <c r="AA27" i="29"/>
  <c r="U34" i="29"/>
  <c r="I37" i="29"/>
  <c r="Y9" i="29"/>
  <c r="L41" i="29"/>
  <c r="Y34" i="29"/>
  <c r="V33" i="29"/>
  <c r="V14" i="29"/>
  <c r="W14" i="29"/>
  <c r="N7" i="29"/>
  <c r="V26" i="29"/>
  <c r="V10" i="29"/>
  <c r="T9" i="29"/>
  <c r="M13" i="29"/>
  <c r="W23" i="29"/>
  <c r="V23" i="29"/>
  <c r="N36" i="29"/>
  <c r="V18" i="29"/>
  <c r="X18" i="29"/>
  <c r="J37" i="29"/>
  <c r="W16" i="29"/>
  <c r="V16" i="29"/>
  <c r="O14" i="29"/>
  <c r="V7" i="29"/>
  <c r="X25" i="29"/>
  <c r="Y25" i="29"/>
  <c r="W25" i="29"/>
  <c r="T33" i="29"/>
  <c r="T23" i="29"/>
  <c r="I67" i="28"/>
  <c r="AI118" i="28"/>
  <c r="AI91" i="28"/>
  <c r="E159" i="17"/>
  <c r="T65" i="28"/>
  <c r="O64" i="28"/>
  <c r="G64" i="28"/>
  <c r="AI125" i="28"/>
  <c r="L35" i="29" l="1"/>
  <c r="M15" i="29"/>
  <c r="O37" i="29"/>
  <c r="X20" i="29"/>
  <c r="U26" i="29"/>
  <c r="Z39" i="29"/>
  <c r="O8" i="29"/>
  <c r="N37" i="29"/>
  <c r="W30" i="29"/>
  <c r="T31" i="29"/>
  <c r="J33" i="29"/>
  <c r="Y18" i="29"/>
  <c r="J18" i="29"/>
  <c r="K22" i="29"/>
  <c r="K7" i="29"/>
  <c r="K21" i="29"/>
  <c r="K11" i="29"/>
  <c r="U16" i="29"/>
  <c r="J25" i="29"/>
  <c r="M7" i="29"/>
  <c r="O39" i="29"/>
  <c r="I8" i="29"/>
  <c r="J36" i="29"/>
  <c r="U10" i="29"/>
  <c r="O33" i="29"/>
  <c r="J40" i="29"/>
  <c r="O36" i="29"/>
  <c r="M32" i="29"/>
  <c r="L36" i="29"/>
  <c r="Z30" i="29"/>
  <c r="T37" i="29"/>
  <c r="Z21" i="29"/>
  <c r="J9" i="29"/>
  <c r="AD67" i="28"/>
  <c r="AF65" i="28"/>
  <c r="U65" i="28"/>
  <c r="X65" i="28" s="1"/>
  <c r="Z65" i="28"/>
  <c r="V65" i="28"/>
  <c r="W65" i="28" s="1"/>
  <c r="X64" i="28"/>
  <c r="Y64" i="28" s="1"/>
  <c r="M29" i="29"/>
  <c r="L11" i="29"/>
  <c r="Y16" i="29"/>
  <c r="L33" i="29"/>
  <c r="U39" i="29"/>
  <c r="L28" i="29"/>
  <c r="K9" i="29"/>
  <c r="M9" i="29"/>
  <c r="U19" i="29"/>
  <c r="K20" i="29"/>
  <c r="J29" i="29"/>
  <c r="K35" i="29"/>
  <c r="L9" i="29"/>
  <c r="N33" i="29"/>
  <c r="W39" i="29"/>
  <c r="N20" i="29"/>
  <c r="K29" i="29"/>
  <c r="M35" i="29"/>
  <c r="N11" i="29"/>
  <c r="M33" i="29"/>
  <c r="Z7" i="29"/>
  <c r="N13" i="29"/>
  <c r="N8" i="29"/>
  <c r="W17" i="29"/>
  <c r="X23" i="29"/>
  <c r="Z10" i="29"/>
  <c r="V22" i="29"/>
  <c r="F159" i="17"/>
  <c r="Z138" i="28"/>
  <c r="O20" i="29"/>
  <c r="J20" i="29"/>
  <c r="W7" i="29"/>
  <c r="Y7" i="29"/>
  <c r="L14" i="29"/>
  <c r="N14" i="29"/>
  <c r="X37" i="29"/>
  <c r="Y37" i="29"/>
  <c r="L40" i="29"/>
  <c r="O40" i="29"/>
  <c r="K33" i="29"/>
  <c r="W18" i="29"/>
  <c r="Z18" i="29"/>
  <c r="N9" i="29"/>
  <c r="O9" i="29"/>
  <c r="Z14" i="29"/>
  <c r="U14" i="29"/>
  <c r="X30" i="29"/>
  <c r="T30" i="29"/>
  <c r="V30" i="29"/>
  <c r="I32" i="29"/>
  <c r="O32" i="29"/>
  <c r="O29" i="29"/>
  <c r="I29" i="29"/>
  <c r="L29" i="29"/>
  <c r="O11" i="29"/>
  <c r="M11" i="29"/>
  <c r="J11" i="29"/>
  <c r="X16" i="29"/>
  <c r="Z16" i="29"/>
  <c r="T39" i="29"/>
  <c r="X39" i="29"/>
  <c r="Y39" i="29"/>
  <c r="I35" i="29"/>
  <c r="J35" i="29"/>
  <c r="N35" i="29"/>
  <c r="Y26" i="29"/>
  <c r="I20" i="29"/>
  <c r="W37" i="29"/>
  <c r="V39" i="29"/>
  <c r="I25" i="29"/>
  <c r="X10" i="29"/>
  <c r="T40" i="29"/>
  <c r="K36" i="29"/>
  <c r="T14" i="29"/>
  <c r="M36" i="29"/>
  <c r="X26" i="29"/>
  <c r="X33" i="29"/>
  <c r="M25" i="29"/>
  <c r="M18" i="29"/>
  <c r="K13" i="29"/>
  <c r="U22" i="29"/>
  <c r="O35" i="29"/>
  <c r="Y23" i="29"/>
  <c r="Z9" i="29"/>
  <c r="W33" i="29"/>
  <c r="Y19" i="29"/>
  <c r="Y30" i="29"/>
  <c r="I22" i="29"/>
  <c r="Z31" i="29"/>
  <c r="V37" i="29"/>
  <c r="K40" i="29"/>
  <c r="N23" i="29"/>
  <c r="K39" i="29"/>
  <c r="U20" i="29"/>
  <c r="M14" i="29"/>
  <c r="K28" i="29"/>
  <c r="U23" i="29"/>
  <c r="Z37" i="29"/>
  <c r="M40" i="29"/>
  <c r="X14" i="29"/>
  <c r="M37" i="29"/>
  <c r="L20" i="29"/>
  <c r="V31" i="29"/>
  <c r="V34" i="29"/>
  <c r="N32" i="29"/>
  <c r="T11" i="29"/>
  <c r="Y17" i="29"/>
  <c r="U41" i="29"/>
  <c r="J13" i="29"/>
  <c r="L8" i="29"/>
  <c r="O22" i="29"/>
  <c r="O13" i="29"/>
  <c r="O7" i="29"/>
  <c r="N40" i="29"/>
  <c r="X34" i="29"/>
  <c r="O15" i="29"/>
  <c r="W9" i="29"/>
  <c r="O10" i="29"/>
  <c r="L19" i="29"/>
  <c r="V11" i="29"/>
  <c r="M17" i="29"/>
  <c r="N24" i="29"/>
  <c r="Y8" i="29"/>
  <c r="U18" i="29"/>
  <c r="O38" i="29"/>
  <c r="J32" i="29"/>
  <c r="I11" i="29"/>
  <c r="Z26" i="29"/>
  <c r="X35" i="29"/>
  <c r="J8" i="29"/>
  <c r="N22" i="29"/>
  <c r="K32" i="29"/>
  <c r="L7" i="29"/>
  <c r="L18" i="29"/>
  <c r="J7" i="29"/>
  <c r="T41" i="29"/>
  <c r="N18" i="29"/>
  <c r="T19" i="29"/>
  <c r="K10" i="29"/>
  <c r="Y22" i="29"/>
  <c r="M12" i="29"/>
  <c r="J39" i="29"/>
  <c r="Y41" i="29"/>
  <c r="K18" i="29"/>
  <c r="T22" i="29"/>
  <c r="Z22" i="29"/>
  <c r="L15" i="29"/>
  <c r="V19" i="29"/>
  <c r="L16" i="29"/>
  <c r="Y15" i="29"/>
  <c r="N26" i="29"/>
  <c r="I14" i="29"/>
  <c r="V21" i="29"/>
  <c r="I30" i="29"/>
  <c r="N34" i="29"/>
  <c r="X13" i="29"/>
  <c r="I19" i="29"/>
  <c r="T15" i="29"/>
  <c r="Y11" i="29"/>
  <c r="M28" i="29"/>
  <c r="U27" i="29"/>
  <c r="N31" i="29"/>
  <c r="O23" i="29"/>
  <c r="X17" i="29"/>
  <c r="X28" i="29"/>
  <c r="N27" i="29"/>
  <c r="U12" i="29"/>
  <c r="N17" i="29"/>
  <c r="K24" i="29"/>
  <c r="Y31" i="29"/>
  <c r="U37" i="29"/>
  <c r="I33" i="29"/>
  <c r="T35" i="29"/>
  <c r="I31" i="29"/>
  <c r="K23" i="29"/>
  <c r="L17" i="29"/>
  <c r="O28" i="29"/>
  <c r="M24" i="29"/>
  <c r="X21" i="29"/>
  <c r="V13" i="29"/>
  <c r="L21" i="29"/>
  <c r="W38" i="29"/>
  <c r="I9" i="29"/>
  <c r="L31" i="29"/>
  <c r="Z12" i="29"/>
  <c r="N10" i="29"/>
  <c r="O21" i="29"/>
  <c r="T28" i="29"/>
  <c r="Z8" i="29"/>
  <c r="J27" i="29"/>
  <c r="J21" i="29"/>
  <c r="W21" i="29"/>
  <c r="W13" i="29"/>
  <c r="V35" i="29"/>
  <c r="M23" i="29"/>
  <c r="K17" i="29"/>
  <c r="L34" i="29"/>
  <c r="Y21" i="29"/>
  <c r="Z13" i="29"/>
  <c r="L27" i="29"/>
  <c r="I21" i="29"/>
  <c r="L10" i="29"/>
  <c r="N21" i="29"/>
  <c r="J10" i="29"/>
  <c r="T17" i="29"/>
  <c r="I13" i="29"/>
  <c r="J38" i="29"/>
  <c r="K16" i="29"/>
  <c r="U9" i="29"/>
  <c r="Z35" i="29"/>
  <c r="W35" i="29"/>
  <c r="X11" i="29"/>
  <c r="M34" i="29"/>
  <c r="L24" i="29"/>
  <c r="V41" i="29"/>
  <c r="M27" i="29"/>
  <c r="M10" i="29"/>
  <c r="M21" i="29"/>
  <c r="X36" i="29"/>
  <c r="Z41" i="29"/>
  <c r="J12" i="29"/>
  <c r="L39" i="29"/>
  <c r="K15" i="29"/>
  <c r="W31" i="29"/>
  <c r="K19" i="29"/>
  <c r="I36" i="29"/>
  <c r="O18" i="29"/>
  <c r="I15" i="29"/>
  <c r="W40" i="29"/>
  <c r="N15" i="29"/>
  <c r="X9" i="29"/>
  <c r="W8" i="29"/>
  <c r="U24" i="29"/>
  <c r="I38" i="29"/>
  <c r="V29" i="29"/>
  <c r="N41" i="29"/>
  <c r="K25" i="29"/>
  <c r="Z33" i="29"/>
  <c r="Y10" i="29"/>
  <c r="N28" i="29"/>
  <c r="I39" i="29"/>
  <c r="T7" i="29"/>
  <c r="J14" i="29"/>
  <c r="V9" i="29"/>
  <c r="M22" i="29"/>
  <c r="N30" i="29"/>
  <c r="W28" i="29"/>
  <c r="U30" i="29"/>
  <c r="I40" i="29"/>
  <c r="K26" i="29"/>
  <c r="K8" i="29"/>
  <c r="T26" i="29"/>
  <c r="T16" i="29"/>
  <c r="Z23" i="29"/>
  <c r="O41" i="29"/>
  <c r="V20" i="29"/>
  <c r="O25" i="29"/>
  <c r="U7" i="29"/>
  <c r="J22" i="29"/>
  <c r="I26" i="29"/>
  <c r="I34" i="29"/>
  <c r="Y13" i="29"/>
  <c r="X15" i="29"/>
  <c r="W11" i="29"/>
  <c r="Z27" i="29"/>
  <c r="J31" i="29"/>
  <c r="I23" i="29"/>
  <c r="V17" i="29"/>
  <c r="O27" i="29"/>
  <c r="X12" i="29"/>
  <c r="Z36" i="29"/>
  <c r="T38" i="29"/>
  <c r="I17" i="29"/>
  <c r="O24" i="29"/>
  <c r="W26" i="29"/>
  <c r="M39" i="29"/>
  <c r="L26" i="29"/>
  <c r="M41" i="29"/>
  <c r="W20" i="29"/>
  <c r="X19" i="29"/>
  <c r="I41" i="29"/>
  <c r="U40" i="29"/>
  <c r="T21" i="29"/>
  <c r="M16" i="29"/>
  <c r="O12" i="29"/>
  <c r="U31" i="29"/>
  <c r="T10" i="29"/>
  <c r="O26" i="29"/>
  <c r="Y32" i="29"/>
  <c r="I16" i="29"/>
  <c r="L23" i="29"/>
  <c r="O17" i="29"/>
  <c r="Z11" i="29"/>
  <c r="O34" i="29"/>
  <c r="J19" i="29"/>
  <c r="J30" i="29"/>
  <c r="W41" i="29"/>
  <c r="N38" i="29"/>
  <c r="X24" i="29"/>
  <c r="Y29" i="29"/>
  <c r="W12" i="29"/>
  <c r="V27" i="29"/>
  <c r="X32" i="29"/>
  <c r="T36" i="29"/>
  <c r="U13" i="29"/>
  <c r="N39" i="29"/>
  <c r="V38" i="29"/>
  <c r="Z34" i="29"/>
  <c r="W36" i="29"/>
  <c r="X40" i="29"/>
  <c r="W22" i="29"/>
  <c r="O16" i="29"/>
  <c r="Y20" i="29"/>
  <c r="X31" i="29"/>
  <c r="W19" i="29"/>
  <c r="N19" i="29"/>
  <c r="I28" i="29"/>
  <c r="U36" i="29"/>
  <c r="U38" i="29"/>
  <c r="V8" i="29"/>
  <c r="O30" i="29"/>
  <c r="I10" i="29"/>
  <c r="Y38" i="29"/>
  <c r="Y24" i="29"/>
  <c r="X29" i="29"/>
  <c r="Y27" i="29"/>
  <c r="V32" i="29"/>
  <c r="T24" i="29"/>
  <c r="U11" i="29"/>
  <c r="V28" i="29"/>
  <c r="Z38" i="29"/>
  <c r="Z40" i="29"/>
  <c r="L30" i="29"/>
  <c r="M19" i="29"/>
  <c r="J17" i="29"/>
  <c r="T13" i="29"/>
  <c r="T29" i="29"/>
  <c r="J23" i="29"/>
  <c r="Z24" i="29"/>
  <c r="K27" i="29"/>
  <c r="T27" i="29"/>
  <c r="K31" i="29"/>
  <c r="Z29" i="29"/>
  <c r="V12" i="29"/>
  <c r="X27" i="29"/>
  <c r="J28" i="29"/>
  <c r="Z28" i="29"/>
  <c r="X38" i="29"/>
  <c r="V36" i="29"/>
  <c r="K30" i="29"/>
  <c r="O19" i="29"/>
  <c r="U32" i="29"/>
  <c r="J34" i="29"/>
  <c r="W15" i="29"/>
  <c r="M38" i="29"/>
  <c r="W24" i="29"/>
  <c r="M31" i="29"/>
  <c r="W29" i="29"/>
  <c r="Y12" i="29"/>
  <c r="W27" i="29"/>
  <c r="U15" i="29"/>
  <c r="Y28" i="29"/>
  <c r="Y36" i="29"/>
  <c r="M30" i="29"/>
  <c r="V15" i="29"/>
  <c r="U28" i="29"/>
  <c r="I27" i="29"/>
  <c r="T12" i="29"/>
  <c r="I24" i="29"/>
  <c r="K34" i="29"/>
  <c r="L38" i="29"/>
  <c r="O31" i="29"/>
  <c r="V40" i="29"/>
  <c r="U17" i="29"/>
  <c r="T25" i="29"/>
  <c r="L25" i="29"/>
  <c r="U33" i="29"/>
  <c r="L12" i="29"/>
  <c r="J26" i="29"/>
  <c r="U29" i="29"/>
  <c r="X8" i="29"/>
  <c r="N12" i="29"/>
  <c r="U25" i="29"/>
  <c r="J41" i="29"/>
  <c r="I18" i="29"/>
  <c r="J24" i="29"/>
  <c r="T8" i="29"/>
  <c r="M26" i="29"/>
  <c r="T32" i="29"/>
  <c r="W32" i="29"/>
  <c r="T34" i="29"/>
  <c r="Y40" i="29"/>
  <c r="X22" i="29"/>
  <c r="N16" i="29"/>
  <c r="Z20" i="29"/>
  <c r="K12" i="29"/>
  <c r="U8" i="29"/>
  <c r="J16" i="29"/>
  <c r="U35" i="29"/>
  <c r="U21" i="29"/>
  <c r="Z15" i="29"/>
  <c r="O65" i="28"/>
  <c r="I68" i="28"/>
  <c r="E160" i="17"/>
  <c r="G65" i="28"/>
  <c r="AI92" i="28"/>
  <c r="AI126" i="28"/>
  <c r="T66" i="28"/>
  <c r="AI119" i="28"/>
  <c r="AD68" i="28" l="1"/>
  <c r="Z66" i="28"/>
  <c r="AF66" i="28"/>
  <c r="U66" i="28"/>
  <c r="X66" i="28" s="1"/>
  <c r="V66" i="28"/>
  <c r="W66" i="28" s="1"/>
  <c r="Y65" i="28"/>
  <c r="F160" i="17"/>
  <c r="I69" i="28"/>
  <c r="G66" i="28"/>
  <c r="O66" i="28"/>
  <c r="T67" i="28"/>
  <c r="E161" i="17"/>
  <c r="AI120" i="28"/>
  <c r="AI93" i="28"/>
  <c r="AI127" i="28"/>
  <c r="AD69" i="28" l="1"/>
  <c r="V67" i="28"/>
  <c r="W67" i="28" s="1"/>
  <c r="Z67" i="28"/>
  <c r="AF67" i="28"/>
  <c r="U67" i="28"/>
  <c r="X67" i="28" s="1"/>
  <c r="Y66" i="28"/>
  <c r="F161" i="17"/>
  <c r="AG149" i="28"/>
  <c r="B10" i="17"/>
  <c r="AI121" i="28"/>
  <c r="AI128" i="28"/>
  <c r="B5" i="17"/>
  <c r="B6" i="17"/>
  <c r="T68" i="28"/>
  <c r="B12" i="17"/>
  <c r="O67" i="28"/>
  <c r="I70" i="28"/>
  <c r="E162" i="17"/>
  <c r="AI94" i="28"/>
  <c r="G67" i="28"/>
  <c r="AD70" i="28" l="1"/>
  <c r="V68" i="28"/>
  <c r="W68" i="28" s="1"/>
  <c r="Z68" i="28"/>
  <c r="AF68" i="28"/>
  <c r="U68" i="28"/>
  <c r="X68" i="28" s="1"/>
  <c r="Y68" i="28" s="1"/>
  <c r="Y67" i="28"/>
  <c r="F162" i="17"/>
  <c r="AG150" i="28"/>
  <c r="I4" i="17"/>
  <c r="I50" i="17"/>
  <c r="I28" i="17"/>
  <c r="I63" i="17"/>
  <c r="I52" i="17"/>
  <c r="AI122" i="28"/>
  <c r="I13" i="17"/>
  <c r="I10" i="17"/>
  <c r="I20" i="17"/>
  <c r="I86" i="17"/>
  <c r="I11" i="17"/>
  <c r="I15" i="17"/>
  <c r="E163" i="17"/>
  <c r="I58" i="17"/>
  <c r="I72" i="17"/>
  <c r="I7" i="17"/>
  <c r="I109" i="17"/>
  <c r="B7" i="17"/>
  <c r="I12" i="17"/>
  <c r="AI95" i="28"/>
  <c r="I108" i="17"/>
  <c r="I85" i="17"/>
  <c r="I48" i="17"/>
  <c r="B8" i="17"/>
  <c r="I71" i="28"/>
  <c r="I89" i="17"/>
  <c r="I107" i="17"/>
  <c r="I6" i="17"/>
  <c r="I82" i="17"/>
  <c r="I93" i="17"/>
  <c r="I22" i="17"/>
  <c r="I55" i="17"/>
  <c r="I88" i="17"/>
  <c r="I39" i="17"/>
  <c r="I25" i="17"/>
  <c r="I21" i="17"/>
  <c r="I65" i="17"/>
  <c r="I84" i="17"/>
  <c r="I38" i="17"/>
  <c r="I67" i="17"/>
  <c r="I81" i="17"/>
  <c r="I105" i="17"/>
  <c r="I98" i="17"/>
  <c r="I121" i="17"/>
  <c r="B9" i="17"/>
  <c r="I94" i="17"/>
  <c r="G68" i="28"/>
  <c r="I70" i="17"/>
  <c r="I34" i="17"/>
  <c r="I74" i="17"/>
  <c r="I73" i="17"/>
  <c r="I54" i="17"/>
  <c r="I5" i="17"/>
  <c r="I68" i="17"/>
  <c r="I90" i="17"/>
  <c r="I30" i="17"/>
  <c r="I79" i="17"/>
  <c r="I96" i="17"/>
  <c r="I83" i="17"/>
  <c r="I104" i="17"/>
  <c r="I56" i="17"/>
  <c r="I19" i="17"/>
  <c r="I87" i="17"/>
  <c r="I61" i="17"/>
  <c r="I23" i="17"/>
  <c r="I43" i="17"/>
  <c r="I75" i="17"/>
  <c r="I45" i="17"/>
  <c r="I24" i="17"/>
  <c r="I116" i="17"/>
  <c r="I114" i="17"/>
  <c r="I35" i="17"/>
  <c r="I42" i="17"/>
  <c r="AI129" i="28"/>
  <c r="I106" i="17"/>
  <c r="I59" i="17"/>
  <c r="I97" i="17"/>
  <c r="I31" i="17"/>
  <c r="I91" i="17"/>
  <c r="I26" i="17"/>
  <c r="I119" i="17"/>
  <c r="I92" i="17"/>
  <c r="I115" i="17"/>
  <c r="I120" i="17"/>
  <c r="I95" i="17"/>
  <c r="I27" i="17"/>
  <c r="I37" i="17"/>
  <c r="I112" i="17"/>
  <c r="I60" i="17"/>
  <c r="I113" i="17"/>
  <c r="I17" i="17"/>
  <c r="I9" i="17"/>
  <c r="I49" i="17"/>
  <c r="I101" i="17"/>
  <c r="I77" i="17"/>
  <c r="I118" i="17"/>
  <c r="I100" i="17"/>
  <c r="I16" i="17"/>
  <c r="I57" i="17"/>
  <c r="I71" i="17"/>
  <c r="I69" i="17"/>
  <c r="I46" i="17"/>
  <c r="I76" i="17"/>
  <c r="I103" i="17"/>
  <c r="I40" i="17"/>
  <c r="I117" i="17"/>
  <c r="I64" i="17"/>
  <c r="O68" i="28"/>
  <c r="I99" i="17"/>
  <c r="I36" i="17"/>
  <c r="I111" i="17"/>
  <c r="I18" i="17"/>
  <c r="I78" i="17"/>
  <c r="I33" i="17"/>
  <c r="T69" i="28"/>
  <c r="I110" i="17"/>
  <c r="I47" i="17"/>
  <c r="I8" i="17"/>
  <c r="I62" i="17"/>
  <c r="I53" i="17"/>
  <c r="B11" i="17"/>
  <c r="I44" i="17"/>
  <c r="I102" i="17"/>
  <c r="I41" i="17"/>
  <c r="I66" i="17"/>
  <c r="I51" i="17"/>
  <c r="I29" i="17"/>
  <c r="AD71" i="28" l="1"/>
  <c r="Z69" i="28"/>
  <c r="V69" i="28"/>
  <c r="W69" i="28" s="1"/>
  <c r="AF69" i="28"/>
  <c r="U69" i="28"/>
  <c r="X69" i="28" s="1"/>
  <c r="F163" i="17"/>
  <c r="J87" i="17"/>
  <c r="M87" i="17" s="1"/>
  <c r="O90" i="17" s="1"/>
  <c r="J36" i="17"/>
  <c r="M36" i="17" s="1"/>
  <c r="O39" i="17" s="1"/>
  <c r="J10" i="17"/>
  <c r="M10" i="17" s="1"/>
  <c r="O13" i="17" s="1"/>
  <c r="J28" i="17"/>
  <c r="M28" i="17" s="1"/>
  <c r="O31" i="17" s="1"/>
  <c r="J58" i="17"/>
  <c r="M58" i="17" s="1"/>
  <c r="O61" i="17" s="1"/>
  <c r="J86" i="17"/>
  <c r="M86" i="17" s="1"/>
  <c r="O89" i="17" s="1"/>
  <c r="J90" i="17"/>
  <c r="M90" i="17" s="1"/>
  <c r="O93" i="17" s="1"/>
  <c r="J40" i="17"/>
  <c r="M40" i="17" s="1"/>
  <c r="O43" i="17" s="1"/>
  <c r="J82" i="17"/>
  <c r="M82" i="17" s="1"/>
  <c r="O85" i="17" s="1"/>
  <c r="J91" i="17"/>
  <c r="M91" i="17" s="1"/>
  <c r="O94" i="17" s="1"/>
  <c r="J77" i="17"/>
  <c r="M77" i="17" s="1"/>
  <c r="O80" i="17" s="1"/>
  <c r="J121" i="17"/>
  <c r="M121" i="17" s="1"/>
  <c r="O124" i="17" s="1"/>
  <c r="J45" i="17"/>
  <c r="M45" i="17" s="1"/>
  <c r="O48" i="17" s="1"/>
  <c r="J106" i="17"/>
  <c r="M106" i="17" s="1"/>
  <c r="O109" i="17" s="1"/>
  <c r="J57" i="17"/>
  <c r="M57" i="17" s="1"/>
  <c r="O60" i="17" s="1"/>
  <c r="J38" i="17"/>
  <c r="M38" i="17" s="1"/>
  <c r="O41" i="17" s="1"/>
  <c r="J48" i="17"/>
  <c r="M48" i="17" s="1"/>
  <c r="O51" i="17" s="1"/>
  <c r="J53" i="17"/>
  <c r="M53" i="17" s="1"/>
  <c r="O56" i="17" s="1"/>
  <c r="J93" i="17"/>
  <c r="M93" i="17" s="1"/>
  <c r="O96" i="17" s="1"/>
  <c r="J46" i="17"/>
  <c r="M46" i="17" s="1"/>
  <c r="O49" i="17" s="1"/>
  <c r="J24" i="17"/>
  <c r="M24" i="17" s="1"/>
  <c r="O27" i="17" s="1"/>
  <c r="J74" i="17"/>
  <c r="M74" i="17" s="1"/>
  <c r="O77" i="17" s="1"/>
  <c r="J72" i="17"/>
  <c r="M72" i="17" s="1"/>
  <c r="O75" i="17" s="1"/>
  <c r="J95" i="17"/>
  <c r="M95" i="17" s="1"/>
  <c r="O98" i="17" s="1"/>
  <c r="J97" i="17"/>
  <c r="M97" i="17" s="1"/>
  <c r="O100" i="17" s="1"/>
  <c r="J16" i="17"/>
  <c r="M16" i="17" s="1"/>
  <c r="O19" i="17" s="1"/>
  <c r="J13" i="17"/>
  <c r="M13" i="17" s="1"/>
  <c r="O16" i="17" s="1"/>
  <c r="J99" i="17"/>
  <c r="M99" i="17" s="1"/>
  <c r="O102" i="17" s="1"/>
  <c r="J41" i="17"/>
  <c r="M41" i="17" s="1"/>
  <c r="O44" i="17" s="1"/>
  <c r="J12" i="17"/>
  <c r="M12" i="17" s="1"/>
  <c r="O15" i="17" s="1"/>
  <c r="J15" i="17"/>
  <c r="M15" i="17" s="1"/>
  <c r="O18" i="17" s="1"/>
  <c r="J104" i="17"/>
  <c r="M104" i="17" s="1"/>
  <c r="O107" i="17" s="1"/>
  <c r="J63" i="17"/>
  <c r="M63" i="17" s="1"/>
  <c r="O66" i="17" s="1"/>
  <c r="J9" i="17"/>
  <c r="M9" i="17" s="1"/>
  <c r="O12" i="17" s="1"/>
  <c r="J71" i="17"/>
  <c r="M71" i="17" s="1"/>
  <c r="O74" i="17" s="1"/>
  <c r="J62" i="17"/>
  <c r="M62" i="17" s="1"/>
  <c r="O65" i="17" s="1"/>
  <c r="J69" i="17"/>
  <c r="M69" i="17" s="1"/>
  <c r="O72" i="17" s="1"/>
  <c r="J112" i="17"/>
  <c r="M112" i="17" s="1"/>
  <c r="O115" i="17" s="1"/>
  <c r="J50" i="17"/>
  <c r="M50" i="17" s="1"/>
  <c r="O53" i="17" s="1"/>
  <c r="J100" i="17"/>
  <c r="M100" i="17" s="1"/>
  <c r="O103" i="17" s="1"/>
  <c r="J11" i="17"/>
  <c r="M11" i="17" s="1"/>
  <c r="O14" i="17" s="1"/>
  <c r="J22" i="17"/>
  <c r="M22" i="17" s="1"/>
  <c r="O25" i="17" s="1"/>
  <c r="J89" i="17"/>
  <c r="M89" i="17" s="1"/>
  <c r="O92" i="17" s="1"/>
  <c r="J120" i="17"/>
  <c r="M120" i="17" s="1"/>
  <c r="O123" i="17" s="1"/>
  <c r="J30" i="17"/>
  <c r="M30" i="17" s="1"/>
  <c r="O33" i="17" s="1"/>
  <c r="J64" i="17"/>
  <c r="M64" i="17" s="1"/>
  <c r="O67" i="17" s="1"/>
  <c r="J105" i="17"/>
  <c r="M105" i="17" s="1"/>
  <c r="O108" i="17" s="1"/>
  <c r="J94" i="17"/>
  <c r="M94" i="17" s="1"/>
  <c r="O97" i="17" s="1"/>
  <c r="J29" i="17"/>
  <c r="M29" i="17" s="1"/>
  <c r="O32" i="17" s="1"/>
  <c r="J103" i="17"/>
  <c r="M103" i="17" s="1"/>
  <c r="O106" i="17" s="1"/>
  <c r="J81" i="17"/>
  <c r="M81" i="17" s="1"/>
  <c r="O84" i="17" s="1"/>
  <c r="J27" i="17"/>
  <c r="M27" i="17" s="1"/>
  <c r="O30" i="17" s="1"/>
  <c r="J102" i="17"/>
  <c r="M102" i="17" s="1"/>
  <c r="O105" i="17" s="1"/>
  <c r="J35" i="17"/>
  <c r="M35" i="17" s="1"/>
  <c r="O38" i="17" s="1"/>
  <c r="J31" i="17"/>
  <c r="M31" i="17" s="1"/>
  <c r="O34" i="17" s="1"/>
  <c r="J78" i="17"/>
  <c r="M78" i="17" s="1"/>
  <c r="O81" i="17" s="1"/>
  <c r="J4" i="17"/>
  <c r="M4" i="17" s="1"/>
  <c r="O7" i="17" s="1"/>
  <c r="J26" i="17"/>
  <c r="M26" i="17" s="1"/>
  <c r="O29" i="17" s="1"/>
  <c r="J84" i="17"/>
  <c r="M84" i="17" s="1"/>
  <c r="O87" i="17" s="1"/>
  <c r="J85" i="17"/>
  <c r="M85" i="17" s="1"/>
  <c r="O88" i="17" s="1"/>
  <c r="J47" i="17"/>
  <c r="M47" i="17" s="1"/>
  <c r="O50" i="17" s="1"/>
  <c r="J52" i="17"/>
  <c r="M52" i="17" s="1"/>
  <c r="O55" i="17" s="1"/>
  <c r="J8" i="17"/>
  <c r="M8" i="17" s="1"/>
  <c r="O11" i="17" s="1"/>
  <c r="J96" i="17"/>
  <c r="M96" i="17" s="1"/>
  <c r="O99" i="17" s="1"/>
  <c r="J6" i="17"/>
  <c r="M6" i="17" s="1"/>
  <c r="O9" i="17" s="1"/>
  <c r="J5" i="17"/>
  <c r="M5" i="17" s="1"/>
  <c r="O8" i="17" s="1"/>
  <c r="J79" i="17"/>
  <c r="M79" i="17" s="1"/>
  <c r="O82" i="17" s="1"/>
  <c r="J34" i="17"/>
  <c r="M34" i="17" s="1"/>
  <c r="O37" i="17" s="1"/>
  <c r="J98" i="17"/>
  <c r="M98" i="17" s="1"/>
  <c r="O101" i="17" s="1"/>
  <c r="J61" i="17"/>
  <c r="M61" i="17" s="1"/>
  <c r="O64" i="17" s="1"/>
  <c r="J83" i="17"/>
  <c r="M83" i="17" s="1"/>
  <c r="O86" i="17" s="1"/>
  <c r="J54" i="17"/>
  <c r="M54" i="17" s="1"/>
  <c r="O57" i="17" s="1"/>
  <c r="J23" i="17"/>
  <c r="M23" i="17" s="1"/>
  <c r="O26" i="17" s="1"/>
  <c r="J60" i="17"/>
  <c r="M60" i="17" s="1"/>
  <c r="O63" i="17" s="1"/>
  <c r="J92" i="17"/>
  <c r="M92" i="17" s="1"/>
  <c r="O95" i="17" s="1"/>
  <c r="J88" i="17"/>
  <c r="M88" i="17" s="1"/>
  <c r="O91" i="17" s="1"/>
  <c r="J73" i="17"/>
  <c r="M73" i="17" s="1"/>
  <c r="O76" i="17" s="1"/>
  <c r="J7" i="17"/>
  <c r="M7" i="17" s="1"/>
  <c r="O10" i="17" s="1"/>
  <c r="J109" i="17"/>
  <c r="M109" i="17" s="1"/>
  <c r="O112" i="17" s="1"/>
  <c r="J111" i="17"/>
  <c r="M111" i="17" s="1"/>
  <c r="O114" i="17" s="1"/>
  <c r="J44" i="17"/>
  <c r="M44" i="17" s="1"/>
  <c r="O47" i="17" s="1"/>
  <c r="J118" i="17"/>
  <c r="M118" i="17" s="1"/>
  <c r="O121" i="17" s="1"/>
  <c r="B13" i="17"/>
  <c r="J21" i="17"/>
  <c r="M21" i="17" s="1"/>
  <c r="O24" i="17" s="1"/>
  <c r="AG151" i="28"/>
  <c r="T70" i="28"/>
  <c r="G69" i="28"/>
  <c r="AI130" i="28"/>
  <c r="AI96" i="28"/>
  <c r="E164" i="17"/>
  <c r="O69" i="28"/>
  <c r="I72" i="28"/>
  <c r="AI123" i="28"/>
  <c r="AD72" i="28" l="1"/>
  <c r="AF70" i="28"/>
  <c r="V70" i="28"/>
  <c r="W70" i="28" s="1"/>
  <c r="Z70" i="28"/>
  <c r="U70" i="28"/>
  <c r="X70" i="28" s="1"/>
  <c r="Y69" i="28"/>
  <c r="F164" i="17"/>
  <c r="J17" i="17"/>
  <c r="M17" i="17" s="1"/>
  <c r="O20" i="17" s="1"/>
  <c r="J101" i="17"/>
  <c r="AG152" i="28"/>
  <c r="I73" i="28"/>
  <c r="E165" i="17"/>
  <c r="G70" i="28"/>
  <c r="T71" i="28"/>
  <c r="O70" i="28"/>
  <c r="AI97" i="28"/>
  <c r="AI124" i="28"/>
  <c r="AI131" i="28"/>
  <c r="J18" i="17" l="1"/>
  <c r="M18" i="17" s="1"/>
  <c r="O21" i="17" s="1"/>
  <c r="AD73" i="28"/>
  <c r="AF71" i="28"/>
  <c r="V71" i="28"/>
  <c r="W71" i="28" s="1"/>
  <c r="U71" i="28"/>
  <c r="X71" i="28" s="1"/>
  <c r="Z71" i="28"/>
  <c r="Y70" i="28"/>
  <c r="F165" i="17"/>
  <c r="M101" i="17"/>
  <c r="O104" i="17" s="1"/>
  <c r="J107" i="17"/>
  <c r="M107" i="17" s="1"/>
  <c r="O110" i="17" s="1"/>
  <c r="AG153" i="28"/>
  <c r="E166" i="17"/>
  <c r="AI98" i="28"/>
  <c r="T72" i="28"/>
  <c r="AI132" i="28"/>
  <c r="O71" i="28"/>
  <c r="G71" i="28"/>
  <c r="I74" i="28"/>
  <c r="AD74" i="28" l="1"/>
  <c r="J19" i="17"/>
  <c r="M19" i="17" s="1"/>
  <c r="O22" i="17" s="1"/>
  <c r="AF72" i="28"/>
  <c r="Z72" i="28"/>
  <c r="U72" i="28"/>
  <c r="X72" i="28" s="1"/>
  <c r="Y72" i="28" s="1"/>
  <c r="V72" i="28"/>
  <c r="W72" i="28" s="1"/>
  <c r="Y71" i="28"/>
  <c r="F166" i="17"/>
  <c r="AG154" i="28"/>
  <c r="AI99" i="28"/>
  <c r="E167" i="17"/>
  <c r="I75" i="28"/>
  <c r="O72" i="28"/>
  <c r="G72" i="28"/>
  <c r="T73" i="28"/>
  <c r="AI133" i="28"/>
  <c r="AD75" i="28" l="1"/>
  <c r="J20" i="17"/>
  <c r="M20" i="17" s="1"/>
  <c r="O23" i="17" s="1"/>
  <c r="V73" i="28"/>
  <c r="W73" i="28" s="1"/>
  <c r="AF73" i="28"/>
  <c r="U73" i="28"/>
  <c r="X73" i="28" s="1"/>
  <c r="Z73" i="28"/>
  <c r="F167" i="17"/>
  <c r="AG155" i="28"/>
  <c r="AI100" i="28"/>
  <c r="E168" i="17"/>
  <c r="I76" i="28"/>
  <c r="G73" i="28"/>
  <c r="AI134" i="28"/>
  <c r="T74" i="28"/>
  <c r="O73" i="28"/>
  <c r="AD76" i="28" l="1"/>
  <c r="J25" i="17"/>
  <c r="J33" i="17" s="1"/>
  <c r="M33" i="17" s="1"/>
  <c r="O36" i="17" s="1"/>
  <c r="U74" i="28"/>
  <c r="AF74" i="28"/>
  <c r="V74" i="28"/>
  <c r="W74" i="28" s="1"/>
  <c r="Z74" i="28"/>
  <c r="Y73" i="28"/>
  <c r="F168" i="17"/>
  <c r="I77" i="28"/>
  <c r="E169" i="17"/>
  <c r="AI101" i="28"/>
  <c r="I78" i="28"/>
  <c r="O74" i="28"/>
  <c r="G74" i="28"/>
  <c r="T75" i="28"/>
  <c r="AI135" i="28"/>
  <c r="AD77" i="28" l="1"/>
  <c r="M25" i="17"/>
  <c r="O28" i="17" s="1"/>
  <c r="J37" i="17"/>
  <c r="J39" i="17" s="1"/>
  <c r="M39" i="17" s="1"/>
  <c r="O42" i="17" s="1"/>
  <c r="AD78" i="28"/>
  <c r="Z75" i="28"/>
  <c r="U75" i="28"/>
  <c r="X75" i="28" s="1"/>
  <c r="V75" i="28"/>
  <c r="W75" i="28" s="1"/>
  <c r="AF75" i="28"/>
  <c r="X74" i="28"/>
  <c r="F169" i="17"/>
  <c r="J110" i="17"/>
  <c r="Z147" i="28"/>
  <c r="AI136" i="28"/>
  <c r="AI102" i="28"/>
  <c r="I79" i="28"/>
  <c r="T76" i="28"/>
  <c r="E170" i="17"/>
  <c r="G75" i="28"/>
  <c r="O75" i="28"/>
  <c r="U76" i="28" l="1"/>
  <c r="X76" i="28" s="1"/>
  <c r="V76" i="28"/>
  <c r="W76" i="28" s="1"/>
  <c r="AF76" i="28"/>
  <c r="Z76" i="28"/>
  <c r="AD79" i="28"/>
  <c r="M37" i="17"/>
  <c r="O40" i="17" s="1"/>
  <c r="J42" i="17"/>
  <c r="J43" i="17" s="1"/>
  <c r="M43" i="17" s="1"/>
  <c r="O46" i="17" s="1"/>
  <c r="Y75" i="28"/>
  <c r="Y74" i="28"/>
  <c r="F170" i="17"/>
  <c r="M110" i="17"/>
  <c r="O113" i="17" s="1"/>
  <c r="J113" i="17"/>
  <c r="Z148" i="28"/>
  <c r="E171" i="17"/>
  <c r="AI137" i="28"/>
  <c r="O76" i="28"/>
  <c r="I80" i="28"/>
  <c r="G76" i="28"/>
  <c r="AI103" i="28"/>
  <c r="T77" i="28"/>
  <c r="AD80" i="28" l="1"/>
  <c r="U77" i="28"/>
  <c r="X77" i="28" s="1"/>
  <c r="Y77" i="28" s="1"/>
  <c r="Z77" i="28"/>
  <c r="AF77" i="28"/>
  <c r="V77" i="28"/>
  <c r="W77" i="28" s="1"/>
  <c r="J49" i="17"/>
  <c r="M49" i="17" s="1"/>
  <c r="O52" i="17" s="1"/>
  <c r="M42" i="17"/>
  <c r="O45" i="17" s="1"/>
  <c r="F171" i="17"/>
  <c r="Y76" i="28"/>
  <c r="M113" i="17"/>
  <c r="O116" i="17" s="1"/>
  <c r="T78" i="28"/>
  <c r="E172" i="17"/>
  <c r="O77" i="28"/>
  <c r="G77" i="28"/>
  <c r="I81" i="28"/>
  <c r="I82" i="28" s="1"/>
  <c r="T79" i="28"/>
  <c r="AI138" i="28"/>
  <c r="AI104" i="28"/>
  <c r="AD81" i="28" l="1"/>
  <c r="V78" i="28"/>
  <c r="W78" i="28" s="1"/>
  <c r="Z78" i="28"/>
  <c r="U78" i="28"/>
  <c r="X78" i="28" s="1"/>
  <c r="AF78" i="28"/>
  <c r="V79" i="28"/>
  <c r="W79" i="28" s="1"/>
  <c r="U79" i="28"/>
  <c r="X79" i="28" s="1"/>
  <c r="Z79" i="28"/>
  <c r="AF79" i="28"/>
  <c r="J51" i="17"/>
  <c r="J55" i="17" s="1"/>
  <c r="M55" i="17" s="1"/>
  <c r="O58" i="17" s="1"/>
  <c r="AD82" i="28"/>
  <c r="F172" i="17"/>
  <c r="G78" i="28"/>
  <c r="T80" i="28"/>
  <c r="E173" i="17"/>
  <c r="O78" i="28"/>
  <c r="AI105" i="28"/>
  <c r="I83" i="28"/>
  <c r="AI139" i="28"/>
  <c r="Y78" i="28" l="1"/>
  <c r="Z80" i="28"/>
  <c r="V80" i="28"/>
  <c r="W80" i="28" s="1"/>
  <c r="AF80" i="28"/>
  <c r="U80" i="28"/>
  <c r="X80" i="28" s="1"/>
  <c r="F173" i="17"/>
  <c r="AD83" i="28"/>
  <c r="Y79" i="28"/>
  <c r="J56" i="17"/>
  <c r="M56" i="17" s="1"/>
  <c r="O59" i="17" s="1"/>
  <c r="M51" i="17"/>
  <c r="O54" i="17" s="1"/>
  <c r="AI140" i="28"/>
  <c r="E174" i="17"/>
  <c r="O79" i="28"/>
  <c r="AI106" i="28"/>
  <c r="I84" i="28"/>
  <c r="T81" i="28"/>
  <c r="G79" i="28"/>
  <c r="AF81" i="28" l="1"/>
  <c r="U81" i="28"/>
  <c r="X81" i="28" s="1"/>
  <c r="Z81" i="28"/>
  <c r="V81" i="28"/>
  <c r="W81" i="28" s="1"/>
  <c r="F174" i="17"/>
  <c r="AD84" i="28"/>
  <c r="Y80" i="28"/>
  <c r="J59" i="17"/>
  <c r="M59" i="17" s="1"/>
  <c r="O62" i="17" s="1"/>
  <c r="J76" i="17"/>
  <c r="M76" i="17" s="1"/>
  <c r="O79" i="17" s="1"/>
  <c r="T82" i="28"/>
  <c r="G80" i="28"/>
  <c r="AI141" i="28"/>
  <c r="O80" i="28"/>
  <c r="I85" i="28"/>
  <c r="E175" i="17"/>
  <c r="AI107" i="28"/>
  <c r="AD85" i="28" l="1"/>
  <c r="U82" i="28"/>
  <c r="X82" i="28" s="1"/>
  <c r="AF82" i="28"/>
  <c r="Z82" i="28"/>
  <c r="V82" i="28"/>
  <c r="W82" i="28" s="1"/>
  <c r="F175" i="17"/>
  <c r="J65" i="17"/>
  <c r="M65" i="17" s="1"/>
  <c r="O68" i="17" s="1"/>
  <c r="Y81" i="28"/>
  <c r="Z149" i="28"/>
  <c r="I86" i="28"/>
  <c r="E176" i="17"/>
  <c r="AI142" i="28"/>
  <c r="G81" i="28"/>
  <c r="T83" i="28"/>
  <c r="T84" i="28" s="1"/>
  <c r="O81" i="28"/>
  <c r="I87" i="28"/>
  <c r="AI108" i="28"/>
  <c r="AD86" i="28" l="1"/>
  <c r="AF83" i="28"/>
  <c r="Z83" i="28"/>
  <c r="V83" i="28"/>
  <c r="W83" i="28" s="1"/>
  <c r="U83" i="28"/>
  <c r="X83" i="28" s="1"/>
  <c r="Y82" i="28"/>
  <c r="F176" i="17"/>
  <c r="Z84" i="28"/>
  <c r="U84" i="28"/>
  <c r="X84" i="28" s="1"/>
  <c r="V84" i="28"/>
  <c r="W84" i="28" s="1"/>
  <c r="AF84" i="28"/>
  <c r="J66" i="17"/>
  <c r="AD87" i="28"/>
  <c r="Z151" i="28"/>
  <c r="T85" i="28"/>
  <c r="AI109" i="28"/>
  <c r="G82" i="28"/>
  <c r="O82" i="28"/>
  <c r="AI143" i="28"/>
  <c r="I88" i="28"/>
  <c r="E177" i="17"/>
  <c r="E178" i="17" s="1"/>
  <c r="Y83" i="28" l="1"/>
  <c r="F177" i="17"/>
  <c r="V85" i="28"/>
  <c r="W85" i="28" s="1"/>
  <c r="Z85" i="28"/>
  <c r="AF85" i="28"/>
  <c r="U85" i="28"/>
  <c r="X85" i="28" s="1"/>
  <c r="M66" i="17"/>
  <c r="O69" i="17" s="1"/>
  <c r="AD88" i="28"/>
  <c r="J67" i="17"/>
  <c r="J68" i="17" s="1"/>
  <c r="M68" i="17" s="1"/>
  <c r="O71" i="17" s="1"/>
  <c r="Y84" i="28"/>
  <c r="F178" i="17"/>
  <c r="G83" i="28"/>
  <c r="O83" i="28"/>
  <c r="T86" i="28"/>
  <c r="AI144" i="28"/>
  <c r="E179" i="17"/>
  <c r="I89" i="28"/>
  <c r="T87" i="28"/>
  <c r="U86" i="28" l="1"/>
  <c r="X86" i="28" s="1"/>
  <c r="AF86" i="28"/>
  <c r="Z86" i="28"/>
  <c r="V86" i="28"/>
  <c r="W86" i="28" s="1"/>
  <c r="AD89" i="28"/>
  <c r="U87" i="28"/>
  <c r="X87" i="28" s="1"/>
  <c r="V87" i="28"/>
  <c r="W87" i="28" s="1"/>
  <c r="AF87" i="28"/>
  <c r="Z87" i="28"/>
  <c r="Y85" i="28"/>
  <c r="J70" i="17"/>
  <c r="J75" i="17" s="1"/>
  <c r="M67" i="17"/>
  <c r="O70" i="17" s="1"/>
  <c r="F179" i="17"/>
  <c r="G84" i="28"/>
  <c r="O84" i="28"/>
  <c r="AI145" i="28"/>
  <c r="I90" i="28"/>
  <c r="E180" i="17"/>
  <c r="T88" i="28"/>
  <c r="Y86" i="28" l="1"/>
  <c r="AF88" i="28"/>
  <c r="U88" i="28"/>
  <c r="X88" i="28" s="1"/>
  <c r="Z88" i="28"/>
  <c r="V88" i="28"/>
  <c r="W88" i="28" s="1"/>
  <c r="AD90" i="28"/>
  <c r="Y87" i="28"/>
  <c r="M70" i="17"/>
  <c r="O73" i="17" s="1"/>
  <c r="F180" i="17"/>
  <c r="J108" i="17"/>
  <c r="M75" i="17"/>
  <c r="O78" i="17" s="1"/>
  <c r="Z154" i="28"/>
  <c r="AG156" i="28"/>
  <c r="G85" i="28"/>
  <c r="E181" i="17"/>
  <c r="AK191" i="28"/>
  <c r="O85" i="28"/>
  <c r="I91" i="28"/>
  <c r="T89" i="28"/>
  <c r="AD91" i="28" l="1"/>
  <c r="U89" i="28"/>
  <c r="X89" i="28" s="1"/>
  <c r="AF89" i="28"/>
  <c r="V89" i="28"/>
  <c r="W89" i="28" s="1"/>
  <c r="Z89" i="28"/>
  <c r="Y88" i="28"/>
  <c r="F181" i="17"/>
  <c r="J114" i="17"/>
  <c r="J115" i="17" s="1"/>
  <c r="M115" i="17" s="1"/>
  <c r="O118" i="17" s="1"/>
  <c r="M108" i="17"/>
  <c r="O111" i="17" s="1"/>
  <c r="AG157" i="28"/>
  <c r="AG158" i="28" s="1"/>
  <c r="AG159" i="28" s="1"/>
  <c r="T90" i="28"/>
  <c r="G86" i="28"/>
  <c r="I92" i="28"/>
  <c r="T91" i="28"/>
  <c r="AK190" i="28"/>
  <c r="E182" i="17"/>
  <c r="I93" i="28"/>
  <c r="T92" i="28"/>
  <c r="O86" i="28"/>
  <c r="AD92" i="28" l="1"/>
  <c r="Z90" i="28"/>
  <c r="AF90" i="28"/>
  <c r="U90" i="28"/>
  <c r="X90" i="28" s="1"/>
  <c r="V90" i="28"/>
  <c r="W90" i="28" s="1"/>
  <c r="Y89" i="28"/>
  <c r="Z91" i="28"/>
  <c r="V91" i="28"/>
  <c r="W91" i="28" s="1"/>
  <c r="U91" i="28"/>
  <c r="X91" i="28" s="1"/>
  <c r="AF91" i="28"/>
  <c r="AD93" i="28"/>
  <c r="F182" i="17"/>
  <c r="M114" i="17"/>
  <c r="J116" i="17"/>
  <c r="AF92" i="28"/>
  <c r="Z92" i="28"/>
  <c r="V92" i="28"/>
  <c r="W92" i="28" s="1"/>
  <c r="U92" i="28"/>
  <c r="X92" i="28" s="1"/>
  <c r="Z155" i="28"/>
  <c r="AG161" i="28"/>
  <c r="AG162" i="28" s="1"/>
  <c r="AG163" i="28" s="1"/>
  <c r="AG164" i="28" s="1"/>
  <c r="AG165" i="28" s="1"/>
  <c r="AG166" i="28" s="1"/>
  <c r="AG167" i="28" s="1"/>
  <c r="AG168" i="28" s="1"/>
  <c r="T93" i="28"/>
  <c r="E183" i="17"/>
  <c r="I94" i="28"/>
  <c r="G87" i="28"/>
  <c r="O87" i="28"/>
  <c r="AK189" i="28"/>
  <c r="AK188" i="28" s="1"/>
  <c r="O88" i="28"/>
  <c r="Y90" i="28" l="1"/>
  <c r="AD94" i="28"/>
  <c r="Y92" i="28"/>
  <c r="Y91" i="28"/>
  <c r="F183" i="17"/>
  <c r="M116" i="17"/>
  <c r="O119" i="17" s="1"/>
  <c r="J117" i="17"/>
  <c r="O117" i="17"/>
  <c r="U93" i="28"/>
  <c r="X93" i="28" s="1"/>
  <c r="V93" i="28"/>
  <c r="W93" i="28" s="1"/>
  <c r="Z93" i="28"/>
  <c r="AF93" i="28"/>
  <c r="AG169" i="28"/>
  <c r="I95" i="28"/>
  <c r="T94" i="28"/>
  <c r="E184" i="17"/>
  <c r="AK187" i="28"/>
  <c r="O89" i="28"/>
  <c r="G88" i="28"/>
  <c r="I96" i="28"/>
  <c r="I97" i="28" s="1"/>
  <c r="AD95" i="28" l="1"/>
  <c r="AD96" i="28"/>
  <c r="AD97" i="28"/>
  <c r="M117" i="17"/>
  <c r="O120" i="17" s="1"/>
  <c r="J119" i="17"/>
  <c r="M119" i="17" s="1"/>
  <c r="O122" i="17" s="1"/>
  <c r="F184" i="17"/>
  <c r="V94" i="28"/>
  <c r="W94" i="28" s="1"/>
  <c r="AF94" i="28"/>
  <c r="U94" i="28"/>
  <c r="X94" i="28" s="1"/>
  <c r="Z94" i="28"/>
  <c r="Y93" i="28"/>
  <c r="AG170" i="28"/>
  <c r="O90" i="28"/>
  <c r="I98" i="28"/>
  <c r="I99" i="28" s="1"/>
  <c r="T95" i="28"/>
  <c r="E185" i="17"/>
  <c r="G89" i="28"/>
  <c r="AD98" i="28" l="1"/>
  <c r="AD99" i="28"/>
  <c r="F185" i="17"/>
  <c r="O5" i="17"/>
  <c r="P204" i="17" s="1"/>
  <c r="Y94" i="28"/>
  <c r="Z95" i="28"/>
  <c r="V95" i="28"/>
  <c r="W95" i="28" s="1"/>
  <c r="U95" i="28"/>
  <c r="AF95" i="28"/>
  <c r="AG171" i="28"/>
  <c r="I100" i="28"/>
  <c r="O91" i="28"/>
  <c r="G90" i="28"/>
  <c r="T96" i="28"/>
  <c r="AR191" i="28"/>
  <c r="E186" i="17"/>
  <c r="AD100" i="28" l="1"/>
  <c r="F186" i="17"/>
  <c r="P40" i="17"/>
  <c r="P216" i="17"/>
  <c r="P218" i="17"/>
  <c r="P192" i="17"/>
  <c r="P188" i="17"/>
  <c r="P223" i="17"/>
  <c r="P50" i="17"/>
  <c r="P182" i="17"/>
  <c r="P191" i="17"/>
  <c r="P162" i="17"/>
  <c r="P103" i="17"/>
  <c r="P161" i="17"/>
  <c r="P225" i="17"/>
  <c r="P88" i="17"/>
  <c r="P64" i="17"/>
  <c r="P70" i="17"/>
  <c r="P197" i="17"/>
  <c r="P41" i="17"/>
  <c r="P23" i="17"/>
  <c r="P101" i="17"/>
  <c r="P123" i="17"/>
  <c r="P43" i="17"/>
  <c r="P118" i="17"/>
  <c r="P171" i="17"/>
  <c r="P53" i="17"/>
  <c r="P164" i="17"/>
  <c r="P107" i="17"/>
  <c r="P105" i="17"/>
  <c r="P6" i="17"/>
  <c r="P57" i="17"/>
  <c r="P73" i="17"/>
  <c r="P151" i="17"/>
  <c r="P147" i="17"/>
  <c r="P199" i="17"/>
  <c r="P117" i="17"/>
  <c r="P78" i="17"/>
  <c r="P226" i="17"/>
  <c r="P217" i="17"/>
  <c r="P10" i="17"/>
  <c r="P48" i="17"/>
  <c r="P142" i="17"/>
  <c r="P154" i="17"/>
  <c r="P34" i="17"/>
  <c r="P175" i="17"/>
  <c r="P37" i="17"/>
  <c r="P200" i="17"/>
  <c r="P168" i="17"/>
  <c r="P144" i="17"/>
  <c r="P172" i="17"/>
  <c r="P98" i="17"/>
  <c r="P158" i="17"/>
  <c r="P7" i="17"/>
  <c r="P169" i="17"/>
  <c r="P13" i="17"/>
  <c r="P176" i="17"/>
  <c r="P132" i="17"/>
  <c r="P131" i="17"/>
  <c r="P184" i="17"/>
  <c r="P20" i="17"/>
  <c r="P29" i="17"/>
  <c r="P215" i="17"/>
  <c r="P120" i="17"/>
  <c r="P5" i="17"/>
  <c r="P136" i="17"/>
  <c r="P19" i="17"/>
  <c r="P133" i="17"/>
  <c r="P99" i="17"/>
  <c r="P211" i="17"/>
  <c r="P203" i="17"/>
  <c r="P65" i="17"/>
  <c r="P82" i="17"/>
  <c r="P9" i="17"/>
  <c r="P12" i="17"/>
  <c r="P198" i="17"/>
  <c r="P177" i="17"/>
  <c r="P138" i="17"/>
  <c r="P205" i="17"/>
  <c r="P26" i="17"/>
  <c r="P75" i="17"/>
  <c r="P79" i="17"/>
  <c r="P121" i="17"/>
  <c r="P104" i="17"/>
  <c r="P206" i="17"/>
  <c r="P178" i="17"/>
  <c r="P18" i="17"/>
  <c r="P66" i="17"/>
  <c r="P150" i="17"/>
  <c r="P46" i="17"/>
  <c r="P51" i="17"/>
  <c r="P74" i="17"/>
  <c r="P153" i="17"/>
  <c r="P63" i="17"/>
  <c r="P60" i="17"/>
  <c r="P61" i="17"/>
  <c r="P8" i="17"/>
  <c r="P17" i="17"/>
  <c r="P44" i="17"/>
  <c r="P94" i="17"/>
  <c r="P212" i="17"/>
  <c r="P152" i="17"/>
  <c r="P128" i="17"/>
  <c r="P179" i="17"/>
  <c r="P221" i="17"/>
  <c r="P31" i="17"/>
  <c r="P68" i="17"/>
  <c r="P214" i="17"/>
  <c r="P194" i="17"/>
  <c r="P4" i="17"/>
  <c r="Q4" i="17" s="1"/>
  <c r="R4" i="17" s="1"/>
  <c r="P183" i="17"/>
  <c r="P145" i="17"/>
  <c r="P97" i="17"/>
  <c r="P76" i="17"/>
  <c r="P149" i="17"/>
  <c r="P90" i="17"/>
  <c r="P189" i="17"/>
  <c r="P39" i="17"/>
  <c r="P80" i="17"/>
  <c r="P87" i="17"/>
  <c r="P165" i="17"/>
  <c r="P201" i="17"/>
  <c r="P113" i="17"/>
  <c r="P220" i="17"/>
  <c r="P85" i="17"/>
  <c r="P193" i="17"/>
  <c r="P54" i="17"/>
  <c r="P109" i="17"/>
  <c r="P219" i="17"/>
  <c r="P156" i="17"/>
  <c r="P62" i="17"/>
  <c r="P106" i="17"/>
  <c r="P190" i="17"/>
  <c r="P159" i="17"/>
  <c r="P148" i="17"/>
  <c r="P108" i="17"/>
  <c r="P209" i="17"/>
  <c r="P166" i="17"/>
  <c r="P111" i="17"/>
  <c r="P208" i="17"/>
  <c r="P195" i="17"/>
  <c r="P207" i="17"/>
  <c r="P16" i="17"/>
  <c r="P167" i="17"/>
  <c r="P45" i="17"/>
  <c r="P181" i="17"/>
  <c r="P91" i="17"/>
  <c r="P22" i="17"/>
  <c r="P137" i="17"/>
  <c r="P77" i="17"/>
  <c r="P96" i="17"/>
  <c r="P49" i="17"/>
  <c r="P210" i="17"/>
  <c r="P134" i="17"/>
  <c r="P42" i="17"/>
  <c r="P139" i="17"/>
  <c r="P110" i="17"/>
  <c r="P84" i="17"/>
  <c r="P81" i="17"/>
  <c r="P27" i="17"/>
  <c r="P72" i="17"/>
  <c r="P83" i="17"/>
  <c r="P11" i="17"/>
  <c r="P116" i="17"/>
  <c r="P135" i="17"/>
  <c r="P124" i="17"/>
  <c r="P71" i="17"/>
  <c r="P224" i="17"/>
  <c r="P196" i="17"/>
  <c r="P163" i="17"/>
  <c r="P24" i="17"/>
  <c r="P38" i="17"/>
  <c r="P86" i="17"/>
  <c r="P21" i="17"/>
  <c r="P55" i="17"/>
  <c r="P58" i="17"/>
  <c r="P180" i="17"/>
  <c r="P202" i="17"/>
  <c r="P119" i="17"/>
  <c r="P92" i="17"/>
  <c r="P95" i="17"/>
  <c r="P93" i="17"/>
  <c r="P32" i="17"/>
  <c r="P130" i="17"/>
  <c r="P222" i="17"/>
  <c r="P33" i="17"/>
  <c r="P185" i="17"/>
  <c r="P114" i="17"/>
  <c r="P89" i="17"/>
  <c r="P47" i="17"/>
  <c r="P125" i="17"/>
  <c r="P174" i="17"/>
  <c r="P143" i="17"/>
  <c r="P213" i="17"/>
  <c r="P30" i="17"/>
  <c r="P122" i="17"/>
  <c r="P28" i="17"/>
  <c r="P160" i="17"/>
  <c r="P129" i="17"/>
  <c r="P140" i="17"/>
  <c r="P25" i="17"/>
  <c r="P127" i="17"/>
  <c r="P187" i="17"/>
  <c r="P14" i="17"/>
  <c r="P146" i="17"/>
  <c r="P157" i="17"/>
  <c r="P112" i="17"/>
  <c r="P67" i="17"/>
  <c r="P36" i="17"/>
  <c r="P102" i="17"/>
  <c r="P69" i="17"/>
  <c r="P56" i="17"/>
  <c r="P173" i="17"/>
  <c r="P170" i="17"/>
  <c r="P15" i="17"/>
  <c r="P59" i="17"/>
  <c r="P52" i="17"/>
  <c r="P155" i="17"/>
  <c r="P100" i="17"/>
  <c r="P35" i="17"/>
  <c r="P115" i="17"/>
  <c r="P141" i="17"/>
  <c r="P186" i="17"/>
  <c r="P126" i="17"/>
  <c r="Z96" i="28"/>
  <c r="AF96" i="28"/>
  <c r="U96" i="28"/>
  <c r="X96" i="28" s="1"/>
  <c r="V96" i="28"/>
  <c r="W96" i="28" s="1"/>
  <c r="X95" i="28"/>
  <c r="AS191" i="28"/>
  <c r="AT191" i="28"/>
  <c r="AU191" i="28" s="1"/>
  <c r="Z156" i="28"/>
  <c r="AG172" i="28"/>
  <c r="I101" i="28"/>
  <c r="AR190" i="28"/>
  <c r="I102" i="28"/>
  <c r="O92" i="28"/>
  <c r="G91" i="28"/>
  <c r="E187" i="17"/>
  <c r="E188" i="17"/>
  <c r="T97" i="28"/>
  <c r="AD101" i="28" l="1"/>
  <c r="F187" i="17"/>
  <c r="AT190" i="28"/>
  <c r="AU190" i="28" s="1"/>
  <c r="AS190" i="28"/>
  <c r="AD102" i="28"/>
  <c r="Q74" i="17"/>
  <c r="T105" i="17" s="1"/>
  <c r="Q205" i="17"/>
  <c r="S205" i="17" s="1"/>
  <c r="V214" i="17" s="1"/>
  <c r="Q53" i="17"/>
  <c r="S53" i="17" s="1"/>
  <c r="V62" i="17" s="1"/>
  <c r="Q102" i="17"/>
  <c r="T133" i="17" s="1"/>
  <c r="Q108" i="17"/>
  <c r="R108" i="17" s="1"/>
  <c r="Q203" i="17"/>
  <c r="S203" i="17" s="1"/>
  <c r="V212" i="17" s="1"/>
  <c r="Q189" i="17"/>
  <c r="R189" i="17" s="1"/>
  <c r="Q46" i="17"/>
  <c r="T77" i="17" s="1"/>
  <c r="Q156" i="17"/>
  <c r="T187" i="17" s="1"/>
  <c r="Q179" i="17"/>
  <c r="T210" i="17" s="1"/>
  <c r="Q196" i="17"/>
  <c r="R196" i="17" s="1"/>
  <c r="Q166" i="17"/>
  <c r="T197" i="17" s="1"/>
  <c r="Q104" i="17"/>
  <c r="T135" i="17" s="1"/>
  <c r="Q191" i="17"/>
  <c r="T222" i="17" s="1"/>
  <c r="Q76" i="17"/>
  <c r="T107" i="17" s="1"/>
  <c r="Q136" i="17"/>
  <c r="R136" i="17" s="1"/>
  <c r="Q35" i="17"/>
  <c r="S35" i="17" s="1"/>
  <c r="V44" i="17" s="1"/>
  <c r="Q21" i="17"/>
  <c r="T52" i="17" s="1"/>
  <c r="Q202" i="17"/>
  <c r="S202" i="17" s="1"/>
  <c r="V211" i="17" s="1"/>
  <c r="Q15" i="17"/>
  <c r="S15" i="17" s="1"/>
  <c r="V24" i="17" s="1"/>
  <c r="Q68" i="17"/>
  <c r="R68" i="17" s="1"/>
  <c r="Q208" i="17"/>
  <c r="T239" i="17" s="1"/>
  <c r="Q123" i="17"/>
  <c r="T154" i="17" s="1"/>
  <c r="Q210" i="17"/>
  <c r="T241" i="17" s="1"/>
  <c r="Q25" i="17"/>
  <c r="T56" i="17" s="1"/>
  <c r="Q93" i="17"/>
  <c r="T124" i="17" s="1"/>
  <c r="Q225" i="17"/>
  <c r="S225" i="17" s="1"/>
  <c r="V234" i="17" s="1"/>
  <c r="Q47" i="17"/>
  <c r="R47" i="17" s="1"/>
  <c r="Q169" i="17"/>
  <c r="T200" i="17" s="1"/>
  <c r="Q73" i="17"/>
  <c r="S73" i="17" s="1"/>
  <c r="V82" i="17" s="1"/>
  <c r="Q7" i="17"/>
  <c r="R7" i="17" s="1"/>
  <c r="Q30" i="17"/>
  <c r="R30" i="17" s="1"/>
  <c r="T35" i="17"/>
  <c r="Q29" i="17"/>
  <c r="R29" i="17" s="1"/>
  <c r="Q141" i="17"/>
  <c r="R141" i="17" s="1"/>
  <c r="Q118" i="17"/>
  <c r="R118" i="17" s="1"/>
  <c r="S4" i="17"/>
  <c r="W13" i="17" s="1"/>
  <c r="Q10" i="17"/>
  <c r="R10" i="17" s="1"/>
  <c r="Q88" i="17"/>
  <c r="S88" i="17" s="1"/>
  <c r="V97" i="17" s="1"/>
  <c r="Q14" i="17"/>
  <c r="T45" i="17" s="1"/>
  <c r="Q24" i="17"/>
  <c r="R24" i="17" s="1"/>
  <c r="Q212" i="17"/>
  <c r="R212" i="17" s="1"/>
  <c r="Q185" i="17"/>
  <c r="T216" i="17" s="1"/>
  <c r="Q31" i="17"/>
  <c r="R31" i="17" s="1"/>
  <c r="Q55" i="17"/>
  <c r="T86" i="17" s="1"/>
  <c r="Q163" i="17"/>
  <c r="T194" i="17" s="1"/>
  <c r="Q188" i="17"/>
  <c r="R188" i="17" s="1"/>
  <c r="Q146" i="17"/>
  <c r="S146" i="17" s="1"/>
  <c r="V155" i="17" s="1"/>
  <c r="Q142" i="17"/>
  <c r="T173" i="17" s="1"/>
  <c r="Q90" i="17"/>
  <c r="S90" i="17" s="1"/>
  <c r="V99" i="17" s="1"/>
  <c r="Q209" i="17"/>
  <c r="R209" i="17" s="1"/>
  <c r="Q67" i="17"/>
  <c r="T98" i="17" s="1"/>
  <c r="Q57" i="17"/>
  <c r="S57" i="17" s="1"/>
  <c r="V66" i="17" s="1"/>
  <c r="Q106" i="17"/>
  <c r="S106" i="17" s="1"/>
  <c r="V115" i="17" s="1"/>
  <c r="Q148" i="17"/>
  <c r="Q125" i="17"/>
  <c r="S125" i="17" s="1"/>
  <c r="Q40" i="17"/>
  <c r="T71" i="17" s="1"/>
  <c r="Q37" i="17"/>
  <c r="T68" i="17" s="1"/>
  <c r="Q54" i="17"/>
  <c r="T85" i="17" s="1"/>
  <c r="Q27" i="17"/>
  <c r="S27" i="17" s="1"/>
  <c r="V36" i="17" s="1"/>
  <c r="Q95" i="17"/>
  <c r="Q206" i="17"/>
  <c r="R206" i="17" s="1"/>
  <c r="Q60" i="17"/>
  <c r="T91" i="17" s="1"/>
  <c r="Q214" i="17"/>
  <c r="S214" i="17" s="1"/>
  <c r="V223" i="17" s="1"/>
  <c r="Q126" i="17"/>
  <c r="R126" i="17" s="1"/>
  <c r="Q175" i="17"/>
  <c r="Q78" i="17"/>
  <c r="S78" i="17" s="1"/>
  <c r="V87" i="17" s="1"/>
  <c r="Q217" i="17"/>
  <c r="T248" i="17" s="1"/>
  <c r="Q33" i="17"/>
  <c r="R33" i="17" s="1"/>
  <c r="Q155" i="17"/>
  <c r="R155" i="17" s="1"/>
  <c r="Q98" i="17"/>
  <c r="R98" i="17" s="1"/>
  <c r="Q197" i="17"/>
  <c r="T228" i="17" s="1"/>
  <c r="Q122" i="17"/>
  <c r="R122" i="17" s="1"/>
  <c r="Q94" i="17"/>
  <c r="S94" i="17" s="1"/>
  <c r="V103" i="17" s="1"/>
  <c r="Q190" i="17"/>
  <c r="T221" i="17" s="1"/>
  <c r="Q19" i="17"/>
  <c r="T50" i="17" s="1"/>
  <c r="Q65" i="17"/>
  <c r="R65" i="17" s="1"/>
  <c r="Q150" i="17"/>
  <c r="R150" i="17" s="1"/>
  <c r="Q128" i="17"/>
  <c r="S128" i="17" s="1"/>
  <c r="V137" i="17" s="1"/>
  <c r="Q215" i="17"/>
  <c r="T246" i="17" s="1"/>
  <c r="Q120" i="17"/>
  <c r="T151" i="17" s="1"/>
  <c r="Q26" i="17"/>
  <c r="R26" i="17" s="1"/>
  <c r="Q152" i="17"/>
  <c r="R152" i="17" s="1"/>
  <c r="Q91" i="17"/>
  <c r="S91" i="17" s="1"/>
  <c r="V100" i="17" s="1"/>
  <c r="Q75" i="17"/>
  <c r="T106" i="17" s="1"/>
  <c r="Q165" i="17"/>
  <c r="R165" i="17" s="1"/>
  <c r="Q164" i="17"/>
  <c r="R164" i="17" s="1"/>
  <c r="Q22" i="17"/>
  <c r="R22" i="17" s="1"/>
  <c r="Q140" i="17"/>
  <c r="S140" i="17" s="1"/>
  <c r="V149" i="17" s="1"/>
  <c r="Q34" i="17"/>
  <c r="T65" i="17" s="1"/>
  <c r="Q113" i="17"/>
  <c r="S113" i="17" s="1"/>
  <c r="V122" i="17" s="1"/>
  <c r="Q131" i="17"/>
  <c r="S131" i="17" s="1"/>
  <c r="V140" i="17" s="1"/>
  <c r="Q5" i="17"/>
  <c r="T36" i="17" s="1"/>
  <c r="Q12" i="17"/>
  <c r="R12" i="17" s="1"/>
  <c r="Q170" i="17"/>
  <c r="R170" i="17" s="1"/>
  <c r="Q66" i="17"/>
  <c r="S66" i="17" s="1"/>
  <c r="V75" i="17" s="1"/>
  <c r="Q79" i="17"/>
  <c r="S79" i="17" s="1"/>
  <c r="V88" i="17" s="1"/>
  <c r="Q154" i="17"/>
  <c r="R154" i="17" s="1"/>
  <c r="Q151" i="17"/>
  <c r="S151" i="17" s="1"/>
  <c r="V160" i="17" s="1"/>
  <c r="Q61" i="17"/>
  <c r="S61" i="17" s="1"/>
  <c r="V70" i="17" s="1"/>
  <c r="Q137" i="17"/>
  <c r="T168" i="17" s="1"/>
  <c r="Q133" i="17"/>
  <c r="R133" i="17" s="1"/>
  <c r="Q18" i="17"/>
  <c r="T49" i="17" s="1"/>
  <c r="Q143" i="17"/>
  <c r="R143" i="17" s="1"/>
  <c r="Q16" i="17"/>
  <c r="S16" i="17" s="1"/>
  <c r="V25" i="17" s="1"/>
  <c r="Q186" i="17"/>
  <c r="T217" i="17" s="1"/>
  <c r="Q48" i="17"/>
  <c r="S48" i="17" s="1"/>
  <c r="V57" i="17" s="1"/>
  <c r="Q49" i="17"/>
  <c r="S49" i="17" s="1"/>
  <c r="V58" i="17" s="1"/>
  <c r="Q218" i="17"/>
  <c r="T249" i="17" s="1"/>
  <c r="Q96" i="17"/>
  <c r="T127" i="17" s="1"/>
  <c r="Q195" i="17"/>
  <c r="R195" i="17" s="1"/>
  <c r="Q129" i="17"/>
  <c r="R129" i="17" s="1"/>
  <c r="Q115" i="17"/>
  <c r="S115" i="17" s="1"/>
  <c r="V124" i="17" s="1"/>
  <c r="Q20" i="17"/>
  <c r="R20" i="17" s="1"/>
  <c r="Q28" i="17"/>
  <c r="R28" i="17" s="1"/>
  <c r="Q213" i="17"/>
  <c r="T244" i="17" s="1"/>
  <c r="Q176" i="17"/>
  <c r="T207" i="17" s="1"/>
  <c r="Q226" i="17"/>
  <c r="R226" i="17" s="1"/>
  <c r="Q134" i="17"/>
  <c r="S134" i="17" s="1"/>
  <c r="V143" i="17" s="1"/>
  <c r="Q160" i="17"/>
  <c r="R160" i="17" s="1"/>
  <c r="Q220" i="17"/>
  <c r="R220" i="17" s="1"/>
  <c r="Q99" i="17"/>
  <c r="S99" i="17" s="1"/>
  <c r="V108" i="17" s="1"/>
  <c r="Q43" i="17"/>
  <c r="S43" i="17" s="1"/>
  <c r="V52" i="17" s="1"/>
  <c r="Q153" i="17"/>
  <c r="T184" i="17" s="1"/>
  <c r="Q109" i="17"/>
  <c r="T140" i="17" s="1"/>
  <c r="Q8" i="17"/>
  <c r="S8" i="17" s="1"/>
  <c r="V17" i="17" s="1"/>
  <c r="Q199" i="17"/>
  <c r="R199" i="17" s="1"/>
  <c r="Q121" i="17"/>
  <c r="S121" i="17" s="1"/>
  <c r="V130" i="17" s="1"/>
  <c r="Q132" i="17"/>
  <c r="T163" i="17" s="1"/>
  <c r="Q182" i="17"/>
  <c r="S182" i="17" s="1"/>
  <c r="V191" i="17" s="1"/>
  <c r="Q71" i="17"/>
  <c r="R71" i="17" s="1"/>
  <c r="Q62" i="17"/>
  <c r="S62" i="17" s="1"/>
  <c r="V71" i="17" s="1"/>
  <c r="Q52" i="17"/>
  <c r="S52" i="17" s="1"/>
  <c r="V61" i="17" s="1"/>
  <c r="Q172" i="17"/>
  <c r="S172" i="17" s="1"/>
  <c r="V181" i="17" s="1"/>
  <c r="Q124" i="17"/>
  <c r="T155" i="17" s="1"/>
  <c r="Q224" i="17"/>
  <c r="S224" i="17" s="1"/>
  <c r="V233" i="17" s="1"/>
  <c r="Q168" i="17"/>
  <c r="R168" i="17" s="1"/>
  <c r="Q101" i="17"/>
  <c r="T132" i="17" s="1"/>
  <c r="Q13" i="17"/>
  <c r="R13" i="17" s="1"/>
  <c r="Q183" i="17"/>
  <c r="R183" i="17" s="1"/>
  <c r="Q138" i="17"/>
  <c r="T169" i="17" s="1"/>
  <c r="Q86" i="17"/>
  <c r="S86" i="17" s="1"/>
  <c r="V95" i="17" s="1"/>
  <c r="Q105" i="17"/>
  <c r="T136" i="17" s="1"/>
  <c r="Q204" i="17"/>
  <c r="S204" i="17" s="1"/>
  <c r="V213" i="17" s="1"/>
  <c r="Q17" i="17"/>
  <c r="S17" i="17" s="1"/>
  <c r="V26" i="17" s="1"/>
  <c r="Q167" i="17"/>
  <c r="T198" i="17" s="1"/>
  <c r="Q200" i="17"/>
  <c r="R200" i="17" s="1"/>
  <c r="Q193" i="17"/>
  <c r="S193" i="17" s="1"/>
  <c r="V202" i="17" s="1"/>
  <c r="Q161" i="17"/>
  <c r="S161" i="17" s="1"/>
  <c r="V170" i="17" s="1"/>
  <c r="Q159" i="17"/>
  <c r="S159" i="17" s="1"/>
  <c r="V168" i="17" s="1"/>
  <c r="Q162" i="17"/>
  <c r="R162" i="17" s="1"/>
  <c r="Q9" i="17"/>
  <c r="S9" i="17" s="1"/>
  <c r="V18" i="17" s="1"/>
  <c r="Q174" i="17"/>
  <c r="T205" i="17" s="1"/>
  <c r="Q171" i="17"/>
  <c r="R171" i="17" s="1"/>
  <c r="Q184" i="17"/>
  <c r="R184" i="17" s="1"/>
  <c r="Q58" i="17"/>
  <c r="T89" i="17" s="1"/>
  <c r="Q92" i="17"/>
  <c r="S92" i="17" s="1"/>
  <c r="V101" i="17" s="1"/>
  <c r="Q38" i="17"/>
  <c r="R38" i="17" s="1"/>
  <c r="Q42" i="17"/>
  <c r="T73" i="17" s="1"/>
  <c r="Q87" i="17"/>
  <c r="S87" i="17" s="1"/>
  <c r="V96" i="17" s="1"/>
  <c r="Q180" i="17"/>
  <c r="S180" i="17" s="1"/>
  <c r="V189" i="17" s="1"/>
  <c r="Q32" i="17"/>
  <c r="S32" i="17" s="1"/>
  <c r="V41" i="17" s="1"/>
  <c r="Q112" i="17"/>
  <c r="T143" i="17" s="1"/>
  <c r="Q187" i="17"/>
  <c r="R187" i="17" s="1"/>
  <c r="Q177" i="17"/>
  <c r="R177" i="17" s="1"/>
  <c r="Q84" i="17"/>
  <c r="S84" i="17" s="1"/>
  <c r="V93" i="17" s="1"/>
  <c r="Q103" i="17"/>
  <c r="S103" i="17" s="1"/>
  <c r="V112" i="17" s="1"/>
  <c r="Q207" i="17"/>
  <c r="R207" i="17" s="1"/>
  <c r="Q6" i="17"/>
  <c r="T37" i="17" s="1"/>
  <c r="Q222" i="17"/>
  <c r="T253" i="17" s="1"/>
  <c r="Q135" i="17"/>
  <c r="S135" i="17" s="1"/>
  <c r="V144" i="17" s="1"/>
  <c r="Q39" i="17"/>
  <c r="S39" i="17" s="1"/>
  <c r="V48" i="17" s="1"/>
  <c r="Q80" i="17"/>
  <c r="T111" i="17" s="1"/>
  <c r="Q178" i="17"/>
  <c r="T209" i="17" s="1"/>
  <c r="Q223" i="17"/>
  <c r="R223" i="17" s="1"/>
  <c r="Q97" i="17"/>
  <c r="R97" i="17" s="1"/>
  <c r="Q23" i="17"/>
  <c r="S23" i="17" s="1"/>
  <c r="V32" i="17" s="1"/>
  <c r="Q221" i="17"/>
  <c r="S221" i="17" s="1"/>
  <c r="V230" i="17" s="1"/>
  <c r="Q85" i="17"/>
  <c r="T116" i="17" s="1"/>
  <c r="Q192" i="17"/>
  <c r="T223" i="17" s="1"/>
  <c r="Q82" i="17"/>
  <c r="T113" i="17" s="1"/>
  <c r="Q100" i="17"/>
  <c r="R100" i="17" s="1"/>
  <c r="Q194" i="17"/>
  <c r="S194" i="17" s="1"/>
  <c r="V203" i="17" s="1"/>
  <c r="Q181" i="17"/>
  <c r="R181" i="17" s="1"/>
  <c r="Q36" i="17"/>
  <c r="T67" i="17" s="1"/>
  <c r="Q117" i="17"/>
  <c r="S117" i="17" s="1"/>
  <c r="V126" i="17" s="1"/>
  <c r="Q107" i="17"/>
  <c r="S107" i="17" s="1"/>
  <c r="V116" i="17" s="1"/>
  <c r="Q216" i="17"/>
  <c r="T247" i="17" s="1"/>
  <c r="Q130" i="17"/>
  <c r="R130" i="17" s="1"/>
  <c r="Q119" i="17"/>
  <c r="S119" i="17" s="1"/>
  <c r="V128" i="17" s="1"/>
  <c r="Q219" i="17"/>
  <c r="R219" i="17" s="1"/>
  <c r="Q72" i="17"/>
  <c r="T103" i="17" s="1"/>
  <c r="Q158" i="17"/>
  <c r="Q44" i="17"/>
  <c r="S44" i="17" s="1"/>
  <c r="V53" i="17" s="1"/>
  <c r="Q110" i="17"/>
  <c r="R110" i="17" s="1"/>
  <c r="Q145" i="17"/>
  <c r="R145" i="17" s="1"/>
  <c r="Q59" i="17"/>
  <c r="S59" i="17" s="1"/>
  <c r="V68" i="17" s="1"/>
  <c r="Q116" i="17"/>
  <c r="R116" i="17" s="1"/>
  <c r="Q50" i="17"/>
  <c r="T81" i="17" s="1"/>
  <c r="Q201" i="17"/>
  <c r="R201" i="17" s="1"/>
  <c r="Q64" i="17"/>
  <c r="R64" i="17" s="1"/>
  <c r="Q70" i="17"/>
  <c r="T101" i="17" s="1"/>
  <c r="Q41" i="17"/>
  <c r="S41" i="17" s="1"/>
  <c r="V50" i="17" s="1"/>
  <c r="Q63" i="17"/>
  <c r="R63" i="17" s="1"/>
  <c r="Q157" i="17"/>
  <c r="T188" i="17" s="1"/>
  <c r="Q51" i="17"/>
  <c r="S51" i="17" s="1"/>
  <c r="V60" i="17" s="1"/>
  <c r="Q144" i="17"/>
  <c r="S144" i="17" s="1"/>
  <c r="V153" i="17" s="1"/>
  <c r="Q56" i="17"/>
  <c r="R56" i="17" s="1"/>
  <c r="Q45" i="17"/>
  <c r="T76" i="17" s="1"/>
  <c r="Q139" i="17"/>
  <c r="S139" i="17" s="1"/>
  <c r="V148" i="17" s="1"/>
  <c r="Q149" i="17"/>
  <c r="T180" i="17" s="1"/>
  <c r="Q89" i="17"/>
  <c r="R89" i="17" s="1"/>
  <c r="Q211" i="17"/>
  <c r="T242" i="17" s="1"/>
  <c r="Q173" i="17"/>
  <c r="R173" i="17" s="1"/>
  <c r="Q127" i="17"/>
  <c r="R127" i="17" s="1"/>
  <c r="Q114" i="17"/>
  <c r="R114" i="17" s="1"/>
  <c r="Q111" i="17"/>
  <c r="T142" i="17" s="1"/>
  <c r="Q77" i="17"/>
  <c r="R77" i="17" s="1"/>
  <c r="Q198" i="17"/>
  <c r="R198" i="17" s="1"/>
  <c r="Q147" i="17"/>
  <c r="T178" i="17" s="1"/>
  <c r="Q81" i="17"/>
  <c r="R81" i="17" s="1"/>
  <c r="Q69" i="17"/>
  <c r="S69" i="17" s="1"/>
  <c r="V78" i="17" s="1"/>
  <c r="Q83" i="17"/>
  <c r="T114" i="17" s="1"/>
  <c r="Q11" i="17"/>
  <c r="R11" i="17" s="1"/>
  <c r="T177" i="17"/>
  <c r="F188" i="17"/>
  <c r="S189" i="17"/>
  <c r="W198" i="17" s="1"/>
  <c r="U97" i="28"/>
  <c r="X97" i="28" s="1"/>
  <c r="V97" i="28"/>
  <c r="W97" i="28" s="1"/>
  <c r="Z97" i="28"/>
  <c r="AF97" i="28"/>
  <c r="Y95" i="28"/>
  <c r="Y96" i="28"/>
  <c r="AV191" i="28"/>
  <c r="AG173" i="28"/>
  <c r="I103" i="28"/>
  <c r="O93" i="28"/>
  <c r="E189" i="17"/>
  <c r="AR189" i="28"/>
  <c r="I104" i="28"/>
  <c r="G92" i="28"/>
  <c r="O94" i="28"/>
  <c r="T98" i="28"/>
  <c r="AD103" i="28" l="1"/>
  <c r="R104" i="17"/>
  <c r="S10" i="17"/>
  <c r="W19" i="17" s="1"/>
  <c r="S104" i="17"/>
  <c r="V113" i="17" s="1"/>
  <c r="V13" i="17"/>
  <c r="T46" i="17"/>
  <c r="AS189" i="28"/>
  <c r="AT189" i="28"/>
  <c r="AU189" i="28" s="1"/>
  <c r="S25" i="17"/>
  <c r="V34" i="17" s="1"/>
  <c r="R74" i="17"/>
  <c r="T233" i="17"/>
  <c r="R202" i="17"/>
  <c r="W211" i="17" s="1"/>
  <c r="S185" i="17"/>
  <c r="V194" i="17" s="1"/>
  <c r="R205" i="17"/>
  <c r="W214" i="17" s="1"/>
  <c r="S7" i="17"/>
  <c r="V16" i="17" s="1"/>
  <c r="R218" i="17"/>
  <c r="T196" i="17"/>
  <c r="T38" i="17"/>
  <c r="AV190" i="28"/>
  <c r="T240" i="17"/>
  <c r="S33" i="17"/>
  <c r="W42" i="17" s="1"/>
  <c r="T190" i="17"/>
  <c r="R142" i="17"/>
  <c r="S160" i="17"/>
  <c r="V169" i="17" s="1"/>
  <c r="S58" i="17"/>
  <c r="V67" i="17" s="1"/>
  <c r="S20" i="17"/>
  <c r="W29" i="17" s="1"/>
  <c r="R25" i="17"/>
  <c r="T220" i="17"/>
  <c r="S74" i="17"/>
  <c r="V83" i="17" s="1"/>
  <c r="R53" i="17"/>
  <c r="W62" i="17" s="1"/>
  <c r="T84" i="17"/>
  <c r="S209" i="17"/>
  <c r="W218" i="17" s="1"/>
  <c r="R190" i="17"/>
  <c r="S68" i="17"/>
  <c r="W77" i="17" s="1"/>
  <c r="R60" i="17"/>
  <c r="S76" i="17"/>
  <c r="V85" i="17" s="1"/>
  <c r="S156" i="17"/>
  <c r="V165" i="17" s="1"/>
  <c r="R55" i="17"/>
  <c r="S55" i="17"/>
  <c r="V64" i="17" s="1"/>
  <c r="S143" i="17"/>
  <c r="V152" i="17" s="1"/>
  <c r="R120" i="17"/>
  <c r="T119" i="17"/>
  <c r="T99" i="17"/>
  <c r="R88" i="17"/>
  <c r="W97" i="17" s="1"/>
  <c r="R76" i="17"/>
  <c r="R225" i="17"/>
  <c r="W234" i="17" s="1"/>
  <c r="R156" i="17"/>
  <c r="T256" i="17"/>
  <c r="T238" i="17"/>
  <c r="S46" i="17"/>
  <c r="V55" i="17" s="1"/>
  <c r="S50" i="17"/>
  <c r="V59" i="17" s="1"/>
  <c r="T83" i="17"/>
  <c r="T44" i="17"/>
  <c r="S223" i="17"/>
  <c r="W232" i="17" s="1"/>
  <c r="F189" i="17"/>
  <c r="S18" i="17"/>
  <c r="V27" i="17" s="1"/>
  <c r="R191" i="17"/>
  <c r="T236" i="17"/>
  <c r="R111" i="17"/>
  <c r="T121" i="17"/>
  <c r="S162" i="17"/>
  <c r="V171" i="17" s="1"/>
  <c r="S218" i="17"/>
  <c r="V227" i="17" s="1"/>
  <c r="R79" i="17"/>
  <c r="W88" i="17" s="1"/>
  <c r="S112" i="17"/>
  <c r="V121" i="17" s="1"/>
  <c r="S28" i="17"/>
  <c r="W37" i="17" s="1"/>
  <c r="R50" i="17"/>
  <c r="S93" i="17"/>
  <c r="V102" i="17" s="1"/>
  <c r="S165" i="17"/>
  <c r="V174" i="17" s="1"/>
  <c r="S82" i="17"/>
  <c r="V91" i="17" s="1"/>
  <c r="R112" i="17"/>
  <c r="S220" i="17"/>
  <c r="V229" i="17" s="1"/>
  <c r="S111" i="17"/>
  <c r="V120" i="17" s="1"/>
  <c r="R107" i="17"/>
  <c r="W116" i="17" s="1"/>
  <c r="S195" i="17"/>
  <c r="V204" i="17" s="1"/>
  <c r="S120" i="17"/>
  <c r="V129" i="17" s="1"/>
  <c r="S190" i="17"/>
  <c r="V199" i="17" s="1"/>
  <c r="T214" i="17"/>
  <c r="R40" i="17"/>
  <c r="S164" i="17"/>
  <c r="V173" i="17" s="1"/>
  <c r="S60" i="17"/>
  <c r="R99" i="17"/>
  <c r="W108" i="17" s="1"/>
  <c r="T64" i="17"/>
  <c r="T195" i="17"/>
  <c r="R172" i="17"/>
  <c r="W181" i="17" s="1"/>
  <c r="T174" i="17"/>
  <c r="T185" i="17"/>
  <c r="S40" i="17"/>
  <c r="V49" i="17" s="1"/>
  <c r="R96" i="17"/>
  <c r="T40" i="17"/>
  <c r="R5" i="17"/>
  <c r="S96" i="17"/>
  <c r="V105" i="17" s="1"/>
  <c r="T218" i="17"/>
  <c r="S213" i="17"/>
  <c r="V222" i="17" s="1"/>
  <c r="R9" i="17"/>
  <c r="W18" i="17" s="1"/>
  <c r="T130" i="17"/>
  <c r="T152" i="17"/>
  <c r="R121" i="17"/>
  <c r="W130" i="17" s="1"/>
  <c r="R167" i="17"/>
  <c r="S154" i="17"/>
  <c r="V163" i="17" s="1"/>
  <c r="T203" i="17"/>
  <c r="S5" i="17"/>
  <c r="V14" i="17" s="1"/>
  <c r="T232" i="17"/>
  <c r="S187" i="17"/>
  <c r="V196" i="17" s="1"/>
  <c r="S38" i="17"/>
  <c r="V47" i="17" s="1"/>
  <c r="T170" i="17"/>
  <c r="T167" i="17"/>
  <c r="S26" i="17"/>
  <c r="V35" i="17" s="1"/>
  <c r="S102" i="17"/>
  <c r="V111" i="17" s="1"/>
  <c r="S201" i="17"/>
  <c r="V210" i="17" s="1"/>
  <c r="S155" i="17"/>
  <c r="V164" i="17" s="1"/>
  <c r="R102" i="17"/>
  <c r="T78" i="17"/>
  <c r="R124" i="17"/>
  <c r="S177" i="17"/>
  <c r="V186" i="17" s="1"/>
  <c r="S157" i="17"/>
  <c r="V166" i="17" s="1"/>
  <c r="S191" i="17"/>
  <c r="V200" i="17" s="1"/>
  <c r="R157" i="17"/>
  <c r="R94" i="17"/>
  <c r="W103" i="17" s="1"/>
  <c r="S215" i="17"/>
  <c r="V224" i="17" s="1"/>
  <c r="R15" i="17"/>
  <c r="W24" i="17" s="1"/>
  <c r="R6" i="17"/>
  <c r="T193" i="17"/>
  <c r="R46" i="17"/>
  <c r="S30" i="17"/>
  <c r="W39" i="17" s="1"/>
  <c r="R93" i="17"/>
  <c r="T125" i="17"/>
  <c r="T110" i="17"/>
  <c r="R215" i="17"/>
  <c r="R52" i="17"/>
  <c r="W61" i="17" s="1"/>
  <c r="T162" i="17"/>
  <c r="T59" i="17"/>
  <c r="S83" i="17"/>
  <c r="V92" i="17" s="1"/>
  <c r="T251" i="17"/>
  <c r="T41" i="17"/>
  <c r="R90" i="17"/>
  <c r="W99" i="17" s="1"/>
  <c r="S206" i="17"/>
  <c r="W215" i="17" s="1"/>
  <c r="S149" i="17"/>
  <c r="V158" i="17" s="1"/>
  <c r="T48" i="17"/>
  <c r="R17" i="17"/>
  <c r="W26" i="17" s="1"/>
  <c r="T254" i="17"/>
  <c r="S13" i="17"/>
  <c r="V22" i="17" s="1"/>
  <c r="R83" i="17"/>
  <c r="T62" i="17"/>
  <c r="R18" i="17"/>
  <c r="T61" i="17"/>
  <c r="R149" i="17"/>
  <c r="S6" i="17"/>
  <c r="R131" i="17"/>
  <c r="W140" i="17" s="1"/>
  <c r="R82" i="17"/>
  <c r="T237" i="17"/>
  <c r="S31" i="17"/>
  <c r="V40" i="17" s="1"/>
  <c r="T69" i="17"/>
  <c r="T128" i="17"/>
  <c r="S167" i="17"/>
  <c r="V176" i="17" s="1"/>
  <c r="R222" i="17"/>
  <c r="S222" i="17"/>
  <c r="V231" i="17" s="1"/>
  <c r="R213" i="17"/>
  <c r="S183" i="17"/>
  <c r="W192" i="17" s="1"/>
  <c r="S100" i="17"/>
  <c r="V109" i="17" s="1"/>
  <c r="R208" i="17"/>
  <c r="T60" i="17"/>
  <c r="R211" i="17"/>
  <c r="T245" i="17"/>
  <c r="T47" i="17"/>
  <c r="T82" i="17"/>
  <c r="R19" i="17"/>
  <c r="T53" i="17"/>
  <c r="T131" i="17"/>
  <c r="S22" i="17"/>
  <c r="V31" i="17" s="1"/>
  <c r="R43" i="17"/>
  <c r="W52" i="17" s="1"/>
  <c r="R132" i="17"/>
  <c r="R37" i="17"/>
  <c r="S163" i="17"/>
  <c r="V172" i="17" s="1"/>
  <c r="S138" i="17"/>
  <c r="V147" i="17" s="1"/>
  <c r="S67" i="17"/>
  <c r="V76" i="17" s="1"/>
  <c r="S77" i="17"/>
  <c r="V86" i="17" s="1"/>
  <c r="T54" i="17"/>
  <c r="R45" i="17"/>
  <c r="R210" i="17"/>
  <c r="R216" i="17"/>
  <c r="S216" i="17"/>
  <c r="V225" i="17" s="1"/>
  <c r="T138" i="17"/>
  <c r="R23" i="17"/>
  <c r="W32" i="17" s="1"/>
  <c r="S42" i="17"/>
  <c r="V51" i="17" s="1"/>
  <c r="T166" i="17"/>
  <c r="T120" i="17"/>
  <c r="S89" i="17"/>
  <c r="V98" i="17" s="1"/>
  <c r="R44" i="17"/>
  <c r="W53" i="17" s="1"/>
  <c r="T175" i="17"/>
  <c r="R80" i="17"/>
  <c r="S80" i="17"/>
  <c r="V89" i="17" s="1"/>
  <c r="R197" i="17"/>
  <c r="T234" i="17"/>
  <c r="R73" i="17"/>
  <c r="W82" i="17" s="1"/>
  <c r="T104" i="17"/>
  <c r="T122" i="17"/>
  <c r="T79" i="17"/>
  <c r="S118" i="17"/>
  <c r="W127" i="17" s="1"/>
  <c r="T139" i="17"/>
  <c r="S108" i="17"/>
  <c r="V117" i="17" s="1"/>
  <c r="S123" i="17"/>
  <c r="V132" i="17" s="1"/>
  <c r="S152" i="17"/>
  <c r="W161" i="17" s="1"/>
  <c r="S171" i="17"/>
  <c r="V180" i="17" s="1"/>
  <c r="R140" i="17"/>
  <c r="W149" i="17" s="1"/>
  <c r="R123" i="17"/>
  <c r="S145" i="17"/>
  <c r="V154" i="17" s="1"/>
  <c r="T157" i="17"/>
  <c r="R186" i="17"/>
  <c r="T227" i="17"/>
  <c r="S141" i="17"/>
  <c r="W150" i="17" s="1"/>
  <c r="T87" i="17"/>
  <c r="S210" i="17"/>
  <c r="V219" i="17" s="1"/>
  <c r="T146" i="17"/>
  <c r="T211" i="17"/>
  <c r="S109" i="17"/>
  <c r="V118" i="17" s="1"/>
  <c r="S21" i="17"/>
  <c r="V30" i="17" s="1"/>
  <c r="S150" i="17"/>
  <c r="W159" i="17" s="1"/>
  <c r="T158" i="17"/>
  <c r="R85" i="17"/>
  <c r="R51" i="17"/>
  <c r="W60" i="17" s="1"/>
  <c r="T149" i="17"/>
  <c r="S168" i="17"/>
  <c r="V177" i="17" s="1"/>
  <c r="R180" i="17"/>
  <c r="W189" i="17" s="1"/>
  <c r="S71" i="17"/>
  <c r="V80" i="17" s="1"/>
  <c r="R36" i="17"/>
  <c r="T72" i="17"/>
  <c r="S34" i="17"/>
  <c r="V43" i="17" s="1"/>
  <c r="T192" i="17"/>
  <c r="R106" i="17"/>
  <c r="W115" i="17" s="1"/>
  <c r="T137" i="17"/>
  <c r="R134" i="17"/>
  <c r="W143" i="17" s="1"/>
  <c r="R137" i="17"/>
  <c r="S137" i="17"/>
  <c r="V146" i="17" s="1"/>
  <c r="R103" i="17"/>
  <c r="W112" i="17" s="1"/>
  <c r="S184" i="17"/>
  <c r="V193" i="17" s="1"/>
  <c r="R91" i="17"/>
  <c r="W100" i="17" s="1"/>
  <c r="S127" i="17"/>
  <c r="W136" i="17" s="1"/>
  <c r="R115" i="17"/>
  <c r="W124" i="17" s="1"/>
  <c r="R166" i="17"/>
  <c r="R34" i="17"/>
  <c r="R109" i="17"/>
  <c r="T199" i="17"/>
  <c r="R161" i="17"/>
  <c r="W170" i="17" s="1"/>
  <c r="T243" i="17"/>
  <c r="T150" i="17"/>
  <c r="S219" i="17"/>
  <c r="V228" i="17" s="1"/>
  <c r="T165" i="17"/>
  <c r="T181" i="17"/>
  <c r="S45" i="17"/>
  <c r="V54" i="17" s="1"/>
  <c r="T112" i="17"/>
  <c r="T102" i="17"/>
  <c r="T97" i="17"/>
  <c r="R21" i="17"/>
  <c r="S85" i="17"/>
  <c r="V94" i="17" s="1"/>
  <c r="T215" i="17"/>
  <c r="R66" i="17"/>
  <c r="W75" i="17" s="1"/>
  <c r="T90" i="17"/>
  <c r="R59" i="17"/>
  <c r="W68" i="17" s="1"/>
  <c r="R203" i="17"/>
  <c r="W212" i="17" s="1"/>
  <c r="R48" i="17"/>
  <c r="W57" i="17" s="1"/>
  <c r="S173" i="17"/>
  <c r="V182" i="17" s="1"/>
  <c r="S197" i="17"/>
  <c r="V206" i="17" s="1"/>
  <c r="R41" i="17"/>
  <c r="W50" i="17" s="1"/>
  <c r="S212" i="17"/>
  <c r="V221" i="17" s="1"/>
  <c r="S166" i="17"/>
  <c r="V175" i="17" s="1"/>
  <c r="R105" i="17"/>
  <c r="T134" i="17"/>
  <c r="S105" i="17"/>
  <c r="V114" i="17" s="1"/>
  <c r="S81" i="17"/>
  <c r="W90" i="17" s="1"/>
  <c r="R146" i="17"/>
  <c r="W155" i="17" s="1"/>
  <c r="T250" i="17"/>
  <c r="S129" i="17"/>
  <c r="W138" i="17" s="1"/>
  <c r="T183" i="17"/>
  <c r="S208" i="17"/>
  <c r="V217" i="17" s="1"/>
  <c r="R179" i="17"/>
  <c r="S65" i="17"/>
  <c r="V74" i="17" s="1"/>
  <c r="T186" i="17"/>
  <c r="T182" i="17"/>
  <c r="T92" i="17"/>
  <c r="T96" i="17"/>
  <c r="T66" i="17"/>
  <c r="S211" i="17"/>
  <c r="V220" i="17" s="1"/>
  <c r="S126" i="17"/>
  <c r="W135" i="17" s="1"/>
  <c r="S200" i="17"/>
  <c r="V209" i="17" s="1"/>
  <c r="T257" i="17"/>
  <c r="T255" i="17"/>
  <c r="S174" i="17"/>
  <c r="V183" i="17" s="1"/>
  <c r="T202" i="17"/>
  <c r="T118" i="17"/>
  <c r="R147" i="17"/>
  <c r="T42" i="17"/>
  <c r="S11" i="17"/>
  <c r="V20" i="17" s="1"/>
  <c r="T225" i="17"/>
  <c r="S132" i="17"/>
  <c r="V141" i="17" s="1"/>
  <c r="S188" i="17"/>
  <c r="V197" i="17" s="1"/>
  <c r="R214" i="17"/>
  <c r="W223" i="17" s="1"/>
  <c r="S170" i="17"/>
  <c r="V179" i="17" s="1"/>
  <c r="R151" i="17"/>
  <c r="W160" i="17" s="1"/>
  <c r="R61" i="17"/>
  <c r="W70" i="17" s="1"/>
  <c r="S19" i="17"/>
  <c r="V28" i="17" s="1"/>
  <c r="T172" i="17"/>
  <c r="T226" i="17"/>
  <c r="R221" i="17"/>
  <c r="W230" i="17" s="1"/>
  <c r="R174" i="17"/>
  <c r="T252" i="17"/>
  <c r="T219" i="17"/>
  <c r="S12" i="17"/>
  <c r="V21" i="17" s="1"/>
  <c r="T70" i="17"/>
  <c r="S226" i="17"/>
  <c r="V235" i="17" s="1"/>
  <c r="S47" i="17"/>
  <c r="V56" i="17" s="1"/>
  <c r="T129" i="17"/>
  <c r="S176" i="17"/>
  <c r="V185" i="17" s="1"/>
  <c r="R84" i="17"/>
  <c r="W93" i="17" s="1"/>
  <c r="T115" i="17"/>
  <c r="S169" i="17"/>
  <c r="V178" i="17" s="1"/>
  <c r="S147" i="17"/>
  <c r="V156" i="17" s="1"/>
  <c r="T74" i="17"/>
  <c r="R87" i="17"/>
  <c r="W96" i="17" s="1"/>
  <c r="S186" i="17"/>
  <c r="V195" i="17" s="1"/>
  <c r="S70" i="17"/>
  <c r="V79" i="17" s="1"/>
  <c r="T171" i="17"/>
  <c r="T108" i="17"/>
  <c r="T57" i="17"/>
  <c r="T208" i="17"/>
  <c r="R176" i="17"/>
  <c r="T224" i="17"/>
  <c r="R224" i="17"/>
  <c r="W233" i="17" s="1"/>
  <c r="T75" i="17"/>
  <c r="R138" i="17"/>
  <c r="S97" i="17"/>
  <c r="W106" i="17" s="1"/>
  <c r="R42" i="17"/>
  <c r="R39" i="17"/>
  <c r="W48" i="17" s="1"/>
  <c r="R169" i="17"/>
  <c r="S196" i="17"/>
  <c r="W205" i="17" s="1"/>
  <c r="S14" i="17"/>
  <c r="V23" i="17" s="1"/>
  <c r="T229" i="17"/>
  <c r="R117" i="17"/>
  <c r="W126" i="17" s="1"/>
  <c r="R163" i="17"/>
  <c r="R14" i="17"/>
  <c r="S37" i="17"/>
  <c r="V46" i="17" s="1"/>
  <c r="T43" i="17"/>
  <c r="R194" i="17"/>
  <c r="W203" i="17" s="1"/>
  <c r="S36" i="17"/>
  <c r="V45" i="17" s="1"/>
  <c r="T141" i="17"/>
  <c r="R70" i="17"/>
  <c r="S98" i="17"/>
  <c r="V107" i="17" s="1"/>
  <c r="R86" i="17"/>
  <c r="W95" i="17" s="1"/>
  <c r="T117" i="17"/>
  <c r="T201" i="17"/>
  <c r="T160" i="17"/>
  <c r="R16" i="17"/>
  <c r="W25" i="17" s="1"/>
  <c r="R35" i="17"/>
  <c r="W44" i="17" s="1"/>
  <c r="S136" i="17"/>
  <c r="V145" i="17" s="1"/>
  <c r="T176" i="17"/>
  <c r="S64" i="17"/>
  <c r="W73" i="17" s="1"/>
  <c r="R144" i="17"/>
  <c r="W153" i="17" s="1"/>
  <c r="T204" i="17"/>
  <c r="R135" i="17"/>
  <c r="W144" i="17" s="1"/>
  <c r="T95" i="17"/>
  <c r="S56" i="17"/>
  <c r="V65" i="17" s="1"/>
  <c r="T55" i="17"/>
  <c r="S29" i="17"/>
  <c r="W38" i="17" s="1"/>
  <c r="T231" i="17"/>
  <c r="R193" i="17"/>
  <c r="W202" i="17" s="1"/>
  <c r="S179" i="17"/>
  <c r="V188" i="17" s="1"/>
  <c r="S124" i="17"/>
  <c r="V133" i="17" s="1"/>
  <c r="R153" i="17"/>
  <c r="S153" i="17"/>
  <c r="V162" i="17" s="1"/>
  <c r="S198" i="17"/>
  <c r="V207" i="17" s="1"/>
  <c r="R119" i="17"/>
  <c r="W128" i="17" s="1"/>
  <c r="S24" i="17"/>
  <c r="V33" i="17" s="1"/>
  <c r="R67" i="17"/>
  <c r="S110" i="17"/>
  <c r="S133" i="17"/>
  <c r="W142" i="17" s="1"/>
  <c r="T80" i="17"/>
  <c r="S178" i="17"/>
  <c r="V187" i="17" s="1"/>
  <c r="T191" i="17"/>
  <c r="T94" i="17"/>
  <c r="S192" i="17"/>
  <c r="V201" i="17" s="1"/>
  <c r="S122" i="17"/>
  <c r="V131" i="17" s="1"/>
  <c r="T159" i="17"/>
  <c r="T145" i="17"/>
  <c r="R32" i="17"/>
  <c r="W41" i="17" s="1"/>
  <c r="S63" i="17"/>
  <c r="V72" i="17" s="1"/>
  <c r="R101" i="17"/>
  <c r="T39" i="17"/>
  <c r="T235" i="17"/>
  <c r="T212" i="17"/>
  <c r="S181" i="17"/>
  <c r="R158" i="17"/>
  <c r="T189" i="17"/>
  <c r="S158" i="17"/>
  <c r="R92" i="17"/>
  <c r="W101" i="17" s="1"/>
  <c r="T123" i="17"/>
  <c r="S199" i="17"/>
  <c r="V208" i="17" s="1"/>
  <c r="T230" i="17"/>
  <c r="R217" i="17"/>
  <c r="S217" i="17"/>
  <c r="R125" i="17"/>
  <c r="W134" i="17" s="1"/>
  <c r="T156" i="17"/>
  <c r="R113" i="17"/>
  <c r="W122" i="17" s="1"/>
  <c r="T144" i="17"/>
  <c r="T109" i="17"/>
  <c r="R78" i="17"/>
  <c r="W87" i="17" s="1"/>
  <c r="R95" i="17"/>
  <c r="S95" i="17"/>
  <c r="T179" i="17"/>
  <c r="S148" i="17"/>
  <c r="V157" i="17" s="1"/>
  <c r="T51" i="17"/>
  <c r="T3" i="17"/>
  <c r="T2" i="17" s="1"/>
  <c r="T147" i="17"/>
  <c r="T153" i="17"/>
  <c r="R75" i="17"/>
  <c r="S114" i="17"/>
  <c r="V123" i="17" s="1"/>
  <c r="R8" i="17"/>
  <c r="W17" i="17" s="1"/>
  <c r="R148" i="17"/>
  <c r="S72" i="17"/>
  <c r="V81" i="17" s="1"/>
  <c r="R69" i="17"/>
  <c r="W78" i="17" s="1"/>
  <c r="T206" i="17"/>
  <c r="S175" i="17"/>
  <c r="R175" i="17"/>
  <c r="T58" i="17"/>
  <c r="R27" i="17"/>
  <c r="W36" i="17" s="1"/>
  <c r="R72" i="17"/>
  <c r="T213" i="17"/>
  <c r="R182" i="17"/>
  <c r="W191" i="17" s="1"/>
  <c r="R54" i="17"/>
  <c r="S54" i="17"/>
  <c r="R57" i="17"/>
  <c r="W66" i="17" s="1"/>
  <c r="T88" i="17"/>
  <c r="R62" i="17"/>
  <c r="W71" i="17" s="1"/>
  <c r="T93" i="17"/>
  <c r="T63" i="17"/>
  <c r="R49" i="17"/>
  <c r="W58" i="17" s="1"/>
  <c r="R139" i="17"/>
  <c r="W148" i="17" s="1"/>
  <c r="R178" i="17"/>
  <c r="T100" i="17"/>
  <c r="R185" i="17"/>
  <c r="T148" i="17"/>
  <c r="T161" i="17"/>
  <c r="S130" i="17"/>
  <c r="V139" i="17" s="1"/>
  <c r="S116" i="17"/>
  <c r="W125" i="17" s="1"/>
  <c r="R128" i="17"/>
  <c r="W137" i="17" s="1"/>
  <c r="S75" i="17"/>
  <c r="V84" i="17" s="1"/>
  <c r="T164" i="17"/>
  <c r="R159" i="17"/>
  <c r="W168" i="17" s="1"/>
  <c r="R192" i="17"/>
  <c r="S207" i="17"/>
  <c r="V216" i="17" s="1"/>
  <c r="S101" i="17"/>
  <c r="R58" i="17"/>
  <c r="S142" i="17"/>
  <c r="V151" i="17" s="1"/>
  <c r="T126" i="17"/>
  <c r="R204" i="17"/>
  <c r="W213" i="17" s="1"/>
  <c r="V134" i="17"/>
  <c r="V19" i="17"/>
  <c r="AF98" i="28"/>
  <c r="V98" i="28"/>
  <c r="W98" i="28" s="1"/>
  <c r="U98" i="28"/>
  <c r="X98" i="28" s="1"/>
  <c r="Z98" i="28"/>
  <c r="V198" i="17"/>
  <c r="W113" i="17"/>
  <c r="AD104" i="28"/>
  <c r="Y97" i="28"/>
  <c r="AG174" i="28"/>
  <c r="O95" i="28"/>
  <c r="T99" i="28"/>
  <c r="AR188" i="28"/>
  <c r="E190" i="17"/>
  <c r="I105" i="28"/>
  <c r="G93" i="28"/>
  <c r="AR187" i="28"/>
  <c r="AT187" i="28" l="1"/>
  <c r="AU187" i="28" s="1"/>
  <c r="AS187" i="28"/>
  <c r="AT188" i="28"/>
  <c r="AU188" i="28" s="1"/>
  <c r="AS188" i="28"/>
  <c r="AV189" i="28"/>
  <c r="W16" i="17"/>
  <c r="W34" i="17"/>
  <c r="W194" i="17"/>
  <c r="F190" i="17"/>
  <c r="V42" i="17"/>
  <c r="W227" i="17"/>
  <c r="W169" i="17"/>
  <c r="W85" i="17"/>
  <c r="W67" i="17"/>
  <c r="V218" i="17"/>
  <c r="W102" i="17"/>
  <c r="W165" i="17"/>
  <c r="W27" i="17"/>
  <c r="W64" i="17"/>
  <c r="V29" i="17"/>
  <c r="W171" i="17"/>
  <c r="W83" i="17"/>
  <c r="W152" i="17"/>
  <c r="V127" i="17"/>
  <c r="W69" i="17"/>
  <c r="V77" i="17"/>
  <c r="W204" i="17"/>
  <c r="W55" i="17"/>
  <c r="V232" i="17"/>
  <c r="W59" i="17"/>
  <c r="W173" i="17"/>
  <c r="KI5" i="17"/>
  <c r="KJ5" i="17" s="1"/>
  <c r="W174" i="17"/>
  <c r="W92" i="17"/>
  <c r="V69" i="17"/>
  <c r="W129" i="17"/>
  <c r="W196" i="17"/>
  <c r="W91" i="17"/>
  <c r="W111" i="17"/>
  <c r="V15" i="17"/>
  <c r="W163" i="17"/>
  <c r="W22" i="17"/>
  <c r="W121" i="17"/>
  <c r="W109" i="17"/>
  <c r="KI6" i="17"/>
  <c r="KK6" i="17" s="1"/>
  <c r="V37" i="17"/>
  <c r="W229" i="17"/>
  <c r="W222" i="17"/>
  <c r="W120" i="17"/>
  <c r="W199" i="17"/>
  <c r="W105" i="17"/>
  <c r="W49" i="17"/>
  <c r="KI8" i="17"/>
  <c r="KK8" i="17" s="1"/>
  <c r="KI7" i="17"/>
  <c r="KK7" i="17" s="1"/>
  <c r="KI4" i="17"/>
  <c r="KK4" i="17" s="1"/>
  <c r="KI9" i="17"/>
  <c r="KJ9" i="17" s="1"/>
  <c r="W14" i="17"/>
  <c r="W47" i="17"/>
  <c r="V192" i="17"/>
  <c r="W35" i="17"/>
  <c r="W15" i="17"/>
  <c r="W186" i="17"/>
  <c r="W210" i="17"/>
  <c r="W40" i="17"/>
  <c r="W166" i="17"/>
  <c r="V150" i="17"/>
  <c r="W147" i="17"/>
  <c r="W231" i="17"/>
  <c r="W31" i="17"/>
  <c r="W76" i="17"/>
  <c r="W131" i="17"/>
  <c r="W154" i="17"/>
  <c r="W86" i="17"/>
  <c r="W80" i="17"/>
  <c r="W164" i="17"/>
  <c r="W200" i="17"/>
  <c r="V90" i="17"/>
  <c r="W158" i="17"/>
  <c r="W224" i="17"/>
  <c r="V39" i="17"/>
  <c r="W176" i="17"/>
  <c r="W172" i="17"/>
  <c r="V215" i="17"/>
  <c r="W118" i="17"/>
  <c r="V142" i="17"/>
  <c r="W79" i="17"/>
  <c r="V138" i="17"/>
  <c r="U2" i="17"/>
  <c r="W162" i="17"/>
  <c r="W117" i="17"/>
  <c r="W219" i="17"/>
  <c r="W209" i="17"/>
  <c r="V38" i="17"/>
  <c r="V159" i="17"/>
  <c r="W175" i="17"/>
  <c r="W225" i="17"/>
  <c r="W193" i="17"/>
  <c r="W183" i="17"/>
  <c r="W51" i="17"/>
  <c r="W94" i="17"/>
  <c r="W151" i="17"/>
  <c r="W98" i="17"/>
  <c r="W177" i="17"/>
  <c r="W43" i="17"/>
  <c r="W54" i="17"/>
  <c r="W182" i="17"/>
  <c r="W178" i="17"/>
  <c r="W179" i="17"/>
  <c r="W89" i="17"/>
  <c r="W132" i="17"/>
  <c r="W146" i="17"/>
  <c r="V106" i="17"/>
  <c r="V125" i="17"/>
  <c r="W21" i="17"/>
  <c r="V135" i="17"/>
  <c r="W110" i="17"/>
  <c r="V73" i="17"/>
  <c r="W201" i="17"/>
  <c r="W197" i="17"/>
  <c r="W45" i="17"/>
  <c r="W195" i="17"/>
  <c r="V136" i="17"/>
  <c r="W207" i="17"/>
  <c r="KI45" i="17"/>
  <c r="KK45" i="17" s="1"/>
  <c r="KI14" i="17"/>
  <c r="KK14" i="17" s="1"/>
  <c r="W114" i="17"/>
  <c r="V161" i="17"/>
  <c r="W235" i="17"/>
  <c r="KI11" i="17"/>
  <c r="KJ11" i="17" s="1"/>
  <c r="W56" i="17"/>
  <c r="W206" i="17"/>
  <c r="KI12" i="17"/>
  <c r="KK12" i="17" s="1"/>
  <c r="W20" i="17"/>
  <c r="W156" i="17"/>
  <c r="V205" i="17"/>
  <c r="W107" i="17"/>
  <c r="W217" i="17"/>
  <c r="KI13" i="17"/>
  <c r="KJ13" i="17" s="1"/>
  <c r="W46" i="17"/>
  <c r="KI10" i="17"/>
  <c r="KK10" i="17" s="1"/>
  <c r="W180" i="17"/>
  <c r="KI93" i="17"/>
  <c r="KJ93" i="17" s="1"/>
  <c r="KI92" i="17"/>
  <c r="KK92" i="17" s="1"/>
  <c r="KI53" i="17"/>
  <c r="KJ53" i="17" s="1"/>
  <c r="W228" i="17"/>
  <c r="KI79" i="17"/>
  <c r="KJ79" i="17" s="1"/>
  <c r="KI20" i="17"/>
  <c r="KK20" i="17" s="1"/>
  <c r="W30" i="17"/>
  <c r="W65" i="17"/>
  <c r="W221" i="17"/>
  <c r="V110" i="17"/>
  <c r="W187" i="17"/>
  <c r="W81" i="17"/>
  <c r="W23" i="17"/>
  <c r="KI23" i="17"/>
  <c r="KJ23" i="17" s="1"/>
  <c r="W141" i="17"/>
  <c r="W157" i="17"/>
  <c r="KI99" i="17"/>
  <c r="KJ99" i="17" s="1"/>
  <c r="W74" i="17"/>
  <c r="W28" i="17"/>
  <c r="W185" i="17"/>
  <c r="KI19" i="17"/>
  <c r="KK19" i="17" s="1"/>
  <c r="KI86" i="17"/>
  <c r="KJ86" i="17" s="1"/>
  <c r="KI21" i="17"/>
  <c r="KJ21" i="17" s="1"/>
  <c r="KI50" i="17"/>
  <c r="KJ50" i="17" s="1"/>
  <c r="KI102" i="17"/>
  <c r="KK102" i="17" s="1"/>
  <c r="KI16" i="17"/>
  <c r="KK16" i="17" s="1"/>
  <c r="KI94" i="17"/>
  <c r="KK94" i="17" s="1"/>
  <c r="KI85" i="17"/>
  <c r="KJ85" i="17" s="1"/>
  <c r="KI24" i="17"/>
  <c r="KJ24" i="17" s="1"/>
  <c r="KI26" i="17"/>
  <c r="KJ26" i="17" s="1"/>
  <c r="KI77" i="17"/>
  <c r="KK77" i="17" s="1"/>
  <c r="KI64" i="17"/>
  <c r="KJ64" i="17" s="1"/>
  <c r="KI106" i="17"/>
  <c r="KJ106" i="17" s="1"/>
  <c r="KI48" i="17"/>
  <c r="KJ48" i="17" s="1"/>
  <c r="KI97" i="17"/>
  <c r="KJ97" i="17" s="1"/>
  <c r="W123" i="17"/>
  <c r="W188" i="17"/>
  <c r="W33" i="17"/>
  <c r="KI30" i="17"/>
  <c r="KK30" i="17" s="1"/>
  <c r="KI101" i="17"/>
  <c r="KJ101" i="17" s="1"/>
  <c r="KI80" i="17"/>
  <c r="KK80" i="17" s="1"/>
  <c r="KI52" i="17"/>
  <c r="KK52" i="17" s="1"/>
  <c r="KI90" i="17"/>
  <c r="KK90" i="17" s="1"/>
  <c r="KI28" i="17"/>
  <c r="KK28" i="17" s="1"/>
  <c r="KI75" i="17"/>
  <c r="KK75" i="17" s="1"/>
  <c r="W133" i="17"/>
  <c r="KI58" i="17"/>
  <c r="KJ58" i="17" s="1"/>
  <c r="KI27" i="17"/>
  <c r="KK27" i="17" s="1"/>
  <c r="KI29" i="17"/>
  <c r="KK29" i="17" s="1"/>
  <c r="KI81" i="17"/>
  <c r="KJ81" i="17" s="1"/>
  <c r="KI62" i="17"/>
  <c r="KJ62" i="17" s="1"/>
  <c r="KI96" i="17"/>
  <c r="KJ96" i="17" s="1"/>
  <c r="KI18" i="17"/>
  <c r="KK18" i="17" s="1"/>
  <c r="W145" i="17"/>
  <c r="KI73" i="17"/>
  <c r="KJ73" i="17" s="1"/>
  <c r="KI40" i="17"/>
  <c r="KK40" i="17" s="1"/>
  <c r="KI25" i="17"/>
  <c r="KJ25" i="17" s="1"/>
  <c r="KI33" i="17"/>
  <c r="KJ33" i="17" s="1"/>
  <c r="KI57" i="17"/>
  <c r="KJ57" i="17" s="1"/>
  <c r="KI104" i="17"/>
  <c r="KJ104" i="17" s="1"/>
  <c r="KI43" i="17"/>
  <c r="KK43" i="17" s="1"/>
  <c r="KI15" i="17"/>
  <c r="KK15" i="17" s="1"/>
  <c r="KI17" i="17"/>
  <c r="KJ17" i="17" s="1"/>
  <c r="W220" i="17"/>
  <c r="W216" i="17"/>
  <c r="KI89" i="17"/>
  <c r="KK89" i="17" s="1"/>
  <c r="KI60" i="17"/>
  <c r="KJ60" i="17" s="1"/>
  <c r="KI34" i="17"/>
  <c r="KJ34" i="17" s="1"/>
  <c r="KI22" i="17"/>
  <c r="KK22" i="17" s="1"/>
  <c r="V119" i="17"/>
  <c r="W119" i="17"/>
  <c r="V190" i="17"/>
  <c r="W190" i="17"/>
  <c r="KI74" i="17"/>
  <c r="KK74" i="17" s="1"/>
  <c r="KI70" i="17"/>
  <c r="KK70" i="17" s="1"/>
  <c r="KI35" i="17"/>
  <c r="KK35" i="17" s="1"/>
  <c r="KI46" i="17"/>
  <c r="KJ46" i="17" s="1"/>
  <c r="KI95" i="17"/>
  <c r="KK95" i="17" s="1"/>
  <c r="KI39" i="17"/>
  <c r="KJ39" i="17" s="1"/>
  <c r="KI32" i="17"/>
  <c r="KJ32" i="17" s="1"/>
  <c r="KI71" i="17"/>
  <c r="KJ71" i="17" s="1"/>
  <c r="KI78" i="17"/>
  <c r="KJ78" i="17" s="1"/>
  <c r="KI65" i="17"/>
  <c r="KJ65" i="17" s="1"/>
  <c r="KI47" i="17"/>
  <c r="KK47" i="17" s="1"/>
  <c r="KI69" i="17"/>
  <c r="KK69" i="17" s="1"/>
  <c r="W84" i="17"/>
  <c r="W63" i="17"/>
  <c r="V63" i="17"/>
  <c r="W104" i="17"/>
  <c r="V104" i="17"/>
  <c r="KI66" i="17"/>
  <c r="KJ66" i="17" s="1"/>
  <c r="W139" i="17"/>
  <c r="W208" i="17"/>
  <c r="KI56" i="17"/>
  <c r="KK56" i="17" s="1"/>
  <c r="KI38" i="17"/>
  <c r="KK38" i="17" s="1"/>
  <c r="KI54" i="17"/>
  <c r="KJ54" i="17" s="1"/>
  <c r="KI76" i="17"/>
  <c r="KJ76" i="17" s="1"/>
  <c r="KI72" i="17"/>
  <c r="KJ72" i="17" s="1"/>
  <c r="KI82" i="17"/>
  <c r="KJ82" i="17" s="1"/>
  <c r="KI59" i="17"/>
  <c r="KK59" i="17" s="1"/>
  <c r="KI44" i="17"/>
  <c r="KK44" i="17" s="1"/>
  <c r="KI105" i="17"/>
  <c r="KJ105" i="17" s="1"/>
  <c r="V184" i="17"/>
  <c r="W184" i="17"/>
  <c r="W226" i="17"/>
  <c r="V226" i="17"/>
  <c r="V167" i="17"/>
  <c r="W167" i="17"/>
  <c r="KI42" i="17"/>
  <c r="KJ42" i="17" s="1"/>
  <c r="KI51" i="17"/>
  <c r="KJ51" i="17" s="1"/>
  <c r="KI63" i="17"/>
  <c r="KK63" i="17" s="1"/>
  <c r="KI36" i="17"/>
  <c r="KJ36" i="17" s="1"/>
  <c r="KI41" i="17"/>
  <c r="KJ41" i="17" s="1"/>
  <c r="KI87" i="17"/>
  <c r="KK87" i="17" s="1"/>
  <c r="KI67" i="17"/>
  <c r="KK67" i="17" s="1"/>
  <c r="KI55" i="17"/>
  <c r="KK55" i="17" s="1"/>
  <c r="KI37" i="17"/>
  <c r="KK37" i="17" s="1"/>
  <c r="KI83" i="17"/>
  <c r="KK83" i="17" s="1"/>
  <c r="KI103" i="17"/>
  <c r="KK103" i="17" s="1"/>
  <c r="KI84" i="17"/>
  <c r="KK84" i="17" s="1"/>
  <c r="KI61" i="17"/>
  <c r="KJ61" i="17" s="1"/>
  <c r="KI100" i="17"/>
  <c r="KK100" i="17" s="1"/>
  <c r="KI91" i="17"/>
  <c r="KK91" i="17" s="1"/>
  <c r="KI88" i="17"/>
  <c r="KK88" i="17" s="1"/>
  <c r="KI98" i="17"/>
  <c r="KJ98" i="17" s="1"/>
  <c r="KI31" i="17"/>
  <c r="KK31" i="17" s="1"/>
  <c r="KI49" i="17"/>
  <c r="KJ49" i="17" s="1"/>
  <c r="KI68" i="17"/>
  <c r="KJ68" i="17" s="1"/>
  <c r="W72" i="17"/>
  <c r="U99" i="28"/>
  <c r="X99" i="28" s="1"/>
  <c r="Y99" i="28" s="1"/>
  <c r="Z99" i="28"/>
  <c r="V99" i="28"/>
  <c r="W99" i="28" s="1"/>
  <c r="AF99" i="28"/>
  <c r="AD105" i="28"/>
  <c r="Y98" i="28"/>
  <c r="AG175" i="28"/>
  <c r="AG176" i="28"/>
  <c r="AG177" i="28" s="1"/>
  <c r="AG178" i="28"/>
  <c r="AG179" i="28"/>
  <c r="G94" i="28"/>
  <c r="I106" i="28"/>
  <c r="T100" i="28"/>
  <c r="E191" i="17"/>
  <c r="O96" i="28"/>
  <c r="E192" i="17"/>
  <c r="AV187" i="28" l="1"/>
  <c r="AV188" i="28"/>
  <c r="F191" i="17"/>
  <c r="KK9" i="17"/>
  <c r="KJ6" i="17"/>
  <c r="KK5" i="17"/>
  <c r="AF100" i="28"/>
  <c r="U100" i="28"/>
  <c r="X100" i="28" s="1"/>
  <c r="Y100" i="28" s="1"/>
  <c r="V100" i="28"/>
  <c r="W100" i="28" s="1"/>
  <c r="Z100" i="28"/>
  <c r="KJ4" i="17"/>
  <c r="KJ7" i="17"/>
  <c r="KJ8" i="17"/>
  <c r="KK11" i="17"/>
  <c r="KK26" i="17"/>
  <c r="KK50" i="17"/>
  <c r="KJ20" i="17"/>
  <c r="KJ94" i="17"/>
  <c r="KJ30" i="17"/>
  <c r="KK64" i="17"/>
  <c r="KK23" i="17"/>
  <c r="KJ28" i="17"/>
  <c r="KK34" i="17"/>
  <c r="KJ74" i="17"/>
  <c r="KJ92" i="17"/>
  <c r="KK32" i="17"/>
  <c r="KJ40" i="17"/>
  <c r="KK81" i="17"/>
  <c r="KJ14" i="17"/>
  <c r="KJ15" i="17"/>
  <c r="KK76" i="17"/>
  <c r="KJ16" i="17"/>
  <c r="KK101" i="17"/>
  <c r="KK96" i="17"/>
  <c r="KK48" i="17"/>
  <c r="KK86" i="17"/>
  <c r="KK85" i="17"/>
  <c r="KK33" i="17"/>
  <c r="KJ87" i="17"/>
  <c r="KJ45" i="17"/>
  <c r="KK93" i="17"/>
  <c r="KJ22" i="17"/>
  <c r="KJ70" i="17"/>
  <c r="KJ75" i="17"/>
  <c r="KJ69" i="17"/>
  <c r="KJ12" i="17"/>
  <c r="KK62" i="17"/>
  <c r="KK72" i="17"/>
  <c r="KK17" i="17"/>
  <c r="KJ100" i="17"/>
  <c r="KJ19" i="17"/>
  <c r="KJ67" i="17"/>
  <c r="KK42" i="17"/>
  <c r="KK13" i="17"/>
  <c r="KK71" i="17"/>
  <c r="KK106" i="17"/>
  <c r="KK53" i="17"/>
  <c r="KK61" i="17"/>
  <c r="KK25" i="17"/>
  <c r="KK49" i="17"/>
  <c r="KJ10" i="17"/>
  <c r="KJ59" i="17"/>
  <c r="KK57" i="17"/>
  <c r="KK65" i="17"/>
  <c r="KK24" i="17"/>
  <c r="KJ83" i="17"/>
  <c r="KJ18" i="17"/>
  <c r="KK99" i="17"/>
  <c r="KK58" i="17"/>
  <c r="KJ80" i="17"/>
  <c r="KJ88" i="17"/>
  <c r="KK46" i="17"/>
  <c r="KK21" i="17"/>
  <c r="KK36" i="17"/>
  <c r="KK79" i="17"/>
  <c r="KK97" i="17"/>
  <c r="KJ38" i="17"/>
  <c r="KJ44" i="17"/>
  <c r="KK39" i="17"/>
  <c r="KK66" i="17"/>
  <c r="KK54" i="17"/>
  <c r="KJ47" i="17"/>
  <c r="KK60" i="17"/>
  <c r="KJ52" i="17"/>
  <c r="KJ90" i="17"/>
  <c r="KJ77" i="17"/>
  <c r="KJ63" i="17"/>
  <c r="KJ35" i="17"/>
  <c r="KJ89" i="17"/>
  <c r="KJ55" i="17"/>
  <c r="KJ27" i="17"/>
  <c r="KJ95" i="17"/>
  <c r="KK68" i="17"/>
  <c r="KK51" i="17"/>
  <c r="KK104" i="17"/>
  <c r="KJ43" i="17"/>
  <c r="KJ29" i="17"/>
  <c r="KJ84" i="17"/>
  <c r="KK73" i="17"/>
  <c r="KJ102" i="17"/>
  <c r="KK41" i="17"/>
  <c r="KJ31" i="17"/>
  <c r="AA9" i="17"/>
  <c r="KK105" i="17"/>
  <c r="KK98" i="17"/>
  <c r="KJ103" i="17"/>
  <c r="KJ37" i="17"/>
  <c r="KK78" i="17"/>
  <c r="KK82" i="17"/>
  <c r="KJ91" i="17"/>
  <c r="KJ56" i="17"/>
  <c r="AD106" i="28"/>
  <c r="F192" i="17"/>
  <c r="AG180" i="28"/>
  <c r="AG181" i="28" s="1"/>
  <c r="T101" i="28"/>
  <c r="E193" i="17"/>
  <c r="G95" i="28"/>
  <c r="I107" i="28"/>
  <c r="AK186" i="28"/>
  <c r="O97" i="28"/>
  <c r="U101" i="28" l="1"/>
  <c r="X101" i="28" s="1"/>
  <c r="Z101" i="28"/>
  <c r="AF101" i="28"/>
  <c r="V101" i="28"/>
  <c r="W101" i="28" s="1"/>
  <c r="AD107" i="28"/>
  <c r="F193" i="17"/>
  <c r="AG182" i="28"/>
  <c r="AG183" i="28" s="1"/>
  <c r="AG184" i="28"/>
  <c r="T102" i="28"/>
  <c r="I108" i="28"/>
  <c r="E194" i="17"/>
  <c r="T103" i="28"/>
  <c r="AK185" i="28"/>
  <c r="AR186" i="28"/>
  <c r="G96" i="28"/>
  <c r="O98" i="28"/>
  <c r="Y101" i="28" l="1"/>
  <c r="AD108" i="28"/>
  <c r="Z102" i="28"/>
  <c r="V102" i="28"/>
  <c r="W102" i="28" s="1"/>
  <c r="AF102" i="28"/>
  <c r="U102" i="28"/>
  <c r="X102" i="28" s="1"/>
  <c r="V103" i="28"/>
  <c r="W103" i="28" s="1"/>
  <c r="AF103" i="28"/>
  <c r="U103" i="28"/>
  <c r="X103" i="28" s="1"/>
  <c r="Z103" i="28"/>
  <c r="F194" i="17"/>
  <c r="AS186" i="28"/>
  <c r="AT186" i="28"/>
  <c r="AU186" i="28" s="1"/>
  <c r="AN185" i="28"/>
  <c r="AN151" i="28"/>
  <c r="AG185" i="28"/>
  <c r="G97" i="28"/>
  <c r="AR185" i="28"/>
  <c r="O99" i="28"/>
  <c r="I109" i="28"/>
  <c r="AK184" i="28"/>
  <c r="T104" i="28"/>
  <c r="E195" i="17"/>
  <c r="AD109" i="28" l="1"/>
  <c r="Z104" i="28"/>
  <c r="U104" i="28"/>
  <c r="X104" i="28" s="1"/>
  <c r="AF104" i="28"/>
  <c r="V104" i="28"/>
  <c r="W104" i="28" s="1"/>
  <c r="Y102" i="28"/>
  <c r="F195" i="17"/>
  <c r="Y103" i="28"/>
  <c r="AS185" i="28"/>
  <c r="AX185" i="28"/>
  <c r="AT185" i="28"/>
  <c r="AU185" i="28" s="1"/>
  <c r="AV186" i="28"/>
  <c r="AG186" i="28"/>
  <c r="AG187" i="28"/>
  <c r="AG188" i="28" s="1"/>
  <c r="AG189" i="28"/>
  <c r="I110" i="28"/>
  <c r="I111" i="28"/>
  <c r="E196" i="17"/>
  <c r="O100" i="28"/>
  <c r="I112" i="28"/>
  <c r="I113" i="28" s="1"/>
  <c r="AK183" i="28"/>
  <c r="AR184" i="28"/>
  <c r="G98" i="28"/>
  <c r="T105" i="28"/>
  <c r="T106" i="28"/>
  <c r="AD110" i="28" l="1"/>
  <c r="AD111" i="28"/>
  <c r="V106" i="28"/>
  <c r="W106" i="28" s="1"/>
  <c r="Z106" i="28"/>
  <c r="U106" i="28"/>
  <c r="X106" i="28" s="1"/>
  <c r="AF106" i="28"/>
  <c r="AD112" i="28"/>
  <c r="AF105" i="28"/>
  <c r="U105" i="28"/>
  <c r="X105" i="28" s="1"/>
  <c r="V105" i="28"/>
  <c r="W105" i="28" s="1"/>
  <c r="Z105" i="28"/>
  <c r="F196" i="17"/>
  <c r="Y104" i="28"/>
  <c r="AD113" i="28"/>
  <c r="AV185" i="28"/>
  <c r="AS184" i="28"/>
  <c r="AT184" i="28"/>
  <c r="AU184" i="28" s="1"/>
  <c r="AG191" i="28"/>
  <c r="T107" i="28"/>
  <c r="G99" i="28"/>
  <c r="I114" i="28"/>
  <c r="T108" i="28"/>
  <c r="AK182" i="28"/>
  <c r="E197" i="17"/>
  <c r="E198" i="17" s="1"/>
  <c r="O101" i="28"/>
  <c r="AR183" i="28"/>
  <c r="U107" i="28" l="1"/>
  <c r="Z107" i="28"/>
  <c r="V107" i="28"/>
  <c r="W107" i="28" s="1"/>
  <c r="AF107" i="28"/>
  <c r="F197" i="17"/>
  <c r="Y105" i="28"/>
  <c r="Y106" i="28"/>
  <c r="AT183" i="28"/>
  <c r="AU183" i="28" s="1"/>
  <c r="AS183" i="28"/>
  <c r="U108" i="28"/>
  <c r="X108" i="28" s="1"/>
  <c r="AF108" i="28"/>
  <c r="Z108" i="28"/>
  <c r="V108" i="28"/>
  <c r="W108" i="28" s="1"/>
  <c r="X107" i="28"/>
  <c r="Y107" i="28" s="1"/>
  <c r="AD114" i="28"/>
  <c r="F198" i="17"/>
  <c r="AG192" i="28"/>
  <c r="AV184" i="28"/>
  <c r="AG193" i="28"/>
  <c r="I115" i="28"/>
  <c r="AR182" i="28"/>
  <c r="T109" i="28"/>
  <c r="E199" i="17"/>
  <c r="O102" i="28"/>
  <c r="G100" i="28"/>
  <c r="AK181" i="28"/>
  <c r="AS182" i="28" l="1"/>
  <c r="AT182" i="28"/>
  <c r="AU182" i="28" s="1"/>
  <c r="AV183" i="28"/>
  <c r="Y108" i="28"/>
  <c r="U109" i="28"/>
  <c r="X109" i="28" s="1"/>
  <c r="AF109" i="28"/>
  <c r="V109" i="28"/>
  <c r="W109" i="28" s="1"/>
  <c r="Z109" i="28"/>
  <c r="AD115" i="28"/>
  <c r="F199" i="17"/>
  <c r="AG194" i="28"/>
  <c r="T110" i="28"/>
  <c r="O103" i="28"/>
  <c r="I116" i="28"/>
  <c r="AK180" i="28"/>
  <c r="AR181" i="28"/>
  <c r="E200" i="17"/>
  <c r="G101" i="28"/>
  <c r="AT181" i="28" l="1"/>
  <c r="AU181" i="28" s="1"/>
  <c r="AS181" i="28"/>
  <c r="AV182" i="28"/>
  <c r="Z110" i="28"/>
  <c r="AF110" i="28"/>
  <c r="U110" i="28"/>
  <c r="X110" i="28" s="1"/>
  <c r="Y110" i="28" s="1"/>
  <c r="V110" i="28"/>
  <c r="W110" i="28" s="1"/>
  <c r="Y109" i="28"/>
  <c r="AD116" i="28"/>
  <c r="F200" i="17"/>
  <c r="Z185" i="28"/>
  <c r="I117" i="28"/>
  <c r="AK179" i="28"/>
  <c r="T111" i="28"/>
  <c r="AR180" i="28"/>
  <c r="AR179" i="28" s="1"/>
  <c r="O104" i="28"/>
  <c r="G102" i="28"/>
  <c r="E201" i="17"/>
  <c r="AS180" i="28" l="1"/>
  <c r="AT180" i="28"/>
  <c r="AU180" i="28" s="1"/>
  <c r="AV180" i="28" s="1"/>
  <c r="AV181" i="28"/>
  <c r="AT179" i="28"/>
  <c r="AU179" i="28" s="1"/>
  <c r="AS179" i="28"/>
  <c r="AX179" i="28"/>
  <c r="Z111" i="28"/>
  <c r="AF111" i="28"/>
  <c r="U111" i="28"/>
  <c r="X111" i="28" s="1"/>
  <c r="V111" i="28"/>
  <c r="W111" i="28" s="1"/>
  <c r="AN179" i="28"/>
  <c r="AD117" i="28"/>
  <c r="F201" i="17"/>
  <c r="O105" i="28"/>
  <c r="AK178" i="28"/>
  <c r="T112" i="28"/>
  <c r="G103" i="28"/>
  <c r="I118" i="28"/>
  <c r="E202" i="17"/>
  <c r="AR178" i="28"/>
  <c r="AT178" i="28" l="1"/>
  <c r="AU178" i="28" s="1"/>
  <c r="AS178" i="28"/>
  <c r="Z112" i="28"/>
  <c r="U112" i="28"/>
  <c r="X112" i="28" s="1"/>
  <c r="Y112" i="28" s="1"/>
  <c r="V112" i="28"/>
  <c r="W112" i="28" s="1"/>
  <c r="AF112" i="28"/>
  <c r="AV179" i="28"/>
  <c r="Y111" i="28"/>
  <c r="AX175" i="28"/>
  <c r="AD118" i="28"/>
  <c r="AN175" i="28"/>
  <c r="F202" i="17"/>
  <c r="G104" i="28"/>
  <c r="I119" i="28"/>
  <c r="O106" i="28"/>
  <c r="AR177" i="28"/>
  <c r="AK177" i="28"/>
  <c r="AR176" i="28"/>
  <c r="T113" i="28"/>
  <c r="AR175" i="28"/>
  <c r="T114" i="28"/>
  <c r="E203" i="17"/>
  <c r="AT176" i="28" l="1"/>
  <c r="AU176" i="28" s="1"/>
  <c r="AS176" i="28"/>
  <c r="AS177" i="28"/>
  <c r="AT177" i="28"/>
  <c r="AU177" i="28" s="1"/>
  <c r="AV177" i="28" s="1"/>
  <c r="Z113" i="28"/>
  <c r="V113" i="28"/>
  <c r="W113" i="28" s="1"/>
  <c r="U113" i="28"/>
  <c r="X113" i="28" s="1"/>
  <c r="AF113" i="28"/>
  <c r="AS175" i="28"/>
  <c r="AT175" i="28"/>
  <c r="AU175" i="28" s="1"/>
  <c r="AV178" i="28"/>
  <c r="AD119" i="28"/>
  <c r="F203" i="17"/>
  <c r="V114" i="28"/>
  <c r="W114" i="28" s="1"/>
  <c r="AF114" i="28"/>
  <c r="Z114" i="28"/>
  <c r="U114" i="28"/>
  <c r="X114" i="28" s="1"/>
  <c r="Z171" i="28"/>
  <c r="Z170" i="28"/>
  <c r="AR174" i="28"/>
  <c r="G105" i="28"/>
  <c r="E204" i="17"/>
  <c r="I120" i="28"/>
  <c r="I121" i="28" s="1"/>
  <c r="O107" i="28"/>
  <c r="E205" i="17"/>
  <c r="AK176" i="28"/>
  <c r="T115" i="28"/>
  <c r="AV176" i="28" l="1"/>
  <c r="AS174" i="28"/>
  <c r="AT174" i="28"/>
  <c r="AU174" i="28" s="1"/>
  <c r="AV174" i="28" s="1"/>
  <c r="AV175" i="28"/>
  <c r="Y113" i="28"/>
  <c r="F204" i="17"/>
  <c r="AD120" i="28"/>
  <c r="AD121" i="28"/>
  <c r="V115" i="28"/>
  <c r="W115" i="28" s="1"/>
  <c r="AF115" i="28"/>
  <c r="U115" i="28"/>
  <c r="X115" i="28" s="1"/>
  <c r="Z115" i="28"/>
  <c r="Y114" i="28"/>
  <c r="F205" i="17"/>
  <c r="Z172" i="28"/>
  <c r="G106" i="28"/>
  <c r="O108" i="28"/>
  <c r="I122" i="28"/>
  <c r="I123" i="28"/>
  <c r="AK175" i="28"/>
  <c r="AK174" i="28"/>
  <c r="E206" i="17"/>
  <c r="AR173" i="28"/>
  <c r="T116" i="28"/>
  <c r="AR172" i="28"/>
  <c r="AR171" i="28"/>
  <c r="AR170" i="28"/>
  <c r="AS171" i="28" l="1"/>
  <c r="AT171" i="28"/>
  <c r="AU171" i="28" s="1"/>
  <c r="AS172" i="28"/>
  <c r="AT172" i="28"/>
  <c r="AU172" i="28" s="1"/>
  <c r="AV172" i="28" s="1"/>
  <c r="AT173" i="28"/>
  <c r="AU173" i="28" s="1"/>
  <c r="AS173" i="28"/>
  <c r="AD122" i="28"/>
  <c r="AD123" i="28"/>
  <c r="AS170" i="28"/>
  <c r="AT170" i="28"/>
  <c r="AU170" i="28" s="1"/>
  <c r="V116" i="28"/>
  <c r="W116" i="28" s="1"/>
  <c r="U116" i="28"/>
  <c r="X116" i="28" s="1"/>
  <c r="Y116" i="28" s="1"/>
  <c r="AF116" i="28"/>
  <c r="Z116" i="28"/>
  <c r="Y115" i="28"/>
  <c r="F206" i="17"/>
  <c r="AK173" i="28"/>
  <c r="I124" i="28"/>
  <c r="E207" i="17"/>
  <c r="I125" i="28"/>
  <c r="O109" i="28"/>
  <c r="AR169" i="28"/>
  <c r="AR168" i="28"/>
  <c r="G107" i="28"/>
  <c r="T117" i="28"/>
  <c r="AV171" i="28" l="1"/>
  <c r="AV173" i="28"/>
  <c r="AD124" i="28"/>
  <c r="AS169" i="28"/>
  <c r="AT169" i="28"/>
  <c r="AU169" i="28" s="1"/>
  <c r="AV169" i="28" s="1"/>
  <c r="AV170" i="28"/>
  <c r="Z117" i="28"/>
  <c r="AF117" i="28"/>
  <c r="V117" i="28"/>
  <c r="W117" i="28" s="1"/>
  <c r="U117" i="28"/>
  <c r="X117" i="28" s="1"/>
  <c r="F207" i="17"/>
  <c r="AD125" i="28"/>
  <c r="AS168" i="28"/>
  <c r="AT168" i="28"/>
  <c r="AU168" i="28" s="1"/>
  <c r="AK172" i="28"/>
  <c r="AR167" i="28"/>
  <c r="I126" i="28"/>
  <c r="E208" i="17"/>
  <c r="T118" i="28"/>
  <c r="G108" i="28"/>
  <c r="AF118" i="28" l="1"/>
  <c r="U118" i="28"/>
  <c r="X118" i="28" s="1"/>
  <c r="Z118" i="28"/>
  <c r="V118" i="28"/>
  <c r="W118" i="28" s="1"/>
  <c r="Y117" i="28"/>
  <c r="F208" i="17"/>
  <c r="AD126" i="28"/>
  <c r="AT167" i="28"/>
  <c r="AU167" i="28" s="1"/>
  <c r="AS167" i="28"/>
  <c r="AV168" i="28"/>
  <c r="AK171" i="28"/>
  <c r="AR166" i="28"/>
  <c r="T119" i="28"/>
  <c r="T120" i="28" s="1"/>
  <c r="G109" i="28"/>
  <c r="I127" i="28"/>
  <c r="E209" i="17"/>
  <c r="E210" i="17" s="1"/>
  <c r="F209" i="17" l="1"/>
  <c r="U119" i="28"/>
  <c r="X119" i="28" s="1"/>
  <c r="Z119" i="28"/>
  <c r="AF119" i="28"/>
  <c r="V119" i="28"/>
  <c r="W119" i="28" s="1"/>
  <c r="Y118" i="28"/>
  <c r="F210" i="17"/>
  <c r="AD127" i="28"/>
  <c r="V120" i="28"/>
  <c r="W120" i="28" s="1"/>
  <c r="U120" i="28"/>
  <c r="X120" i="28" s="1"/>
  <c r="Z120" i="28"/>
  <c r="AF120" i="28"/>
  <c r="AV167" i="28"/>
  <c r="AT166" i="28"/>
  <c r="AU166" i="28" s="1"/>
  <c r="AS166" i="28"/>
  <c r="Y119" i="28"/>
  <c r="AN131" i="28"/>
  <c r="E211" i="17"/>
  <c r="T121" i="28"/>
  <c r="AK170" i="28"/>
  <c r="E212" i="17"/>
  <c r="AR165" i="28"/>
  <c r="I128" i="28"/>
  <c r="I129" i="28" s="1"/>
  <c r="F211" i="17" l="1"/>
  <c r="U121" i="28"/>
  <c r="X121" i="28" s="1"/>
  <c r="AF121" i="28"/>
  <c r="Z121" i="28"/>
  <c r="V121" i="28"/>
  <c r="W121" i="28" s="1"/>
  <c r="AD128" i="28"/>
  <c r="AD129" i="28"/>
  <c r="Y120" i="28"/>
  <c r="AS165" i="28"/>
  <c r="AT165" i="28"/>
  <c r="AU165" i="28" s="1"/>
  <c r="AV166" i="28"/>
  <c r="F212" i="17"/>
  <c r="I130" i="28"/>
  <c r="AK169" i="28"/>
  <c r="AR164" i="28"/>
  <c r="E213" i="17"/>
  <c r="T122" i="28"/>
  <c r="U122" i="28" l="1"/>
  <c r="X122" i="28" s="1"/>
  <c r="AF122" i="28"/>
  <c r="Z122" i="28"/>
  <c r="V122" i="28"/>
  <c r="W122" i="28" s="1"/>
  <c r="Y121" i="28"/>
  <c r="AD130" i="28"/>
  <c r="AS164" i="28"/>
  <c r="AT164" i="28"/>
  <c r="AU164" i="28" s="1"/>
  <c r="AV165" i="28"/>
  <c r="F213" i="17"/>
  <c r="I131" i="28"/>
  <c r="AR163" i="28"/>
  <c r="E214" i="17"/>
  <c r="G110" i="28"/>
  <c r="T123" i="28"/>
  <c r="T124" i="28" s="1"/>
  <c r="V123" i="28" l="1"/>
  <c r="W123" i="28" s="1"/>
  <c r="AF123" i="28"/>
  <c r="U123" i="28"/>
  <c r="X123" i="28" s="1"/>
  <c r="Y123" i="28" s="1"/>
  <c r="Z123" i="28"/>
  <c r="Y122" i="28"/>
  <c r="AD131" i="28"/>
  <c r="AF124" i="28"/>
  <c r="U124" i="28"/>
  <c r="X124" i="28" s="1"/>
  <c r="Y124" i="28" s="1"/>
  <c r="V124" i="28"/>
  <c r="W124" i="28" s="1"/>
  <c r="Z124" i="28"/>
  <c r="AV164" i="28"/>
  <c r="AT163" i="28"/>
  <c r="AU163" i="28" s="1"/>
  <c r="AS163" i="28"/>
  <c r="F214" i="17"/>
  <c r="AX151" i="28"/>
  <c r="E215" i="17"/>
  <c r="O110" i="28"/>
  <c r="G111" i="28"/>
  <c r="T125" i="28"/>
  <c r="T126" i="28" s="1"/>
  <c r="I132" i="28"/>
  <c r="AR162" i="28"/>
  <c r="AF125" i="28" l="1"/>
  <c r="U125" i="28"/>
  <c r="X125" i="28" s="1"/>
  <c r="Y125" i="28" s="1"/>
  <c r="V125" i="28"/>
  <c r="W125" i="28" s="1"/>
  <c r="AD132" i="28"/>
  <c r="AS162" i="28"/>
  <c r="AT162" i="28"/>
  <c r="AU162" i="28" s="1"/>
  <c r="AV163" i="28"/>
  <c r="AF126" i="28"/>
  <c r="U126" i="28"/>
  <c r="X126" i="28" s="1"/>
  <c r="V126" i="28"/>
  <c r="W126" i="28" s="1"/>
  <c r="F215" i="17"/>
  <c r="O111" i="28"/>
  <c r="G112" i="28"/>
  <c r="T127" i="28"/>
  <c r="AK168" i="28"/>
  <c r="AR161" i="28"/>
  <c r="E216" i="17"/>
  <c r="I133" i="28"/>
  <c r="AD133" i="28" l="1"/>
  <c r="AS161" i="28"/>
  <c r="AT161" i="28"/>
  <c r="AU161" i="28" s="1"/>
  <c r="AV162" i="28"/>
  <c r="U127" i="28"/>
  <c r="X127" i="28" s="1"/>
  <c r="V127" i="28"/>
  <c r="W127" i="28" s="1"/>
  <c r="AF127" i="28"/>
  <c r="Y126" i="28"/>
  <c r="F216" i="17"/>
  <c r="E217" i="17"/>
  <c r="T128" i="28"/>
  <c r="AR160" i="28"/>
  <c r="G113" i="28"/>
  <c r="AK167" i="28"/>
  <c r="I134" i="28"/>
  <c r="I135" i="28" s="1"/>
  <c r="O112" i="28"/>
  <c r="AR159" i="28"/>
  <c r="AD134" i="28" l="1"/>
  <c r="AS160" i="28"/>
  <c r="AT160" i="28"/>
  <c r="AU160" i="28" s="1"/>
  <c r="AV161" i="28"/>
  <c r="AD135" i="28"/>
  <c r="AT159" i="28"/>
  <c r="AU159" i="28" s="1"/>
  <c r="AS159" i="28"/>
  <c r="AF128" i="28"/>
  <c r="V128" i="28"/>
  <c r="W128" i="28" s="1"/>
  <c r="U128" i="28"/>
  <c r="X128" i="28" s="1"/>
  <c r="Y127" i="28"/>
  <c r="F217" i="17"/>
  <c r="G114" i="28"/>
  <c r="AR158" i="28"/>
  <c r="T129" i="28"/>
  <c r="E218" i="17"/>
  <c r="O113" i="28"/>
  <c r="AK166" i="28"/>
  <c r="I136" i="28"/>
  <c r="I137" i="28" s="1"/>
  <c r="AV160" i="28" l="1"/>
  <c r="AD137" i="28"/>
  <c r="AD136" i="28"/>
  <c r="AT158" i="28"/>
  <c r="AU158" i="28" s="1"/>
  <c r="AS158" i="28"/>
  <c r="AV159" i="28"/>
  <c r="AF129" i="28"/>
  <c r="U129" i="28"/>
  <c r="X129" i="28" s="1"/>
  <c r="V129" i="28"/>
  <c r="W129" i="28" s="1"/>
  <c r="Y128" i="28"/>
  <c r="F218" i="17"/>
  <c r="O114" i="28"/>
  <c r="I138" i="28"/>
  <c r="G115" i="28"/>
  <c r="AK165" i="28"/>
  <c r="T130" i="28"/>
  <c r="E219" i="17"/>
  <c r="AR157" i="28"/>
  <c r="AR156" i="28" s="1"/>
  <c r="AD138" i="28" l="1"/>
  <c r="AV158" i="28"/>
  <c r="AT156" i="28"/>
  <c r="AU156" i="28" s="1"/>
  <c r="AS156" i="28"/>
  <c r="AT157" i="28"/>
  <c r="AU157" i="28" s="1"/>
  <c r="AS157" i="28"/>
  <c r="V130" i="28"/>
  <c r="W130" i="28" s="1"/>
  <c r="AF130" i="28"/>
  <c r="U130" i="28"/>
  <c r="X130" i="28" s="1"/>
  <c r="Y129" i="28"/>
  <c r="F219" i="17"/>
  <c r="AN59" i="28"/>
  <c r="AM131" i="28"/>
  <c r="I139" i="28"/>
  <c r="I140" i="28" s="1"/>
  <c r="G116" i="28"/>
  <c r="E220" i="17"/>
  <c r="T131" i="28"/>
  <c r="AK164" i="28"/>
  <c r="O115" i="28"/>
  <c r="AD140" i="28" l="1"/>
  <c r="AD139" i="28"/>
  <c r="AV156" i="28"/>
  <c r="AV157" i="28"/>
  <c r="U131" i="28"/>
  <c r="V131" i="28"/>
  <c r="W131" i="28" s="1"/>
  <c r="AF131" i="28"/>
  <c r="Y130" i="28"/>
  <c r="F220" i="17"/>
  <c r="Z146" i="28"/>
  <c r="I141" i="28"/>
  <c r="O116" i="28"/>
  <c r="G117" i="28"/>
  <c r="T132" i="28"/>
  <c r="E221" i="17"/>
  <c r="I142" i="28"/>
  <c r="AK163" i="28"/>
  <c r="AD142" i="28" l="1"/>
  <c r="AD141" i="28"/>
  <c r="V132" i="28"/>
  <c r="W132" i="28" s="1"/>
  <c r="AF132" i="28"/>
  <c r="U132" i="28"/>
  <c r="X132" i="28" s="1"/>
  <c r="F221" i="17"/>
  <c r="X131" i="28"/>
  <c r="Y131" i="28"/>
  <c r="AX131" i="28"/>
  <c r="T133" i="28"/>
  <c r="G118" i="28"/>
  <c r="AK162" i="28"/>
  <c r="I143" i="28"/>
  <c r="E222" i="17"/>
  <c r="I144" i="28"/>
  <c r="I145" i="28" s="1"/>
  <c r="I146" i="28" s="1"/>
  <c r="I147" i="28" s="1"/>
  <c r="I148" i="28" s="1"/>
  <c r="I149" i="28" s="1"/>
  <c r="O117" i="28"/>
  <c r="AD148" i="28" l="1"/>
  <c r="AD147" i="28"/>
  <c r="AD146" i="28"/>
  <c r="AD145" i="28"/>
  <c r="AD144" i="28"/>
  <c r="AD143" i="28"/>
  <c r="Y132" i="28"/>
  <c r="F222" i="17"/>
  <c r="AD149" i="28"/>
  <c r="U133" i="28"/>
  <c r="X133" i="28" s="1"/>
  <c r="Y133" i="28" s="1"/>
  <c r="V133" i="28"/>
  <c r="W133" i="28" s="1"/>
  <c r="AF133" i="28"/>
  <c r="E223" i="17"/>
  <c r="G119" i="28"/>
  <c r="O118" i="28"/>
  <c r="AR155" i="28"/>
  <c r="T134" i="28"/>
  <c r="E224" i="17"/>
  <c r="E225" i="17" s="1"/>
  <c r="I150" i="28"/>
  <c r="AK161" i="28"/>
  <c r="F223" i="17" l="1"/>
  <c r="AD150" i="28"/>
  <c r="U134" i="28"/>
  <c r="X134" i="28" s="1"/>
  <c r="V134" i="28"/>
  <c r="W134" i="28" s="1"/>
  <c r="AF134" i="28"/>
  <c r="F224" i="17"/>
  <c r="F225" i="17"/>
  <c r="AT155" i="28"/>
  <c r="AU155" i="28" s="1"/>
  <c r="AS155" i="28"/>
  <c r="AN25" i="28"/>
  <c r="AM59" i="28"/>
  <c r="I151" i="28"/>
  <c r="G120" i="28"/>
  <c r="O119" i="28"/>
  <c r="I152" i="28"/>
  <c r="I153" i="28"/>
  <c r="E226" i="17"/>
  <c r="T135" i="28"/>
  <c r="AK160" i="28"/>
  <c r="AD151" i="28" l="1"/>
  <c r="AD152" i="28"/>
  <c r="Y134" i="28"/>
  <c r="V135" i="28"/>
  <c r="W135" i="28" s="1"/>
  <c r="U135" i="28"/>
  <c r="X135" i="28" s="1"/>
  <c r="Y135" i="28" s="1"/>
  <c r="AF135" i="28"/>
  <c r="AD153" i="28"/>
  <c r="F226" i="17"/>
  <c r="AA80" i="17" s="1"/>
  <c r="AB80" i="17" s="1"/>
  <c r="Z29" i="17"/>
  <c r="Y29" i="17"/>
  <c r="Y28" i="17"/>
  <c r="AA29" i="17"/>
  <c r="AB29" i="17" s="1"/>
  <c r="AA28" i="17"/>
  <c r="AB28" i="17" s="1"/>
  <c r="Z28" i="17"/>
  <c r="Y25" i="17"/>
  <c r="Y24" i="17"/>
  <c r="AA23" i="17"/>
  <c r="AB23" i="17" s="1"/>
  <c r="AA24" i="17"/>
  <c r="AB24" i="17" s="1"/>
  <c r="Z21" i="17"/>
  <c r="Y26" i="17"/>
  <c r="AA22" i="17"/>
  <c r="AB22" i="17" s="1"/>
  <c r="Z20" i="17"/>
  <c r="Z24" i="17"/>
  <c r="Z26" i="17"/>
  <c r="Z27" i="17"/>
  <c r="Y23" i="17"/>
  <c r="Y27" i="17"/>
  <c r="AA21" i="17"/>
  <c r="AB21" i="17" s="1"/>
  <c r="Z25" i="17"/>
  <c r="AA20" i="17"/>
  <c r="AB20" i="17" s="1"/>
  <c r="AA27" i="17"/>
  <c r="AB27" i="17" s="1"/>
  <c r="AA25" i="17"/>
  <c r="AB25" i="17" s="1"/>
  <c r="Z22" i="17"/>
  <c r="Y20" i="17"/>
  <c r="Z23" i="17"/>
  <c r="AA26" i="17"/>
  <c r="AB26" i="17" s="1"/>
  <c r="Y22" i="17"/>
  <c r="Y21" i="17"/>
  <c r="Z19" i="17"/>
  <c r="Y17" i="17"/>
  <c r="AA17" i="17"/>
  <c r="AB17" i="17" s="1"/>
  <c r="Y19" i="17"/>
  <c r="Z16" i="17"/>
  <c r="AA15" i="17"/>
  <c r="AB15" i="17" s="1"/>
  <c r="Z14" i="17"/>
  <c r="Z15" i="17"/>
  <c r="Y18" i="17"/>
  <c r="Z17" i="17"/>
  <c r="AA18" i="17"/>
  <c r="AB18" i="17" s="1"/>
  <c r="AA14" i="17"/>
  <c r="AB14" i="17" s="1"/>
  <c r="Y14" i="17"/>
  <c r="AA19" i="17"/>
  <c r="AB19" i="17" s="1"/>
  <c r="Y15" i="17"/>
  <c r="Y16" i="17"/>
  <c r="AA16" i="17"/>
  <c r="AB16" i="17" s="1"/>
  <c r="Z18" i="17"/>
  <c r="AV155" i="28"/>
  <c r="AA32" i="17"/>
  <c r="AB32" i="17" s="1"/>
  <c r="Y32" i="17"/>
  <c r="Z32" i="17"/>
  <c r="Z30" i="17"/>
  <c r="AA31" i="17"/>
  <c r="AB31" i="17" s="1"/>
  <c r="AA30" i="17"/>
  <c r="AB30" i="17" s="1"/>
  <c r="Z31" i="17"/>
  <c r="Y31" i="17"/>
  <c r="Y30" i="17"/>
  <c r="O120" i="28"/>
  <c r="I154" i="28"/>
  <c r="G121" i="28"/>
  <c r="T136" i="28"/>
  <c r="AK159" i="28"/>
  <c r="G122" i="28"/>
  <c r="G123" i="28" s="1"/>
  <c r="AR154" i="28"/>
  <c r="AF136" i="28" l="1"/>
  <c r="V136" i="28"/>
  <c r="W136" i="28" s="1"/>
  <c r="U136" i="28"/>
  <c r="X136" i="28" s="1"/>
  <c r="AD154" i="28"/>
  <c r="Z325" i="17"/>
  <c r="Y149" i="17"/>
  <c r="Z38" i="17"/>
  <c r="Y234" i="17"/>
  <c r="AA86" i="17"/>
  <c r="AB86" i="17" s="1"/>
  <c r="AA272" i="17"/>
  <c r="AB272" i="17" s="1"/>
  <c r="Y185" i="17"/>
  <c r="Z80" i="17"/>
  <c r="Z113" i="17"/>
  <c r="Z91" i="17"/>
  <c r="Y171" i="17"/>
  <c r="AA276" i="17"/>
  <c r="AB276" i="17" s="1"/>
  <c r="Y13" i="17"/>
  <c r="Z180" i="17"/>
  <c r="AA51" i="17"/>
  <c r="AB51" i="17" s="1"/>
  <c r="AA371" i="17"/>
  <c r="AB371" i="17" s="1"/>
  <c r="AA96" i="17"/>
  <c r="AB96" i="17" s="1"/>
  <c r="Z361" i="17"/>
  <c r="Z132" i="17"/>
  <c r="Z86" i="17"/>
  <c r="AA160" i="17"/>
  <c r="AB160" i="17" s="1"/>
  <c r="Z300" i="17"/>
  <c r="AA352" i="17"/>
  <c r="AB352" i="17" s="1"/>
  <c r="Y83" i="17"/>
  <c r="Z327" i="17"/>
  <c r="AA65" i="17"/>
  <c r="AB65" i="17" s="1"/>
  <c r="AA346" i="17"/>
  <c r="AB346" i="17" s="1"/>
  <c r="AA57" i="17"/>
  <c r="AB57" i="17" s="1"/>
  <c r="AA211" i="17"/>
  <c r="AB211" i="17" s="1"/>
  <c r="Y188" i="17"/>
  <c r="Y100" i="17"/>
  <c r="Y263" i="17"/>
  <c r="Y75" i="17"/>
  <c r="AA180" i="17"/>
  <c r="AB180" i="17" s="1"/>
  <c r="Y177" i="17"/>
  <c r="Z224" i="17"/>
  <c r="Y144" i="17"/>
  <c r="AA45" i="17"/>
  <c r="AB45" i="17" s="1"/>
  <c r="AA63" i="17"/>
  <c r="AB63" i="17" s="1"/>
  <c r="Y82" i="17"/>
  <c r="Y62" i="17"/>
  <c r="Z209" i="17"/>
  <c r="Y133" i="17"/>
  <c r="Y156" i="17"/>
  <c r="Y200" i="17"/>
  <c r="Z145" i="17"/>
  <c r="Z217" i="17"/>
  <c r="Z106" i="17"/>
  <c r="AA377" i="17"/>
  <c r="AB377" i="17" s="1"/>
  <c r="Z233" i="17"/>
  <c r="Y73" i="17"/>
  <c r="Y303" i="17"/>
  <c r="Y357" i="17"/>
  <c r="Y187" i="17"/>
  <c r="Y232" i="17"/>
  <c r="Z59" i="17"/>
  <c r="Z333" i="17"/>
  <c r="Y365" i="17"/>
  <c r="Y132" i="17"/>
  <c r="Z277" i="17"/>
  <c r="Y226" i="17"/>
  <c r="Z141" i="17"/>
  <c r="Y91" i="17"/>
  <c r="Z345" i="17"/>
  <c r="AA239" i="17"/>
  <c r="AB239" i="17" s="1"/>
  <c r="AA210" i="17"/>
  <c r="AB210" i="17" s="1"/>
  <c r="Z74" i="17"/>
  <c r="Z137" i="17"/>
  <c r="Z231" i="17"/>
  <c r="Y46" i="17"/>
  <c r="Y179" i="17"/>
  <c r="AA90" i="17"/>
  <c r="AB90" i="17" s="1"/>
  <c r="Y279" i="17"/>
  <c r="Z340" i="17"/>
  <c r="AA147" i="17"/>
  <c r="AB147" i="17" s="1"/>
  <c r="Y64" i="17"/>
  <c r="Y154" i="17"/>
  <c r="AA124" i="17"/>
  <c r="AB124" i="17" s="1"/>
  <c r="Z220" i="17"/>
  <c r="AA133" i="17"/>
  <c r="AB133" i="17" s="1"/>
  <c r="Z229" i="17"/>
  <c r="AA129" i="17"/>
  <c r="AB129" i="17" s="1"/>
  <c r="Z259" i="17"/>
  <c r="Z43" i="17"/>
  <c r="Y243" i="17"/>
  <c r="Y355" i="17"/>
  <c r="AA100" i="17"/>
  <c r="AB100" i="17" s="1"/>
  <c r="Z181" i="17"/>
  <c r="AA35" i="17"/>
  <c r="AB35" i="17" s="1"/>
  <c r="Y96" i="17"/>
  <c r="AA264" i="17"/>
  <c r="AB264" i="17" s="1"/>
  <c r="AA246" i="17"/>
  <c r="AB246" i="17" s="1"/>
  <c r="AA236" i="17"/>
  <c r="AB236" i="17" s="1"/>
  <c r="AA287" i="17"/>
  <c r="AB287" i="17" s="1"/>
  <c r="Z273" i="17"/>
  <c r="Z136" i="17"/>
  <c r="Y249" i="17"/>
  <c r="Z278" i="17"/>
  <c r="Z202" i="17"/>
  <c r="Z163" i="17"/>
  <c r="AA59" i="17"/>
  <c r="AB59" i="17" s="1"/>
  <c r="Y181" i="17"/>
  <c r="Z70" i="17"/>
  <c r="AA152" i="17"/>
  <c r="AB152" i="17" s="1"/>
  <c r="AA73" i="17"/>
  <c r="AB73" i="17" s="1"/>
  <c r="Y95" i="17"/>
  <c r="AA139" i="17"/>
  <c r="AB139" i="17" s="1"/>
  <c r="AA221" i="17"/>
  <c r="AB221" i="17" s="1"/>
  <c r="Z162" i="17"/>
  <c r="AA207" i="17"/>
  <c r="AB207" i="17" s="1"/>
  <c r="Y88" i="17"/>
  <c r="AA200" i="17"/>
  <c r="AB200" i="17" s="1"/>
  <c r="AA228" i="17"/>
  <c r="AB228" i="17" s="1"/>
  <c r="Z228" i="17"/>
  <c r="Z204" i="17"/>
  <c r="AA148" i="17"/>
  <c r="AB148" i="17" s="1"/>
  <c r="Y111" i="17"/>
  <c r="AA325" i="17"/>
  <c r="AB325" i="17" s="1"/>
  <c r="AA343" i="17"/>
  <c r="AB343" i="17" s="1"/>
  <c r="Y334" i="17"/>
  <c r="Y166" i="17"/>
  <c r="Z359" i="17"/>
  <c r="Y112" i="17"/>
  <c r="AA251" i="17"/>
  <c r="AB251" i="17" s="1"/>
  <c r="Z159" i="17"/>
  <c r="AA354" i="17"/>
  <c r="AB354" i="17" s="1"/>
  <c r="Y286" i="17"/>
  <c r="Z284" i="17"/>
  <c r="AA77" i="17"/>
  <c r="AB77" i="17" s="1"/>
  <c r="Z303" i="17"/>
  <c r="Z112" i="17"/>
  <c r="Y233" i="17"/>
  <c r="AA52" i="17"/>
  <c r="AB52" i="17" s="1"/>
  <c r="Z35" i="17"/>
  <c r="Z134" i="17"/>
  <c r="Z89" i="17"/>
  <c r="Z122" i="17"/>
  <c r="AA220" i="17"/>
  <c r="AB220" i="17" s="1"/>
  <c r="AA111" i="17"/>
  <c r="AB111" i="17" s="1"/>
  <c r="Y228" i="17"/>
  <c r="AA362" i="17"/>
  <c r="AB362" i="17" s="1"/>
  <c r="AA68" i="17"/>
  <c r="AB68" i="17" s="1"/>
  <c r="Y42" i="17"/>
  <c r="Z125" i="17"/>
  <c r="Y140" i="17"/>
  <c r="AA115" i="17"/>
  <c r="AB115" i="17" s="1"/>
  <c r="Z189" i="17"/>
  <c r="Y79" i="17"/>
  <c r="Z93" i="17"/>
  <c r="AA363" i="17"/>
  <c r="AB363" i="17" s="1"/>
  <c r="AA231" i="17"/>
  <c r="AB231" i="17" s="1"/>
  <c r="Y220" i="17"/>
  <c r="Y246" i="17"/>
  <c r="Y341" i="17"/>
  <c r="Y78" i="17"/>
  <c r="Y242" i="17"/>
  <c r="Y173" i="17"/>
  <c r="AA306" i="17"/>
  <c r="AB306" i="17" s="1"/>
  <c r="Z108" i="17"/>
  <c r="Y211" i="17"/>
  <c r="Z281" i="17"/>
  <c r="AA49" i="17"/>
  <c r="AB49" i="17" s="1"/>
  <c r="Z61" i="17"/>
  <c r="AA131" i="17"/>
  <c r="AB131" i="17" s="1"/>
  <c r="Y202" i="17"/>
  <c r="Y146" i="17"/>
  <c r="Y214" i="17"/>
  <c r="Y51" i="17"/>
  <c r="Z103" i="17"/>
  <c r="Z337" i="17"/>
  <c r="AA301" i="17"/>
  <c r="AB301" i="17" s="1"/>
  <c r="Z147" i="17"/>
  <c r="Z215" i="17"/>
  <c r="AA121" i="17"/>
  <c r="AB121" i="17" s="1"/>
  <c r="AA143" i="17"/>
  <c r="AB143" i="17" s="1"/>
  <c r="AA110" i="17"/>
  <c r="AB110" i="17" s="1"/>
  <c r="Z194" i="17"/>
  <c r="AA37" i="17"/>
  <c r="AB37" i="17" s="1"/>
  <c r="AA232" i="17"/>
  <c r="AB232" i="17" s="1"/>
  <c r="Z104" i="17"/>
  <c r="Y178" i="17"/>
  <c r="Y320" i="17"/>
  <c r="AA195" i="17"/>
  <c r="AB195" i="17" s="1"/>
  <c r="Y344" i="17"/>
  <c r="AA212" i="17"/>
  <c r="AB212" i="17" s="1"/>
  <c r="Y217" i="17"/>
  <c r="Y186" i="17"/>
  <c r="AA244" i="17"/>
  <c r="AB244" i="17" s="1"/>
  <c r="Z117" i="17"/>
  <c r="Y57" i="17"/>
  <c r="AA153" i="17"/>
  <c r="AB153" i="17" s="1"/>
  <c r="Z206" i="17"/>
  <c r="Y241" i="17"/>
  <c r="Y164" i="17"/>
  <c r="Z293" i="17"/>
  <c r="AA281" i="17"/>
  <c r="AB281" i="17" s="1"/>
  <c r="AA322" i="17"/>
  <c r="AB322" i="17" s="1"/>
  <c r="AA329" i="17"/>
  <c r="AB329" i="17" s="1"/>
  <c r="AA285" i="17"/>
  <c r="AB285" i="17" s="1"/>
  <c r="Z349" i="17"/>
  <c r="AA278" i="17"/>
  <c r="AB278" i="17" s="1"/>
  <c r="Y126" i="17"/>
  <c r="Z342" i="17"/>
  <c r="AA113" i="17"/>
  <c r="AB113" i="17" s="1"/>
  <c r="Y309" i="17"/>
  <c r="Z167" i="17"/>
  <c r="Z255" i="17"/>
  <c r="AA247" i="17"/>
  <c r="AB247" i="17" s="1"/>
  <c r="Y312" i="17"/>
  <c r="Y35" i="17"/>
  <c r="AA293" i="17"/>
  <c r="AB293" i="17" s="1"/>
  <c r="Y256" i="17"/>
  <c r="Y297" i="17"/>
  <c r="Y216" i="17"/>
  <c r="Z56" i="17"/>
  <c r="AA116" i="17"/>
  <c r="AB116" i="17" s="1"/>
  <c r="Y99" i="17"/>
  <c r="Y98" i="17"/>
  <c r="AA157" i="17"/>
  <c r="AB157" i="17" s="1"/>
  <c r="AA374" i="17"/>
  <c r="AB374" i="17" s="1"/>
  <c r="Y151" i="17"/>
  <c r="Z344" i="17"/>
  <c r="Y223" i="17"/>
  <c r="Y253" i="17"/>
  <c r="Y66" i="17"/>
  <c r="Z304" i="17"/>
  <c r="Z314" i="17"/>
  <c r="AA85" i="17"/>
  <c r="AB85" i="17" s="1"/>
  <c r="Y80" i="17"/>
  <c r="AA58" i="17"/>
  <c r="AB58" i="17" s="1"/>
  <c r="Z234" i="17"/>
  <c r="AA154" i="17"/>
  <c r="AB154" i="17" s="1"/>
  <c r="AA318" i="17"/>
  <c r="AB318" i="17" s="1"/>
  <c r="Z351" i="17"/>
  <c r="AA97" i="17"/>
  <c r="AB97" i="17" s="1"/>
  <c r="AA367" i="17"/>
  <c r="AB367" i="17" s="1"/>
  <c r="Z140" i="17"/>
  <c r="Y245" i="17"/>
  <c r="AA226" i="17"/>
  <c r="AB226" i="17" s="1"/>
  <c r="AA321" i="17"/>
  <c r="AB321" i="17" s="1"/>
  <c r="Z37" i="17"/>
  <c r="Z78" i="17"/>
  <c r="Z161" i="17"/>
  <c r="Y169" i="17"/>
  <c r="Y235" i="17"/>
  <c r="Z85" i="17"/>
  <c r="AA335" i="17"/>
  <c r="AB335" i="17" s="1"/>
  <c r="Y148" i="17"/>
  <c r="Z149" i="17"/>
  <c r="AA222" i="17"/>
  <c r="AB222" i="17" s="1"/>
  <c r="Y264" i="17"/>
  <c r="Z242" i="17"/>
  <c r="Z295" i="17"/>
  <c r="AA294" i="17"/>
  <c r="AB294" i="17" s="1"/>
  <c r="AA275" i="17"/>
  <c r="AB275" i="17" s="1"/>
  <c r="AA120" i="17"/>
  <c r="AB120" i="17" s="1"/>
  <c r="AA230" i="17"/>
  <c r="AB230" i="17" s="1"/>
  <c r="Z296" i="17"/>
  <c r="AA376" i="17"/>
  <c r="AB376" i="17" s="1"/>
  <c r="Z374" i="17"/>
  <c r="AA328" i="17"/>
  <c r="AB328" i="17" s="1"/>
  <c r="AA324" i="17"/>
  <c r="AB324" i="17" s="1"/>
  <c r="Z329" i="17"/>
  <c r="Y147" i="17"/>
  <c r="Z77" i="17"/>
  <c r="AA279" i="17"/>
  <c r="AB279" i="17" s="1"/>
  <c r="Z138" i="17"/>
  <c r="Z230" i="17"/>
  <c r="AA82" i="17"/>
  <c r="AB82" i="17" s="1"/>
  <c r="Z69" i="17"/>
  <c r="Z39" i="17"/>
  <c r="Y265" i="17"/>
  <c r="Y336" i="17"/>
  <c r="Z128" i="17"/>
  <c r="Y287" i="17"/>
  <c r="Y131" i="17"/>
  <c r="Y376" i="17"/>
  <c r="Y299" i="17"/>
  <c r="Y76" i="17"/>
  <c r="Z247" i="17"/>
  <c r="Y315" i="17"/>
  <c r="Z55" i="17"/>
  <c r="Z249" i="17"/>
  <c r="Z271" i="17"/>
  <c r="Y118" i="17"/>
  <c r="Z196" i="17"/>
  <c r="Z88" i="17"/>
  <c r="Y127" i="17"/>
  <c r="Z40" i="17"/>
  <c r="Y351" i="17"/>
  <c r="Y119" i="17"/>
  <c r="Z355" i="17"/>
  <c r="Z123" i="17"/>
  <c r="AA114" i="17"/>
  <c r="AB114" i="17" s="1"/>
  <c r="Z302" i="17"/>
  <c r="AA69" i="17"/>
  <c r="AB69" i="17" s="1"/>
  <c r="Y135" i="17"/>
  <c r="Z42" i="17"/>
  <c r="Z116" i="17"/>
  <c r="AA161" i="17"/>
  <c r="AB161" i="17" s="1"/>
  <c r="AA78" i="17"/>
  <c r="AB78" i="17" s="1"/>
  <c r="Z263" i="17"/>
  <c r="Y255" i="17"/>
  <c r="AA213" i="17"/>
  <c r="AB213" i="17" s="1"/>
  <c r="Y102" i="17"/>
  <c r="AA201" i="17"/>
  <c r="AB201" i="17" s="1"/>
  <c r="Y326" i="17"/>
  <c r="Y293" i="17"/>
  <c r="Y338" i="17"/>
  <c r="Z306" i="17"/>
  <c r="AA227" i="17"/>
  <c r="AB227" i="17" s="1"/>
  <c r="Y192" i="17"/>
  <c r="Z146" i="17"/>
  <c r="Z57" i="17"/>
  <c r="Z90" i="17"/>
  <c r="Z320" i="17"/>
  <c r="Z151" i="17"/>
  <c r="Y350" i="17"/>
  <c r="Z52" i="17"/>
  <c r="AA338" i="17"/>
  <c r="AB338" i="17" s="1"/>
  <c r="Z105" i="17"/>
  <c r="Y207" i="17"/>
  <c r="Z276" i="17"/>
  <c r="Y224" i="17"/>
  <c r="Z172" i="17"/>
  <c r="AA186" i="17"/>
  <c r="AB186" i="17" s="1"/>
  <c r="Y56" i="17"/>
  <c r="Z205" i="17"/>
  <c r="Y196" i="17"/>
  <c r="Y254" i="17"/>
  <c r="Z148" i="17"/>
  <c r="Z286" i="17"/>
  <c r="Z65" i="17"/>
  <c r="Z253" i="17"/>
  <c r="AA209" i="17"/>
  <c r="AB209" i="17" s="1"/>
  <c r="AA339" i="17"/>
  <c r="AB339" i="17" s="1"/>
  <c r="Z282" i="17"/>
  <c r="AA168" i="17"/>
  <c r="AB168" i="17" s="1"/>
  <c r="Z301" i="17"/>
  <c r="AA54" i="17"/>
  <c r="AB54" i="17" s="1"/>
  <c r="Z170" i="17"/>
  <c r="AA56" i="17"/>
  <c r="AB56" i="17" s="1"/>
  <c r="Y239" i="17"/>
  <c r="Z94" i="17"/>
  <c r="Y354" i="17"/>
  <c r="Z98" i="17"/>
  <c r="AA199" i="17"/>
  <c r="AB199" i="17" s="1"/>
  <c r="Y356" i="17"/>
  <c r="Y238" i="17"/>
  <c r="Y331" i="17"/>
  <c r="Z268" i="17"/>
  <c r="AA185" i="17"/>
  <c r="AB185" i="17" s="1"/>
  <c r="Z225" i="17"/>
  <c r="AA53" i="17"/>
  <c r="AB53" i="17" s="1"/>
  <c r="Y162" i="17"/>
  <c r="AA102" i="17"/>
  <c r="AB102" i="17" s="1"/>
  <c r="Y266" i="17"/>
  <c r="Y97" i="17"/>
  <c r="AA134" i="17"/>
  <c r="AB134" i="17" s="1"/>
  <c r="Z44" i="17"/>
  <c r="Y323" i="17"/>
  <c r="AA158" i="17"/>
  <c r="AB158" i="17" s="1"/>
  <c r="AA144" i="17"/>
  <c r="AB144" i="17" s="1"/>
  <c r="AA349" i="17"/>
  <c r="AB349" i="17" s="1"/>
  <c r="Y288" i="17"/>
  <c r="AA190" i="17"/>
  <c r="AB190" i="17" s="1"/>
  <c r="Z330" i="17"/>
  <c r="Z58" i="17"/>
  <c r="Z267" i="17"/>
  <c r="AA55" i="17"/>
  <c r="AB55" i="17" s="1"/>
  <c r="Z142" i="17"/>
  <c r="AA280" i="17"/>
  <c r="AB280" i="17" s="1"/>
  <c r="Y353" i="17"/>
  <c r="Z41" i="17"/>
  <c r="Z313" i="17"/>
  <c r="Y63" i="17"/>
  <c r="Z237" i="17"/>
  <c r="Y123" i="17"/>
  <c r="AA128" i="17"/>
  <c r="AB128" i="17" s="1"/>
  <c r="Y165" i="17"/>
  <c r="Y142" i="17"/>
  <c r="Y160" i="17"/>
  <c r="AA42" i="17"/>
  <c r="AB42" i="17" s="1"/>
  <c r="AA292" i="17"/>
  <c r="AB292" i="17" s="1"/>
  <c r="Z336" i="17"/>
  <c r="Y139" i="17"/>
  <c r="Y275" i="17"/>
  <c r="Z175" i="17"/>
  <c r="Z289" i="17"/>
  <c r="Z64" i="17"/>
  <c r="Z239" i="17"/>
  <c r="Z223" i="17"/>
  <c r="Y174" i="17"/>
  <c r="Z84" i="17"/>
  <c r="Y90" i="17"/>
  <c r="Z79" i="17"/>
  <c r="Y260" i="17"/>
  <c r="Z127" i="17"/>
  <c r="Z323" i="17"/>
  <c r="AA256" i="17"/>
  <c r="AB256" i="17" s="1"/>
  <c r="Y348" i="17"/>
  <c r="Z243" i="17"/>
  <c r="Z236" i="17"/>
  <c r="Y159" i="17"/>
  <c r="Z366" i="17"/>
  <c r="AA358" i="17"/>
  <c r="AB358" i="17" s="1"/>
  <c r="AA217" i="17"/>
  <c r="AB217" i="17" s="1"/>
  <c r="AA225" i="17"/>
  <c r="AB225" i="17" s="1"/>
  <c r="AA72" i="17"/>
  <c r="AB72" i="17" s="1"/>
  <c r="Y129" i="17"/>
  <c r="Y94" i="17"/>
  <c r="Y289" i="17"/>
  <c r="AA123" i="17"/>
  <c r="AB123" i="17" s="1"/>
  <c r="Z292" i="17"/>
  <c r="AA62" i="17"/>
  <c r="AB62" i="17" s="1"/>
  <c r="Z319" i="17"/>
  <c r="Z373" i="17"/>
  <c r="AA103" i="17"/>
  <c r="AB103" i="17" s="1"/>
  <c r="Z240" i="17"/>
  <c r="Z155" i="17"/>
  <c r="Z219" i="17"/>
  <c r="AA93" i="17"/>
  <c r="AB93" i="17" s="1"/>
  <c r="AA174" i="17"/>
  <c r="AB174" i="17" s="1"/>
  <c r="Y270" i="17"/>
  <c r="Z372" i="17"/>
  <c r="Z315" i="17"/>
  <c r="AA289" i="17"/>
  <c r="AB289" i="17" s="1"/>
  <c r="Z185" i="17"/>
  <c r="Y276" i="17"/>
  <c r="Y308" i="17"/>
  <c r="AA356" i="17"/>
  <c r="AB356" i="17" s="1"/>
  <c r="Y311" i="17"/>
  <c r="Z187" i="17"/>
  <c r="AA156" i="17"/>
  <c r="AB156" i="17" s="1"/>
  <c r="Z260" i="17"/>
  <c r="Y145" i="17"/>
  <c r="Y195" i="17"/>
  <c r="Z121" i="17"/>
  <c r="Z250" i="17"/>
  <c r="AA181" i="17"/>
  <c r="AB181" i="17" s="1"/>
  <c r="Y371" i="17"/>
  <c r="AA196" i="17"/>
  <c r="AB196" i="17" s="1"/>
  <c r="Y366" i="17"/>
  <c r="Y43" i="17"/>
  <c r="Z274" i="17"/>
  <c r="AA40" i="17"/>
  <c r="AB40" i="17" s="1"/>
  <c r="AA312" i="17"/>
  <c r="AB312" i="17" s="1"/>
  <c r="Z332" i="17"/>
  <c r="Z210" i="17"/>
  <c r="Y199" i="17"/>
  <c r="Z68" i="17"/>
  <c r="AA118" i="17"/>
  <c r="AB118" i="17" s="1"/>
  <c r="Y377" i="17"/>
  <c r="Y109" i="17"/>
  <c r="Y321" i="17"/>
  <c r="Y138" i="17"/>
  <c r="AA277" i="17"/>
  <c r="AB277" i="17" s="1"/>
  <c r="AA299" i="17"/>
  <c r="AB299" i="17" s="1"/>
  <c r="Y324" i="17"/>
  <c r="Y103" i="17"/>
  <c r="Z226" i="17"/>
  <c r="AA214" i="17"/>
  <c r="AB214" i="17" s="1"/>
  <c r="Z99" i="17"/>
  <c r="Y106" i="17"/>
  <c r="AA184" i="17"/>
  <c r="AB184" i="17" s="1"/>
  <c r="Y58" i="17"/>
  <c r="Z54" i="17"/>
  <c r="AA258" i="17"/>
  <c r="AB258" i="17" s="1"/>
  <c r="Y267" i="17"/>
  <c r="Z95" i="17"/>
  <c r="Y77" i="17"/>
  <c r="Y316" i="17"/>
  <c r="Y343" i="17"/>
  <c r="AA290" i="17"/>
  <c r="AB290" i="17" s="1"/>
  <c r="Z339" i="17"/>
  <c r="AA173" i="17"/>
  <c r="AB173" i="17" s="1"/>
  <c r="Y230" i="17"/>
  <c r="Z221" i="17"/>
  <c r="Y158" i="17"/>
  <c r="Z200" i="17"/>
  <c r="Z227" i="17"/>
  <c r="Y362" i="17"/>
  <c r="AA140" i="17"/>
  <c r="AB140" i="17" s="1"/>
  <c r="Z48" i="17"/>
  <c r="Z36" i="17"/>
  <c r="AA84" i="17"/>
  <c r="AB84" i="17" s="1"/>
  <c r="AA117" i="17"/>
  <c r="AB117" i="17" s="1"/>
  <c r="Y330" i="17"/>
  <c r="AA304" i="17"/>
  <c r="AB304" i="17" s="1"/>
  <c r="AA104" i="17"/>
  <c r="AB104" i="17" s="1"/>
  <c r="Y327" i="17"/>
  <c r="Z102" i="17"/>
  <c r="Z131" i="17"/>
  <c r="Z376" i="17"/>
  <c r="AA347" i="17"/>
  <c r="AB347" i="17" s="1"/>
  <c r="Z135" i="17"/>
  <c r="AA179" i="17"/>
  <c r="AB179" i="17" s="1"/>
  <c r="Y206" i="17"/>
  <c r="AA320" i="17"/>
  <c r="AB320" i="17" s="1"/>
  <c r="Y189" i="17"/>
  <c r="Z285" i="17"/>
  <c r="Z191" i="17"/>
  <c r="Y212" i="17"/>
  <c r="AA191" i="17"/>
  <c r="AB191" i="17" s="1"/>
  <c r="AA193" i="17"/>
  <c r="AB193" i="17" s="1"/>
  <c r="Z71" i="17"/>
  <c r="Z45" i="17"/>
  <c r="Y128" i="17"/>
  <c r="AA224" i="17"/>
  <c r="AB224" i="17" s="1"/>
  <c r="Y244" i="17"/>
  <c r="Z322" i="17"/>
  <c r="Y325" i="17"/>
  <c r="Z169" i="17"/>
  <c r="Y268" i="17"/>
  <c r="AA233" i="17"/>
  <c r="AB233" i="17" s="1"/>
  <c r="Z118" i="17"/>
  <c r="Y121" i="17"/>
  <c r="Z111" i="17"/>
  <c r="Y137" i="17"/>
  <c r="AA99" i="17"/>
  <c r="AB99" i="17" s="1"/>
  <c r="AA300" i="17"/>
  <c r="AB300" i="17" s="1"/>
  <c r="Y372" i="17"/>
  <c r="AA216" i="17"/>
  <c r="AB216" i="17" s="1"/>
  <c r="Y285" i="17"/>
  <c r="Z97" i="17"/>
  <c r="Y221" i="17"/>
  <c r="Y215" i="17"/>
  <c r="AA43" i="17"/>
  <c r="AB43" i="17" s="1"/>
  <c r="AA303" i="17"/>
  <c r="AB303" i="17" s="1"/>
  <c r="Z269" i="17"/>
  <c r="Z13" i="17"/>
  <c r="AA223" i="17"/>
  <c r="AB223" i="17" s="1"/>
  <c r="Y170" i="17"/>
  <c r="Y236" i="17"/>
  <c r="Y168" i="17"/>
  <c r="Z238" i="17"/>
  <c r="Z212" i="17"/>
  <c r="AA259" i="17"/>
  <c r="AB259" i="17" s="1"/>
  <c r="AA89" i="17"/>
  <c r="AB89" i="17" s="1"/>
  <c r="AA326" i="17"/>
  <c r="AB326" i="17" s="1"/>
  <c r="Y360" i="17"/>
  <c r="AA177" i="17"/>
  <c r="AB177" i="17" s="1"/>
  <c r="AA336" i="17"/>
  <c r="AB336" i="17" s="1"/>
  <c r="Z316" i="17"/>
  <c r="Z129" i="17"/>
  <c r="AA71" i="17"/>
  <c r="AB71" i="17" s="1"/>
  <c r="AA332" i="17"/>
  <c r="AB332" i="17" s="1"/>
  <c r="AA136" i="17"/>
  <c r="AB136" i="17" s="1"/>
  <c r="Z92" i="17"/>
  <c r="AA74" i="17"/>
  <c r="AB74" i="17" s="1"/>
  <c r="Z190" i="17"/>
  <c r="Y108" i="17"/>
  <c r="Y271" i="17"/>
  <c r="AA219" i="17"/>
  <c r="AB219" i="17" s="1"/>
  <c r="Z294" i="17"/>
  <c r="Y363" i="17"/>
  <c r="AA372" i="17"/>
  <c r="AB372" i="17" s="1"/>
  <c r="AA194" i="17"/>
  <c r="AB194" i="17" s="1"/>
  <c r="Z213" i="17"/>
  <c r="Y240" i="17"/>
  <c r="AA234" i="17"/>
  <c r="AB234" i="17" s="1"/>
  <c r="Y172" i="17"/>
  <c r="AA13" i="17"/>
  <c r="AB13" i="17" s="1"/>
  <c r="Z365" i="17"/>
  <c r="AA337" i="17"/>
  <c r="AB337" i="17" s="1"/>
  <c r="AA248" i="17"/>
  <c r="AB248" i="17" s="1"/>
  <c r="AA302" i="17"/>
  <c r="AB302" i="17" s="1"/>
  <c r="AA243" i="17"/>
  <c r="AB243" i="17" s="1"/>
  <c r="AA265" i="17"/>
  <c r="AB265" i="17" s="1"/>
  <c r="Y86" i="17"/>
  <c r="Z246" i="17"/>
  <c r="Y340" i="17"/>
  <c r="AA187" i="17"/>
  <c r="AB187" i="17" s="1"/>
  <c r="Y201" i="17"/>
  <c r="AA67" i="17"/>
  <c r="AB67" i="17" s="1"/>
  <c r="AA197" i="17"/>
  <c r="AB197" i="17" s="1"/>
  <c r="Y52" i="17"/>
  <c r="AA291" i="17"/>
  <c r="AB291" i="17" s="1"/>
  <c r="AA315" i="17"/>
  <c r="AB315" i="17" s="1"/>
  <c r="AA327" i="17"/>
  <c r="AB327" i="17" s="1"/>
  <c r="Y302" i="17"/>
  <c r="AA125" i="17"/>
  <c r="AB125" i="17" s="1"/>
  <c r="AA254" i="17"/>
  <c r="AB254" i="17" s="1"/>
  <c r="Y59" i="17"/>
  <c r="Y248" i="17"/>
  <c r="Z144" i="17"/>
  <c r="Z193" i="17"/>
  <c r="Z203" i="17"/>
  <c r="Y150" i="17"/>
  <c r="Y262" i="17"/>
  <c r="Z254" i="17"/>
  <c r="Y332" i="17"/>
  <c r="Y49" i="17"/>
  <c r="Z290" i="17"/>
  <c r="AA296" i="17"/>
  <c r="AB296" i="17" s="1"/>
  <c r="Y282" i="17"/>
  <c r="AA192" i="17"/>
  <c r="AB192" i="17" s="1"/>
  <c r="AA282" i="17"/>
  <c r="AB282" i="17" s="1"/>
  <c r="Z197" i="17"/>
  <c r="AA88" i="17"/>
  <c r="AB88" i="17" s="1"/>
  <c r="Y89" i="17"/>
  <c r="AA146" i="17"/>
  <c r="AB146" i="17" s="1"/>
  <c r="AA46" i="17"/>
  <c r="AB46" i="17" s="1"/>
  <c r="Z248" i="17"/>
  <c r="AA48" i="17"/>
  <c r="AB48" i="17" s="1"/>
  <c r="Y284" i="17"/>
  <c r="Z124" i="17"/>
  <c r="Y339" i="17"/>
  <c r="AA307" i="17"/>
  <c r="AB307" i="17" s="1"/>
  <c r="Y193" i="17"/>
  <c r="AA70" i="17"/>
  <c r="AB70" i="17" s="1"/>
  <c r="Z165" i="17"/>
  <c r="AA127" i="17"/>
  <c r="AB127" i="17" s="1"/>
  <c r="Z192" i="17"/>
  <c r="Z262" i="17"/>
  <c r="AA261" i="17"/>
  <c r="AB261" i="17" s="1"/>
  <c r="Z63" i="17"/>
  <c r="AA368" i="17"/>
  <c r="AB368" i="17" s="1"/>
  <c r="Z264" i="17"/>
  <c r="Y71" i="17"/>
  <c r="Z49" i="17"/>
  <c r="AA138" i="17"/>
  <c r="AB138" i="17" s="1"/>
  <c r="Z101" i="17"/>
  <c r="Z218" i="17"/>
  <c r="Y143" i="17"/>
  <c r="AA76" i="17"/>
  <c r="AB76" i="17" s="1"/>
  <c r="Y152" i="17"/>
  <c r="AA91" i="17"/>
  <c r="AB91" i="17" s="1"/>
  <c r="Y191" i="17"/>
  <c r="AA314" i="17"/>
  <c r="AB314" i="17" s="1"/>
  <c r="Y69" i="17"/>
  <c r="Z252" i="17"/>
  <c r="Y359" i="17"/>
  <c r="AA242" i="17"/>
  <c r="AB242" i="17" s="1"/>
  <c r="AA330" i="17"/>
  <c r="AB330" i="17" s="1"/>
  <c r="AA345" i="17"/>
  <c r="AB345" i="17" s="1"/>
  <c r="Z358" i="17"/>
  <c r="Y37" i="17"/>
  <c r="Z73" i="17"/>
  <c r="Y278" i="17"/>
  <c r="AA260" i="17"/>
  <c r="AB260" i="17" s="1"/>
  <c r="Z139" i="17"/>
  <c r="AA353" i="17"/>
  <c r="AB353" i="17" s="1"/>
  <c r="AA273" i="17"/>
  <c r="AB273" i="17" s="1"/>
  <c r="Y141" i="17"/>
  <c r="Y370" i="17"/>
  <c r="Y367" i="17"/>
  <c r="Z305" i="17"/>
  <c r="Y313" i="17"/>
  <c r="Y68" i="17"/>
  <c r="AA87" i="17"/>
  <c r="AB87" i="17" s="1"/>
  <c r="Z50" i="17"/>
  <c r="Z222" i="17"/>
  <c r="Y92" i="17"/>
  <c r="Z179" i="17"/>
  <c r="AA182" i="17"/>
  <c r="AB182" i="17" s="1"/>
  <c r="Y337" i="17"/>
  <c r="Z177" i="17"/>
  <c r="Y175" i="17"/>
  <c r="Z186" i="17"/>
  <c r="Y209" i="17"/>
  <c r="AA235" i="17"/>
  <c r="AB235" i="17" s="1"/>
  <c r="Z114" i="17"/>
  <c r="AA132" i="17"/>
  <c r="AB132" i="17" s="1"/>
  <c r="AA198" i="17"/>
  <c r="AB198" i="17" s="1"/>
  <c r="Z83" i="17"/>
  <c r="AA271" i="17"/>
  <c r="AB271" i="17" s="1"/>
  <c r="AA166" i="17"/>
  <c r="AB166" i="17" s="1"/>
  <c r="Y130" i="17"/>
  <c r="AA334" i="17"/>
  <c r="AB334" i="17" s="1"/>
  <c r="AA305" i="17"/>
  <c r="AB305" i="17" s="1"/>
  <c r="Y280" i="17"/>
  <c r="AA267" i="17"/>
  <c r="AB267" i="17" s="1"/>
  <c r="Y342" i="17"/>
  <c r="AA205" i="17"/>
  <c r="AB205" i="17" s="1"/>
  <c r="AA204" i="17"/>
  <c r="AB204" i="17" s="1"/>
  <c r="Z171" i="17"/>
  <c r="Y347" i="17"/>
  <c r="Y104" i="17"/>
  <c r="Y155" i="17"/>
  <c r="Z348" i="17"/>
  <c r="Y134" i="17"/>
  <c r="Y346" i="17"/>
  <c r="Z309" i="17"/>
  <c r="AA249" i="17"/>
  <c r="AB249" i="17" s="1"/>
  <c r="Z47" i="17"/>
  <c r="Y41" i="17"/>
  <c r="Z317" i="17"/>
  <c r="Y322" i="17"/>
  <c r="Y184" i="17"/>
  <c r="Y67" i="17"/>
  <c r="Z195" i="17"/>
  <c r="Y48" i="17"/>
  <c r="Z370" i="17"/>
  <c r="Z207" i="17"/>
  <c r="Y183" i="17"/>
  <c r="AA245" i="17"/>
  <c r="AB245" i="17" s="1"/>
  <c r="Y257" i="17"/>
  <c r="AA340" i="17"/>
  <c r="AB340" i="17" s="1"/>
  <c r="AA350" i="17"/>
  <c r="AB350" i="17" s="1"/>
  <c r="Y50" i="17"/>
  <c r="AA238" i="17"/>
  <c r="AB238" i="17" s="1"/>
  <c r="Y81" i="17"/>
  <c r="AA250" i="17"/>
  <c r="AB250" i="17" s="1"/>
  <c r="Y328" i="17"/>
  <c r="Y277" i="17"/>
  <c r="AA344" i="17"/>
  <c r="AB344" i="17" s="1"/>
  <c r="Y74" i="17"/>
  <c r="Y292" i="17"/>
  <c r="AA262" i="17"/>
  <c r="AB262" i="17" s="1"/>
  <c r="Y227" i="17"/>
  <c r="Z166" i="17"/>
  <c r="Z283" i="17"/>
  <c r="Y301" i="17"/>
  <c r="Z334" i="17"/>
  <c r="Z346" i="17"/>
  <c r="AA253" i="17"/>
  <c r="AB253" i="17" s="1"/>
  <c r="Y197" i="17"/>
  <c r="Z110" i="17"/>
  <c r="AA47" i="17"/>
  <c r="AB47" i="17" s="1"/>
  <c r="AA203" i="17"/>
  <c r="AB203" i="17" s="1"/>
  <c r="Z157" i="17"/>
  <c r="Z34" i="17"/>
  <c r="Y113" i="17"/>
  <c r="AA36" i="17"/>
  <c r="AB36" i="17" s="1"/>
  <c r="Y247" i="17"/>
  <c r="Z310" i="17"/>
  <c r="AA172" i="17"/>
  <c r="AB172" i="17" s="1"/>
  <c r="Y272" i="17"/>
  <c r="Y361" i="17"/>
  <c r="AA241" i="17"/>
  <c r="AB241" i="17" s="1"/>
  <c r="Z75" i="17"/>
  <c r="Z158" i="17"/>
  <c r="AA323" i="17"/>
  <c r="AB323" i="17" s="1"/>
  <c r="Y290" i="17"/>
  <c r="Y167" i="17"/>
  <c r="Z287" i="17"/>
  <c r="Z343" i="17"/>
  <c r="AA309" i="17"/>
  <c r="AB309" i="17" s="1"/>
  <c r="Y307" i="17"/>
  <c r="Y306" i="17"/>
  <c r="Y252" i="17"/>
  <c r="Y53" i="17"/>
  <c r="Z350" i="17"/>
  <c r="Y358" i="17"/>
  <c r="AA206" i="17"/>
  <c r="AB206" i="17" s="1"/>
  <c r="Y318" i="17"/>
  <c r="Z352" i="17"/>
  <c r="Y291" i="17"/>
  <c r="Y203" i="17"/>
  <c r="Y219" i="17"/>
  <c r="AA252" i="17"/>
  <c r="AB252" i="17" s="1"/>
  <c r="Y116" i="17"/>
  <c r="Z51" i="17"/>
  <c r="AA163" i="17"/>
  <c r="AB163" i="17" s="1"/>
  <c r="Y349" i="17"/>
  <c r="Y333" i="17"/>
  <c r="Y314" i="17"/>
  <c r="Z211" i="17"/>
  <c r="AA229" i="17"/>
  <c r="AB229" i="17" s="1"/>
  <c r="Z216" i="17"/>
  <c r="Z347" i="17"/>
  <c r="AA41" i="17"/>
  <c r="AB41" i="17" s="1"/>
  <c r="AA365" i="17"/>
  <c r="AB365" i="17" s="1"/>
  <c r="Z82" i="17"/>
  <c r="AA283" i="17"/>
  <c r="AB283" i="17" s="1"/>
  <c r="Y107" i="17"/>
  <c r="AA313" i="17"/>
  <c r="AB313" i="17" s="1"/>
  <c r="AA145" i="17"/>
  <c r="AB145" i="17" s="1"/>
  <c r="AA284" i="17"/>
  <c r="AB284" i="17" s="1"/>
  <c r="Z115" i="17"/>
  <c r="Z119" i="17"/>
  <c r="AA360" i="17"/>
  <c r="AB360" i="17" s="1"/>
  <c r="Y105" i="17"/>
  <c r="Y61" i="17"/>
  <c r="Z66" i="17"/>
  <c r="AA94" i="17"/>
  <c r="AB94" i="17" s="1"/>
  <c r="Z107" i="17"/>
  <c r="Z261" i="17"/>
  <c r="Y85" i="17"/>
  <c r="AA319" i="17"/>
  <c r="AB319" i="17" s="1"/>
  <c r="AA105" i="17"/>
  <c r="AB105" i="17" s="1"/>
  <c r="Z367" i="17"/>
  <c r="Z188" i="17"/>
  <c r="AA164" i="17"/>
  <c r="AB164" i="17" s="1"/>
  <c r="AA357" i="17"/>
  <c r="AB357" i="17" s="1"/>
  <c r="Y319" i="17"/>
  <c r="AA38" i="17"/>
  <c r="AB38" i="17" s="1"/>
  <c r="AA33" i="17"/>
  <c r="AB33" i="17" s="1"/>
  <c r="AA98" i="17"/>
  <c r="AB98" i="17" s="1"/>
  <c r="Z232" i="17"/>
  <c r="Y93" i="17"/>
  <c r="Y218" i="17"/>
  <c r="AA169" i="17"/>
  <c r="AB169" i="17" s="1"/>
  <c r="AA92" i="17"/>
  <c r="AB92" i="17" s="1"/>
  <c r="Y70" i="17"/>
  <c r="Z335" i="17"/>
  <c r="Y310" i="17"/>
  <c r="Y296" i="17"/>
  <c r="Z244" i="17"/>
  <c r="Y283" i="17"/>
  <c r="AA61" i="17"/>
  <c r="AB61" i="17" s="1"/>
  <c r="Z364" i="17"/>
  <c r="Z208" i="17"/>
  <c r="Z324" i="17"/>
  <c r="Z81" i="17"/>
  <c r="AA375" i="17"/>
  <c r="AB375" i="17" s="1"/>
  <c r="AA237" i="17"/>
  <c r="AB237" i="17" s="1"/>
  <c r="AA183" i="17"/>
  <c r="AB183" i="17" s="1"/>
  <c r="Z241" i="17"/>
  <c r="Y369" i="17"/>
  <c r="Y375" i="17"/>
  <c r="AA359" i="17"/>
  <c r="AB359" i="17" s="1"/>
  <c r="Y210" i="17"/>
  <c r="Y117" i="17"/>
  <c r="Z307" i="17"/>
  <c r="Z62" i="17"/>
  <c r="Z178" i="17"/>
  <c r="Y205" i="17"/>
  <c r="Z96" i="17"/>
  <c r="AA79" i="17"/>
  <c r="AB79" i="17" s="1"/>
  <c r="AA167" i="17"/>
  <c r="AB167" i="17" s="1"/>
  <c r="Z168" i="17"/>
  <c r="Y122" i="17"/>
  <c r="Y273" i="17"/>
  <c r="AA218" i="17"/>
  <c r="AB218" i="17" s="1"/>
  <c r="AA364" i="17"/>
  <c r="AB364" i="17" s="1"/>
  <c r="Y60" i="17"/>
  <c r="AA317" i="17"/>
  <c r="AB317" i="17" s="1"/>
  <c r="Z326" i="17"/>
  <c r="Z235" i="17"/>
  <c r="Z143" i="17"/>
  <c r="Z184" i="17"/>
  <c r="AA137" i="17"/>
  <c r="AB137" i="17" s="1"/>
  <c r="AA39" i="17"/>
  <c r="AB39" i="17" s="1"/>
  <c r="Y163" i="17"/>
  <c r="AA355" i="17"/>
  <c r="AB355" i="17" s="1"/>
  <c r="Y229" i="17"/>
  <c r="Y157" i="17"/>
  <c r="Y231" i="17"/>
  <c r="Z258" i="17"/>
  <c r="Y204" i="17"/>
  <c r="Z46" i="17"/>
  <c r="AA126" i="17"/>
  <c r="AB126" i="17" s="1"/>
  <c r="Y305" i="17"/>
  <c r="Z33" i="17"/>
  <c r="AA107" i="17"/>
  <c r="AB107" i="17" s="1"/>
  <c r="Z265" i="17"/>
  <c r="Z53" i="17"/>
  <c r="Y368" i="17"/>
  <c r="AA286" i="17"/>
  <c r="AB286" i="17" s="1"/>
  <c r="Y258" i="17"/>
  <c r="AA255" i="17"/>
  <c r="AB255" i="17" s="1"/>
  <c r="AA295" i="17"/>
  <c r="AB295" i="17" s="1"/>
  <c r="Y124" i="17"/>
  <c r="AA112" i="17"/>
  <c r="AB112" i="17" s="1"/>
  <c r="Y44" i="17"/>
  <c r="AA170" i="17"/>
  <c r="AB170" i="17" s="1"/>
  <c r="Y194" i="17"/>
  <c r="AA288" i="17"/>
  <c r="AB288" i="17" s="1"/>
  <c r="AA108" i="17"/>
  <c r="AB108" i="17" s="1"/>
  <c r="Y304" i="17"/>
  <c r="Z354" i="17"/>
  <c r="Z280" i="17"/>
  <c r="Z160" i="17"/>
  <c r="Y259" i="17"/>
  <c r="AA188" i="17"/>
  <c r="AB188" i="17" s="1"/>
  <c r="Z338" i="17"/>
  <c r="Z251" i="17"/>
  <c r="AA270" i="17"/>
  <c r="AB270" i="17" s="1"/>
  <c r="Z318" i="17"/>
  <c r="Z270" i="17"/>
  <c r="AA298" i="17"/>
  <c r="AB298" i="17" s="1"/>
  <c r="Z311" i="17"/>
  <c r="Y182" i="17"/>
  <c r="AA189" i="17"/>
  <c r="AB189" i="17" s="1"/>
  <c r="AA240" i="17"/>
  <c r="AB240" i="17" s="1"/>
  <c r="AA83" i="17"/>
  <c r="AB83" i="17" s="1"/>
  <c r="Z299" i="17"/>
  <c r="Z279" i="17"/>
  <c r="AA268" i="17"/>
  <c r="AB268" i="17" s="1"/>
  <c r="Y261" i="17"/>
  <c r="AA348" i="17"/>
  <c r="AB348" i="17" s="1"/>
  <c r="Y120" i="17"/>
  <c r="Z60" i="17"/>
  <c r="Y153" i="17"/>
  <c r="Y40" i="17"/>
  <c r="AA34" i="17"/>
  <c r="AB34" i="17" s="1"/>
  <c r="Y176" i="17"/>
  <c r="AA75" i="17"/>
  <c r="AB75" i="17" s="1"/>
  <c r="Z120" i="17"/>
  <c r="Y33" i="17"/>
  <c r="Y65" i="17"/>
  <c r="AA274" i="17"/>
  <c r="AB274" i="17" s="1"/>
  <c r="Z245" i="17"/>
  <c r="Z182" i="17"/>
  <c r="Y269" i="17"/>
  <c r="Y237" i="17"/>
  <c r="Z126" i="17"/>
  <c r="Y198" i="17"/>
  <c r="Y317" i="17"/>
  <c r="Y39" i="17"/>
  <c r="Y364" i="17"/>
  <c r="Z156" i="17"/>
  <c r="Z183" i="17"/>
  <c r="Y251" i="17"/>
  <c r="AA351" i="17"/>
  <c r="AB351" i="17" s="1"/>
  <c r="Y84" i="17"/>
  <c r="AA101" i="17"/>
  <c r="AB101" i="17" s="1"/>
  <c r="Z353" i="17"/>
  <c r="AA266" i="17"/>
  <c r="AB266" i="17" s="1"/>
  <c r="Y352" i="17"/>
  <c r="Y329" i="17"/>
  <c r="AA151" i="17"/>
  <c r="AB151" i="17" s="1"/>
  <c r="AA297" i="17"/>
  <c r="AB297" i="17" s="1"/>
  <c r="Z368" i="17"/>
  <c r="Z297" i="17"/>
  <c r="AA150" i="17"/>
  <c r="AB150" i="17" s="1"/>
  <c r="AA202" i="17"/>
  <c r="AB202" i="17" s="1"/>
  <c r="Y250" i="17"/>
  <c r="AA373" i="17"/>
  <c r="AB373" i="17" s="1"/>
  <c r="Y225" i="17"/>
  <c r="Z341" i="17"/>
  <c r="Y298" i="17"/>
  <c r="AA257" i="17"/>
  <c r="AB257" i="17" s="1"/>
  <c r="Z72" i="17"/>
  <c r="Y190" i="17"/>
  <c r="Z214" i="17"/>
  <c r="Y55" i="17"/>
  <c r="AA64" i="17"/>
  <c r="AB64" i="17" s="1"/>
  <c r="AA311" i="17"/>
  <c r="AB311" i="17" s="1"/>
  <c r="Z199" i="17"/>
  <c r="AA341" i="17"/>
  <c r="AB341" i="17" s="1"/>
  <c r="AA175" i="17"/>
  <c r="AB175" i="17" s="1"/>
  <c r="AA310" i="17"/>
  <c r="AB310" i="17" s="1"/>
  <c r="Z377" i="17"/>
  <c r="Y115" i="17"/>
  <c r="AA106" i="17"/>
  <c r="AB106" i="17" s="1"/>
  <c r="Y47" i="17"/>
  <c r="AA44" i="17"/>
  <c r="AB44" i="17" s="1"/>
  <c r="AA60" i="17"/>
  <c r="AB60" i="17" s="1"/>
  <c r="AA162" i="17"/>
  <c r="AB162" i="17" s="1"/>
  <c r="Y45" i="17"/>
  <c r="Z109" i="17"/>
  <c r="AA171" i="17"/>
  <c r="AB171" i="17" s="1"/>
  <c r="Y161" i="17"/>
  <c r="Z256" i="17"/>
  <c r="Y373" i="17"/>
  <c r="Y300" i="17"/>
  <c r="AA95" i="17"/>
  <c r="AB95" i="17" s="1"/>
  <c r="Z174" i="17"/>
  <c r="Z356" i="17"/>
  <c r="Z308" i="17"/>
  <c r="Y294" i="17"/>
  <c r="Y295" i="17"/>
  <c r="Z331" i="17"/>
  <c r="Z150" i="17"/>
  <c r="Z321" i="17"/>
  <c r="Z291" i="17"/>
  <c r="Z153" i="17"/>
  <c r="Y136" i="17"/>
  <c r="AA269" i="17"/>
  <c r="AB269" i="17" s="1"/>
  <c r="AA208" i="17"/>
  <c r="AB208" i="17" s="1"/>
  <c r="Z130" i="17"/>
  <c r="AA331" i="17"/>
  <c r="AB331" i="17" s="1"/>
  <c r="Y274" i="17"/>
  <c r="Y180" i="17"/>
  <c r="Y222" i="17"/>
  <c r="Z328" i="17"/>
  <c r="Z312" i="17"/>
  <c r="Y101" i="17"/>
  <c r="AA119" i="17"/>
  <c r="AB119" i="17" s="1"/>
  <c r="AA176" i="17"/>
  <c r="AB176" i="17" s="1"/>
  <c r="AA142" i="17"/>
  <c r="AB142" i="17" s="1"/>
  <c r="AA81" i="17"/>
  <c r="AB81" i="17" s="1"/>
  <c r="Y36" i="17"/>
  <c r="Y110" i="17"/>
  <c r="AA66" i="17"/>
  <c r="AB66" i="17" s="1"/>
  <c r="AA159" i="17"/>
  <c r="AB159" i="17" s="1"/>
  <c r="Z357" i="17"/>
  <c r="AA316" i="17"/>
  <c r="AB316" i="17" s="1"/>
  <c r="Z198" i="17"/>
  <c r="Y374" i="17"/>
  <c r="AA366" i="17"/>
  <c r="AB366" i="17" s="1"/>
  <c r="Y34" i="17"/>
  <c r="Z266" i="17"/>
  <c r="AA342" i="17"/>
  <c r="AB342" i="17" s="1"/>
  <c r="Z375" i="17"/>
  <c r="Z154" i="17"/>
  <c r="Y114" i="17"/>
  <c r="Z369" i="17"/>
  <c r="AA122" i="17"/>
  <c r="AB122" i="17" s="1"/>
  <c r="Z272" i="17"/>
  <c r="Z152" i="17"/>
  <c r="AA215" i="17"/>
  <c r="AB215" i="17" s="1"/>
  <c r="Z360" i="17"/>
  <c r="Z76" i="17"/>
  <c r="AA178" i="17"/>
  <c r="AB178" i="17" s="1"/>
  <c r="Z298" i="17"/>
  <c r="Y87" i="17"/>
  <c r="AA263" i="17"/>
  <c r="AB263" i="17" s="1"/>
  <c r="AA130" i="17"/>
  <c r="AB130" i="17" s="1"/>
  <c r="AA135" i="17"/>
  <c r="AB135" i="17" s="1"/>
  <c r="Y281" i="17"/>
  <c r="Y335" i="17"/>
  <c r="AA155" i="17"/>
  <c r="AB155" i="17" s="1"/>
  <c r="AA361" i="17"/>
  <c r="AB361" i="17" s="1"/>
  <c r="Z371" i="17"/>
  <c r="AA308" i="17"/>
  <c r="AB308" i="17" s="1"/>
  <c r="Y38" i="17"/>
  <c r="Z100" i="17"/>
  <c r="Z87" i="17"/>
  <c r="Y208" i="17"/>
  <c r="Z275" i="17"/>
  <c r="Z67" i="17"/>
  <c r="Z164" i="17"/>
  <c r="Z176" i="17"/>
  <c r="Z201" i="17"/>
  <c r="Z288" i="17"/>
  <c r="Z133" i="17"/>
  <c r="Z363" i="17"/>
  <c r="AA370" i="17"/>
  <c r="AB370" i="17" s="1"/>
  <c r="Z362" i="17"/>
  <c r="AA50" i="17"/>
  <c r="AB50" i="17" s="1"/>
  <c r="Z173" i="17"/>
  <c r="Y125" i="17"/>
  <c r="Y213" i="17"/>
  <c r="AA141" i="17"/>
  <c r="AB141" i="17" s="1"/>
  <c r="AA149" i="17"/>
  <c r="AB149" i="17" s="1"/>
  <c r="AA165" i="17"/>
  <c r="AB165" i="17" s="1"/>
  <c r="AA109" i="17"/>
  <c r="AB109" i="17" s="1"/>
  <c r="AA369" i="17"/>
  <c r="AB369" i="17" s="1"/>
  <c r="Y72" i="17"/>
  <c r="Y345" i="17"/>
  <c r="Y54" i="17"/>
  <c r="AA333" i="17"/>
  <c r="AB333" i="17" s="1"/>
  <c r="Z257" i="17"/>
  <c r="AT154" i="28"/>
  <c r="AU154" i="28" s="1"/>
  <c r="AS154" i="28"/>
  <c r="AM151" i="28"/>
  <c r="I155" i="28"/>
  <c r="O121" i="28"/>
  <c r="AK158" i="28"/>
  <c r="AR153" i="28"/>
  <c r="T137" i="28"/>
  <c r="T138" i="28" s="1"/>
  <c r="T139" i="28" s="1"/>
  <c r="I156" i="28"/>
  <c r="G124" i="28"/>
  <c r="AD155" i="28" l="1"/>
  <c r="V138" i="28"/>
  <c r="W138" i="28" s="1"/>
  <c r="U138" i="28"/>
  <c r="X138" i="28" s="1"/>
  <c r="AF138" i="28"/>
  <c r="U137" i="28"/>
  <c r="AF137" i="28"/>
  <c r="V137" i="28"/>
  <c r="W137" i="28" s="1"/>
  <c r="Y136" i="28"/>
  <c r="Z139" i="28"/>
  <c r="AF139" i="28"/>
  <c r="U139" i="28"/>
  <c r="X139" i="28" s="1"/>
  <c r="V139" i="28"/>
  <c r="W139" i="28" s="1"/>
  <c r="AD156" i="28"/>
  <c r="AA8" i="17"/>
  <c r="AS153" i="28"/>
  <c r="AT153" i="28"/>
  <c r="AU153" i="28" s="1"/>
  <c r="AV154" i="28"/>
  <c r="O122" i="28"/>
  <c r="AK157" i="28"/>
  <c r="AK156" i="28"/>
  <c r="I157" i="28"/>
  <c r="AR152" i="28"/>
  <c r="G125" i="28"/>
  <c r="G126" i="28"/>
  <c r="T140" i="28"/>
  <c r="X137" i="28" l="1"/>
  <c r="Y138" i="28" s="1"/>
  <c r="Y137" i="28"/>
  <c r="AD157" i="28"/>
  <c r="AF140" i="28"/>
  <c r="V140" i="28"/>
  <c r="W140" i="28" s="1"/>
  <c r="U140" i="28"/>
  <c r="X140" i="28" s="1"/>
  <c r="Y139" i="28"/>
  <c r="AS152" i="28"/>
  <c r="AT152" i="28"/>
  <c r="AU152" i="28" s="1"/>
  <c r="AV153" i="28"/>
  <c r="I158" i="28"/>
  <c r="O123" i="28"/>
  <c r="W8" i="17"/>
  <c r="I159" i="28"/>
  <c r="G127" i="28"/>
  <c r="AR151" i="28"/>
  <c r="T141" i="28"/>
  <c r="T142" i="28" s="1"/>
  <c r="AD158" i="28" l="1"/>
  <c r="AF141" i="28"/>
  <c r="U141" i="28"/>
  <c r="X141" i="28" s="1"/>
  <c r="V141" i="28"/>
  <c r="W141" i="28" s="1"/>
  <c r="Z141" i="28"/>
  <c r="Y140" i="28"/>
  <c r="AF142" i="28"/>
  <c r="U142" i="28"/>
  <c r="X142" i="28" s="1"/>
  <c r="V142" i="28"/>
  <c r="W142" i="28" s="1"/>
  <c r="Z142" i="28"/>
  <c r="AD159" i="28"/>
  <c r="AV152" i="28"/>
  <c r="AS151" i="28"/>
  <c r="AT151" i="28"/>
  <c r="AU151" i="28" s="1"/>
  <c r="O124" i="28"/>
  <c r="O125" i="28"/>
  <c r="G128" i="28"/>
  <c r="T143" i="28"/>
  <c r="I160" i="28"/>
  <c r="AR150" i="28"/>
  <c r="Y141" i="28" l="1"/>
  <c r="Y142" i="28"/>
  <c r="U143" i="28"/>
  <c r="X143" i="28" s="1"/>
  <c r="AF143" i="28"/>
  <c r="V143" i="28"/>
  <c r="W143" i="28" s="1"/>
  <c r="Z143" i="28"/>
  <c r="Y143" i="28"/>
  <c r="AD160" i="28"/>
  <c r="AS150" i="28"/>
  <c r="AT150" i="28"/>
  <c r="AU150" i="28" s="1"/>
  <c r="AX150" i="28"/>
  <c r="AV151" i="28"/>
  <c r="AX59" i="28"/>
  <c r="O126" i="28"/>
  <c r="T144" i="28"/>
  <c r="G129" i="28"/>
  <c r="AR149" i="28"/>
  <c r="W9" i="17"/>
  <c r="I161" i="28"/>
  <c r="U144" i="28" l="1"/>
  <c r="X144" i="28" s="1"/>
  <c r="Y144" i="28" s="1"/>
  <c r="Z144" i="28"/>
  <c r="V144" i="28"/>
  <c r="W144" i="28" s="1"/>
  <c r="AF144" i="28"/>
  <c r="AD161" i="28"/>
  <c r="AV150" i="28"/>
  <c r="AS149" i="28"/>
  <c r="AT149" i="28"/>
  <c r="AU149" i="28" s="1"/>
  <c r="O127" i="28"/>
  <c r="G130" i="28"/>
  <c r="I162" i="28"/>
  <c r="AK155" i="28"/>
  <c r="T145" i="28"/>
  <c r="T146" i="28" s="1"/>
  <c r="T147" i="28" s="1"/>
  <c r="V146" i="28" l="1"/>
  <c r="W146" i="28" s="1"/>
  <c r="U146" i="28"/>
  <c r="X146" i="28" s="1"/>
  <c r="AF146" i="28"/>
  <c r="Z145" i="28"/>
  <c r="V145" i="28"/>
  <c r="W145" i="28" s="1"/>
  <c r="U145" i="28"/>
  <c r="AF145" i="28"/>
  <c r="AD162" i="28"/>
  <c r="AF147" i="28"/>
  <c r="V147" i="28"/>
  <c r="W147" i="28" s="1"/>
  <c r="U147" i="28"/>
  <c r="X147" i="28" s="1"/>
  <c r="AV149" i="28"/>
  <c r="T148" i="28"/>
  <c r="T149" i="28" s="1"/>
  <c r="T150" i="28" s="1"/>
  <c r="G131" i="28"/>
  <c r="O128" i="28"/>
  <c r="I163" i="28"/>
  <c r="V149" i="28" l="1"/>
  <c r="W149" i="28" s="1"/>
  <c r="U149" i="28"/>
  <c r="AF149" i="28"/>
  <c r="AF148" i="28"/>
  <c r="U148" i="28"/>
  <c r="X148" i="28" s="1"/>
  <c r="V148" i="28"/>
  <c r="W148" i="28" s="1"/>
  <c r="X145" i="28"/>
  <c r="Y146" i="28" s="1"/>
  <c r="Y145" i="28"/>
  <c r="AD163" i="28"/>
  <c r="V150" i="28"/>
  <c r="W150" i="28" s="1"/>
  <c r="AF150" i="28"/>
  <c r="U150" i="28"/>
  <c r="X150" i="28" s="1"/>
  <c r="Y147" i="28"/>
  <c r="X149" i="28"/>
  <c r="Z169" i="28"/>
  <c r="AN14" i="28"/>
  <c r="AM14" i="28" s="1"/>
  <c r="O129" i="28"/>
  <c r="T151" i="28"/>
  <c r="AR148" i="28"/>
  <c r="I164" i="28"/>
  <c r="G132" i="28"/>
  <c r="AK154" i="28"/>
  <c r="Y148" i="28" l="1"/>
  <c r="U151" i="28"/>
  <c r="X151" i="28" s="1"/>
  <c r="V151" i="28"/>
  <c r="W151" i="28" s="1"/>
  <c r="AF151" i="28"/>
  <c r="AD164" i="28"/>
  <c r="Y150" i="28"/>
  <c r="Y151" i="28"/>
  <c r="Y149" i="28"/>
  <c r="AT148" i="28"/>
  <c r="AU148" i="28" s="1"/>
  <c r="AS148" i="28"/>
  <c r="AN150" i="28"/>
  <c r="AM25" i="28"/>
  <c r="B112" i="27"/>
  <c r="B113" i="27" s="1"/>
  <c r="B114" i="27" s="1"/>
  <c r="B115" i="27" s="1"/>
  <c r="B116" i="27" s="1"/>
  <c r="B117" i="27" s="1"/>
  <c r="CY234" i="29"/>
  <c r="CZ237" i="29" s="1"/>
  <c r="T152" i="28"/>
  <c r="AR147" i="28"/>
  <c r="G133" i="28"/>
  <c r="T153" i="28"/>
  <c r="I165" i="28"/>
  <c r="AK153" i="28"/>
  <c r="O130" i="28"/>
  <c r="U152" i="28" l="1"/>
  <c r="X152" i="28" s="1"/>
  <c r="V152" i="28"/>
  <c r="W152" i="28" s="1"/>
  <c r="AF152" i="28"/>
  <c r="AD165" i="28"/>
  <c r="Y152" i="28"/>
  <c r="U153" i="28"/>
  <c r="V153" i="28"/>
  <c r="W153" i="28" s="1"/>
  <c r="AF153" i="28"/>
  <c r="CZ234" i="29"/>
  <c r="AT147" i="28"/>
  <c r="AU147" i="28" s="1"/>
  <c r="AS147" i="28"/>
  <c r="AV148" i="28"/>
  <c r="I11" i="2"/>
  <c r="J11" i="2" s="1"/>
  <c r="J10" i="2"/>
  <c r="CZ236" i="29"/>
  <c r="CZ235" i="29"/>
  <c r="T154" i="28"/>
  <c r="I166" i="28"/>
  <c r="G134" i="28"/>
  <c r="O131" i="28"/>
  <c r="AR146" i="28"/>
  <c r="AK152" i="28"/>
  <c r="AD166" i="28" l="1"/>
  <c r="AF154" i="28"/>
  <c r="U154" i="28"/>
  <c r="X154" i="28" s="1"/>
  <c r="V154" i="28"/>
  <c r="W154" i="28" s="1"/>
  <c r="X153" i="28"/>
  <c r="Y153" i="28"/>
  <c r="AT146" i="28"/>
  <c r="AU146" i="28" s="1"/>
  <c r="AS146" i="28"/>
  <c r="AV147" i="28"/>
  <c r="I12" i="2"/>
  <c r="I13" i="2" s="1"/>
  <c r="G135" i="28"/>
  <c r="O132" i="28"/>
  <c r="AR145" i="28"/>
  <c r="T155" i="28"/>
  <c r="AK151" i="28"/>
  <c r="I167" i="28"/>
  <c r="I168" i="28"/>
  <c r="V155" i="28" l="1"/>
  <c r="W155" i="28" s="1"/>
  <c r="AF155" i="28"/>
  <c r="U155" i="28"/>
  <c r="X155" i="28" s="1"/>
  <c r="Y155" i="28" s="1"/>
  <c r="AD168" i="28"/>
  <c r="AD167" i="28"/>
  <c r="Y154" i="28"/>
  <c r="AT145" i="28"/>
  <c r="AU145" i="28" s="1"/>
  <c r="AS145" i="28"/>
  <c r="AV146" i="28"/>
  <c r="J12" i="2"/>
  <c r="I14" i="2"/>
  <c r="J13" i="2"/>
  <c r="AR144" i="28"/>
  <c r="I169" i="28"/>
  <c r="G136" i="28"/>
  <c r="I170" i="28"/>
  <c r="I171" i="28"/>
  <c r="I172" i="28"/>
  <c r="O133" i="28"/>
  <c r="AK150" i="28"/>
  <c r="T156" i="28"/>
  <c r="T157" i="28" s="1"/>
  <c r="AD171" i="28" l="1"/>
  <c r="AD170" i="28"/>
  <c r="AD169" i="28"/>
  <c r="V157" i="28"/>
  <c r="W157" i="28" s="1"/>
  <c r="Z157" i="28"/>
  <c r="AF157" i="28"/>
  <c r="U157" i="28"/>
  <c r="U156" i="28"/>
  <c r="AF156" i="28"/>
  <c r="V156" i="28"/>
  <c r="W156" i="28" s="1"/>
  <c r="AD172" i="28"/>
  <c r="AT144" i="28"/>
  <c r="AU144" i="28" s="1"/>
  <c r="AS144" i="28"/>
  <c r="AV145" i="28"/>
  <c r="J14" i="2"/>
  <c r="I15" i="2"/>
  <c r="T158" i="28"/>
  <c r="I173" i="28"/>
  <c r="AR143" i="28"/>
  <c r="G137" i="28"/>
  <c r="O134" i="28"/>
  <c r="AK149" i="28"/>
  <c r="I174" i="28"/>
  <c r="AD173" i="28" l="1"/>
  <c r="U158" i="28"/>
  <c r="X158" i="28" s="1"/>
  <c r="V158" i="28"/>
  <c r="W158" i="28" s="1"/>
  <c r="AF158" i="28"/>
  <c r="Z158" i="28"/>
  <c r="X156" i="28"/>
  <c r="Y158" i="28" s="1"/>
  <c r="Y156" i="28"/>
  <c r="X157" i="28"/>
  <c r="Y157" i="28"/>
  <c r="AD174" i="28"/>
  <c r="AV144" i="28"/>
  <c r="AS143" i="28"/>
  <c r="AT143" i="28"/>
  <c r="AU143" i="28" s="1"/>
  <c r="I16" i="2"/>
  <c r="J15" i="2"/>
  <c r="O135" i="28"/>
  <c r="T159" i="28"/>
  <c r="AR142" i="28"/>
  <c r="G138" i="28"/>
  <c r="I175" i="28"/>
  <c r="AK148" i="28"/>
  <c r="I176" i="28"/>
  <c r="Z159" i="28" l="1"/>
  <c r="AF159" i="28"/>
  <c r="V159" i="28"/>
  <c r="W159" i="28" s="1"/>
  <c r="U159" i="28"/>
  <c r="AD176" i="28"/>
  <c r="AD175" i="28"/>
  <c r="AT142" i="28"/>
  <c r="AU142" i="28" s="1"/>
  <c r="AS142" i="28"/>
  <c r="AV143" i="28"/>
  <c r="J16" i="2"/>
  <c r="I17" i="2"/>
  <c r="I177" i="28"/>
  <c r="G139" i="28"/>
  <c r="O136" i="28"/>
  <c r="AR141" i="28"/>
  <c r="T160" i="28"/>
  <c r="AK147" i="28"/>
  <c r="T161" i="28"/>
  <c r="T162" i="28"/>
  <c r="T163" i="28"/>
  <c r="T164" i="28"/>
  <c r="V163" i="28" l="1"/>
  <c r="W163" i="28" s="1"/>
  <c r="Z163" i="28"/>
  <c r="U163" i="28"/>
  <c r="AF163" i="28"/>
  <c r="AF162" i="28"/>
  <c r="V162" i="28"/>
  <c r="W162" i="28" s="1"/>
  <c r="U162" i="28"/>
  <c r="X162" i="28" s="1"/>
  <c r="Z162" i="28"/>
  <c r="AF161" i="28"/>
  <c r="U161" i="28"/>
  <c r="X161" i="28" s="1"/>
  <c r="V161" i="28"/>
  <c r="W161" i="28" s="1"/>
  <c r="Z161" i="28"/>
  <c r="Z160" i="28"/>
  <c r="AF160" i="28"/>
  <c r="V160" i="28"/>
  <c r="W160" i="28" s="1"/>
  <c r="U160" i="28"/>
  <c r="X159" i="28"/>
  <c r="Y159" i="28" s="1"/>
  <c r="AD177" i="28"/>
  <c r="U164" i="28"/>
  <c r="X164" i="28" s="1"/>
  <c r="AF164" i="28"/>
  <c r="Z164" i="28"/>
  <c r="V164" i="28"/>
  <c r="W164" i="28" s="1"/>
  <c r="AT141" i="28"/>
  <c r="AU141" i="28" s="1"/>
  <c r="AS141" i="28"/>
  <c r="X163" i="28"/>
  <c r="AV142" i="28"/>
  <c r="AM193" i="28"/>
  <c r="I18" i="2"/>
  <c r="I19" i="2" s="1"/>
  <c r="I20" i="2" s="1"/>
  <c r="J17" i="2"/>
  <c r="T165" i="28"/>
  <c r="G140" i="28"/>
  <c r="O137" i="28"/>
  <c r="AR140" i="28"/>
  <c r="AK146" i="28"/>
  <c r="I178" i="28"/>
  <c r="I179" i="28"/>
  <c r="I180" i="28"/>
  <c r="I181" i="28"/>
  <c r="AD180" i="28" l="1"/>
  <c r="AD179" i="28"/>
  <c r="AD178" i="28"/>
  <c r="X160" i="28"/>
  <c r="Y160" i="28"/>
  <c r="Y163" i="28"/>
  <c r="Y162" i="28"/>
  <c r="Y161" i="28"/>
  <c r="AD181" i="28"/>
  <c r="U165" i="28"/>
  <c r="Z165" i="28"/>
  <c r="V165" i="28"/>
  <c r="W165" i="28" s="1"/>
  <c r="AF165" i="28"/>
  <c r="AV141" i="28"/>
  <c r="AX140" i="28"/>
  <c r="AS140" i="28"/>
  <c r="AT140" i="28"/>
  <c r="AU140" i="28" s="1"/>
  <c r="X165" i="28"/>
  <c r="Y165" i="28" s="1"/>
  <c r="Y164" i="28"/>
  <c r="J18" i="2"/>
  <c r="G141" i="28"/>
  <c r="T166" i="28"/>
  <c r="I182" i="28"/>
  <c r="I183" i="28" s="1"/>
  <c r="O138" i="28"/>
  <c r="AK145" i="28"/>
  <c r="AR139" i="28"/>
  <c r="AD183" i="28" l="1"/>
  <c r="AD182" i="28"/>
  <c r="U166" i="28"/>
  <c r="X166" i="28" s="1"/>
  <c r="Y166" i="28" s="1"/>
  <c r="AF166" i="28"/>
  <c r="V166" i="28"/>
  <c r="W166" i="28" s="1"/>
  <c r="Z166" i="28"/>
  <c r="AT139" i="28"/>
  <c r="AU139" i="28" s="1"/>
  <c r="AS139" i="28"/>
  <c r="AV140" i="28"/>
  <c r="J19" i="2"/>
  <c r="I184" i="28"/>
  <c r="O139" i="28"/>
  <c r="I185" i="28"/>
  <c r="G142" i="28"/>
  <c r="AR138" i="28"/>
  <c r="T167" i="28"/>
  <c r="T168" i="28" s="1"/>
  <c r="AK144" i="28"/>
  <c r="AD184" i="28" l="1"/>
  <c r="AD185" i="28"/>
  <c r="V167" i="28"/>
  <c r="W167" i="28" s="1"/>
  <c r="Z167" i="28"/>
  <c r="AF167" i="28"/>
  <c r="U167" i="28"/>
  <c r="X167" i="28" s="1"/>
  <c r="Y167" i="28" s="1"/>
  <c r="AS138" i="28"/>
  <c r="AT138" i="28"/>
  <c r="AU138" i="28" s="1"/>
  <c r="AV139" i="28"/>
  <c r="U168" i="28"/>
  <c r="AF168" i="28"/>
  <c r="V168" i="28"/>
  <c r="W168" i="28" s="1"/>
  <c r="Z168" i="28"/>
  <c r="J20" i="2"/>
  <c r="I21" i="2"/>
  <c r="T169" i="28"/>
  <c r="G143" i="28"/>
  <c r="O140" i="28"/>
  <c r="AR137" i="28"/>
  <c r="I186" i="28"/>
  <c r="I187" i="28" s="1"/>
  <c r="AK143" i="28"/>
  <c r="I188" i="28"/>
  <c r="AD187" i="28" l="1"/>
  <c r="AD186" i="28"/>
  <c r="AD188" i="28"/>
  <c r="AV138" i="28"/>
  <c r="AT137" i="28"/>
  <c r="AU137" i="28" s="1"/>
  <c r="AS137" i="28"/>
  <c r="U169" i="28"/>
  <c r="AF169" i="28"/>
  <c r="V169" i="28"/>
  <c r="W169" i="28" s="1"/>
  <c r="X168" i="28"/>
  <c r="Y168" i="28" s="1"/>
  <c r="I22" i="2"/>
  <c r="J21" i="2"/>
  <c r="G144" i="28"/>
  <c r="T170" i="28"/>
  <c r="I189" i="28"/>
  <c r="AK142" i="28"/>
  <c r="O141" i="28"/>
  <c r="AR136" i="28"/>
  <c r="AD189" i="28" l="1"/>
  <c r="AT136" i="28"/>
  <c r="AU136" i="28" s="1"/>
  <c r="AS136" i="28"/>
  <c r="AV137" i="28"/>
  <c r="U170" i="28"/>
  <c r="V170" i="28"/>
  <c r="W170" i="28" s="1"/>
  <c r="AF170" i="28"/>
  <c r="X169" i="28"/>
  <c r="Y169" i="28" s="1"/>
  <c r="I23" i="2"/>
  <c r="J22" i="2"/>
  <c r="O142" i="28"/>
  <c r="AR135" i="28"/>
  <c r="I190" i="28"/>
  <c r="AK141" i="28"/>
  <c r="T171" i="28"/>
  <c r="G145" i="28"/>
  <c r="AD190" i="28" l="1"/>
  <c r="AV136" i="28"/>
  <c r="AT135" i="28"/>
  <c r="AU135" i="28" s="1"/>
  <c r="AS135" i="28"/>
  <c r="AF171" i="28"/>
  <c r="U171" i="28"/>
  <c r="V171" i="28"/>
  <c r="W171" i="28" s="1"/>
  <c r="X170" i="28"/>
  <c r="Y170" i="28" s="1"/>
  <c r="I24" i="2"/>
  <c r="I25" i="2" s="1"/>
  <c r="J23" i="2"/>
  <c r="AR134" i="28"/>
  <c r="O143" i="28"/>
  <c r="G146" i="28"/>
  <c r="AR133" i="28"/>
  <c r="AR132" i="28" s="1"/>
  <c r="AK140" i="28"/>
  <c r="T172" i="28"/>
  <c r="I191" i="28"/>
  <c r="I192" i="28" s="1"/>
  <c r="AT134" i="28" l="1"/>
  <c r="AU134" i="28" s="1"/>
  <c r="AS134" i="28"/>
  <c r="AT133" i="28"/>
  <c r="AU133" i="28" s="1"/>
  <c r="AS133" i="28"/>
  <c r="AD192" i="28"/>
  <c r="AD191" i="28"/>
  <c r="AN140" i="28"/>
  <c r="AV135" i="28"/>
  <c r="AT132" i="28"/>
  <c r="AU132" i="28" s="1"/>
  <c r="AS132" i="28"/>
  <c r="U172" i="28"/>
  <c r="X172" i="28" s="1"/>
  <c r="V172" i="28"/>
  <c r="W172" i="28" s="1"/>
  <c r="AF172" i="28"/>
  <c r="X171" i="28"/>
  <c r="Y171" i="28" s="1"/>
  <c r="I26" i="2"/>
  <c r="J25" i="2"/>
  <c r="J24" i="2"/>
  <c r="I193" i="28"/>
  <c r="AR131" i="28"/>
  <c r="T173" i="28"/>
  <c r="AK139" i="28"/>
  <c r="AK138" i="28" s="1"/>
  <c r="G147" i="28"/>
  <c r="I194" i="28"/>
  <c r="O144" i="28"/>
  <c r="AV134" i="28" l="1"/>
  <c r="AD193" i="28"/>
  <c r="AV133" i="28"/>
  <c r="AD194" i="28"/>
  <c r="AV132" i="28"/>
  <c r="AT131" i="28"/>
  <c r="AU131" i="28" s="1"/>
  <c r="AS131" i="28"/>
  <c r="Z173" i="28"/>
  <c r="U173" i="28"/>
  <c r="X173" i="28" s="1"/>
  <c r="Y173" i="28" s="1"/>
  <c r="AF173" i="28"/>
  <c r="V173" i="28"/>
  <c r="W173" i="28" s="1"/>
  <c r="Y172" i="28"/>
  <c r="J26" i="2"/>
  <c r="I27" i="2"/>
  <c r="I28" i="2" s="1"/>
  <c r="I29" i="2" s="1"/>
  <c r="I30" i="2" s="1"/>
  <c r="I31" i="2" s="1"/>
  <c r="I32" i="2" s="1"/>
  <c r="AK137" i="28"/>
  <c r="O145" i="28"/>
  <c r="AR130" i="28"/>
  <c r="T174" i="28"/>
  <c r="G148" i="28"/>
  <c r="AF174" i="28" l="1"/>
  <c r="V174" i="28"/>
  <c r="W174" i="28" s="1"/>
  <c r="Z174" i="28"/>
  <c r="U174" i="28"/>
  <c r="X174" i="28" s="1"/>
  <c r="AT130" i="28"/>
  <c r="AU130" i="28" s="1"/>
  <c r="AS130" i="28"/>
  <c r="AV131" i="28"/>
  <c r="AX122" i="28"/>
  <c r="AX123" i="28"/>
  <c r="AX118" i="28"/>
  <c r="AX119" i="28"/>
  <c r="AX120" i="28"/>
  <c r="AX117" i="28"/>
  <c r="J28" i="2"/>
  <c r="J27" i="2"/>
  <c r="T175" i="28"/>
  <c r="T176" i="28"/>
  <c r="O146" i="28"/>
  <c r="AR129" i="28"/>
  <c r="G149" i="28"/>
  <c r="AK136" i="28"/>
  <c r="Z175" i="28" l="1"/>
  <c r="U175" i="28"/>
  <c r="X175" i="28" s="1"/>
  <c r="AF175" i="28"/>
  <c r="V175" i="28"/>
  <c r="W175" i="28" s="1"/>
  <c r="Y174" i="28"/>
  <c r="AS129" i="28"/>
  <c r="AT129" i="28"/>
  <c r="AU129" i="28" s="1"/>
  <c r="AV130" i="28"/>
  <c r="V176" i="28"/>
  <c r="W176" i="28" s="1"/>
  <c r="Z176" i="28"/>
  <c r="U176" i="28"/>
  <c r="X176" i="28" s="1"/>
  <c r="AF176" i="28"/>
  <c r="Y175" i="28"/>
  <c r="AX121" i="28"/>
  <c r="J29" i="2"/>
  <c r="O147" i="28"/>
  <c r="AR128" i="28"/>
  <c r="G150" i="28"/>
  <c r="T177" i="28"/>
  <c r="AK135" i="28"/>
  <c r="AV129" i="28" l="1"/>
  <c r="AS128" i="28"/>
  <c r="AT128" i="28"/>
  <c r="AU128" i="28" s="1"/>
  <c r="AV128" i="28" s="1"/>
  <c r="Y176" i="28"/>
  <c r="Z177" i="28"/>
  <c r="AF177" i="28"/>
  <c r="U177" i="28"/>
  <c r="X177" i="28" s="1"/>
  <c r="Y177" i="28" s="1"/>
  <c r="V177" i="28"/>
  <c r="W177" i="28" s="1"/>
  <c r="J30" i="2"/>
  <c r="O148" i="28"/>
  <c r="O149" i="28" s="1"/>
  <c r="O150" i="28" s="1"/>
  <c r="AK134" i="28"/>
  <c r="O151" i="28"/>
  <c r="T178" i="28"/>
  <c r="AR127" i="28"/>
  <c r="AR126" i="28"/>
  <c r="G151" i="28"/>
  <c r="AT126" i="28" l="1"/>
  <c r="AU126" i="28" s="1"/>
  <c r="AS126" i="28"/>
  <c r="AT127" i="28"/>
  <c r="AU127" i="28" s="1"/>
  <c r="AS127" i="28"/>
  <c r="Z178" i="28"/>
  <c r="V178" i="28"/>
  <c r="W178" i="28" s="1"/>
  <c r="AF178" i="28"/>
  <c r="U178" i="28"/>
  <c r="X178" i="28" s="1"/>
  <c r="J31" i="2"/>
  <c r="T179" i="28"/>
  <c r="AK133" i="28"/>
  <c r="G152" i="28"/>
  <c r="O152" i="28"/>
  <c r="AR125" i="28"/>
  <c r="AR124" i="28"/>
  <c r="Y178" i="28" l="1"/>
  <c r="AX124" i="28"/>
  <c r="AS124" i="28"/>
  <c r="AT124" i="28"/>
  <c r="AU124" i="28" s="1"/>
  <c r="U179" i="28"/>
  <c r="Z179" i="28"/>
  <c r="V179" i="28"/>
  <c r="W179" i="28" s="1"/>
  <c r="AF179" i="28"/>
  <c r="AS125" i="28"/>
  <c r="AT125" i="28"/>
  <c r="AU125" i="28" s="1"/>
  <c r="AV127" i="28"/>
  <c r="AV126" i="28"/>
  <c r="J32" i="2"/>
  <c r="AR123" i="28"/>
  <c r="O153" i="28"/>
  <c r="G153" i="28"/>
  <c r="AK132" i="28"/>
  <c r="T180" i="28"/>
  <c r="Z180" i="28" l="1"/>
  <c r="U180" i="28"/>
  <c r="X180" i="28" s="1"/>
  <c r="AF180" i="28"/>
  <c r="V180" i="28"/>
  <c r="W180" i="28" s="1"/>
  <c r="AS123" i="28"/>
  <c r="AT123" i="28"/>
  <c r="AU123" i="28" s="1"/>
  <c r="X179" i="28"/>
  <c r="Y180" i="28" s="1"/>
  <c r="Y179" i="28"/>
  <c r="AV124" i="28"/>
  <c r="AV125" i="28"/>
  <c r="AX25" i="28"/>
  <c r="AR122" i="28"/>
  <c r="T181" i="28"/>
  <c r="AR121" i="28"/>
  <c r="AK131" i="28"/>
  <c r="O154" i="28"/>
  <c r="G154" i="28"/>
  <c r="AT122" i="28" l="1"/>
  <c r="AU122" i="28" s="1"/>
  <c r="AV122" i="28" s="1"/>
  <c r="AS122" i="28"/>
  <c r="AS121" i="28"/>
  <c r="AT121" i="28"/>
  <c r="AU121" i="28" s="1"/>
  <c r="AV121" i="28" s="1"/>
  <c r="AV123" i="28"/>
  <c r="V181" i="28"/>
  <c r="W181" i="28" s="1"/>
  <c r="Z181" i="28"/>
  <c r="AF181" i="28"/>
  <c r="U181" i="28"/>
  <c r="O155" i="28"/>
  <c r="T182" i="28"/>
  <c r="AK130" i="28"/>
  <c r="AR120" i="28"/>
  <c r="AR119" i="28" s="1"/>
  <c r="G155" i="28"/>
  <c r="AS119" i="28" l="1"/>
  <c r="AT119" i="28"/>
  <c r="AU119" i="28" s="1"/>
  <c r="AV119" i="28" s="1"/>
  <c r="AS120" i="28"/>
  <c r="AT120" i="28"/>
  <c r="AU120" i="28" s="1"/>
  <c r="AF182" i="28"/>
  <c r="U182" i="28"/>
  <c r="V182" i="28"/>
  <c r="W182" i="28" s="1"/>
  <c r="Z182" i="28"/>
  <c r="X181" i="28"/>
  <c r="Y181" i="28"/>
  <c r="T183" i="28"/>
  <c r="O156" i="28"/>
  <c r="AR118" i="28"/>
  <c r="AR117" i="28" s="1"/>
  <c r="AR116" i="28" s="1"/>
  <c r="AK129" i="28"/>
  <c r="G156" i="28"/>
  <c r="V183" i="28" l="1"/>
  <c r="W183" i="28" s="1"/>
  <c r="U183" i="28"/>
  <c r="Z183" i="28"/>
  <c r="AF183" i="28"/>
  <c r="AT117" i="28"/>
  <c r="AU117" i="28" s="1"/>
  <c r="AS117" i="28"/>
  <c r="AS118" i="28"/>
  <c r="AT118" i="28"/>
  <c r="AU118" i="28" s="1"/>
  <c r="AV120" i="28"/>
  <c r="X182" i="28"/>
  <c r="Y182" i="28"/>
  <c r="X183" i="28"/>
  <c r="Y183" i="28"/>
  <c r="AT116" i="28"/>
  <c r="AU116" i="28" s="1"/>
  <c r="AS116" i="28"/>
  <c r="T184" i="28"/>
  <c r="G157" i="28"/>
  <c r="AR115" i="28"/>
  <c r="AK128" i="28"/>
  <c r="O157" i="28"/>
  <c r="V184" i="28" l="1"/>
  <c r="W184" i="28" s="1"/>
  <c r="AF184" i="28"/>
  <c r="U184" i="28"/>
  <c r="X184" i="28" s="1"/>
  <c r="Z184" i="28"/>
  <c r="AV117" i="28"/>
  <c r="AV118" i="28"/>
  <c r="AT115" i="28"/>
  <c r="AU115" i="28" s="1"/>
  <c r="AS115" i="28"/>
  <c r="AV116" i="28"/>
  <c r="T185" i="28"/>
  <c r="AK127" i="28"/>
  <c r="O158" i="28"/>
  <c r="G158" i="28"/>
  <c r="AR114" i="28"/>
  <c r="T186" i="28"/>
  <c r="T187" i="28"/>
  <c r="T188" i="28"/>
  <c r="T189" i="28"/>
  <c r="T190" i="28"/>
  <c r="AF189" i="28" l="1"/>
  <c r="V189" i="28"/>
  <c r="W189" i="28" s="1"/>
  <c r="U189" i="28"/>
  <c r="Z189" i="28"/>
  <c r="U188" i="28"/>
  <c r="X188" i="28" s="1"/>
  <c r="Z188" i="28"/>
  <c r="V188" i="28"/>
  <c r="W188" i="28" s="1"/>
  <c r="AF188" i="28"/>
  <c r="AF187" i="28"/>
  <c r="U187" i="28"/>
  <c r="V187" i="28"/>
  <c r="W187" i="28" s="1"/>
  <c r="Z187" i="28"/>
  <c r="AF186" i="28"/>
  <c r="Z186" i="28"/>
  <c r="U186" i="28"/>
  <c r="V186" i="28"/>
  <c r="W186" i="28" s="1"/>
  <c r="U185" i="28"/>
  <c r="AF185" i="28"/>
  <c r="V185" i="28"/>
  <c r="W185" i="28" s="1"/>
  <c r="Y184" i="28"/>
  <c r="AS114" i="28"/>
  <c r="AT114" i="28"/>
  <c r="AU114" i="28" s="1"/>
  <c r="AV114" i="28" s="1"/>
  <c r="AV115" i="28"/>
  <c r="AF190" i="28"/>
  <c r="U190" i="28"/>
  <c r="Z190" i="28"/>
  <c r="V190" i="28"/>
  <c r="W190" i="28" s="1"/>
  <c r="X189" i="28"/>
  <c r="G159" i="28"/>
  <c r="AR113" i="28"/>
  <c r="AK126" i="28"/>
  <c r="T191" i="28"/>
  <c r="T192" i="28"/>
  <c r="O159" i="28"/>
  <c r="Y186" i="28" l="1"/>
  <c r="X186" i="28"/>
  <c r="X187" i="28"/>
  <c r="Y187" i="28"/>
  <c r="X185" i="28"/>
  <c r="Y185" i="28"/>
  <c r="I197" i="28"/>
  <c r="AF192" i="28"/>
  <c r="V192" i="28"/>
  <c r="W192" i="28" s="1"/>
  <c r="AT113" i="28"/>
  <c r="AU113" i="28" s="1"/>
  <c r="AS113" i="28"/>
  <c r="Z191" i="28"/>
  <c r="V191" i="28"/>
  <c r="W191" i="28" s="1"/>
  <c r="U191" i="28"/>
  <c r="X191" i="28" s="1"/>
  <c r="Y191" i="28" s="1"/>
  <c r="AF191" i="28"/>
  <c r="X190" i="28"/>
  <c r="Y190" i="28"/>
  <c r="AX23" i="28"/>
  <c r="V193" i="28"/>
  <c r="G160" i="28"/>
  <c r="T193" i="28"/>
  <c r="X192" i="28"/>
  <c r="N125" i="27"/>
  <c r="AK125" i="28"/>
  <c r="O160" i="28"/>
  <c r="U192" i="28"/>
  <c r="T194" i="28"/>
  <c r="AR112" i="28"/>
  <c r="M125" i="27"/>
  <c r="Y189" i="28" l="1"/>
  <c r="Y188" i="28"/>
  <c r="AT112" i="28"/>
  <c r="AU112" i="28" s="1"/>
  <c r="AS112" i="28"/>
  <c r="AF193" i="28"/>
  <c r="U193" i="28"/>
  <c r="AF194" i="28"/>
  <c r="W193" i="28"/>
  <c r="AV113" i="28"/>
  <c r="AN122" i="28"/>
  <c r="AN123" i="28"/>
  <c r="AN121" i="28"/>
  <c r="AN118" i="28"/>
  <c r="AN119" i="28"/>
  <c r="AN120" i="28"/>
  <c r="O125" i="27"/>
  <c r="O161" i="28"/>
  <c r="V194" i="28"/>
  <c r="AK124" i="28"/>
  <c r="AR111" i="28"/>
  <c r="AR110" i="28" s="1"/>
  <c r="U194" i="28"/>
  <c r="O126" i="27" s="1"/>
  <c r="M126" i="27"/>
  <c r="AR109" i="28"/>
  <c r="G161" i="28"/>
  <c r="W194" i="28" l="1"/>
  <c r="AV112" i="28"/>
  <c r="AS110" i="28"/>
  <c r="AT110" i="28"/>
  <c r="AU110" i="28" s="1"/>
  <c r="AV110" i="28" s="1"/>
  <c r="AS111" i="28"/>
  <c r="AT111" i="28"/>
  <c r="AU111" i="28" s="1"/>
  <c r="X193" i="28"/>
  <c r="AT109" i="28"/>
  <c r="AU109" i="28" s="1"/>
  <c r="AS109" i="28"/>
  <c r="AN124" i="28"/>
  <c r="AN117" i="28"/>
  <c r="AX22" i="28"/>
  <c r="N126" i="27"/>
  <c r="O162" i="28"/>
  <c r="AR108" i="28"/>
  <c r="X194" i="28"/>
  <c r="AK123" i="28"/>
  <c r="G162" i="28"/>
  <c r="Y193" i="28" l="1"/>
  <c r="AV111" i="28"/>
  <c r="AT108" i="28"/>
  <c r="AU108" i="28" s="1"/>
  <c r="AS108" i="28"/>
  <c r="AV109" i="28"/>
  <c r="AM150" i="28"/>
  <c r="G163" i="28"/>
  <c r="AK122" i="28"/>
  <c r="AR107" i="28"/>
  <c r="O163" i="28"/>
  <c r="AV108" i="28" l="1"/>
  <c r="AT107" i="28"/>
  <c r="AU107" i="28" s="1"/>
  <c r="AS107" i="28"/>
  <c r="O164" i="28"/>
  <c r="AK121" i="28"/>
  <c r="G164" i="28"/>
  <c r="AR106" i="28"/>
  <c r="AS106" i="28" l="1"/>
  <c r="AT106" i="28"/>
  <c r="AU106" i="28" s="1"/>
  <c r="AV107" i="28"/>
  <c r="AM185" i="28"/>
  <c r="O165" i="28"/>
  <c r="O166" i="28" s="1"/>
  <c r="G165" i="28"/>
  <c r="O167" i="28"/>
  <c r="AR105" i="28"/>
  <c r="AK120" i="28"/>
  <c r="AT105" i="28" l="1"/>
  <c r="AU105" i="28" s="1"/>
  <c r="AS105" i="28"/>
  <c r="AV106" i="28"/>
  <c r="AR104" i="28"/>
  <c r="AK119" i="28"/>
  <c r="O168" i="28"/>
  <c r="G166" i="28"/>
  <c r="AS104" i="28" l="1"/>
  <c r="AT104" i="28"/>
  <c r="AU104" i="28" s="1"/>
  <c r="AV105" i="28"/>
  <c r="AK118" i="28"/>
  <c r="AK117" i="28"/>
  <c r="O169" i="28"/>
  <c r="G167" i="28"/>
  <c r="AR103" i="28"/>
  <c r="AV104" i="28" l="1"/>
  <c r="AT103" i="28"/>
  <c r="AU103" i="28" s="1"/>
  <c r="AS103" i="28"/>
  <c r="AX14" i="28"/>
  <c r="AK116" i="28"/>
  <c r="O170" i="28"/>
  <c r="O171" i="28"/>
  <c r="AR102" i="28"/>
  <c r="G168" i="28"/>
  <c r="AT102" i="28" l="1"/>
  <c r="AU102" i="28" s="1"/>
  <c r="AS102" i="28"/>
  <c r="AV103" i="28"/>
  <c r="O172" i="28"/>
  <c r="AK115" i="28"/>
  <c r="AR101" i="28"/>
  <c r="G169" i="28"/>
  <c r="AS101" i="28" l="1"/>
  <c r="AT101" i="28"/>
  <c r="AU101" i="28" s="1"/>
  <c r="AV102" i="28"/>
  <c r="O173" i="28"/>
  <c r="O174" i="28"/>
  <c r="AK114" i="28"/>
  <c r="G170" i="28"/>
  <c r="AR100" i="28"/>
  <c r="AR99" i="28" s="1"/>
  <c r="AT99" i="28" l="1"/>
  <c r="AU99" i="28" s="1"/>
  <c r="AS99" i="28"/>
  <c r="AT100" i="28"/>
  <c r="AU100" i="28" s="1"/>
  <c r="AS100" i="28"/>
  <c r="AV101" i="28"/>
  <c r="O175" i="28"/>
  <c r="AR98" i="28"/>
  <c r="G171" i="28"/>
  <c r="AK113" i="28"/>
  <c r="AT98" i="28" l="1"/>
  <c r="AU98" i="28" s="1"/>
  <c r="AS98" i="28"/>
  <c r="AV100" i="28"/>
  <c r="AV99" i="28"/>
  <c r="G172" i="28"/>
  <c r="AR97" i="28"/>
  <c r="O176" i="28"/>
  <c r="O177" i="28" s="1"/>
  <c r="AK112" i="28"/>
  <c r="AV98" i="28" l="1"/>
  <c r="AS97" i="28"/>
  <c r="AT97" i="28"/>
  <c r="AU97" i="28" s="1"/>
  <c r="AR96" i="28"/>
  <c r="G173" i="28"/>
  <c r="O178" i="28"/>
  <c r="AK111" i="28"/>
  <c r="AT96" i="28" l="1"/>
  <c r="AU96" i="28" s="1"/>
  <c r="AS96" i="28"/>
  <c r="AV97" i="28"/>
  <c r="AR95" i="28"/>
  <c r="AK110" i="28"/>
  <c r="AR94" i="28"/>
  <c r="AR93" i="28" s="1"/>
  <c r="AR92" i="28"/>
  <c r="AR91" i="28" s="1"/>
  <c r="AR90" i="28"/>
  <c r="O179" i="28"/>
  <c r="G174" i="28"/>
  <c r="AT91" i="28" l="1"/>
  <c r="AU91" i="28" s="1"/>
  <c r="AS91" i="28"/>
  <c r="AS92" i="28"/>
  <c r="AT92" i="28"/>
  <c r="AU92" i="28" s="1"/>
  <c r="AT93" i="28"/>
  <c r="AU93" i="28" s="1"/>
  <c r="AS93" i="28"/>
  <c r="AT94" i="28"/>
  <c r="AU94" i="28" s="1"/>
  <c r="AS94" i="28"/>
  <c r="AT95" i="28"/>
  <c r="AU95" i="28" s="1"/>
  <c r="AV95" i="28" s="1"/>
  <c r="AS95" i="28"/>
  <c r="AV96" i="28"/>
  <c r="AS90" i="28"/>
  <c r="AT90" i="28"/>
  <c r="AU90" i="28" s="1"/>
  <c r="O180" i="28"/>
  <c r="G175" i="28"/>
  <c r="AR89" i="28"/>
  <c r="AR88" i="28" s="1"/>
  <c r="AK109" i="28"/>
  <c r="AV91" i="28" l="1"/>
  <c r="AT89" i="28"/>
  <c r="AU89" i="28" s="1"/>
  <c r="AS89" i="28"/>
  <c r="AV93" i="28"/>
  <c r="AV92" i="28"/>
  <c r="AV94" i="28"/>
  <c r="AS88" i="28"/>
  <c r="AT88" i="28"/>
  <c r="AU88" i="28" s="1"/>
  <c r="AV90" i="28"/>
  <c r="AR87" i="28"/>
  <c r="G176" i="28"/>
  <c r="O181" i="28"/>
  <c r="AR86" i="28"/>
  <c r="AK108" i="28"/>
  <c r="AV89" i="28" l="1"/>
  <c r="AT87" i="28"/>
  <c r="AU87" i="28" s="1"/>
  <c r="AS87" i="28"/>
  <c r="AV88" i="28"/>
  <c r="AS86" i="28"/>
  <c r="AT86" i="28"/>
  <c r="AU86" i="28" s="1"/>
  <c r="G177" i="28"/>
  <c r="AK107" i="28"/>
  <c r="AR85" i="28"/>
  <c r="O182" i="28"/>
  <c r="AV87" i="28" l="1"/>
  <c r="AV86" i="28"/>
  <c r="AS85" i="28"/>
  <c r="AT85" i="28"/>
  <c r="AU85" i="28" s="1"/>
  <c r="G178" i="28"/>
  <c r="AR84" i="28"/>
  <c r="AK106" i="28"/>
  <c r="O183" i="28"/>
  <c r="AS84" i="28" l="1"/>
  <c r="AT84" i="28"/>
  <c r="AU84" i="28" s="1"/>
  <c r="AV85" i="28"/>
  <c r="G179" i="28"/>
  <c r="AK105" i="28"/>
  <c r="O184" i="28"/>
  <c r="AR83" i="28"/>
  <c r="AV84" i="28" l="1"/>
  <c r="AS83" i="28"/>
  <c r="AT83" i="28"/>
  <c r="AU83" i="28" s="1"/>
  <c r="AK104" i="28"/>
  <c r="O185" i="28"/>
  <c r="G180" i="28"/>
  <c r="AR82" i="28"/>
  <c r="AS82" i="28" l="1"/>
  <c r="AT82" i="28"/>
  <c r="AU82" i="28" s="1"/>
  <c r="AV83" i="28"/>
  <c r="O186" i="28"/>
  <c r="AK103" i="28"/>
  <c r="AR81" i="28"/>
  <c r="G181" i="28"/>
  <c r="AV82" i="28" l="1"/>
  <c r="AS81" i="28"/>
  <c r="AT81" i="28"/>
  <c r="AU81" i="28" s="1"/>
  <c r="AR80" i="28"/>
  <c r="O187" i="28"/>
  <c r="G182" i="28"/>
  <c r="AK102" i="28"/>
  <c r="AT80" i="28" l="1"/>
  <c r="AU80" i="28" s="1"/>
  <c r="AS80" i="28"/>
  <c r="AV81" i="28"/>
  <c r="AR79" i="28"/>
  <c r="AK101" i="28"/>
  <c r="G183" i="28"/>
  <c r="O188" i="28"/>
  <c r="AV80" i="28" l="1"/>
  <c r="AS79" i="28"/>
  <c r="AT79" i="28"/>
  <c r="AU79" i="28" s="1"/>
  <c r="AR78" i="28"/>
  <c r="G184" i="28"/>
  <c r="AK100" i="28"/>
  <c r="O189" i="28"/>
  <c r="AS78" i="28" l="1"/>
  <c r="AT78" i="28"/>
  <c r="AU78" i="28" s="1"/>
  <c r="AV79" i="28"/>
  <c r="G185" i="28"/>
  <c r="AK99" i="28"/>
  <c r="O190" i="28"/>
  <c r="AR77" i="28"/>
  <c r="AV78" i="28" l="1"/>
  <c r="AS77" i="28"/>
  <c r="AT77" i="28"/>
  <c r="AU77" i="28" s="1"/>
  <c r="AN22" i="28"/>
  <c r="AM22" i="28" s="1"/>
  <c r="AN23" i="28"/>
  <c r="AM23" i="28" s="1"/>
  <c r="G186" i="28"/>
  <c r="O191" i="28"/>
  <c r="AK98" i="28"/>
  <c r="AR76" i="28"/>
  <c r="AS76" i="28" l="1"/>
  <c r="AT76" i="28"/>
  <c r="AU76" i="28" s="1"/>
  <c r="AV77" i="28"/>
  <c r="AK97" i="28"/>
  <c r="AR75" i="28"/>
  <c r="O192" i="28"/>
  <c r="G187" i="28"/>
  <c r="M198" i="28" l="1"/>
  <c r="H107" i="6"/>
  <c r="H41" i="6"/>
  <c r="H101" i="6"/>
  <c r="H35" i="6"/>
  <c r="H105" i="6"/>
  <c r="H74" i="6"/>
  <c r="H70" i="6"/>
  <c r="H9" i="6"/>
  <c r="H59" i="6"/>
  <c r="H54" i="6"/>
  <c r="H87" i="6"/>
  <c r="H65" i="6"/>
  <c r="H71" i="6"/>
  <c r="H97" i="6"/>
  <c r="H44" i="6"/>
  <c r="H85" i="6"/>
  <c r="H20" i="6"/>
  <c r="H120" i="6"/>
  <c r="H57" i="6"/>
  <c r="H56" i="6"/>
  <c r="H12" i="6"/>
  <c r="H122" i="6"/>
  <c r="H83" i="6"/>
  <c r="H102" i="6"/>
  <c r="H30" i="6"/>
  <c r="H94" i="6"/>
  <c r="H100" i="6"/>
  <c r="H40" i="6"/>
  <c r="H88" i="6"/>
  <c r="H28" i="6"/>
  <c r="H82" i="6"/>
  <c r="H72" i="6"/>
  <c r="H16" i="6"/>
  <c r="H53" i="6"/>
  <c r="H99" i="6"/>
  <c r="H61" i="6"/>
  <c r="H112" i="6"/>
  <c r="H45" i="6"/>
  <c r="H116" i="6"/>
  <c r="H123" i="6"/>
  <c r="H43" i="6"/>
  <c r="H51" i="6"/>
  <c r="H78" i="6"/>
  <c r="H108" i="6"/>
  <c r="H110" i="6"/>
  <c r="H31" i="6"/>
  <c r="H79" i="6"/>
  <c r="H25" i="6"/>
  <c r="H14" i="6"/>
  <c r="H86" i="6"/>
  <c r="H114" i="6"/>
  <c r="H42" i="6"/>
  <c r="H38" i="6"/>
  <c r="H64" i="6"/>
  <c r="H32" i="6"/>
  <c r="H68" i="6"/>
  <c r="H34" i="6"/>
  <c r="H13" i="6"/>
  <c r="H90" i="6"/>
  <c r="H84" i="6"/>
  <c r="H15" i="6"/>
  <c r="H89" i="6"/>
  <c r="H109" i="6"/>
  <c r="H75" i="6"/>
  <c r="H117" i="6"/>
  <c r="H22" i="6"/>
  <c r="H111" i="6"/>
  <c r="H95" i="6"/>
  <c r="H121" i="6"/>
  <c r="H66" i="6"/>
  <c r="H26" i="6"/>
  <c r="H18" i="6"/>
  <c r="H23" i="6"/>
  <c r="H77" i="6"/>
  <c r="H103" i="6"/>
  <c r="H55" i="6"/>
  <c r="H81" i="6"/>
  <c r="H113" i="6"/>
  <c r="H11" i="6"/>
  <c r="H7" i="6"/>
  <c r="H50" i="6"/>
  <c r="H69" i="6"/>
  <c r="H52" i="6"/>
  <c r="H63" i="6"/>
  <c r="H124" i="6"/>
  <c r="H73" i="6"/>
  <c r="H8" i="6"/>
  <c r="H80" i="6"/>
  <c r="H49" i="6"/>
  <c r="H93" i="6"/>
  <c r="H106" i="6"/>
  <c r="H46" i="6"/>
  <c r="H96" i="6"/>
  <c r="H24" i="6"/>
  <c r="H37" i="6"/>
  <c r="H76" i="6"/>
  <c r="H115" i="6"/>
  <c r="H58" i="6"/>
  <c r="H39" i="6"/>
  <c r="H29" i="6"/>
  <c r="H27" i="6"/>
  <c r="H98" i="6"/>
  <c r="H21" i="6"/>
  <c r="H92" i="6"/>
  <c r="H19" i="6"/>
  <c r="H36" i="6"/>
  <c r="H118" i="6"/>
  <c r="H67" i="6"/>
  <c r="H60" i="6"/>
  <c r="H104" i="6"/>
  <c r="H10" i="6"/>
  <c r="H33" i="6"/>
  <c r="H119" i="6"/>
  <c r="H62" i="6"/>
  <c r="H91" i="6"/>
  <c r="N198" i="28"/>
  <c r="AV76" i="28"/>
  <c r="AS75" i="28"/>
  <c r="AT75" i="28"/>
  <c r="AU75" i="28" s="1"/>
  <c r="I125" i="27"/>
  <c r="E20" i="24"/>
  <c r="E34" i="24"/>
  <c r="E36" i="24"/>
  <c r="E26" i="24"/>
  <c r="E14" i="24"/>
  <c r="E30" i="24"/>
  <c r="E8" i="24"/>
  <c r="E24" i="24"/>
  <c r="E44" i="24"/>
  <c r="E37" i="24"/>
  <c r="E41" i="24"/>
  <c r="E12" i="24"/>
  <c r="E10" i="24"/>
  <c r="E22" i="24"/>
  <c r="AK96" i="28"/>
  <c r="E13" i="24"/>
  <c r="E29" i="24"/>
  <c r="E19" i="24"/>
  <c r="E35" i="24"/>
  <c r="E23" i="24"/>
  <c r="E21" i="24"/>
  <c r="E46" i="24"/>
  <c r="E31" i="24"/>
  <c r="E28" i="24"/>
  <c r="E32" i="24"/>
  <c r="E39" i="24"/>
  <c r="AR74" i="28"/>
  <c r="E25" i="24"/>
  <c r="E47" i="24"/>
  <c r="E9" i="24"/>
  <c r="E48" i="24"/>
  <c r="E38" i="24"/>
  <c r="E43" i="24"/>
  <c r="E17" i="24"/>
  <c r="E45" i="24"/>
  <c r="E11" i="24"/>
  <c r="E33" i="24"/>
  <c r="E27" i="24"/>
  <c r="E7" i="24"/>
  <c r="E49" i="24"/>
  <c r="E16" i="24"/>
  <c r="G188" i="28"/>
  <c r="E42" i="24"/>
  <c r="E40" i="24"/>
  <c r="E18" i="24"/>
  <c r="E15" i="24"/>
  <c r="J125" i="27" l="1"/>
  <c r="AS74" i="28"/>
  <c r="AT74" i="28"/>
  <c r="AU74" i="28" s="1"/>
  <c r="I40" i="24"/>
  <c r="I22" i="24"/>
  <c r="I23" i="24"/>
  <c r="I28" i="24"/>
  <c r="I38" i="24"/>
  <c r="I24" i="24"/>
  <c r="I8" i="24"/>
  <c r="I47" i="24"/>
  <c r="I37" i="24"/>
  <c r="I41" i="24"/>
  <c r="I9" i="24"/>
  <c r="I29" i="24"/>
  <c r="I32" i="24"/>
  <c r="I20" i="24"/>
  <c r="I14" i="24"/>
  <c r="I25" i="24"/>
  <c r="I35" i="24"/>
  <c r="I13" i="24"/>
  <c r="I45" i="24"/>
  <c r="I11" i="24"/>
  <c r="I30" i="24"/>
  <c r="I21" i="24"/>
  <c r="I31" i="24"/>
  <c r="I16" i="24"/>
  <c r="I12" i="24"/>
  <c r="I48" i="24"/>
  <c r="I39" i="24"/>
  <c r="I46" i="24"/>
  <c r="I44" i="24"/>
  <c r="I33" i="24"/>
  <c r="E66" i="24"/>
  <c r="E67" i="24" s="1"/>
  <c r="I7" i="24"/>
  <c r="I49" i="24"/>
  <c r="I36" i="24"/>
  <c r="I26" i="24"/>
  <c r="I34" i="24"/>
  <c r="I17" i="24"/>
  <c r="I18" i="24"/>
  <c r="I19" i="24"/>
  <c r="I10" i="24"/>
  <c r="I42" i="24"/>
  <c r="I15" i="24"/>
  <c r="I27" i="24"/>
  <c r="I43" i="24"/>
  <c r="H125" i="6"/>
  <c r="AV75" i="28"/>
  <c r="AR73" i="28"/>
  <c r="AK95" i="28"/>
  <c r="G189" i="28"/>
  <c r="H126" i="6"/>
  <c r="AS73" i="28" l="1"/>
  <c r="AT73" i="28"/>
  <c r="AU73" i="28" s="1"/>
  <c r="AV73" i="28" s="1"/>
  <c r="AV74" i="28"/>
  <c r="K128" i="27"/>
  <c r="K132" i="27"/>
  <c r="K133" i="27"/>
  <c r="K135" i="27"/>
  <c r="K130" i="27"/>
  <c r="K127" i="27"/>
  <c r="K134" i="27"/>
  <c r="K125" i="27"/>
  <c r="K131" i="27"/>
  <c r="K126" i="27"/>
  <c r="K129" i="27"/>
  <c r="J58" i="24"/>
  <c r="K58" i="24" s="1"/>
  <c r="J65" i="24"/>
  <c r="K65" i="24" s="1"/>
  <c r="J53" i="24"/>
  <c r="K53" i="24" s="1"/>
  <c r="J19" i="24"/>
  <c r="K19" i="24" s="1"/>
  <c r="J30" i="24"/>
  <c r="K30" i="24" s="1"/>
  <c r="J23" i="24"/>
  <c r="K23" i="24" s="1"/>
  <c r="J43" i="24"/>
  <c r="K43" i="24" s="1"/>
  <c r="J7" i="24"/>
  <c r="K7" i="24" s="1"/>
  <c r="J29" i="24"/>
  <c r="K29" i="24" s="1"/>
  <c r="J31" i="24"/>
  <c r="K31" i="24" s="1"/>
  <c r="J20" i="24"/>
  <c r="K20" i="24" s="1"/>
  <c r="J36" i="24"/>
  <c r="K36" i="24" s="1"/>
  <c r="J13" i="24"/>
  <c r="K13" i="24" s="1"/>
  <c r="J56" i="24"/>
  <c r="K56" i="24" s="1"/>
  <c r="J14" i="24"/>
  <c r="K14" i="24" s="1"/>
  <c r="J57" i="24"/>
  <c r="K57" i="24" s="1"/>
  <c r="J33" i="24"/>
  <c r="K33" i="24" s="1"/>
  <c r="J21" i="24"/>
  <c r="K21" i="24" s="1"/>
  <c r="J10" i="24"/>
  <c r="K10" i="24" s="1"/>
  <c r="J9" i="24"/>
  <c r="K9" i="24" s="1"/>
  <c r="J37" i="24"/>
  <c r="K37" i="24" s="1"/>
  <c r="J15" i="24"/>
  <c r="J48" i="24"/>
  <c r="K48" i="24" s="1"/>
  <c r="J41" i="24"/>
  <c r="K41" i="24" s="1"/>
  <c r="J22" i="24"/>
  <c r="K22" i="24" s="1"/>
  <c r="J64" i="24"/>
  <c r="K64" i="24" s="1"/>
  <c r="J17" i="24"/>
  <c r="J42" i="24"/>
  <c r="K42" i="24" s="1"/>
  <c r="J18" i="24"/>
  <c r="K18" i="24" s="1"/>
  <c r="J59" i="24"/>
  <c r="K59" i="24" s="1"/>
  <c r="J55" i="24"/>
  <c r="K55" i="24" s="1"/>
  <c r="J16" i="24"/>
  <c r="K16" i="24" s="1"/>
  <c r="J11" i="24"/>
  <c r="K11" i="24" s="1"/>
  <c r="J35" i="24"/>
  <c r="K35" i="24" s="1"/>
  <c r="J26" i="24"/>
  <c r="K26" i="24" s="1"/>
  <c r="J49" i="24"/>
  <c r="K49" i="24" s="1"/>
  <c r="J63" i="24"/>
  <c r="K63" i="24" s="1"/>
  <c r="J61" i="24"/>
  <c r="K61" i="24" s="1"/>
  <c r="J45" i="24"/>
  <c r="K45" i="24" s="1"/>
  <c r="J24" i="24"/>
  <c r="K24" i="24" s="1"/>
  <c r="J27" i="24"/>
  <c r="K27" i="24" s="1"/>
  <c r="J47" i="24"/>
  <c r="K47" i="24" s="1"/>
  <c r="J46" i="24"/>
  <c r="K46" i="24" s="1"/>
  <c r="J51" i="24"/>
  <c r="K51" i="24" s="1"/>
  <c r="J60" i="24"/>
  <c r="K60" i="24" s="1"/>
  <c r="J34" i="24"/>
  <c r="K34" i="24" s="1"/>
  <c r="J12" i="24"/>
  <c r="K12" i="24" s="1"/>
  <c r="J38" i="24"/>
  <c r="K38" i="24" s="1"/>
  <c r="J25" i="24"/>
  <c r="K25" i="24" s="1"/>
  <c r="J39" i="24"/>
  <c r="K39" i="24" s="1"/>
  <c r="J62" i="24"/>
  <c r="K62" i="24" s="1"/>
  <c r="J52" i="24"/>
  <c r="K52" i="24" s="1"/>
  <c r="J8" i="24"/>
  <c r="K8" i="24" s="1"/>
  <c r="J28" i="24"/>
  <c r="K28" i="24" s="1"/>
  <c r="J40" i="24"/>
  <c r="K40" i="24" s="1"/>
  <c r="J44" i="24"/>
  <c r="K44" i="24" s="1"/>
  <c r="J50" i="24"/>
  <c r="K50" i="24" s="1"/>
  <c r="J54" i="24"/>
  <c r="K54" i="24" s="1"/>
  <c r="J32" i="24"/>
  <c r="K32" i="24" s="1"/>
  <c r="A126" i="6"/>
  <c r="C1" i="6" s="1"/>
  <c r="Y62" i="29"/>
  <c r="Y63" i="29" s="1"/>
  <c r="AR72" i="28"/>
  <c r="G190" i="28"/>
  <c r="AK94" i="28"/>
  <c r="AR71" i="28"/>
  <c r="AR70" i="28"/>
  <c r="AR69" i="28" s="1"/>
  <c r="AT71" i="28" l="1"/>
  <c r="AU71" i="28" s="1"/>
  <c r="AV71" i="28" s="1"/>
  <c r="AS71" i="28"/>
  <c r="AS72" i="28"/>
  <c r="AT72" i="28"/>
  <c r="AU72" i="28" s="1"/>
  <c r="K15" i="24"/>
  <c r="K17" i="24"/>
  <c r="M61" i="24" s="1"/>
  <c r="D131" i="24" s="1"/>
  <c r="AS70" i="28"/>
  <c r="AT70" i="28"/>
  <c r="AU70" i="28" s="1"/>
  <c r="AT69" i="28"/>
  <c r="AU69" i="28" s="1"/>
  <c r="AS69" i="28"/>
  <c r="AR68" i="28"/>
  <c r="AR67" i="28" s="1"/>
  <c r="AK93" i="28"/>
  <c r="G191" i="28"/>
  <c r="M25" i="24" l="1"/>
  <c r="D95" i="24" s="1"/>
  <c r="AV72" i="28"/>
  <c r="AT68" i="28"/>
  <c r="AU68" i="28" s="1"/>
  <c r="AS68" i="28"/>
  <c r="M46" i="24"/>
  <c r="D116" i="24" s="1"/>
  <c r="M58" i="24"/>
  <c r="D128" i="24" s="1"/>
  <c r="G128" i="24" s="1"/>
  <c r="M51" i="24"/>
  <c r="D121" i="24" s="1"/>
  <c r="C121" i="24" s="1"/>
  <c r="M39" i="24"/>
  <c r="D109" i="24" s="1"/>
  <c r="E109" i="24" s="1"/>
  <c r="M31" i="24"/>
  <c r="D101" i="24" s="1"/>
  <c r="F101" i="24" s="1"/>
  <c r="M57" i="24"/>
  <c r="D127" i="24" s="1"/>
  <c r="F127" i="24" s="1"/>
  <c r="M28" i="24"/>
  <c r="D98" i="24" s="1"/>
  <c r="F98" i="24" s="1"/>
  <c r="M9" i="24"/>
  <c r="D79" i="24" s="1"/>
  <c r="E79" i="24" s="1"/>
  <c r="M36" i="24"/>
  <c r="D106" i="24" s="1"/>
  <c r="C106" i="24" s="1"/>
  <c r="M65" i="24"/>
  <c r="D135" i="24" s="1"/>
  <c r="C135" i="24" s="1"/>
  <c r="M62" i="24"/>
  <c r="D132" i="24" s="1"/>
  <c r="C132" i="24" s="1"/>
  <c r="M16" i="24"/>
  <c r="D86" i="24" s="1"/>
  <c r="G86" i="24" s="1"/>
  <c r="M26" i="24"/>
  <c r="D96" i="24" s="1"/>
  <c r="C96" i="24" s="1"/>
  <c r="M13" i="24"/>
  <c r="D83" i="24" s="1"/>
  <c r="G83" i="24" s="1"/>
  <c r="M12" i="24"/>
  <c r="D82" i="24" s="1"/>
  <c r="E82" i="24" s="1"/>
  <c r="M49" i="24"/>
  <c r="D119" i="24" s="1"/>
  <c r="C119" i="24" s="1"/>
  <c r="M35" i="24"/>
  <c r="D105" i="24" s="1"/>
  <c r="F105" i="24" s="1"/>
  <c r="M59" i="24"/>
  <c r="D129" i="24" s="1"/>
  <c r="G129" i="24" s="1"/>
  <c r="M10" i="24"/>
  <c r="D80" i="24" s="1"/>
  <c r="F80" i="24" s="1"/>
  <c r="M20" i="24"/>
  <c r="D90" i="24" s="1"/>
  <c r="E90" i="24" s="1"/>
  <c r="M11" i="24"/>
  <c r="D81" i="24" s="1"/>
  <c r="G81" i="24" s="1"/>
  <c r="M8" i="24"/>
  <c r="D78" i="24" s="1"/>
  <c r="F78" i="24" s="1"/>
  <c r="M53" i="24"/>
  <c r="D123" i="24" s="1"/>
  <c r="C123" i="24" s="1"/>
  <c r="M7" i="24"/>
  <c r="D77" i="24" s="1"/>
  <c r="F77" i="24" s="1"/>
  <c r="M41" i="24"/>
  <c r="D111" i="24" s="1"/>
  <c r="E111" i="24" s="1"/>
  <c r="M32" i="24"/>
  <c r="D102" i="24" s="1"/>
  <c r="G102" i="24" s="1"/>
  <c r="M52" i="24"/>
  <c r="D122" i="24" s="1"/>
  <c r="G122" i="24" s="1"/>
  <c r="M21" i="24"/>
  <c r="D91" i="24" s="1"/>
  <c r="G91" i="24" s="1"/>
  <c r="M47" i="24"/>
  <c r="D117" i="24" s="1"/>
  <c r="F117" i="24" s="1"/>
  <c r="M55" i="24"/>
  <c r="D125" i="24" s="1"/>
  <c r="C125" i="24" s="1"/>
  <c r="M56" i="24"/>
  <c r="D126" i="24" s="1"/>
  <c r="C126" i="24" s="1"/>
  <c r="M50" i="24"/>
  <c r="D120" i="24" s="1"/>
  <c r="F120" i="24" s="1"/>
  <c r="M30" i="24"/>
  <c r="D100" i="24" s="1"/>
  <c r="E100" i="24" s="1"/>
  <c r="M17" i="24"/>
  <c r="D87" i="24" s="1"/>
  <c r="C87" i="24" s="1"/>
  <c r="M60" i="24"/>
  <c r="D130" i="24" s="1"/>
  <c r="F130" i="24" s="1"/>
  <c r="M19" i="24"/>
  <c r="D89" i="24" s="1"/>
  <c r="F89" i="24" s="1"/>
  <c r="M45" i="24"/>
  <c r="D115" i="24" s="1"/>
  <c r="G115" i="24" s="1"/>
  <c r="M29" i="24"/>
  <c r="D99" i="24" s="1"/>
  <c r="F99" i="24" s="1"/>
  <c r="M34" i="24"/>
  <c r="D104" i="24" s="1"/>
  <c r="C104" i="24" s="1"/>
  <c r="M44" i="24"/>
  <c r="D114" i="24" s="1"/>
  <c r="E114" i="24" s="1"/>
  <c r="M64" i="24"/>
  <c r="D134" i="24" s="1"/>
  <c r="C134" i="24" s="1"/>
  <c r="M54" i="24"/>
  <c r="D124" i="24" s="1"/>
  <c r="C124" i="24" s="1"/>
  <c r="M63" i="24"/>
  <c r="D133" i="24" s="1"/>
  <c r="G133" i="24" s="1"/>
  <c r="M40" i="24"/>
  <c r="D110" i="24" s="1"/>
  <c r="F110" i="24" s="1"/>
  <c r="M22" i="24"/>
  <c r="D92" i="24" s="1"/>
  <c r="E92" i="24" s="1"/>
  <c r="M48" i="24"/>
  <c r="D118" i="24" s="1"/>
  <c r="E118" i="24" s="1"/>
  <c r="M24" i="24"/>
  <c r="D94" i="24" s="1"/>
  <c r="G94" i="24" s="1"/>
  <c r="M42" i="24"/>
  <c r="D112" i="24" s="1"/>
  <c r="F112" i="24" s="1"/>
  <c r="M27" i="24"/>
  <c r="D97" i="24" s="1"/>
  <c r="F97" i="24" s="1"/>
  <c r="M43" i="24"/>
  <c r="D113" i="24" s="1"/>
  <c r="E113" i="24" s="1"/>
  <c r="M38" i="24"/>
  <c r="D108" i="24" s="1"/>
  <c r="E108" i="24" s="1"/>
  <c r="M18" i="24"/>
  <c r="D88" i="24" s="1"/>
  <c r="E88" i="24" s="1"/>
  <c r="M37" i="24"/>
  <c r="D107" i="24" s="1"/>
  <c r="E107" i="24" s="1"/>
  <c r="M23" i="24"/>
  <c r="D93" i="24" s="1"/>
  <c r="F93" i="24" s="1"/>
  <c r="M14" i="24"/>
  <c r="D84" i="24" s="1"/>
  <c r="C84" i="24" s="1"/>
  <c r="M15" i="24"/>
  <c r="D85" i="24" s="1"/>
  <c r="E85" i="24" s="1"/>
  <c r="M33" i="24"/>
  <c r="D103" i="24" s="1"/>
  <c r="F103" i="24" s="1"/>
  <c r="AV70" i="28"/>
  <c r="E132" i="24"/>
  <c r="G132" i="24"/>
  <c r="E121" i="24"/>
  <c r="F95" i="24"/>
  <c r="G95" i="24"/>
  <c r="E95" i="24"/>
  <c r="C95" i="24"/>
  <c r="C116" i="24"/>
  <c r="G116" i="24"/>
  <c r="F116" i="24"/>
  <c r="E116" i="24"/>
  <c r="G134" i="24"/>
  <c r="G80" i="24"/>
  <c r="G99" i="24"/>
  <c r="F131" i="24"/>
  <c r="E131" i="24"/>
  <c r="G131" i="24"/>
  <c r="C131" i="24"/>
  <c r="C105" i="24"/>
  <c r="F83" i="24"/>
  <c r="F125" i="24"/>
  <c r="C122" i="24"/>
  <c r="AV69" i="28"/>
  <c r="AT67" i="28"/>
  <c r="AU67" i="28" s="1"/>
  <c r="AS67" i="28"/>
  <c r="AV68" i="28"/>
  <c r="G192" i="28"/>
  <c r="AK92" i="28"/>
  <c r="AR66" i="28"/>
  <c r="AR65" i="28" s="1"/>
  <c r="G90" i="24" l="1"/>
  <c r="E89" i="24"/>
  <c r="F128" i="24"/>
  <c r="C128" i="24"/>
  <c r="E128" i="24"/>
  <c r="C109" i="24"/>
  <c r="G109" i="24"/>
  <c r="C90" i="24"/>
  <c r="F109" i="24"/>
  <c r="E91" i="24"/>
  <c r="F90" i="24"/>
  <c r="C86" i="24"/>
  <c r="F132" i="24"/>
  <c r="E122" i="24"/>
  <c r="F133" i="24"/>
  <c r="F122" i="24"/>
  <c r="C80" i="24"/>
  <c r="E130" i="24"/>
  <c r="G121" i="24"/>
  <c r="E80" i="24"/>
  <c r="F121" i="24"/>
  <c r="E101" i="24"/>
  <c r="C83" i="24"/>
  <c r="G78" i="24"/>
  <c r="E83" i="24"/>
  <c r="E93" i="24"/>
  <c r="E127" i="24"/>
  <c r="E78" i="24"/>
  <c r="C127" i="24"/>
  <c r="C78" i="24"/>
  <c r="G127" i="24"/>
  <c r="E125" i="24"/>
  <c r="E99" i="24"/>
  <c r="G125" i="24"/>
  <c r="C99" i="24"/>
  <c r="C100" i="24"/>
  <c r="G98" i="24"/>
  <c r="F96" i="24"/>
  <c r="F123" i="24"/>
  <c r="F92" i="24"/>
  <c r="G82" i="24"/>
  <c r="F126" i="24"/>
  <c r="F81" i="24"/>
  <c r="C117" i="24"/>
  <c r="F115" i="24"/>
  <c r="E84" i="24"/>
  <c r="C115" i="24"/>
  <c r="C92" i="24"/>
  <c r="E96" i="24"/>
  <c r="E81" i="24"/>
  <c r="F79" i="24"/>
  <c r="E117" i="24"/>
  <c r="E115" i="24"/>
  <c r="E119" i="24"/>
  <c r="G96" i="24"/>
  <c r="G119" i="24"/>
  <c r="G117" i="24"/>
  <c r="G107" i="24"/>
  <c r="F119" i="24"/>
  <c r="G120" i="24"/>
  <c r="F107" i="24"/>
  <c r="C101" i="24"/>
  <c r="C107" i="24"/>
  <c r="G92" i="24"/>
  <c r="C81" i="24"/>
  <c r="G101" i="24"/>
  <c r="F94" i="24"/>
  <c r="F100" i="24"/>
  <c r="E106" i="24"/>
  <c r="G106" i="24"/>
  <c r="G100" i="24"/>
  <c r="G105" i="24"/>
  <c r="G77" i="24"/>
  <c r="E105" i="24"/>
  <c r="C111" i="24"/>
  <c r="F106" i="24"/>
  <c r="F111" i="24"/>
  <c r="G111" i="24"/>
  <c r="G114" i="24"/>
  <c r="E102" i="24"/>
  <c r="G104" i="24"/>
  <c r="E87" i="24"/>
  <c r="F135" i="24"/>
  <c r="G123" i="24"/>
  <c r="E98" i="24"/>
  <c r="E135" i="24"/>
  <c r="E123" i="24"/>
  <c r="C82" i="24"/>
  <c r="C129" i="24"/>
  <c r="G135" i="24"/>
  <c r="C94" i="24"/>
  <c r="F82" i="24"/>
  <c r="F129" i="24"/>
  <c r="F104" i="24"/>
  <c r="E129" i="24"/>
  <c r="E124" i="24"/>
  <c r="F84" i="24"/>
  <c r="E126" i="24"/>
  <c r="E94" i="24"/>
  <c r="G87" i="24"/>
  <c r="G84" i="24"/>
  <c r="G126" i="24"/>
  <c r="F87" i="24"/>
  <c r="C98" i="24"/>
  <c r="F102" i="24"/>
  <c r="C102" i="24"/>
  <c r="G89" i="24"/>
  <c r="F91" i="24"/>
  <c r="C79" i="24"/>
  <c r="E77" i="24"/>
  <c r="C89" i="24"/>
  <c r="C91" i="24"/>
  <c r="G79" i="24"/>
  <c r="C77" i="24"/>
  <c r="F114" i="24"/>
  <c r="E120" i="24"/>
  <c r="F86" i="24"/>
  <c r="C114" i="24"/>
  <c r="C120" i="24"/>
  <c r="E86" i="24"/>
  <c r="C130" i="24"/>
  <c r="G130" i="24"/>
  <c r="E104" i="24"/>
  <c r="G113" i="24"/>
  <c r="F113" i="24"/>
  <c r="C113" i="24"/>
  <c r="F124" i="24"/>
  <c r="G124" i="24"/>
  <c r="F134" i="24"/>
  <c r="G97" i="24"/>
  <c r="C110" i="24"/>
  <c r="G88" i="24"/>
  <c r="E134" i="24"/>
  <c r="E133" i="24"/>
  <c r="C133" i="24"/>
  <c r="C88" i="24"/>
  <c r="F88" i="24"/>
  <c r="E110" i="24"/>
  <c r="G110" i="24"/>
  <c r="C93" i="24"/>
  <c r="G93" i="24"/>
  <c r="C112" i="24"/>
  <c r="C85" i="24"/>
  <c r="E112" i="24"/>
  <c r="G85" i="24"/>
  <c r="G112" i="24"/>
  <c r="F85" i="24"/>
  <c r="F118" i="24"/>
  <c r="G118" i="24"/>
  <c r="C118" i="24"/>
  <c r="E97" i="24"/>
  <c r="C97" i="24"/>
  <c r="F108" i="24"/>
  <c r="G108" i="24"/>
  <c r="C108" i="24"/>
  <c r="E103" i="24"/>
  <c r="C103" i="24"/>
  <c r="G103" i="24"/>
  <c r="AV67" i="28"/>
  <c r="AT65" i="28"/>
  <c r="AU65" i="28" s="1"/>
  <c r="AS65" i="28"/>
  <c r="AS66" i="28"/>
  <c r="AT66" i="28"/>
  <c r="AU66" i="28" s="1"/>
  <c r="AK91" i="28"/>
  <c r="AR64" i="28"/>
  <c r="AS64" i="28" l="1"/>
  <c r="AT64" i="28"/>
  <c r="AU64" i="28" s="1"/>
  <c r="AV65" i="28"/>
  <c r="AV66" i="28"/>
  <c r="AR63" i="28"/>
  <c r="AK90" i="28"/>
  <c r="AR62" i="28"/>
  <c r="AS63" i="28" l="1"/>
  <c r="AT63" i="28"/>
  <c r="AU63" i="28" s="1"/>
  <c r="AV63" i="28" s="1"/>
  <c r="AV64" i="28"/>
  <c r="AS62" i="28"/>
  <c r="AT62" i="28"/>
  <c r="AU62" i="28" s="1"/>
  <c r="AK89" i="28"/>
  <c r="AR61" i="28"/>
  <c r="AT61" i="28" l="1"/>
  <c r="AU61" i="28" s="1"/>
  <c r="AS61" i="28"/>
  <c r="AV62" i="28"/>
  <c r="AK88" i="28"/>
  <c r="AR60" i="28"/>
  <c r="AT60" i="28" l="1"/>
  <c r="AU60" i="28" s="1"/>
  <c r="AS60" i="28"/>
  <c r="AV61" i="28"/>
  <c r="AR59" i="28"/>
  <c r="AK87" i="28"/>
  <c r="AT59" i="28" l="1"/>
  <c r="AU59" i="28" s="1"/>
  <c r="AS59" i="28"/>
  <c r="AV60" i="28"/>
  <c r="AK86" i="28"/>
  <c r="AR58" i="28"/>
  <c r="AT58" i="28" l="1"/>
  <c r="AU58" i="28" s="1"/>
  <c r="AS58" i="28"/>
  <c r="AV59" i="28"/>
  <c r="AR57" i="28"/>
  <c r="AR56" i="28"/>
  <c r="AK85" i="28"/>
  <c r="AS57" i="28" l="1"/>
  <c r="AT57" i="28"/>
  <c r="AU57" i="28" s="1"/>
  <c r="AV57" i="28" s="1"/>
  <c r="AV58" i="28"/>
  <c r="AT56" i="28"/>
  <c r="AU56" i="28" s="1"/>
  <c r="AS56" i="28"/>
  <c r="AR55" i="28"/>
  <c r="AK84" i="28"/>
  <c r="AS55" i="28" l="1"/>
  <c r="AT55" i="28"/>
  <c r="AU55" i="28" s="1"/>
  <c r="AV55" i="28" s="1"/>
  <c r="AV56" i="28"/>
  <c r="AR54" i="28"/>
  <c r="AR53" i="28"/>
  <c r="AK83" i="28"/>
  <c r="AT54" i="28" l="1"/>
  <c r="AU54" i="28" s="1"/>
  <c r="AS54" i="28"/>
  <c r="AT53" i="28"/>
  <c r="AU53" i="28" s="1"/>
  <c r="AS53" i="28"/>
  <c r="AR52" i="28"/>
  <c r="AR51" i="28"/>
  <c r="AK82" i="28"/>
  <c r="AV54" i="28" l="1"/>
  <c r="AT52" i="28"/>
  <c r="AU52" i="28" s="1"/>
  <c r="AS52" i="28"/>
  <c r="AS51" i="28"/>
  <c r="AT51" i="28"/>
  <c r="AU51" i="28" s="1"/>
  <c r="AV53" i="28"/>
  <c r="AR50" i="28"/>
  <c r="AK81" i="28"/>
  <c r="AV52" i="28" l="1"/>
  <c r="AS50" i="28"/>
  <c r="AT50" i="28"/>
  <c r="AU50" i="28" s="1"/>
  <c r="AV51" i="28"/>
  <c r="AR49" i="28"/>
  <c r="AK80" i="28"/>
  <c r="AR48" i="28"/>
  <c r="AR47" i="28" s="1"/>
  <c r="AS49" i="28" l="1"/>
  <c r="AT49" i="28"/>
  <c r="AU49" i="28" s="1"/>
  <c r="AV49" i="28" s="1"/>
  <c r="AT48" i="28"/>
  <c r="AU48" i="28" s="1"/>
  <c r="AS48" i="28"/>
  <c r="AV50" i="28"/>
  <c r="AS47" i="28"/>
  <c r="AT47" i="28"/>
  <c r="AU47" i="28" s="1"/>
  <c r="AK79" i="28"/>
  <c r="AR46" i="28"/>
  <c r="AV48" i="28" l="1"/>
  <c r="AS46" i="28"/>
  <c r="AT46" i="28"/>
  <c r="AU46" i="28" s="1"/>
  <c r="AV46" i="28" s="1"/>
  <c r="AV47" i="28"/>
  <c r="AR45" i="28"/>
  <c r="AK78" i="28"/>
  <c r="AR44" i="28"/>
  <c r="AS45" i="28" l="1"/>
  <c r="AT45" i="28"/>
  <c r="AU45" i="28" s="1"/>
  <c r="AV45" i="28" s="1"/>
  <c r="AT44" i="28"/>
  <c r="AU44" i="28" s="1"/>
  <c r="AS44" i="28"/>
  <c r="AR43" i="28"/>
  <c r="AK77" i="28"/>
  <c r="AV44" i="28" l="1"/>
  <c r="AT43" i="28"/>
  <c r="AU43" i="28" s="1"/>
  <c r="AS43" i="28"/>
  <c r="AR42" i="28"/>
  <c r="AK76" i="28"/>
  <c r="AT42" i="28" l="1"/>
  <c r="AU42" i="28" s="1"/>
  <c r="AS42" i="28"/>
  <c r="AV43" i="28"/>
  <c r="AK75" i="28"/>
  <c r="AR41" i="28"/>
  <c r="AS41" i="28" l="1"/>
  <c r="AT41" i="28"/>
  <c r="AU41" i="28" s="1"/>
  <c r="AV42" i="28"/>
  <c r="AR40" i="28"/>
  <c r="AK74" i="28"/>
  <c r="AS40" i="28" l="1"/>
  <c r="AT40" i="28"/>
  <c r="AU40" i="28" s="1"/>
  <c r="AV41" i="28"/>
  <c r="AK73" i="28"/>
  <c r="AR39" i="28"/>
  <c r="AR38" i="28" s="1"/>
  <c r="AT39" i="28" l="1"/>
  <c r="AU39" i="28" s="1"/>
  <c r="AS39" i="28"/>
  <c r="AV40" i="28"/>
  <c r="AS38" i="28"/>
  <c r="AT38" i="28"/>
  <c r="AU38" i="28" s="1"/>
  <c r="AK72" i="28"/>
  <c r="AR37" i="28"/>
  <c r="AV39" i="28" l="1"/>
  <c r="AT37" i="28"/>
  <c r="AU37" i="28" s="1"/>
  <c r="AS37" i="28"/>
  <c r="AV38" i="28"/>
  <c r="AR36" i="28"/>
  <c r="AK71" i="28"/>
  <c r="AS36" i="28" l="1"/>
  <c r="AT36" i="28"/>
  <c r="AU36" i="28" s="1"/>
  <c r="AV37" i="28"/>
  <c r="AK70" i="28"/>
  <c r="AR35" i="28"/>
  <c r="AR34" i="28" s="1"/>
  <c r="AT35" i="28" l="1"/>
  <c r="AU35" i="28" s="1"/>
  <c r="AS35" i="28"/>
  <c r="AV36" i="28"/>
  <c r="AT34" i="28"/>
  <c r="AU34" i="28" s="1"/>
  <c r="AS34" i="28"/>
  <c r="AK69" i="28"/>
  <c r="AR33" i="28"/>
  <c r="AV35" i="28" l="1"/>
  <c r="AS33" i="28"/>
  <c r="AT33" i="28"/>
  <c r="AU33" i="28" s="1"/>
  <c r="AV34" i="28"/>
  <c r="AK68" i="28"/>
  <c r="AR32" i="28"/>
  <c r="AV33" i="28" l="1"/>
  <c r="AS32" i="28"/>
  <c r="AT32" i="28"/>
  <c r="AU32" i="28" s="1"/>
  <c r="AK67" i="28"/>
  <c r="AR31" i="28"/>
  <c r="AS31" i="28" l="1"/>
  <c r="AT31" i="28"/>
  <c r="AU31" i="28" s="1"/>
  <c r="AV32" i="28"/>
  <c r="AK66" i="28"/>
  <c r="AR30" i="28"/>
  <c r="AS30" i="28" l="1"/>
  <c r="AT30" i="28"/>
  <c r="AU30" i="28" s="1"/>
  <c r="AV31" i="28"/>
  <c r="AR29" i="28"/>
  <c r="AK65" i="28"/>
  <c r="AK64" i="28" s="1"/>
  <c r="AK63" i="28" s="1"/>
  <c r="AK62" i="28" s="1"/>
  <c r="AK61" i="28" s="1"/>
  <c r="AR28" i="28"/>
  <c r="AS29" i="28" l="1"/>
  <c r="AT29" i="28"/>
  <c r="AU29" i="28" s="1"/>
  <c r="AV30" i="28"/>
  <c r="AS28" i="28"/>
  <c r="AT28" i="28"/>
  <c r="AU28" i="28" s="1"/>
  <c r="AR27" i="28"/>
  <c r="AK60" i="28"/>
  <c r="AV29" i="28" l="1"/>
  <c r="AT27" i="28"/>
  <c r="AU27" i="28" s="1"/>
  <c r="AS27" i="28"/>
  <c r="AV28" i="28"/>
  <c r="AK59" i="28"/>
  <c r="AR26" i="28"/>
  <c r="AT26" i="28" l="1"/>
  <c r="AU26" i="28" s="1"/>
  <c r="AS26" i="28"/>
  <c r="AV27" i="28"/>
  <c r="AK58" i="28"/>
  <c r="AR25" i="28"/>
  <c r="AV26" i="28" l="1"/>
  <c r="AT25" i="28"/>
  <c r="AU25" i="28" s="1"/>
  <c r="AS25" i="28"/>
  <c r="AK57" i="28"/>
  <c r="AR24" i="28"/>
  <c r="AT24" i="28" l="1"/>
  <c r="AU24" i="28" s="1"/>
  <c r="AX24" i="28"/>
  <c r="AS24" i="28"/>
  <c r="AV25" i="28"/>
  <c r="AM117" i="28"/>
  <c r="AM118" i="28"/>
  <c r="AM119" i="28"/>
  <c r="AM120" i="28"/>
  <c r="AR23" i="28"/>
  <c r="AR22" i="28"/>
  <c r="Y53" i="27"/>
  <c r="Y63" i="27"/>
  <c r="Y48" i="27"/>
  <c r="Y56" i="27"/>
  <c r="Y58" i="27"/>
  <c r="AK56" i="28"/>
  <c r="Y59" i="27"/>
  <c r="Y57" i="27"/>
  <c r="Y54" i="27"/>
  <c r="Y60" i="27"/>
  <c r="Y61" i="27"/>
  <c r="Y51" i="27"/>
  <c r="Y47" i="27"/>
  <c r="Y55" i="27"/>
  <c r="Y52" i="27"/>
  <c r="Y49" i="27"/>
  <c r="Y50" i="27"/>
  <c r="AR21" i="28"/>
  <c r="AV24" i="28" l="1"/>
  <c r="AT22" i="28"/>
  <c r="AU22" i="28" s="1"/>
  <c r="AS22" i="28"/>
  <c r="K51" i="27"/>
  <c r="K49" i="27"/>
  <c r="K48" i="27"/>
  <c r="K58" i="27"/>
  <c r="K55" i="27"/>
  <c r="K50" i="27"/>
  <c r="K52" i="27"/>
  <c r="K59" i="27"/>
  <c r="K56" i="27"/>
  <c r="K60" i="27"/>
  <c r="K57" i="27"/>
  <c r="K63" i="27"/>
  <c r="K61" i="27"/>
  <c r="AT23" i="28"/>
  <c r="AU23" i="28" s="1"/>
  <c r="AS23" i="28"/>
  <c r="AT21" i="28"/>
  <c r="AU21" i="28" s="1"/>
  <c r="AS21" i="28"/>
  <c r="AM121" i="28"/>
  <c r="AM122" i="28"/>
  <c r="AM123" i="28"/>
  <c r="AR20" i="28"/>
  <c r="AK55" i="28"/>
  <c r="AV22" i="28" l="1"/>
  <c r="AV23" i="28"/>
  <c r="E149" i="27"/>
  <c r="AT20" i="28"/>
  <c r="AU20" i="28" s="1"/>
  <c r="AS20" i="28"/>
  <c r="AV21" i="28"/>
  <c r="AK54" i="28"/>
  <c r="AR19" i="28"/>
  <c r="AR18" i="28" s="1"/>
  <c r="AV20" i="28" l="1"/>
  <c r="AS18" i="28"/>
  <c r="AT18" i="28"/>
  <c r="AU18" i="28" s="1"/>
  <c r="AT19" i="28"/>
  <c r="AU19" i="28" s="1"/>
  <c r="AS19" i="28"/>
  <c r="AM175" i="28"/>
  <c r="AR17" i="28"/>
  <c r="AK53" i="28"/>
  <c r="AS17" i="28" l="1"/>
  <c r="AT17" i="28"/>
  <c r="AU17" i="28" s="1"/>
  <c r="AV18" i="28"/>
  <c r="AV19" i="28"/>
  <c r="AR16" i="28"/>
  <c r="AK52" i="28"/>
  <c r="AT16" i="28" l="1"/>
  <c r="AU16" i="28" s="1"/>
  <c r="AS16" i="28"/>
  <c r="AV17" i="28"/>
  <c r="AR15" i="28"/>
  <c r="AK51" i="28"/>
  <c r="AV16" i="28" l="1"/>
  <c r="AT15" i="28"/>
  <c r="AU15" i="28" s="1"/>
  <c r="AS15" i="28"/>
  <c r="AR14" i="28"/>
  <c r="AK50" i="28"/>
  <c r="AR13" i="28"/>
  <c r="AR12" i="28"/>
  <c r="AS12" i="28" l="1"/>
  <c r="AT12" i="28"/>
  <c r="AU12" i="28" s="1"/>
  <c r="AV12" i="28" s="1"/>
  <c r="AT13" i="28"/>
  <c r="AU13" i="28" s="1"/>
  <c r="AS13" i="28"/>
  <c r="AT14" i="28"/>
  <c r="AU14" i="28" s="1"/>
  <c r="AS14" i="28"/>
  <c r="AV15" i="28"/>
  <c r="AK49" i="28"/>
  <c r="AV14" i="28" l="1"/>
  <c r="AV13" i="28"/>
  <c r="AK48" i="28"/>
  <c r="AK47" i="28"/>
  <c r="AK46" i="28"/>
  <c r="AK45" i="28"/>
  <c r="AK44" i="28"/>
  <c r="AK43" i="28"/>
  <c r="AK42" i="28"/>
  <c r="AK41" i="28"/>
  <c r="AK40" i="28"/>
  <c r="AK39" i="28"/>
  <c r="AK38" i="28"/>
  <c r="AK37" i="28" s="1"/>
  <c r="AK36" i="28" s="1"/>
  <c r="AK35" i="28" s="1"/>
  <c r="AK34" i="28" s="1"/>
  <c r="AK33" i="28"/>
  <c r="AK32" i="28"/>
  <c r="AK31" i="28"/>
  <c r="AK30" i="28"/>
  <c r="AK29" i="28"/>
  <c r="AK28" i="28"/>
  <c r="AK27" i="28"/>
  <c r="AK26" i="28"/>
  <c r="AK25" i="28" s="1"/>
  <c r="AK24" i="28" s="1"/>
  <c r="AK23" i="28"/>
  <c r="AK22" i="28" s="1"/>
  <c r="AK21" i="28" s="1"/>
  <c r="AK20" i="28" s="1"/>
  <c r="AK19" i="28" s="1"/>
  <c r="AN24" i="28" l="1"/>
  <c r="AM24" i="28"/>
  <c r="AK18" i="28"/>
  <c r="AK17" i="28" s="1"/>
  <c r="AM124" i="28"/>
  <c r="C71" i="27"/>
  <c r="J71" i="27"/>
  <c r="J70" i="27"/>
  <c r="E70" i="27"/>
  <c r="E71" i="27"/>
  <c r="C70" i="27"/>
  <c r="H70" i="27"/>
  <c r="H71" i="27"/>
  <c r="AM140" i="28"/>
  <c r="E72" i="27"/>
  <c r="J72" i="27"/>
  <c r="AM179" i="28"/>
  <c r="E73" i="27"/>
  <c r="AM192" i="28"/>
  <c r="H72" i="27"/>
  <c r="C72" i="27"/>
  <c r="H74" i="27"/>
  <c r="J73" i="27"/>
  <c r="H73" i="27"/>
  <c r="AM194" i="28"/>
  <c r="J83" i="27"/>
  <c r="J74" i="27"/>
  <c r="H84" i="27"/>
  <c r="H80" i="27"/>
  <c r="H82" i="27"/>
  <c r="C88" i="27"/>
  <c r="H88" i="27"/>
  <c r="C82" i="27"/>
  <c r="H87" i="27"/>
  <c r="H83" i="27"/>
  <c r="E81" i="27"/>
  <c r="J80" i="27"/>
  <c r="C74" i="27"/>
  <c r="C73" i="27"/>
  <c r="C81" i="27"/>
  <c r="C84" i="27"/>
  <c r="J85" i="27"/>
  <c r="E76" i="27"/>
  <c r="C77" i="27"/>
  <c r="J76" i="27"/>
  <c r="H78" i="27"/>
  <c r="H79" i="27"/>
  <c r="C85" i="27"/>
  <c r="E85" i="27"/>
  <c r="E88" i="27"/>
  <c r="E75" i="27"/>
  <c r="J79" i="27"/>
  <c r="J77" i="27"/>
  <c r="E74" i="27"/>
  <c r="C87" i="27"/>
  <c r="H75" i="27"/>
  <c r="J75" i="27"/>
  <c r="E87" i="27"/>
  <c r="C78" i="27"/>
  <c r="J86" i="27"/>
  <c r="C75" i="27"/>
  <c r="E77" i="27"/>
  <c r="H77" i="27"/>
  <c r="J84" i="27"/>
  <c r="H85" i="27"/>
  <c r="H86" i="27"/>
  <c r="C76" i="27"/>
  <c r="C83" i="27"/>
  <c r="H81" i="27"/>
  <c r="J87" i="27"/>
  <c r="E84" i="27"/>
  <c r="J81" i="27"/>
  <c r="C86" i="27"/>
  <c r="E86" i="27"/>
  <c r="E79" i="27"/>
  <c r="C79" i="27"/>
  <c r="E82" i="27"/>
  <c r="E80" i="27"/>
  <c r="H76" i="27"/>
  <c r="E78" i="27"/>
  <c r="E83" i="27"/>
  <c r="J82" i="27"/>
  <c r="J88" i="27"/>
  <c r="J78" i="27"/>
  <c r="C80" i="27"/>
  <c r="W80" i="27" l="1"/>
  <c r="Z80" i="27"/>
  <c r="AA80" i="27" s="1"/>
  <c r="B176" i="27" s="1"/>
  <c r="C176" i="27" s="1"/>
  <c r="X80" i="27"/>
  <c r="I78" i="27"/>
  <c r="I88" i="27"/>
  <c r="I82" i="27"/>
  <c r="G76" i="27"/>
  <c r="X79" i="27"/>
  <c r="W79" i="27"/>
  <c r="Z79" i="27"/>
  <c r="AA79" i="27" s="1"/>
  <c r="B175" i="27" s="1"/>
  <c r="C175" i="27" s="1"/>
  <c r="W86" i="27"/>
  <c r="Z86" i="27"/>
  <c r="AA86" i="27" s="1"/>
  <c r="B182" i="27" s="1"/>
  <c r="C182" i="27" s="1"/>
  <c r="X86" i="27"/>
  <c r="I81" i="27"/>
  <c r="I87" i="27"/>
  <c r="G81" i="27"/>
  <c r="X83" i="27"/>
  <c r="W83" i="27"/>
  <c r="Z83" i="27"/>
  <c r="AA83" i="27" s="1"/>
  <c r="B179" i="27" s="1"/>
  <c r="C179" i="27" s="1"/>
  <c r="X76" i="27"/>
  <c r="Z76" i="27"/>
  <c r="AA76" i="27" s="1"/>
  <c r="B172" i="27" s="1"/>
  <c r="C172" i="27" s="1"/>
  <c r="W76" i="27"/>
  <c r="G86" i="27"/>
  <c r="G85" i="27"/>
  <c r="I84" i="27"/>
  <c r="G77" i="27"/>
  <c r="W75" i="27"/>
  <c r="Z75" i="27"/>
  <c r="AA75" i="27" s="1"/>
  <c r="B171" i="27" s="1"/>
  <c r="X75" i="27"/>
  <c r="I86" i="27"/>
  <c r="Z78" i="27"/>
  <c r="AA78" i="27" s="1"/>
  <c r="B174" i="27" s="1"/>
  <c r="C174" i="27" s="1"/>
  <c r="X78" i="27"/>
  <c r="W78" i="27"/>
  <c r="I75" i="27"/>
  <c r="G75" i="27"/>
  <c r="Z87" i="27"/>
  <c r="AA87" i="27" s="1"/>
  <c r="B183" i="27" s="1"/>
  <c r="C183" i="27" s="1"/>
  <c r="X87" i="27"/>
  <c r="W87" i="27"/>
  <c r="I77" i="27"/>
  <c r="I79" i="27"/>
  <c r="Z85" i="27"/>
  <c r="AA85" i="27" s="1"/>
  <c r="B181" i="27" s="1"/>
  <c r="C181" i="27" s="1"/>
  <c r="X85" i="27"/>
  <c r="W85" i="27"/>
  <c r="G79" i="27"/>
  <c r="G78" i="27"/>
  <c r="I76" i="27"/>
  <c r="Z77" i="27"/>
  <c r="AA77" i="27" s="1"/>
  <c r="B173" i="27" s="1"/>
  <c r="C173" i="27" s="1"/>
  <c r="W77" i="27"/>
  <c r="X77" i="27"/>
  <c r="I85" i="27"/>
  <c r="X84" i="27"/>
  <c r="Z84" i="27"/>
  <c r="AA84" i="27" s="1"/>
  <c r="B180" i="27" s="1"/>
  <c r="C180" i="27" s="1"/>
  <c r="W84" i="27"/>
  <c r="X81" i="27"/>
  <c r="Z81" i="27"/>
  <c r="AA81" i="27" s="1"/>
  <c r="B177" i="27" s="1"/>
  <c r="C177" i="27" s="1"/>
  <c r="W81" i="27"/>
  <c r="X73" i="27"/>
  <c r="Z73" i="27"/>
  <c r="AA73" i="27" s="1"/>
  <c r="B169" i="27" s="1"/>
  <c r="W73" i="27"/>
  <c r="X74" i="27"/>
  <c r="Y74" i="27" s="1"/>
  <c r="B150" i="27" s="1"/>
  <c r="C150" i="27" s="1"/>
  <c r="Z74" i="27"/>
  <c r="AA74" i="27" s="1"/>
  <c r="B170" i="27" s="1"/>
  <c r="W74" i="27"/>
  <c r="I80" i="27"/>
  <c r="G83" i="27"/>
  <c r="G87" i="27"/>
  <c r="X82" i="27"/>
  <c r="W82" i="27"/>
  <c r="Z82" i="27"/>
  <c r="AA82" i="27" s="1"/>
  <c r="B178" i="27" s="1"/>
  <c r="C178" i="27" s="1"/>
  <c r="G88" i="27"/>
  <c r="X88" i="27"/>
  <c r="Z88" i="27"/>
  <c r="AA88" i="27" s="1"/>
  <c r="W88" i="27"/>
  <c r="G82" i="27"/>
  <c r="G80" i="27"/>
  <c r="G84" i="27"/>
  <c r="I74" i="27"/>
  <c r="I83" i="27"/>
  <c r="G73" i="27"/>
  <c r="I73" i="27"/>
  <c r="G74" i="27"/>
  <c r="X72" i="27"/>
  <c r="Z72" i="27"/>
  <c r="AA72" i="27" s="1"/>
  <c r="B168" i="27" s="1"/>
  <c r="W72" i="27"/>
  <c r="G72" i="27"/>
  <c r="I72" i="27"/>
  <c r="G71" i="27"/>
  <c r="G70" i="27"/>
  <c r="Z70" i="27"/>
  <c r="AA70" i="27" s="1"/>
  <c r="B166" i="27" s="1"/>
  <c r="X70" i="27"/>
  <c r="Y70" i="27" s="1"/>
  <c r="B146" i="27" s="1"/>
  <c r="W70" i="27"/>
  <c r="AL179" i="28"/>
  <c r="AL140" i="28"/>
  <c r="AL194" i="28"/>
  <c r="AL24" i="28"/>
  <c r="AL192" i="28"/>
  <c r="AL124" i="28"/>
  <c r="I70" i="27"/>
  <c r="I71" i="27"/>
  <c r="X71" i="27"/>
  <c r="Y71" i="27" s="1"/>
  <c r="B147" i="27" s="1"/>
  <c r="C147" i="27" s="1"/>
  <c r="W71" i="27"/>
  <c r="Z71" i="27"/>
  <c r="AA71" i="27" s="1"/>
  <c r="B167" i="27" s="1"/>
  <c r="AL123" i="28"/>
  <c r="AL178" i="28"/>
  <c r="AL139" i="28"/>
  <c r="AL193" i="28"/>
  <c r="AL23" i="28"/>
  <c r="AK16" i="28"/>
  <c r="AK15" i="28" s="1"/>
  <c r="AK14" i="28" s="1"/>
  <c r="AL191" i="28"/>
  <c r="AL122" i="28"/>
  <c r="AL177" i="28"/>
  <c r="AL138" i="28"/>
  <c r="AL22" i="28"/>
  <c r="AL190" i="28"/>
  <c r="AL121" i="28"/>
  <c r="AL176" i="28"/>
  <c r="AL137" i="28"/>
  <c r="AL21" i="28"/>
  <c r="AL189" i="28"/>
  <c r="AL120" i="28"/>
  <c r="AL175" i="28"/>
  <c r="AL136" i="28"/>
  <c r="AL20" i="28"/>
  <c r="AL188" i="28"/>
  <c r="AL119" i="28"/>
  <c r="AL174" i="28"/>
  <c r="AL135" i="28"/>
  <c r="AL19" i="28"/>
  <c r="AL187" i="28"/>
  <c r="AL118" i="28"/>
  <c r="AL173" i="28"/>
  <c r="AL134" i="28"/>
  <c r="AL18" i="28"/>
  <c r="AL186" i="28"/>
  <c r="AL117" i="28"/>
  <c r="AL172" i="28"/>
  <c r="AL133" i="28"/>
  <c r="AL17" i="28"/>
  <c r="AL185" i="28"/>
  <c r="AL116" i="28"/>
  <c r="AL171" i="28"/>
  <c r="AL132" i="28"/>
  <c r="AL16" i="28"/>
  <c r="AL184" i="28"/>
  <c r="AL115" i="28"/>
  <c r="AL170" i="28"/>
  <c r="AL131" i="28"/>
  <c r="AL15" i="28"/>
  <c r="AL183" i="28"/>
  <c r="AL114" i="28"/>
  <c r="AL169" i="28"/>
  <c r="AL130" i="28"/>
  <c r="AL14" i="28"/>
  <c r="AL182" i="28"/>
  <c r="AL113" i="28"/>
  <c r="AL168" i="28"/>
  <c r="AL129" i="28"/>
  <c r="AL13" i="28"/>
  <c r="AL181" i="28"/>
  <c r="AL112" i="28"/>
  <c r="AL167" i="28"/>
  <c r="AL128" i="28"/>
  <c r="AL12" i="28"/>
  <c r="AL180" i="28"/>
  <c r="AL111" i="28"/>
  <c r="AL166" i="28"/>
  <c r="AL127" i="28"/>
  <c r="AL110" i="28"/>
  <c r="AL165" i="28"/>
  <c r="AL126" i="28"/>
  <c r="AL109" i="28"/>
  <c r="AL164" i="28"/>
  <c r="AL125" i="28"/>
  <c r="AL108" i="28"/>
  <c r="AL163" i="28"/>
  <c r="AL107" i="28"/>
  <c r="AL162" i="28"/>
  <c r="AL106" i="28"/>
  <c r="AL161" i="28"/>
  <c r="AL105" i="28"/>
  <c r="AL160" i="28"/>
  <c r="AL104" i="28"/>
  <c r="AL159" i="28"/>
  <c r="AL103" i="28"/>
  <c r="AL158" i="28"/>
  <c r="AL102" i="28"/>
  <c r="AL157" i="28"/>
  <c r="AL101" i="28"/>
  <c r="AL156" i="28"/>
  <c r="AL100" i="28"/>
  <c r="AL155" i="28"/>
  <c r="AL99" i="28"/>
  <c r="AL154" i="28"/>
  <c r="AL98" i="28"/>
  <c r="AL153" i="28"/>
  <c r="AL97" i="28"/>
  <c r="AL152" i="28"/>
  <c r="AL96" i="28"/>
  <c r="AL151" i="28"/>
  <c r="AL95" i="28"/>
  <c r="AL150" i="28"/>
  <c r="AL94" i="28"/>
  <c r="AL149" i="28"/>
  <c r="AL93" i="28"/>
  <c r="AL148" i="28"/>
  <c r="AL92" i="28"/>
  <c r="AL147" i="28"/>
  <c r="AL91" i="28"/>
  <c r="AL146" i="28"/>
  <c r="AL90" i="28"/>
  <c r="AL145" i="28"/>
  <c r="AL89" i="28"/>
  <c r="AL144" i="28"/>
  <c r="AL88" i="28"/>
  <c r="AL143" i="28"/>
  <c r="AL87" i="28"/>
  <c r="AL142" i="28"/>
  <c r="AL86" i="28"/>
  <c r="AL141" i="28"/>
  <c r="AL85" i="28"/>
  <c r="AL84" i="28"/>
  <c r="AL83" i="28"/>
  <c r="AL82" i="28"/>
  <c r="AL81" i="28"/>
  <c r="AL80" i="28"/>
  <c r="AL79" i="28"/>
  <c r="AL78" i="28"/>
  <c r="AL77" i="28"/>
  <c r="AL76" i="28"/>
  <c r="AL75" i="28"/>
  <c r="AL74" i="28"/>
  <c r="AL73" i="28"/>
  <c r="AL72" i="28"/>
  <c r="AL71" i="28"/>
  <c r="AL70" i="28"/>
  <c r="AL69" i="28"/>
  <c r="AL68" i="28"/>
  <c r="AL67" i="28"/>
  <c r="AL66" i="28"/>
  <c r="AL65" i="28"/>
  <c r="AL64" i="28"/>
  <c r="AL63" i="28"/>
  <c r="AL62" i="28"/>
  <c r="AL61" i="28"/>
  <c r="AL60" i="28"/>
  <c r="AL59" i="28"/>
  <c r="AL58" i="28"/>
  <c r="AL57" i="28"/>
  <c r="AL56" i="28"/>
  <c r="AL55" i="28"/>
  <c r="AL54" i="28"/>
  <c r="AL53" i="28"/>
  <c r="AL52" i="28"/>
  <c r="AL51" i="28"/>
  <c r="AL50" i="28"/>
  <c r="AL49" i="28"/>
  <c r="AL48" i="28"/>
  <c r="AL47" i="28"/>
  <c r="AL46" i="28"/>
  <c r="AL45" i="28"/>
  <c r="AL44" i="28"/>
  <c r="AL43" i="28"/>
  <c r="AL42" i="28"/>
  <c r="AL41" i="28"/>
  <c r="AL40" i="28"/>
  <c r="AL39" i="28"/>
  <c r="AL38" i="28"/>
  <c r="AL37" i="28"/>
  <c r="AL36" i="28"/>
  <c r="AL35" i="28"/>
  <c r="AL34" i="28"/>
  <c r="AL33" i="28"/>
  <c r="AL32" i="28"/>
  <c r="AL31" i="28"/>
  <c r="AL30" i="28"/>
  <c r="AL29" i="28"/>
  <c r="AL28" i="28"/>
  <c r="AL27" i="28"/>
  <c r="AL26" i="28"/>
  <c r="AL25" i="28"/>
  <c r="Y78" i="27" l="1"/>
  <c r="B154" i="27" s="1"/>
  <c r="C154" i="27" s="1"/>
  <c r="AP25" i="28"/>
  <c r="AP26" i="28"/>
  <c r="AP27" i="28"/>
  <c r="AP28" i="28"/>
  <c r="AP29" i="28"/>
  <c r="AP30" i="28"/>
  <c r="AP31" i="28"/>
  <c r="AP32" i="28"/>
  <c r="AP33" i="28"/>
  <c r="AP34" i="28"/>
  <c r="AP35" i="28"/>
  <c r="AP36" i="28"/>
  <c r="AP37" i="28"/>
  <c r="AP38" i="28"/>
  <c r="AP39" i="28"/>
  <c r="AP40" i="28"/>
  <c r="AP41" i="28"/>
  <c r="AP42" i="28"/>
  <c r="AP43" i="28"/>
  <c r="AP44" i="28"/>
  <c r="AP45" i="28"/>
  <c r="AP46" i="28"/>
  <c r="AP47" i="28"/>
  <c r="AP48" i="28"/>
  <c r="AP49" i="28"/>
  <c r="AP50" i="28"/>
  <c r="AP51" i="28"/>
  <c r="AP52" i="28"/>
  <c r="AP53" i="28"/>
  <c r="AP54" i="28"/>
  <c r="AP55" i="28"/>
  <c r="AP56" i="28"/>
  <c r="AP57" i="28"/>
  <c r="AP58" i="28"/>
  <c r="AP59" i="28"/>
  <c r="AP60" i="28"/>
  <c r="AP61" i="28"/>
  <c r="AP62" i="28"/>
  <c r="AP63" i="28"/>
  <c r="AP64" i="28"/>
  <c r="AP65" i="28"/>
  <c r="AP66" i="28"/>
  <c r="AP67" i="28"/>
  <c r="AP68" i="28"/>
  <c r="AP69" i="28"/>
  <c r="AP70" i="28"/>
  <c r="AP71" i="28"/>
  <c r="AP72" i="28"/>
  <c r="AP73" i="28"/>
  <c r="AP74" i="28"/>
  <c r="AP75" i="28"/>
  <c r="AP76" i="28"/>
  <c r="AP77" i="28"/>
  <c r="AP78" i="28"/>
  <c r="AP79" i="28"/>
  <c r="AP80" i="28"/>
  <c r="AP81" i="28"/>
  <c r="AP82" i="28"/>
  <c r="AP83" i="28"/>
  <c r="AP84" i="28"/>
  <c r="AP85" i="28"/>
  <c r="AP141" i="28"/>
  <c r="AP86" i="28"/>
  <c r="AP142" i="28"/>
  <c r="AP87" i="28"/>
  <c r="AP143" i="28"/>
  <c r="AP88" i="28"/>
  <c r="AP144" i="28"/>
  <c r="AP89" i="28"/>
  <c r="AP145" i="28"/>
  <c r="AP90" i="28"/>
  <c r="AP146" i="28"/>
  <c r="AP91" i="28"/>
  <c r="AP147" i="28"/>
  <c r="AP92" i="28"/>
  <c r="AP148" i="28"/>
  <c r="AP93" i="28"/>
  <c r="AP149" i="28"/>
  <c r="AP94" i="28"/>
  <c r="AP150" i="28"/>
  <c r="AP95" i="28"/>
  <c r="AP151" i="28"/>
  <c r="AP96" i="28"/>
  <c r="AP152" i="28"/>
  <c r="AP97" i="28"/>
  <c r="AP153" i="28"/>
  <c r="AP98" i="28"/>
  <c r="AP154" i="28"/>
  <c r="AP99" i="28"/>
  <c r="AP155" i="28"/>
  <c r="AP100" i="28"/>
  <c r="AP156" i="28"/>
  <c r="AP101" i="28"/>
  <c r="AP157" i="28"/>
  <c r="AP102" i="28"/>
  <c r="AP158" i="28"/>
  <c r="AP103" i="28"/>
  <c r="AP159" i="28"/>
  <c r="AP104" i="28"/>
  <c r="AP160" i="28"/>
  <c r="AP105" i="28"/>
  <c r="AP161" i="28"/>
  <c r="AP106" i="28"/>
  <c r="AP162" i="28"/>
  <c r="AP107" i="28"/>
  <c r="AP163" i="28"/>
  <c r="AP108" i="28"/>
  <c r="AP125" i="28"/>
  <c r="AP164" i="28"/>
  <c r="AP109" i="28"/>
  <c r="AP126" i="28"/>
  <c r="AP165" i="28"/>
  <c r="AP110" i="28"/>
  <c r="AP127" i="28"/>
  <c r="AP166" i="28"/>
  <c r="AP111" i="28"/>
  <c r="AP180" i="28"/>
  <c r="AP12" i="28"/>
  <c r="AP128" i="28"/>
  <c r="AP167" i="28"/>
  <c r="AP112" i="28"/>
  <c r="AP181" i="28"/>
  <c r="AP13" i="28"/>
  <c r="AP129" i="28"/>
  <c r="AP168" i="28"/>
  <c r="AP113" i="28"/>
  <c r="AP182" i="28"/>
  <c r="AP14" i="28"/>
  <c r="AP130" i="28"/>
  <c r="AP169" i="28"/>
  <c r="AP114" i="28"/>
  <c r="AP183" i="28"/>
  <c r="AP15" i="28"/>
  <c r="AP131" i="28"/>
  <c r="AP170" i="28"/>
  <c r="AP115" i="28"/>
  <c r="AP184" i="28"/>
  <c r="AP16" i="28"/>
  <c r="AP132" i="28"/>
  <c r="AP171" i="28"/>
  <c r="AP116" i="28"/>
  <c r="AP185" i="28"/>
  <c r="AP17" i="28"/>
  <c r="AP133" i="28"/>
  <c r="AP172" i="28"/>
  <c r="AP117" i="28"/>
  <c r="AP186" i="28"/>
  <c r="AP18" i="28"/>
  <c r="AP134" i="28"/>
  <c r="AP173" i="28"/>
  <c r="AP118" i="28"/>
  <c r="AP187" i="28"/>
  <c r="AP19" i="28"/>
  <c r="AP135" i="28"/>
  <c r="AP174" i="28"/>
  <c r="AP119" i="28"/>
  <c r="AP188" i="28"/>
  <c r="AP20" i="28"/>
  <c r="AP136" i="28"/>
  <c r="AP175" i="28"/>
  <c r="AP120" i="28"/>
  <c r="AP189" i="28"/>
  <c r="AP21" i="28"/>
  <c r="AP137" i="28"/>
  <c r="AP176" i="28"/>
  <c r="AP121" i="28"/>
  <c r="AP190" i="28"/>
  <c r="AP22" i="28"/>
  <c r="AP138" i="28"/>
  <c r="AP177" i="28"/>
  <c r="AP122" i="28"/>
  <c r="AP191" i="28"/>
  <c r="AP23" i="28"/>
  <c r="AP193" i="28"/>
  <c r="AP139" i="28"/>
  <c r="AP178" i="28"/>
  <c r="AP123" i="28"/>
  <c r="AP192" i="28"/>
  <c r="Y79" i="27"/>
  <c r="B155" i="27" s="1"/>
  <c r="C155" i="27" s="1"/>
  <c r="AP24" i="28"/>
  <c r="Y88" i="27"/>
  <c r="B164" i="27" s="1"/>
  <c r="C164" i="27" s="1"/>
  <c r="Y81" i="27"/>
  <c r="B157" i="27" s="1"/>
  <c r="C157" i="27" s="1"/>
  <c r="AP194" i="28"/>
  <c r="Y87" i="27"/>
  <c r="B163" i="27" s="1"/>
  <c r="C163" i="27" s="1"/>
  <c r="Y75" i="27"/>
  <c r="B151" i="27" s="1"/>
  <c r="Y86" i="27"/>
  <c r="B162" i="27" s="1"/>
  <c r="C162" i="27" s="1"/>
  <c r="Y76" i="27"/>
  <c r="B152" i="27" s="1"/>
  <c r="C152" i="27" s="1"/>
  <c r="AP140" i="28"/>
  <c r="AP179" i="28"/>
  <c r="Y84" i="27"/>
  <c r="B160" i="27" s="1"/>
  <c r="C160" i="27" s="1"/>
  <c r="Y80" i="27"/>
  <c r="B156" i="27" s="1"/>
  <c r="C156" i="27" s="1"/>
  <c r="AP124" i="28"/>
  <c r="Y82" i="27"/>
  <c r="B158" i="27" s="1"/>
  <c r="C158" i="27" s="1"/>
  <c r="Y85" i="27"/>
  <c r="B161" i="27" s="1"/>
  <c r="C161" i="27" s="1"/>
  <c r="Y72" i="27"/>
  <c r="B148" i="27" s="1"/>
  <c r="C148" i="27" s="1"/>
  <c r="Y73" i="27"/>
  <c r="B149" i="27" s="1"/>
  <c r="C149" i="27" s="1"/>
  <c r="Y77" i="27"/>
  <c r="B153" i="27" s="1"/>
  <c r="C153" i="27" s="1"/>
  <c r="Y83" i="27"/>
  <c r="B159" i="27" s="1"/>
  <c r="C159" i="27" s="1"/>
  <c r="AK13" i="28"/>
  <c r="AK12" i="28" s="1"/>
  <c r="C168" i="27" l="1"/>
  <c r="C169" i="27"/>
  <c r="C171" i="27"/>
  <c r="C167" i="27"/>
  <c r="C165" i="27"/>
  <c r="C151" i="27"/>
  <c r="C146" i="27"/>
  <c r="C166" i="27"/>
  <c r="C145" i="27"/>
  <c r="C170" i="27"/>
  <c r="AB75" i="27" l="1"/>
  <c r="AB69" i="27"/>
  <c r="AB80" i="27"/>
  <c r="AB72" i="27"/>
  <c r="AB76" i="27"/>
  <c r="AB78" i="27"/>
  <c r="AB79" i="27"/>
  <c r="AB74" i="27"/>
  <c r="AB87" i="27"/>
  <c r="AB82" i="27"/>
  <c r="AB81" i="27"/>
  <c r="AB86" i="27"/>
  <c r="AB71" i="27"/>
  <c r="AB73" i="27"/>
  <c r="AB84" i="27"/>
  <c r="AB70" i="27"/>
  <c r="AB85" i="27"/>
  <c r="AB77" i="27"/>
  <c r="AB88" i="27"/>
  <c r="AB83" i="27"/>
  <c r="AK79" i="27" l="1"/>
  <c r="AJ79" i="27"/>
  <c r="AF79" i="27"/>
  <c r="AC79" i="27"/>
  <c r="AI79" i="27"/>
  <c r="AE79" i="27"/>
  <c r="AG79" i="27"/>
  <c r="AD79" i="27"/>
  <c r="AH79" i="27"/>
  <c r="AC78" i="27"/>
  <c r="AK78" i="27"/>
  <c r="BJ57" i="29" s="1"/>
  <c r="AG78" i="27"/>
  <c r="AQ57" i="29" s="1"/>
  <c r="AJ78" i="27"/>
  <c r="BH57" i="29" s="1"/>
  <c r="AI78" i="27"/>
  <c r="BF57" i="29" s="1"/>
  <c r="AH78" i="27"/>
  <c r="BD57" i="29" s="1"/>
  <c r="AE78" i="27"/>
  <c r="AO57" i="29" s="1"/>
  <c r="AF78" i="27"/>
  <c r="AP57" i="29" s="1"/>
  <c r="AD78" i="27"/>
  <c r="AN57" i="29" s="1"/>
  <c r="AD76" i="27"/>
  <c r="AN55" i="29" s="1"/>
  <c r="AC76" i="27"/>
  <c r="AK76" i="27"/>
  <c r="BJ55" i="29" s="1"/>
  <c r="AH76" i="27"/>
  <c r="BD55" i="29" s="1"/>
  <c r="AE76" i="27"/>
  <c r="AO55" i="29" s="1"/>
  <c r="AG76" i="27"/>
  <c r="AQ55" i="29" s="1"/>
  <c r="AJ76" i="27"/>
  <c r="BH55" i="29" s="1"/>
  <c r="AI76" i="27"/>
  <c r="BF55" i="29" s="1"/>
  <c r="AF76" i="27"/>
  <c r="AP55" i="29" s="1"/>
  <c r="AJ84" i="27"/>
  <c r="AI84" i="27"/>
  <c r="AG84" i="27"/>
  <c r="AC84" i="27"/>
  <c r="AF84" i="27"/>
  <c r="AK84" i="27"/>
  <c r="AH84" i="27"/>
  <c r="AD84" i="27"/>
  <c r="AE84" i="27"/>
  <c r="AD86" i="27"/>
  <c r="AI86" i="27"/>
  <c r="AJ86" i="27"/>
  <c r="AE86" i="27"/>
  <c r="AH86" i="27"/>
  <c r="AK86" i="27"/>
  <c r="AG86" i="27"/>
  <c r="AF86" i="27"/>
  <c r="AC86" i="27"/>
  <c r="AF72" i="27"/>
  <c r="AP51" i="29" s="1"/>
  <c r="AJ72" i="27"/>
  <c r="BH51" i="29" s="1"/>
  <c r="AI72" i="27"/>
  <c r="BF51" i="29" s="1"/>
  <c r="AD72" i="27"/>
  <c r="AN51" i="29" s="1"/>
  <c r="AG72" i="27"/>
  <c r="AQ51" i="29" s="1"/>
  <c r="AC72" i="27"/>
  <c r="AH72" i="27"/>
  <c r="BD51" i="29" s="1"/>
  <c r="AK72" i="27"/>
  <c r="BJ51" i="29" s="1"/>
  <c r="AE72" i="27"/>
  <c r="AO51" i="29" s="1"/>
  <c r="AE70" i="27"/>
  <c r="AO49" i="29" s="1"/>
  <c r="AD70" i="27"/>
  <c r="AN49" i="29" s="1"/>
  <c r="AH70" i="27"/>
  <c r="BD49" i="29" s="1"/>
  <c r="AI70" i="27"/>
  <c r="BF49" i="29" s="1"/>
  <c r="AG70" i="27"/>
  <c r="AQ49" i="29" s="1"/>
  <c r="AK70" i="27"/>
  <c r="BJ49" i="29" s="1"/>
  <c r="AC70" i="27"/>
  <c r="AJ70" i="27"/>
  <c r="BH49" i="29" s="1"/>
  <c r="AF70" i="27"/>
  <c r="AP49" i="29" s="1"/>
  <c r="AI71" i="27"/>
  <c r="BF50" i="29" s="1"/>
  <c r="AD71" i="27"/>
  <c r="AN50" i="29" s="1"/>
  <c r="AJ71" i="27"/>
  <c r="BH50" i="29" s="1"/>
  <c r="AH71" i="27"/>
  <c r="BD50" i="29" s="1"/>
  <c r="AK71" i="27"/>
  <c r="BJ50" i="29" s="1"/>
  <c r="AG71" i="27"/>
  <c r="AQ50" i="29" s="1"/>
  <c r="AC71" i="27"/>
  <c r="AE71" i="27"/>
  <c r="AO50" i="29" s="1"/>
  <c r="AF71" i="27"/>
  <c r="AP50" i="29" s="1"/>
  <c r="AH80" i="27"/>
  <c r="AG80" i="27"/>
  <c r="AD80" i="27"/>
  <c r="AJ80" i="27"/>
  <c r="AF80" i="27"/>
  <c r="AE80" i="27"/>
  <c r="AC80" i="27"/>
  <c r="AI80" i="27"/>
  <c r="AK80" i="27"/>
  <c r="AH73" i="27"/>
  <c r="BD52" i="29" s="1"/>
  <c r="AJ73" i="27"/>
  <c r="BH52" i="29" s="1"/>
  <c r="AC73" i="27"/>
  <c r="AF73" i="27"/>
  <c r="AP52" i="29" s="1"/>
  <c r="AK73" i="27"/>
  <c r="BJ52" i="29" s="1"/>
  <c r="AI73" i="27"/>
  <c r="BF52" i="29" s="1"/>
  <c r="AD73" i="27"/>
  <c r="AN52" i="29" s="1"/>
  <c r="AE73" i="27"/>
  <c r="AO52" i="29" s="1"/>
  <c r="AG73" i="27"/>
  <c r="AQ52" i="29" s="1"/>
  <c r="AI88" i="27"/>
  <c r="AC88" i="27"/>
  <c r="AD88" i="27"/>
  <c r="AH88" i="27"/>
  <c r="AE88" i="27"/>
  <c r="AJ88" i="27"/>
  <c r="AG88" i="27"/>
  <c r="AF88" i="27"/>
  <c r="AK88" i="27"/>
  <c r="AE82" i="27"/>
  <c r="AF82" i="27"/>
  <c r="AI82" i="27"/>
  <c r="AC82" i="27"/>
  <c r="AJ82" i="27"/>
  <c r="AK82" i="27"/>
  <c r="AD82" i="27"/>
  <c r="AG82" i="27"/>
  <c r="AH82" i="27"/>
  <c r="AK69" i="27"/>
  <c r="BJ48" i="29" s="1"/>
  <c r="AC69" i="27"/>
  <c r="AE69" i="27"/>
  <c r="AO48" i="29" s="1"/>
  <c r="AH69" i="27"/>
  <c r="BD48" i="29" s="1"/>
  <c r="AF69" i="27"/>
  <c r="AP48" i="29" s="1"/>
  <c r="AD69" i="27"/>
  <c r="AN48" i="29" s="1"/>
  <c r="AG69" i="27"/>
  <c r="AQ48" i="29" s="1"/>
  <c r="AI69" i="27"/>
  <c r="BF48" i="29" s="1"/>
  <c r="AJ69" i="27"/>
  <c r="BH48" i="29" s="1"/>
  <c r="AG74" i="27"/>
  <c r="AQ53" i="29" s="1"/>
  <c r="AH74" i="27"/>
  <c r="BD53" i="29" s="1"/>
  <c r="AE74" i="27"/>
  <c r="AO53" i="29" s="1"/>
  <c r="AD74" i="27"/>
  <c r="AN53" i="29" s="1"/>
  <c r="AF74" i="27"/>
  <c r="AP53" i="29" s="1"/>
  <c r="AI74" i="27"/>
  <c r="BF53" i="29" s="1"/>
  <c r="AK74" i="27"/>
  <c r="BJ53" i="29" s="1"/>
  <c r="AJ74" i="27"/>
  <c r="BH53" i="29" s="1"/>
  <c r="AC74" i="27"/>
  <c r="AC83" i="27"/>
  <c r="AD83" i="27"/>
  <c r="AH83" i="27"/>
  <c r="AF83" i="27"/>
  <c r="AE83" i="27"/>
  <c r="AK83" i="27"/>
  <c r="AI83" i="27"/>
  <c r="AJ83" i="27"/>
  <c r="AG83" i="27"/>
  <c r="AG81" i="27"/>
  <c r="AI81" i="27"/>
  <c r="AC81" i="27"/>
  <c r="AD81" i="27"/>
  <c r="AK81" i="27"/>
  <c r="AJ81" i="27"/>
  <c r="AF81" i="27"/>
  <c r="AH81" i="27"/>
  <c r="AE81" i="27"/>
  <c r="AE77" i="27"/>
  <c r="AO56" i="29" s="1"/>
  <c r="AG77" i="27"/>
  <c r="AQ56" i="29" s="1"/>
  <c r="AD77" i="27"/>
  <c r="AN56" i="29" s="1"/>
  <c r="AJ77" i="27"/>
  <c r="BH56" i="29" s="1"/>
  <c r="AC77" i="27"/>
  <c r="AI77" i="27"/>
  <c r="BF56" i="29" s="1"/>
  <c r="AF77" i="27"/>
  <c r="AP56" i="29" s="1"/>
  <c r="AK77" i="27"/>
  <c r="BJ56" i="29" s="1"/>
  <c r="AH77" i="27"/>
  <c r="BD56" i="29" s="1"/>
  <c r="AH85" i="27"/>
  <c r="AE85" i="27"/>
  <c r="AI85" i="27"/>
  <c r="AF85" i="27"/>
  <c r="AK85" i="27"/>
  <c r="AC85" i="27"/>
  <c r="AD85" i="27"/>
  <c r="AG85" i="27"/>
  <c r="AJ85" i="27"/>
  <c r="AC87" i="27"/>
  <c r="AI87" i="27"/>
  <c r="AJ87" i="27"/>
  <c r="AD87" i="27"/>
  <c r="AG87" i="27"/>
  <c r="AK87" i="27"/>
  <c r="AE87" i="27"/>
  <c r="AH87" i="27"/>
  <c r="AF87" i="27"/>
  <c r="AJ75" i="27"/>
  <c r="BH54" i="29" s="1"/>
  <c r="AK75" i="27"/>
  <c r="BJ54" i="29" s="1"/>
  <c r="AH75" i="27"/>
  <c r="BD54" i="29" s="1"/>
  <c r="AG75" i="27"/>
  <c r="AQ54" i="29" s="1"/>
  <c r="AC75" i="27"/>
  <c r="AE75" i="27"/>
  <c r="AO54" i="29" s="1"/>
  <c r="AI75" i="27"/>
  <c r="BF54" i="29" s="1"/>
  <c r="AD75" i="27"/>
  <c r="AN54" i="29" s="1"/>
  <c r="AF75" i="27"/>
  <c r="AP54" i="29" s="1"/>
</calcChain>
</file>

<file path=xl/sharedStrings.xml><?xml version="1.0" encoding="utf-8"?>
<sst xmlns="http://schemas.openxmlformats.org/spreadsheetml/2006/main" count="2202" uniqueCount="766">
  <si>
    <t>mMD</t>
  </si>
  <si>
    <t>Interval</t>
  </si>
  <si>
    <t>e</t>
  </si>
  <si>
    <t>21b</t>
  </si>
  <si>
    <t>21c</t>
  </si>
  <si>
    <t>21e</t>
  </si>
  <si>
    <t>f</t>
  </si>
  <si>
    <t>21f</t>
  </si>
  <si>
    <t>g</t>
  </si>
  <si>
    <t>21g</t>
  </si>
  <si>
    <t>h</t>
  </si>
  <si>
    <t>21h</t>
  </si>
  <si>
    <t>Drills</t>
  </si>
  <si>
    <t>Others</t>
  </si>
  <si>
    <t>TOTAL RUN HOURS</t>
  </si>
  <si>
    <t>NPT starts whenever normal operation cease and there is no drilling progress</t>
  </si>
  <si>
    <t>Coring</t>
  </si>
  <si>
    <t>4b</t>
  </si>
  <si>
    <t>m</t>
  </si>
  <si>
    <t>15a</t>
  </si>
  <si>
    <t>Tinggi Rig Floor</t>
  </si>
  <si>
    <t>Release</t>
  </si>
  <si>
    <t xml:space="preserve">LOCATION </t>
  </si>
  <si>
    <t>IADC 
Code</t>
  </si>
  <si>
    <t>Code</t>
  </si>
  <si>
    <t>Rig Up and Tear Down</t>
  </si>
  <si>
    <t>1a</t>
  </si>
  <si>
    <t>1b</t>
  </si>
  <si>
    <t>2b</t>
  </si>
  <si>
    <t>Reaming</t>
  </si>
  <si>
    <t xml:space="preserve"> Description</t>
  </si>
  <si>
    <t>Sub code</t>
  </si>
  <si>
    <t>Sub Description</t>
  </si>
  <si>
    <t>Trips</t>
  </si>
  <si>
    <t>a</t>
  </si>
  <si>
    <t>6a</t>
  </si>
  <si>
    <t>5a</t>
  </si>
  <si>
    <t>12a</t>
  </si>
  <si>
    <t>12b</t>
  </si>
  <si>
    <t>6c</t>
  </si>
  <si>
    <t>21a</t>
  </si>
  <si>
    <t>TANGGAL</t>
  </si>
  <si>
    <t>DAILY COST</t>
  </si>
  <si>
    <t>CUMM COST</t>
  </si>
  <si>
    <t>% REAL</t>
  </si>
  <si>
    <t>NO</t>
  </si>
  <si>
    <t xml:space="preserve">OPERATION </t>
  </si>
  <si>
    <t>PLAN</t>
  </si>
  <si>
    <t>ACTUAL</t>
  </si>
  <si>
    <t>HOURS</t>
  </si>
  <si>
    <t>DAYS</t>
  </si>
  <si>
    <t>CUMM.</t>
  </si>
  <si>
    <t>DEPTH</t>
  </si>
  <si>
    <t>NPT</t>
  </si>
  <si>
    <t>HOUR</t>
  </si>
  <si>
    <t>DD:HH:MM</t>
  </si>
  <si>
    <t>Preparation</t>
  </si>
  <si>
    <t>b</t>
  </si>
  <si>
    <t>c</t>
  </si>
  <si>
    <t>d</t>
  </si>
  <si>
    <t>WELL</t>
  </si>
  <si>
    <t>LOCATION</t>
  </si>
  <si>
    <t xml:space="preserve">No. AFE </t>
  </si>
  <si>
    <t>:</t>
  </si>
  <si>
    <t>Hari</t>
  </si>
  <si>
    <t>Kum</t>
  </si>
  <si>
    <t>IADC CODE</t>
  </si>
  <si>
    <t>2c</t>
  </si>
  <si>
    <t>Squeeze Cement</t>
  </si>
  <si>
    <t>20a</t>
  </si>
  <si>
    <t>20b</t>
  </si>
  <si>
    <t>Wait on Cement</t>
  </si>
  <si>
    <t>17a</t>
  </si>
  <si>
    <t>17b</t>
  </si>
  <si>
    <t>21d</t>
  </si>
  <si>
    <t>CODE</t>
  </si>
  <si>
    <t>Hours</t>
  </si>
  <si>
    <t>2a</t>
  </si>
  <si>
    <t>Drilling Actual</t>
  </si>
  <si>
    <t>5b</t>
  </si>
  <si>
    <t>AFE NO.</t>
  </si>
  <si>
    <t>BUDGET.</t>
  </si>
  <si>
    <t>SPUD DATE</t>
  </si>
  <si>
    <t xml:space="preserve">HARI </t>
  </si>
  <si>
    <t xml:space="preserve"> </t>
  </si>
  <si>
    <t>6d</t>
  </si>
  <si>
    <t>Lubricate Rig</t>
  </si>
  <si>
    <t>Repair Rig</t>
  </si>
  <si>
    <t>Cut off Drilling Line</t>
  </si>
  <si>
    <t>Deviation Survey</t>
  </si>
  <si>
    <t>Wireline Logs</t>
  </si>
  <si>
    <t>11a</t>
  </si>
  <si>
    <t>11b</t>
  </si>
  <si>
    <t>13a</t>
  </si>
  <si>
    <t>4a</t>
  </si>
  <si>
    <t>6b</t>
  </si>
  <si>
    <t>COMPLETION</t>
  </si>
  <si>
    <t>16a</t>
  </si>
  <si>
    <t>Location</t>
  </si>
  <si>
    <t>i</t>
  </si>
  <si>
    <t>21i</t>
  </si>
  <si>
    <t>R/U</t>
  </si>
  <si>
    <t>R/D</t>
  </si>
  <si>
    <t>Prepare Rig Mob/Demob</t>
  </si>
  <si>
    <t>Under Tow / Mobilization</t>
  </si>
  <si>
    <t>Anchoring Operations</t>
  </si>
  <si>
    <t>Jack Up / Jack Down</t>
  </si>
  <si>
    <t>Preload</t>
  </si>
  <si>
    <t>Skid Out / Skid In</t>
  </si>
  <si>
    <t>Pull Leg</t>
  </si>
  <si>
    <t>1c</t>
  </si>
  <si>
    <t>1d</t>
  </si>
  <si>
    <t>1e</t>
  </si>
  <si>
    <t>1f</t>
  </si>
  <si>
    <t>1g</t>
  </si>
  <si>
    <t>1h</t>
  </si>
  <si>
    <t>1i</t>
  </si>
  <si>
    <t>1j</t>
  </si>
  <si>
    <t>j</t>
  </si>
  <si>
    <t>k</t>
  </si>
  <si>
    <t>Drilling - Rotating</t>
  </si>
  <si>
    <t>Drilling - Sliding</t>
  </si>
  <si>
    <t>2d</t>
  </si>
  <si>
    <t>Coiled Tubing - Drilling</t>
  </si>
  <si>
    <t>2e</t>
  </si>
  <si>
    <t>Flow Check / Monitor Well while Drilling</t>
  </si>
  <si>
    <t>2f</t>
  </si>
  <si>
    <t>Clean Rig Floor</t>
  </si>
  <si>
    <t>2g</t>
  </si>
  <si>
    <t>Other drilling Activities</t>
  </si>
  <si>
    <t>3a</t>
  </si>
  <si>
    <t>3b</t>
  </si>
  <si>
    <t>Reaming / Backreaming</t>
  </si>
  <si>
    <t>3c</t>
  </si>
  <si>
    <t>Coiled Tubing - Reaming / Backreaming</t>
  </si>
  <si>
    <t>Pick Up / Lay Down Core Barrel</t>
  </si>
  <si>
    <t>Trip in / Out for Core</t>
  </si>
  <si>
    <t xml:space="preserve">Coiled Tubing - Coring </t>
  </si>
  <si>
    <t>4c</t>
  </si>
  <si>
    <t>4d</t>
  </si>
  <si>
    <t>Condition Mud &amp; Circulate</t>
  </si>
  <si>
    <t>Circulate / Condition Mud</t>
  </si>
  <si>
    <t>Change Mud System</t>
  </si>
  <si>
    <t>5c</t>
  </si>
  <si>
    <t>6e</t>
  </si>
  <si>
    <t>6f</t>
  </si>
  <si>
    <t>6g</t>
  </si>
  <si>
    <t>6h</t>
  </si>
  <si>
    <t>Service Rig - Normal Lubrication and service of Rig</t>
  </si>
  <si>
    <t>Scheduled Planned Maintenance - that shuts operations down without contractual down time</t>
  </si>
  <si>
    <t>7a</t>
  </si>
  <si>
    <t>7b</t>
  </si>
  <si>
    <t>8a</t>
  </si>
  <si>
    <t>8b</t>
  </si>
  <si>
    <t>8c</t>
  </si>
  <si>
    <t>8d</t>
  </si>
  <si>
    <t>8e</t>
  </si>
  <si>
    <t>8f</t>
  </si>
  <si>
    <t>8g</t>
  </si>
  <si>
    <t>l</t>
  </si>
  <si>
    <t>n</t>
  </si>
  <si>
    <t>o</t>
  </si>
  <si>
    <t>p</t>
  </si>
  <si>
    <t>q</t>
  </si>
  <si>
    <t>r</t>
  </si>
  <si>
    <t>s</t>
  </si>
  <si>
    <t>t</t>
  </si>
  <si>
    <t>9a</t>
  </si>
  <si>
    <t>Performing Survey Operations</t>
  </si>
  <si>
    <t>Wireline Work Other</t>
  </si>
  <si>
    <t>11c</t>
  </si>
  <si>
    <t>11d</t>
  </si>
  <si>
    <t>Run Casing and Cement</t>
  </si>
  <si>
    <t>Change Rams</t>
  </si>
  <si>
    <t>Rig Up/Rig Down Casing Running, Running Tools, Hammer for Drive Pipe</t>
  </si>
  <si>
    <t>Make Up Floating Equipment</t>
  </si>
  <si>
    <t>12c</t>
  </si>
  <si>
    <t>12d</t>
  </si>
  <si>
    <t>12e</t>
  </si>
  <si>
    <t>12f</t>
  </si>
  <si>
    <t>Waiting on Cement</t>
  </si>
  <si>
    <t>Nipple Up BOP</t>
  </si>
  <si>
    <t>Install / Remove or Change Wellhead and Riser (spool) include final casing cut / dressing stub</t>
  </si>
  <si>
    <t>Other BOP Operation</t>
  </si>
  <si>
    <t>14a</t>
  </si>
  <si>
    <t>14b</t>
  </si>
  <si>
    <t>14c</t>
  </si>
  <si>
    <t>14d</t>
  </si>
  <si>
    <t>Test BOP</t>
  </si>
  <si>
    <t>Drill Stem Test</t>
  </si>
  <si>
    <t>Plug Back</t>
  </si>
  <si>
    <t>Plug back - cement</t>
  </si>
  <si>
    <t>17c</t>
  </si>
  <si>
    <t>Coiled Tubing - Plug back</t>
  </si>
  <si>
    <t>Plugback - other</t>
  </si>
  <si>
    <t>Fishing</t>
  </si>
  <si>
    <t>19a</t>
  </si>
  <si>
    <t>18a</t>
  </si>
  <si>
    <t>18b</t>
  </si>
  <si>
    <t>21j</t>
  </si>
  <si>
    <t>21k</t>
  </si>
  <si>
    <t>21l</t>
  </si>
  <si>
    <t>21m</t>
  </si>
  <si>
    <t>21n</t>
  </si>
  <si>
    <t>21o</t>
  </si>
  <si>
    <t>21p</t>
  </si>
  <si>
    <t>21q</t>
  </si>
  <si>
    <t>21r</t>
  </si>
  <si>
    <t>21s</t>
  </si>
  <si>
    <t>21t</t>
  </si>
  <si>
    <t>Waiting on Weather</t>
  </si>
  <si>
    <t>Other Problem Time</t>
  </si>
  <si>
    <t>DRILLING TIME</t>
  </si>
  <si>
    <t>A</t>
  </si>
  <si>
    <t>B</t>
  </si>
  <si>
    <t>Running / pulling Production Tubing (Tubing Trips)</t>
  </si>
  <si>
    <t>C</t>
  </si>
  <si>
    <t>D</t>
  </si>
  <si>
    <t>E</t>
  </si>
  <si>
    <t>F</t>
  </si>
  <si>
    <t>G</t>
  </si>
  <si>
    <t>H</t>
  </si>
  <si>
    <t>Swabbing</t>
  </si>
  <si>
    <t>COMPLETION TIME</t>
  </si>
  <si>
    <t>HIDE</t>
  </si>
  <si>
    <r>
      <rPr>
        <b/>
        <sz val="11"/>
        <color indexed="22"/>
        <rFont val="Century Gothic"/>
        <family val="2"/>
      </rPr>
      <t>CHOOSE ACTIVITY HERE</t>
    </r>
    <r>
      <rPr>
        <sz val="10"/>
        <color indexed="22"/>
        <rFont val="Arial"/>
        <family val="2"/>
      </rPr>
      <t xml:space="preserve"> </t>
    </r>
    <r>
      <rPr>
        <sz val="10"/>
        <color indexed="22"/>
        <rFont val="Wingdings"/>
        <charset val="2"/>
      </rPr>
      <t>êêêêêêê</t>
    </r>
  </si>
  <si>
    <t>PT &amp; NPT</t>
  </si>
  <si>
    <t>HRS</t>
  </si>
  <si>
    <t>ORDER</t>
  </si>
  <si>
    <t>STARTING CELL</t>
  </si>
  <si>
    <t>DRY HOLE BASE</t>
  </si>
  <si>
    <t>PREPARATION</t>
  </si>
  <si>
    <t>COMPLETION BASE</t>
  </si>
  <si>
    <t>NON PRODUCTIVE TIME</t>
  </si>
  <si>
    <t>ACTIVITY</t>
  </si>
  <si>
    <t>STATUS</t>
  </si>
  <si>
    <t>REMARK</t>
  </si>
  <si>
    <t>PU / LD BHA</t>
  </si>
  <si>
    <t>Stand Up or L/D Drill Pipe</t>
  </si>
  <si>
    <t>Load / Unload MWD / LWD when out of hole</t>
  </si>
  <si>
    <t>Trip in / out Drilling BHA</t>
  </si>
  <si>
    <t>Trip in / out Coiled Tubing</t>
  </si>
  <si>
    <t>Pumping Out of Hole / Casing</t>
  </si>
  <si>
    <t>Wiper / Conditioner Trip</t>
  </si>
  <si>
    <t>NON PRODUCTIVE TIME (NPT)</t>
  </si>
  <si>
    <t>IADC</t>
  </si>
  <si>
    <t>PROBLEM SOLVING</t>
  </si>
  <si>
    <t>LESSON LEARN</t>
  </si>
  <si>
    <t>TOTAL NPT</t>
  </si>
  <si>
    <t>GAIN / LOSS</t>
  </si>
  <si>
    <t>ALL ACTIVITY</t>
  </si>
  <si>
    <t>RU &amp; Tear Down - JRA/ Safety Meeting / Time Out</t>
  </si>
  <si>
    <t>Drilling Actual - JRA/ Safety Meeting / Drills / Time Out</t>
  </si>
  <si>
    <t>Reaming - JRA/ Safety Meeting / Time Out</t>
  </si>
  <si>
    <t>Coring - JRA/ Safety Meeting / Time Out</t>
  </si>
  <si>
    <t>Condition Mud - JRA/ Safety Meeting / Time Out</t>
  </si>
  <si>
    <t>AFE</t>
  </si>
  <si>
    <t>CUM DAYS</t>
  </si>
  <si>
    <t>Production Test</t>
  </si>
  <si>
    <t>SECTION</t>
  </si>
  <si>
    <t>CUM. DAYS</t>
  </si>
  <si>
    <t>----------------------</t>
  </si>
  <si>
    <r>
      <t xml:space="preserve">Add Row </t>
    </r>
    <r>
      <rPr>
        <i/>
        <sz val="10"/>
        <color theme="0" tint="-0.14999847407452621"/>
        <rFont val="Wingdings 3"/>
        <family val="1"/>
        <charset val="2"/>
      </rPr>
      <t></t>
    </r>
  </si>
  <si>
    <t>NO. SECTION</t>
  </si>
  <si>
    <t>DAILY NPT
(%)</t>
  </si>
  <si>
    <t>CUM NPT (%)</t>
  </si>
  <si>
    <t>WORK DESCRIPTION</t>
  </si>
  <si>
    <r>
      <t xml:space="preserve">WORK DESCRIPTION </t>
    </r>
    <r>
      <rPr>
        <b/>
        <sz val="24"/>
        <color rgb="FFFFC000"/>
        <rFont val="Century Gothic"/>
        <family val="2"/>
      </rPr>
      <t>PLAN VS ACTUAL</t>
    </r>
  </si>
  <si>
    <t>Border Line</t>
  </si>
  <si>
    <t>Mandatory Input</t>
  </si>
  <si>
    <t>Automatic Calculated Cell</t>
  </si>
  <si>
    <t>DATE &amp; DAY</t>
  </si>
  <si>
    <t>FOR GRAPH</t>
  </si>
  <si>
    <t>DAYS CUM.</t>
  </si>
  <si>
    <t>PLAN AFE</t>
  </si>
  <si>
    <t>ACTUAL AFE</t>
  </si>
  <si>
    <t>DATE &amp; DAY
FINISHED</t>
  </si>
  <si>
    <t>DSR</t>
  </si>
  <si>
    <t>ROW of INT</t>
  </si>
  <si>
    <t>SHOE</t>
  </si>
  <si>
    <t>TOL</t>
  </si>
  <si>
    <t>FORMATION</t>
  </si>
  <si>
    <t>PASTE (AND SNAP TO GRID) YOUR LITHOLOGY SCHEME HERE</t>
  </si>
  <si>
    <t>INTERVAL</t>
  </si>
  <si>
    <t>DESCRIPTION</t>
  </si>
  <si>
    <t>Duration</t>
  </si>
  <si>
    <t>Well Name</t>
  </si>
  <si>
    <t>Field Structure</t>
  </si>
  <si>
    <t>Surface Coord. (X)</t>
  </si>
  <si>
    <t>Surface Coord. (Y)</t>
  </si>
  <si>
    <t>Elevation</t>
  </si>
  <si>
    <t>Well Type</t>
  </si>
  <si>
    <t>Project Type</t>
  </si>
  <si>
    <t>Total Depth</t>
  </si>
  <si>
    <t>LINK MTR</t>
  </si>
  <si>
    <t>TOP FM</t>
  </si>
  <si>
    <t>Section</t>
  </si>
  <si>
    <t>SUB SECTION</t>
  </si>
  <si>
    <t>Drill'g Days</t>
  </si>
  <si>
    <t>Rig Days</t>
  </si>
  <si>
    <t>KOLOM BANTU</t>
  </si>
  <si>
    <t>DESC</t>
  </si>
  <si>
    <t>---------------</t>
  </si>
  <si>
    <t>-</t>
  </si>
  <si>
    <t>DRILLING</t>
  </si>
  <si>
    <t>CSG</t>
  </si>
  <si>
    <t>CASING TYPE : LINK</t>
  </si>
  <si>
    <t>KOMBINASI DATA UNTUK WELL PROFILE</t>
  </si>
  <si>
    <t>Jumlah Row</t>
  </si>
  <si>
    <t>--</t>
  </si>
  <si>
    <t>Pjg Line</t>
  </si>
  <si>
    <t xml:space="preserve">  </t>
  </si>
  <si>
    <t>DEPTH (mMD)</t>
  </si>
  <si>
    <t>Rig Name / Owner</t>
  </si>
  <si>
    <t>Spud Date</t>
  </si>
  <si>
    <t>RELEASE DATE</t>
  </si>
  <si>
    <t>Sub Surface Coord. (X)</t>
  </si>
  <si>
    <t>Sub Surface Coord. (Y)</t>
  </si>
  <si>
    <t>PERCENTAGE</t>
  </si>
  <si>
    <t>ENG. ESTIMATE ACTUAL</t>
  </si>
  <si>
    <t>AFE BUDGET</t>
  </si>
  <si>
    <t/>
  </si>
  <si>
    <t>FIELD STRUCTURE</t>
  </si>
  <si>
    <t>SURFACE COORD. (X)</t>
  </si>
  <si>
    <t>SURFACE COORD. (Y)</t>
  </si>
  <si>
    <t>SUB SURFACE COORD. (X)</t>
  </si>
  <si>
    <t>SUB SURFACE COORD. (Y)</t>
  </si>
  <si>
    <t>ELEVATION</t>
  </si>
  <si>
    <t>WELL TYPE</t>
  </si>
  <si>
    <t>PROJECT TYPE</t>
  </si>
  <si>
    <t>RIG NAME / OWNER</t>
  </si>
  <si>
    <t>TINGGI RIG FLOOR</t>
  </si>
  <si>
    <t>LAYER NAME</t>
  </si>
  <si>
    <t>ABBR.</t>
  </si>
  <si>
    <t>CASING
(INCH)</t>
  </si>
  <si>
    <t>ROP for Header Gain/Loss</t>
  </si>
  <si>
    <t>HELPER</t>
  </si>
  <si>
    <t>KOP #1</t>
  </si>
  <si>
    <t>KOP #2</t>
  </si>
  <si>
    <t xml:space="preserve">TOL </t>
  </si>
  <si>
    <t>Pre Spud</t>
  </si>
  <si>
    <t>PreSPUD</t>
  </si>
  <si>
    <t>PRE SPUD</t>
  </si>
  <si>
    <t>Rig Move, Rig Up, including Stand-up 5" DP and 8" DC.</t>
  </si>
  <si>
    <t>WORKOVER</t>
  </si>
  <si>
    <t>Rig Up Top Drive  M/U BHA dan Bit 26".</t>
  </si>
  <si>
    <t>NON DRILLING</t>
  </si>
  <si>
    <t>Drilling 26" OH to casing point, Circulation, Trip, POOH &amp; L/D BHA</t>
  </si>
  <si>
    <t>RIH &amp; 20" Casing Cementing job, WOC, N/U Bottom Flange, N/U BOP Diverter &amp; Pressure Test</t>
  </si>
  <si>
    <t>Drilling 17,5" OH to Csg Point, Circulation, Trip, POOH &amp; L/D BHA</t>
  </si>
  <si>
    <t>I</t>
  </si>
  <si>
    <t>RIH &amp; 13.3/8" Casing Cementing job, WOC, N/U WellHead, N/U BOP &amp; Pressure Test</t>
  </si>
  <si>
    <t>Completion</t>
  </si>
  <si>
    <t>J</t>
  </si>
  <si>
    <t>COMPLETION #1</t>
  </si>
  <si>
    <t>K</t>
  </si>
  <si>
    <t>COMPLETION #2</t>
  </si>
  <si>
    <t>L</t>
  </si>
  <si>
    <t>COMPLETION #3</t>
  </si>
  <si>
    <t>M</t>
  </si>
  <si>
    <t>RIH Scrapper to Liner depth interval, RIH and perform production casing cementing job</t>
  </si>
  <si>
    <t>N</t>
  </si>
  <si>
    <t>Completion Job</t>
  </si>
  <si>
    <t>O</t>
  </si>
  <si>
    <t>P</t>
  </si>
  <si>
    <t>Q</t>
  </si>
  <si>
    <t>R</t>
  </si>
  <si>
    <t>S</t>
  </si>
  <si>
    <t>T</t>
  </si>
  <si>
    <t>U</t>
  </si>
  <si>
    <t>V</t>
  </si>
  <si>
    <t>(Days:Hrs:
Mins)</t>
  </si>
  <si>
    <t>G E N E R A L    D A T A</t>
  </si>
  <si>
    <t>NPT /  Other Red Alert</t>
  </si>
  <si>
    <t>SUB-SECTION</t>
  </si>
  <si>
    <t>SEQUENCE NO /
SECTION</t>
  </si>
  <si>
    <t>CUM</t>
  </si>
  <si>
    <t>SUB-SECTION
ISTEXT</t>
  </si>
  <si>
    <t>CUM. 
DAYS</t>
  </si>
  <si>
    <t>RESUME JOB</t>
  </si>
  <si>
    <t>ROW</t>
  </si>
  <si>
    <t>ITEM DESC</t>
  </si>
  <si>
    <t>CUM.</t>
  </si>
  <si>
    <t>CUM.
HRS/SECT</t>
  </si>
  <si>
    <t>AFE PLAN</t>
  </si>
  <si>
    <t>xxxxxxxxxxxxx</t>
  </si>
  <si>
    <t>START</t>
  </si>
  <si>
    <t>END</t>
  </si>
  <si>
    <t>SECTION 
LEVEL #1</t>
  </si>
  <si>
    <t>SECTION 
LEVEL #2</t>
  </si>
  <si>
    <t>SECTION 
LEVEL #3</t>
  </si>
  <si>
    <t>OFFSET</t>
  </si>
  <si>
    <t>DROPDOWN LIST, TEST</t>
  </si>
  <si>
    <t>MATCH</t>
  </si>
  <si>
    <t>VLOOKUP</t>
  </si>
  <si>
    <t>COUNTIF</t>
  </si>
  <si>
    <t>TEST PASTE HERE</t>
  </si>
  <si>
    <t>MIX FORMULA</t>
  </si>
  <si>
    <t>HELPER: MARKER SECT LEVEL #2</t>
  </si>
  <si>
    <t>SECT #2</t>
  </si>
  <si>
    <t>Special Assignment</t>
  </si>
  <si>
    <t>PRE-OPERATION JOB</t>
  </si>
  <si>
    <t>HIDDEN COL</t>
  </si>
  <si>
    <t>SECTION 
LEVEL #1
(dalam angka)</t>
  </si>
  <si>
    <t>SECTION 
LEVEL #2
(dalam angka)</t>
  </si>
  <si>
    <t>MIX RESULT</t>
  </si>
  <si>
    <t>THE HELPER COLUMN</t>
  </si>
  <si>
    <t>FOR MIX &amp; RANK</t>
  </si>
  <si>
    <t>XXXXXXXX</t>
  </si>
  <si>
    <t>COLUMN #1</t>
  </si>
  <si>
    <t>COLUMN #2</t>
  </si>
  <si>
    <t>COLUMNS FOR SHEET GRAPH</t>
  </si>
  <si>
    <t>COLUMN #3</t>
  </si>
  <si>
    <t>COLUMN #4</t>
  </si>
  <si>
    <t>COLUMN #5</t>
  </si>
  <si>
    <t>COLUMN #6</t>
  </si>
  <si>
    <t>MARKER: SECT #3 DIPAKAI ATAU TDK</t>
  </si>
  <si>
    <t>USED OR NOT ?</t>
  </si>
  <si>
    <t>BE CAREFULL !!!
ACTUNG !!!
ATI-ATI !!!
SLOW DOWN !!!
LER'B DWEHLN !!!
BE CAREFULL !!!
ACTUNG !!!
ATI-ATI !!!BE CAREFULL !!!</t>
  </si>
  <si>
    <r>
      <rPr>
        <b/>
        <sz val="14"/>
        <color rgb="FF002060"/>
        <rFont val="Century Gothic"/>
        <family val="2"/>
      </rPr>
      <t xml:space="preserve">STEP 4). </t>
    </r>
    <r>
      <rPr>
        <b/>
        <sz val="14"/>
        <color rgb="FFFFC000"/>
        <rFont val="Century Gothic"/>
        <family val="2"/>
      </rPr>
      <t>DESCRIBE YOUR JOB SUMMARY FOR GRAPH</t>
    </r>
  </si>
  <si>
    <r>
      <rPr>
        <b/>
        <sz val="14"/>
        <color rgb="FF002060"/>
        <rFont val="Century Gothic"/>
        <family val="2"/>
      </rPr>
      <t xml:space="preserve">STEP 5). </t>
    </r>
    <r>
      <rPr>
        <b/>
        <sz val="14"/>
        <color rgb="FFFFC000"/>
        <rFont val="Century Gothic"/>
        <family val="2"/>
      </rPr>
      <t>INPUT DATA CASING SECTION &amp; TOP OF LINER</t>
    </r>
  </si>
  <si>
    <r>
      <rPr>
        <b/>
        <sz val="14"/>
        <color rgb="FF002060"/>
        <rFont val="Century Gothic"/>
        <family val="2"/>
      </rPr>
      <t xml:space="preserve">STEP 6). </t>
    </r>
    <r>
      <rPr>
        <b/>
        <sz val="14"/>
        <color rgb="FFFFC000"/>
        <rFont val="Century Gothic"/>
        <family val="2"/>
      </rPr>
      <t>INPUT DATA FORMATION LAYER</t>
    </r>
  </si>
  <si>
    <r>
      <rPr>
        <b/>
        <sz val="14"/>
        <color rgb="FF002060"/>
        <rFont val="Century Gothic"/>
        <family val="2"/>
      </rPr>
      <t xml:space="preserve">STEP 7). </t>
    </r>
    <r>
      <rPr>
        <b/>
        <sz val="14"/>
        <color rgb="FFFFC000"/>
        <rFont val="Century Gothic"/>
        <family val="2"/>
      </rPr>
      <t>EVALUATE YOUR DRILLING TIME</t>
    </r>
  </si>
  <si>
    <r>
      <rPr>
        <b/>
        <sz val="14"/>
        <color rgb="FF002060"/>
        <rFont val="Century Gothic"/>
        <family val="2"/>
      </rPr>
      <t xml:space="preserve">STEP 1). </t>
    </r>
    <r>
      <rPr>
        <b/>
        <sz val="14"/>
        <color rgb="FFFFC000"/>
        <rFont val="Century Gothic"/>
        <family val="2"/>
      </rPr>
      <t>WATCH OUT THE CELLS COLOR</t>
    </r>
  </si>
  <si>
    <r>
      <t xml:space="preserve">STEP 3). </t>
    </r>
    <r>
      <rPr>
        <b/>
        <sz val="14"/>
        <color rgb="FFFFC000"/>
        <rFont val="Century Gothic"/>
        <family val="2"/>
      </rPr>
      <t>DEFINE YOUR SECTION LEVEL</t>
    </r>
  </si>
  <si>
    <r>
      <rPr>
        <b/>
        <sz val="14"/>
        <color rgb="FF002060"/>
        <rFont val="Century Gothic"/>
        <family val="2"/>
      </rPr>
      <t xml:space="preserve">STEP 2). </t>
    </r>
    <r>
      <rPr>
        <b/>
        <sz val="14"/>
        <color rgb="FFFFC000"/>
        <rFont val="Century Gothic"/>
        <family val="2"/>
      </rPr>
      <t>INPUT GENERAL DATA</t>
    </r>
  </si>
  <si>
    <t>COLUMN #7</t>
  </si>
  <si>
    <t>COLUMN #8</t>
  </si>
  <si>
    <t>11-3129</t>
  </si>
  <si>
    <t>PLANNED TOTAL DEPTH</t>
  </si>
  <si>
    <t>xxxx</t>
  </si>
  <si>
    <t>HIDE THIS ROW PLZ!!!</t>
  </si>
  <si>
    <t>Planned Total Depth</t>
  </si>
  <si>
    <t>Doc No.  :  EP3700/Form/DSpv/05
Form Vers. : 4.0/2016</t>
  </si>
  <si>
    <t>NICK NAME</t>
  </si>
  <si>
    <r>
      <rPr>
        <b/>
        <sz val="14"/>
        <color rgb="FF002060"/>
        <rFont val="Century Gothic"/>
        <family val="2"/>
      </rPr>
      <t xml:space="preserve">STEP 1). </t>
    </r>
    <r>
      <rPr>
        <b/>
        <sz val="14"/>
        <color rgb="FFFFC000"/>
        <rFont val="Century Gothic"/>
        <family val="2"/>
      </rPr>
      <t>INPUT PROBLEM &amp; LESSON LEARN</t>
    </r>
  </si>
  <si>
    <r>
      <rPr>
        <b/>
        <sz val="14"/>
        <color rgb="FF002060"/>
        <rFont val="Century Gothic"/>
        <family val="2"/>
      </rPr>
      <t xml:space="preserve">STEP 3). </t>
    </r>
    <r>
      <rPr>
        <b/>
        <sz val="14"/>
        <color rgb="FFFFC000"/>
        <rFont val="Century Gothic"/>
        <family val="2"/>
      </rPr>
      <t>THE GRAPH</t>
    </r>
  </si>
  <si>
    <r>
      <rPr>
        <b/>
        <sz val="14"/>
        <color rgb="FF002060"/>
        <rFont val="Century Gothic"/>
        <family val="2"/>
      </rPr>
      <t xml:space="preserve">STEP 2). </t>
    </r>
    <r>
      <rPr>
        <b/>
        <sz val="14"/>
        <color rgb="FFFFC000"/>
        <rFont val="Century Gothic"/>
        <family val="2"/>
      </rPr>
      <t>THE SELECTION ONLY</t>
    </r>
  </si>
  <si>
    <t>In Progress</t>
  </si>
  <si>
    <r>
      <t xml:space="preserve">PERFORMANCE EVALUATION </t>
    </r>
    <r>
      <rPr>
        <b/>
        <sz val="26"/>
        <color theme="9" tint="-0.249977111117893"/>
        <rFont val="Century Gothic"/>
        <family val="2"/>
      </rPr>
      <t xml:space="preserve">BASED ON PERTAMINA </t>
    </r>
    <r>
      <rPr>
        <b/>
        <sz val="26"/>
        <color theme="9" tint="-0.24994659260841701"/>
        <rFont val="Century Gothic"/>
        <family val="2"/>
      </rPr>
      <t>CODE</t>
    </r>
  </si>
  <si>
    <t>PROSENTASE NPT (AFE VERSION)</t>
  </si>
  <si>
    <t>HOW TO ADJUST ROWS TO PREVENT UNREAD</t>
  </si>
  <si>
    <r>
      <rPr>
        <b/>
        <i/>
        <sz val="11"/>
        <color rgb="FF3399FF"/>
        <rFont val="Century Gothic"/>
        <family val="2"/>
      </rPr>
      <t xml:space="preserve">STEP 2.1). </t>
    </r>
    <r>
      <rPr>
        <b/>
        <i/>
        <sz val="11"/>
        <color theme="6" tint="0.39997558519241921"/>
        <rFont val="Century Gothic"/>
        <family val="2"/>
      </rPr>
      <t xml:space="preserve">KLIK TOMBOL "BLOCK TABLE BELOW" DISAMPING INI </t>
    </r>
    <r>
      <rPr>
        <b/>
        <sz val="11"/>
        <color theme="6" tint="0.39997558519241921"/>
        <rFont val="Wingdings 3"/>
        <family val="1"/>
        <charset val="2"/>
      </rPr>
      <t>wuwu</t>
    </r>
  </si>
  <si>
    <r>
      <rPr>
        <b/>
        <i/>
        <sz val="11"/>
        <color rgb="FF3399FF"/>
        <rFont val="Century Gothic"/>
        <family val="2"/>
      </rPr>
      <t xml:space="preserve">STEP 2.3). </t>
    </r>
    <r>
      <rPr>
        <b/>
        <i/>
        <sz val="11"/>
        <color theme="6" tint="0.39997558519241921"/>
        <rFont val="Century Gothic"/>
        <family val="2"/>
      </rPr>
      <t>DOUBLE CLICK DAN SEMUA BARIS AKAN MENYESUAIKAN LEBARNYA SESUAI DENGAN ISI CELL MSG-MSG</t>
    </r>
  </si>
  <si>
    <r>
      <rPr>
        <b/>
        <i/>
        <sz val="11"/>
        <color rgb="FF3399FF"/>
        <rFont val="Century Gothic"/>
        <family val="2"/>
      </rPr>
      <t xml:space="preserve">STEP 2.2). </t>
    </r>
    <r>
      <rPr>
        <b/>
        <i/>
        <sz val="11"/>
        <color theme="6" tint="0.39997558519241921"/>
        <rFont val="Century Gothic"/>
        <family val="2"/>
      </rPr>
      <t>ARAHKAN CURSOR PADA SALAH SATU ROW</t>
    </r>
  </si>
  <si>
    <t>Doc No.  :  EP3700/Form/DSpv/05. Form Vers: 4.1/2016</t>
  </si>
  <si>
    <t>NOTE: 
Nama Caracter antar level harus berbeda. Misal, pada level 2 : COMPLETION jika pada level 1 namanya sama COMPLETION maka formula akan ERROR, sebaiknya dibedakan minimal sperti ini : 
Level 2: COMPLETION, Level 1: COMPLETIONS</t>
  </si>
  <si>
    <t>WORKOVER SECTION</t>
  </si>
  <si>
    <t>ACTUAL BREAKDOWN</t>
  </si>
  <si>
    <t>&lt;&lt;&lt; GRAFIKNYA DI SHEET "5_PERFORM (2)_Graph"</t>
  </si>
  <si>
    <t>Untuk Services Non Rig (MPD, UBD, CTU, Wireline etc) selama menambah operation days</t>
  </si>
  <si>
    <t>Test casing / Leak Off Test / Formation Integrity Test</t>
  </si>
  <si>
    <t>Well Control Operations / Situation (NPT)</t>
  </si>
  <si>
    <t>Lossing Circ / Pumping LCM / Monitor Unplanned (NPT)</t>
  </si>
  <si>
    <t xml:space="preserve">Lossing Circ / Pumping LCM / Monitor planned </t>
  </si>
  <si>
    <t>Stuck Pipe Include Handling operations (NPT)</t>
  </si>
  <si>
    <t xml:space="preserve">Drill Out Cement, Bottom &amp; Top Plug, Float Shoe, DSCC. Include milling yang direncanakan </t>
  </si>
  <si>
    <t xml:space="preserve">Wash / Reaming / Backreaming </t>
  </si>
  <si>
    <t>Wash / Reaming / Backreaming Unplanned (NPT)</t>
  </si>
  <si>
    <t>Enlarge Hole (Under Reaming)</t>
  </si>
  <si>
    <t>Pick up / Lay down Core barrel</t>
  </si>
  <si>
    <t>Sirkulasi yang tidak direncanakan dalam program</t>
  </si>
  <si>
    <t xml:space="preserve">Flow Check / Monitor Well </t>
  </si>
  <si>
    <t>Repair Power System (NPT)</t>
  </si>
  <si>
    <t>Repair Housting System (NPT)</t>
  </si>
  <si>
    <t>Repair Cirulating System (NPT)</t>
  </si>
  <si>
    <t>Repair Rotating System (NPT)</t>
  </si>
  <si>
    <t>Repair Blow Out Preventer System (NPT)</t>
  </si>
  <si>
    <t>Tubular Problem (NPT)</t>
  </si>
  <si>
    <t>Personal Problem (NPT)</t>
  </si>
  <si>
    <t xml:space="preserve">Wireline Logging / Drill Pipe conveyed </t>
  </si>
  <si>
    <t>Slick Line Job</t>
  </si>
  <si>
    <t>Wireline/Slick Line Job Unplanned (NPT)</t>
  </si>
  <si>
    <t>Pekerjaan wireline/slick line yang tidak direncanakan (ganti konfigurasi tools akibat duduk, etc)</t>
  </si>
  <si>
    <t xml:space="preserve">Run Casing / Liner / Accessories Lainya  </t>
  </si>
  <si>
    <t xml:space="preserve">Cement Casing / Liner  </t>
  </si>
  <si>
    <t>Run Casing / Liner Problem (NPT)</t>
  </si>
  <si>
    <t>Casing/liner duduk, stuck, cabut casing/liner</t>
  </si>
  <si>
    <t>N/U BOP, N/U &amp; Install Diverter, Install Bell Nipple and Flowline or mandrel</t>
  </si>
  <si>
    <t>N/D BOP, N/D  Diverter, N/D Bell Nipple and Flowline or mandrel</t>
  </si>
  <si>
    <t>Drill Stem Test / WCT (Well Completion Test di PGE)</t>
  </si>
  <si>
    <t xml:space="preserve">Pekerjaan Mulai RIH Down Hole Test, Proses Testing hingga Cabut Down Hole Test spi Permukaan </t>
  </si>
  <si>
    <t xml:space="preserve">For Abandont, Combat Loss </t>
  </si>
  <si>
    <t>For sidetrack</t>
  </si>
  <si>
    <t>Squeeze Planned Include Used Coiled Tubing</t>
  </si>
  <si>
    <t>Squeeze Unplanned (NPT)</t>
  </si>
  <si>
    <t>Remedial Cementing &amp; Tutup Zona Perforasi</t>
  </si>
  <si>
    <t xml:space="preserve">Mengatasi Casing bocor, Top liner bocor, DSCC bocor, Kegagalan Primary Cementing  </t>
  </si>
  <si>
    <t>Mill / Cut Window c/w Mill Bit &amp; Coilled Tubing</t>
  </si>
  <si>
    <t>Open Windows</t>
  </si>
  <si>
    <t xml:space="preserve">Directional Services </t>
  </si>
  <si>
    <t>Mud Services</t>
  </si>
  <si>
    <t>MLU Services</t>
  </si>
  <si>
    <t>UBD, MPD, Aerated Services</t>
  </si>
  <si>
    <t>Casing Drilling Services</t>
  </si>
  <si>
    <t>Cementing Services</t>
  </si>
  <si>
    <t xml:space="preserve">Down Hole  &amp; Surface Services </t>
  </si>
  <si>
    <t xml:space="preserve">Coiled Tubing Services </t>
  </si>
  <si>
    <t xml:space="preserve">Wireline Services </t>
  </si>
  <si>
    <t>Slick Line Services</t>
  </si>
  <si>
    <t>RTO Services</t>
  </si>
  <si>
    <t>Tubular Services</t>
  </si>
  <si>
    <t>Well Head &amp; X-Mastree Services</t>
  </si>
  <si>
    <t>Solid Control Services (Pihak Ketiga)</t>
  </si>
  <si>
    <t>Waste Management Services</t>
  </si>
  <si>
    <t>H2S Services</t>
  </si>
  <si>
    <t>Stimulation Services</t>
  </si>
  <si>
    <t>Marine Support Services</t>
  </si>
  <si>
    <t>Transportation Services</t>
  </si>
  <si>
    <t>Others Services</t>
  </si>
  <si>
    <t>Service Company (NPT)</t>
  </si>
  <si>
    <t>Others NPT</t>
  </si>
  <si>
    <t>Material Problems</t>
  </si>
  <si>
    <t>Sosial Issue</t>
  </si>
  <si>
    <t>Evironment Issue</t>
  </si>
  <si>
    <t>Location Problem</t>
  </si>
  <si>
    <t xml:space="preserve">Logistics Problem  </t>
  </si>
  <si>
    <t>Regulatory problems</t>
  </si>
  <si>
    <t>22a</t>
  </si>
  <si>
    <t>22b</t>
  </si>
  <si>
    <t>22c</t>
  </si>
  <si>
    <t>22d</t>
  </si>
  <si>
    <t>22e</t>
  </si>
  <si>
    <t>22f</t>
  </si>
  <si>
    <t>22g</t>
  </si>
  <si>
    <t>Force Majure</t>
  </si>
  <si>
    <t>Tunggu Hari Terang</t>
  </si>
  <si>
    <t>Tidak termasuk PT &amp; NPT</t>
  </si>
  <si>
    <t>Uncontrol Situation</t>
  </si>
  <si>
    <t>23a</t>
  </si>
  <si>
    <t>23b</t>
  </si>
  <si>
    <t>23c</t>
  </si>
  <si>
    <t>Kick Drill, Medivac drill, Pit drill, H2S Drill, etc</t>
  </si>
  <si>
    <t>24a</t>
  </si>
  <si>
    <t>Semua pelatihan terkait keselamatan kerja</t>
  </si>
  <si>
    <t>Cased hole logging</t>
  </si>
  <si>
    <t xml:space="preserve">Perforating </t>
  </si>
  <si>
    <t>25a</t>
  </si>
  <si>
    <t>25b</t>
  </si>
  <si>
    <t>Cased Hole Logging &amp; Perforating</t>
  </si>
  <si>
    <t>Running / pulling Scraper</t>
  </si>
  <si>
    <t>Test / Presure test  production tubing</t>
  </si>
  <si>
    <t>Termasuk Run TCP untuk sumur Pengembangan</t>
  </si>
  <si>
    <t>Stimulation</t>
  </si>
  <si>
    <t>Stimulation/Fracturing/Unloading/Production Treatment</t>
  </si>
  <si>
    <t>27a</t>
  </si>
  <si>
    <t>28a</t>
  </si>
  <si>
    <t>Well Testing</t>
  </si>
  <si>
    <t>29a</t>
  </si>
  <si>
    <t>X-Mastree</t>
  </si>
  <si>
    <t>N/U &amp; N/D</t>
  </si>
  <si>
    <t>Tree Pressure Testing</t>
  </si>
  <si>
    <t>30a</t>
  </si>
  <si>
    <t>26b</t>
  </si>
  <si>
    <t>26a</t>
  </si>
  <si>
    <t>26c</t>
  </si>
  <si>
    <r>
      <t xml:space="preserve">STEP BY STEP </t>
    </r>
    <r>
      <rPr>
        <b/>
        <sz val="26"/>
        <color theme="9" tint="-0.24994659260841701"/>
        <rFont val="Century Gothic"/>
        <family val="2"/>
      </rPr>
      <t>WORKOVER TIME FOR COMPANYMAN</t>
    </r>
  </si>
  <si>
    <t>Flow Check / Monitor Well While Drilling</t>
  </si>
  <si>
    <t>Other Drilling Activities</t>
  </si>
  <si>
    <t>2h</t>
  </si>
  <si>
    <t>2i</t>
  </si>
  <si>
    <t>2j</t>
  </si>
  <si>
    <t xml:space="preserve">Monitoring well while drilling </t>
  </si>
  <si>
    <t>Unplanned Circulate / Condition Mud</t>
  </si>
  <si>
    <t>Slip and Cut Drill Line</t>
  </si>
  <si>
    <t>10b</t>
  </si>
  <si>
    <t>Function &amp; Pressure Test of BOP's</t>
  </si>
  <si>
    <t>Fishing Operations (NPT)</t>
  </si>
  <si>
    <t>Preparation, Run &amp; Set Wipstock</t>
  </si>
  <si>
    <t>Swabbing Well</t>
  </si>
  <si>
    <t>30b</t>
  </si>
  <si>
    <t>Rig Release</t>
  </si>
  <si>
    <t>Rig Move &amp; Rig Up</t>
  </si>
  <si>
    <t>Rig Move &amp; Rig up</t>
  </si>
  <si>
    <t>CASING DESIGN</t>
  </si>
  <si>
    <t>WORKOVER #1</t>
  </si>
  <si>
    <t>WORKOVER #2</t>
  </si>
  <si>
    <t>WORKOVER #3</t>
  </si>
  <si>
    <t>Preparation and Killing well</t>
  </si>
  <si>
    <t>Observasi Well</t>
  </si>
  <si>
    <t>Preparation (Kill well &amp; POOH existing string)</t>
  </si>
  <si>
    <t>WORKOVER #4</t>
  </si>
  <si>
    <t>N/D Wellhead &amp; Production Line</t>
  </si>
  <si>
    <t xml:space="preserve">Unset Packer </t>
  </si>
  <si>
    <t>Circulation Condition Mud</t>
  </si>
  <si>
    <t>POOH Production String + Packer 7" to Surface</t>
  </si>
  <si>
    <t>WOC</t>
  </si>
  <si>
    <t>Sirkulasi</t>
  </si>
  <si>
    <t xml:space="preserve">Rig Up Wireline </t>
  </si>
  <si>
    <t>Run GR-CBL-CNL</t>
  </si>
  <si>
    <t>Cementing Perbaikan Bonding</t>
  </si>
  <si>
    <t>Circulate Hole Clean</t>
  </si>
  <si>
    <t xml:space="preserve">Pressure Test </t>
  </si>
  <si>
    <t>Swab dan Test Produksi Lapisan Target</t>
  </si>
  <si>
    <t>Masuk RBI</t>
  </si>
  <si>
    <t>N/U SRP Wellhead &amp; Production Line</t>
  </si>
  <si>
    <t>Squeeze lapisan Eksisting. Run Scraper. Run GR-CBL-CNL</t>
  </si>
  <si>
    <t>Perbaikan bonding. DOC. Run Scraper. Re run GR-CBL-VDL</t>
  </si>
  <si>
    <t>RIH RPP. Put well on production</t>
  </si>
  <si>
    <t>N/D BOP 7-1/16" x 3000 psi</t>
  </si>
  <si>
    <t>Run RST</t>
  </si>
  <si>
    <t>23-190-221-OO</t>
  </si>
  <si>
    <t>SPA-034</t>
  </si>
  <si>
    <t>DIRECTIONAL</t>
  </si>
  <si>
    <t>Perforasi Produksi. Stimulation Job. RIH RPP. Swab Job. POOH RPP</t>
  </si>
  <si>
    <t>RIH TCB 6"</t>
  </si>
  <si>
    <t>RIH Scraper 7" to 1175 m</t>
  </si>
  <si>
    <t>Rig Up Wireline</t>
  </si>
  <si>
    <t>Run GR-CBL</t>
  </si>
  <si>
    <t>RIH Scraper 7" to 1041 m</t>
  </si>
  <si>
    <t>Unset Packer</t>
  </si>
  <si>
    <t>RIH RPP Stimulation</t>
  </si>
  <si>
    <t>Stimulation Job (Acid Solvent)</t>
  </si>
  <si>
    <t>Preparation and Killing Well</t>
  </si>
  <si>
    <t>N/U BOP 7-1/16" x 3000 psi &amp; BOP Test</t>
  </si>
  <si>
    <t>N/D X Mass Tree</t>
  </si>
  <si>
    <t>RIH OE Tbg 2-7/8" for Squeeze Lapisan Eksisting</t>
  </si>
  <si>
    <t xml:space="preserve">Semen Squeeze Lapisan Eksisting </t>
  </si>
  <si>
    <t>POOH OE Tbg Cementing to Surface</t>
  </si>
  <si>
    <t>Drill Cement From 875 to 1041 m (blong). Rate 250 m/day</t>
  </si>
  <si>
    <t>POOH TCB 6" to Surface</t>
  </si>
  <si>
    <t>POOH Scraper 7" to Surface</t>
  </si>
  <si>
    <t>Perforasi Zona Remedial</t>
  </si>
  <si>
    <t xml:space="preserve">RIH OE Tbg 2-7/8" for Remedial Cementing </t>
  </si>
  <si>
    <t>M/U &amp; RIH DP + TCB 6" to Tag TOC at 890 m</t>
  </si>
  <si>
    <t>Drill Cement From 860 to 1041 m (blong). Rate 250 m/day</t>
  </si>
  <si>
    <t>Perforasi Lapisan Produksi</t>
  </si>
  <si>
    <t>RIH RPP Tbg 2-7/8 + Packer 7" to 1142 m</t>
  </si>
  <si>
    <t>N/U X Mass Tree &amp; Pressure Test</t>
  </si>
  <si>
    <t>RIH RPP Tbg 2-7/8 + Packer 7" to 1700 m</t>
  </si>
  <si>
    <t>Production Test and Put Well On Production</t>
  </si>
  <si>
    <t>RELEASE</t>
  </si>
  <si>
    <t>GJE #11 (450 HP)</t>
  </si>
  <si>
    <r>
      <rPr>
        <b/>
        <sz val="11"/>
        <rFont val="Arial"/>
        <family val="2"/>
      </rPr>
      <t>Rig GJE #11 (450 HP) dinyatakan mulai operasi di sumur SPA-034 TMT 17 Januari 2023 pukul 19:00 WIB</t>
    </r>
    <r>
      <rPr>
        <sz val="11"/>
        <rFont val="Arial"/>
        <family val="2"/>
      </rPr>
      <t>. PJSM. Cek tekanan string 0 psi dan annulus 0 psi.</t>
    </r>
  </si>
  <si>
    <t>Fill up annulus dengan 150 bbl AA 1.01 SG. Fill up string sampai penuh dengan 30 bbl AA 1.01 SG.
- Pressure test RPP ESP dengan 500 psi/5 menit, baik.</t>
  </si>
  <si>
    <t>Observasi terbuka.</t>
  </si>
  <si>
    <t>N/D ESP wellhead hercules 7-1/16" x 3000 psi + master valve 3-1/8" x 3000 psi.</t>
  </si>
  <si>
    <t>Lanjut N/D ESP wellhead hercules 7-1/16" x 3000 psi + master valve 3-1/8" x 3000 psi.
- Potong kabel ESP dan capilar tube.
- Pasang dan dudukan tubing bowl di THS 7-1/16" x 3000 psi.</t>
  </si>
  <si>
    <t>N/U DSAF 7-1/16" x 3000 psi - 5000 psi + BOP group 7-1/16" x 5000 psi + bell nipple.</t>
  </si>
  <si>
    <t>Function dan pressure test BOP group 7-1/16" x 5000 psi.
- Function test BOP group, baik.
- Pressure test Annular, Low : 500 psi/5 menit, High : 1500 psi/10 menit, baik.
- Pressure test Pipe ram, Low : 500 psi/5 menit, High : 1500 psi/10 menit, baik.</t>
  </si>
  <si>
    <t>Drop bar ke dalam string untuk putuskan BV. Observasi tertutup 30 menit, SITP 0 psi. Isi string 1x volume pastikan pin dari BV sudah putus. Observasi terbuka, tidak ada aliran.</t>
  </si>
  <si>
    <t>SOPA</t>
  </si>
  <si>
    <t>PENDOPO</t>
  </si>
  <si>
    <t>Cabut L/D RPP ESP Wespi dan capilar tube dari 1814.13 m sampai 56 m.
- Aksesoris ESP WSEPI : Cable band : 150 ea, Protector : 140 pcs.
  Note : 2 titik didapati capilar tube bocor.
- L/D 1 jt 3-1/2" tubing (bekas) + 128 jts 2-7/8" tubing (bekas).
- Rack back 60 jts 2-7/8" tubing (bekas).</t>
  </si>
  <si>
    <t>L/D ESP Wespi dari 56 m sampai permukaan.
- Disconnect pump UT, putaran shaft free.
- Disconnect Pump LT, putaran shaft free.
- Disconnect GS dan intake gas separator, putaran shaft free.
- Disconnect protector PFDB, putaran shaft free, oli clear tidak bercampur air.
- Disconnect protector 66L, putaran shaft free, oli clear tidak bercampur air.
- L/D motor, putaran shaft free, oli clear tidak bercampur air.
- RPP ESP eksisting : 1 jt 3-1/2" tubing (bekas) + 184 jts 2-7/8" tubing (bekas) + BV + 1 jt 2-7/8" tubing (bekas) + CV + 3 jts 2-7/8" tubing (bekas) + Pump head + Upper pump FLCT 400 S TD 750-190 STG + Lower pump FLCT 400 S TD 750-152 STG + Gas separator intake 540 S + Upper protector PFDB 540 S + Lower Protector 66 L 540 SL + Motor 80 HP C1150. 45. 540.S + Centralizer
- Hasil pengukuran
  - Motor + Cable 
    - PP : 4.7/4.7/4.7 0hm 
  - Balance
    - PG : 20 M ohm
  - Motor 
    - PP : 0.8 ohm
    - PG :  2000 M.ohm
    - Cable : 2000 M.ohm.</t>
  </si>
  <si>
    <t>Persiapan masuk ROE (3-1/4" saw tooth + 2-3/8" DP + X/O + 2-7/8" DP + X/O + 3-1/2" DP).</t>
  </si>
  <si>
    <t>Masuk ROE (3-1/4" saw tooth + 20 jts 2-3/8" DP + X/O + 170 jts 2-7/8" DP + 52 jts 3-1/2" DP) sampai 2335.3 m.
- Sablon dan hammering semua tubular.
- Masuk joint per joint.
- Break sirkulasi setiap 20 joint, belum ada return.
- Rangkaian duduk 2 klbs di 2335.3 m.</t>
  </si>
  <si>
    <t>Sirkulasi dengan GPM/SPP : 168/0 psi, tidak ada return.
- Ambil 310 bbl AA dengan vakum truck di SPA-019 (injection well).</t>
  </si>
  <si>
    <t>Wash down dengan 3-1/4" saw tooth dari 2335.3 m sampai 2335.7 m.
- WOB/GPM/SPP : 1-3 klbs/168/0 psi.
- Kumm loss : 380 bbl AA.</t>
  </si>
  <si>
    <t>M/U kelly dan 4" rotary hose.</t>
  </si>
  <si>
    <t>Reaming down dengan 3-1/4" saw tooth dari 2335.7 m sampai 2372 m.
- WOB/GPM/SPP/RPM/TQ : 1-2 klbs/100/0 psi/30/400-500 ft-lbs.
- Selama reaming tidak ada return.
- Total loss : 400 bbl, Kumm loss : 780 bbl AA.</t>
  </si>
  <si>
    <t>Sirkulasi dengan GPM/SPP : 100/0 psi.
- Selama sirkulasi tidak ada return.
- Total loss : 50 bbl, Kumm loss : 830 bbl AA.</t>
  </si>
  <si>
    <t>N/D kelly dan 4" rotary hose.
- Ambil 375 bbl AA dengan vakum truck di SPA-019 (injection well).</t>
  </si>
  <si>
    <t>Reposisi dan ukur 60 jts 2-7/8" tubing (bekas) di sisiran.</t>
  </si>
  <si>
    <t>Cabut ROE dari 2372 m sampai permukaan.
- Fill up annulus berkala.
- L/D 20 jts 2-3/8" DP.</t>
  </si>
  <si>
    <t>Ganti pipe ram dari 3-1/2" ke 2-7/8".</t>
  </si>
  <si>
    <t>Masuk ROE (2-3/8" mole shoe + 15 jts 2-3/8" tubing (bekas) + X/O + 35 jts 2-7/8" tubing (bekas)) sampai 468.6 m.
- Masuk joint per joint 2-3/8" tubing (bekas).</t>
  </si>
  <si>
    <t>Lanjut masuk ROE (2-3/8" mole shoe + 15 jts 2-3/8" tubing (bekas) + X/O + 60 jts 2-7/8" tubing (bekas) + X/O + X/O + 160 jts 2-7/8" DP) dari 468.6 m sampai 2248.5 m.
- Rangkaian duduk 1 klbs di 2248.5 m (TOL 4-1/2").</t>
  </si>
  <si>
    <t>Usaha masuk ROE lebih dalam dengan WOP sambil putar rangkaian, belum berhasil. Pasang circulating head. Wash down dari 2247.6 m sampai 2249.6 m, rangkaian berhasil masuk TOL 4-1/2".
- WOB/GPM/SPP : 0.5-1 klbs/80/0 psi.</t>
  </si>
  <si>
    <t>Lanjut masuk ROE (2-3/8" mole shoe + 15 jts 2-3/8" tubing (bekas) + X/O + 60 jts 2-7/8" tubing (bekas) + X/O + X/O + 170 jts 2-7/8" DP) dari 2249.6 m sampai 2346.4 m.</t>
  </si>
  <si>
    <t>Persiapan squeeze lapisan eksisting BRF interval 2337-2344 m.
- Sirkulasi dengan GPM/SPP : 100/0 psi, tidak ada return.
- Total loss : 70 bbl AA, Kumm loss : 900 bbl AA.
- Ambil 248 bbl AA dengan vakum truck di SPA-019 (injection well).</t>
  </si>
  <si>
    <t>Rig up cementing unit.
- PJSM.
- Function test cementing unit, baik.
- M/U cementing line dan plug valve cementing.</t>
  </si>
  <si>
    <t>Squeeze lapisan eksisting BRF interval 2337-2344 m.
- Pressure test cementing line 2000 psi/5 mnt, baik.
- Mixing additive semen.
- Pompakan 17 bbl water ahead 8.33 ppg dengan rate 3 bpm, pressure 35 psi.
- Aduk dan pompakan 5 bbl semen 13 ppg dengan rate 2 bpm, pressure 70 psi.
- Pompakan 3 bbl water behind 8.33 ppg dengan rate 2 bpm, pressure 60 psi.
- Displace 34 bbls AA 8.41 ppg dengan rate 2 bpm, pressure 45 psi.
- Lepas cementing line dan plug valve cementing.
- Cabut ROE dari 2346.4 m sampai 2076.4 m. Tutup annular dan pipe ram BOP.
- Hesitasi dengan rate 1.3 bpm, volume 1 bbl, pressure 30 psi. Stop pompa, pressure langsung turun sampai 0 psi.</t>
  </si>
  <si>
    <t>TSK vakum.
- Sample semen di water batch belum keras.</t>
  </si>
  <si>
    <t>Lanjut TSK vakum.
- Sample semen di water batch sudah keras.
- Buka annular dan pipe ram BOP.</t>
  </si>
  <si>
    <t>Masuk ROE (2-3/8" mole shoe + 15 jts 2-3/8" tubing (bekas) + X/O + 60 jts 2-7/8" tubing (bekas) + X/O + X/O + 171 jts 2-7/8" DP) dari 2076.4 m sampai 2356 m.
- Masuk perlahan dari 2230.3 m sampai 2356 m, rangkaian duduk 2 klbs (TOC).</t>
  </si>
  <si>
    <t>Fill up sumur dengan 264 bbl AA, tidak ada return.</t>
  </si>
  <si>
    <t>Squeeze ke-2 lapisan eksisting BRF interval 2337-2344 m.
- PJSM.
- M/U cementing line dan plug valve cementing.
- Pressure test cementing line 2200 psi/5 mnt, baik.
- Mixing additive semen.
- Pompakan 16.8 bbl water ahead 8.33 ppg dengan rate 2 bpm, pressure 5 psi.
- Aduk dan pompakan 8 bbl semen 15.8 ppg dengan rate 2 bpm, pressure 50-60 psi.
- Pompakan 3.2 bbl water behind 8.33 ppg dengan rate 2 bpm, pressure 50-60 psi.
- Displace 34.3 bbls AA 8.41 ppg dengan rate 1 bpm, pressure 5-10 psi.
- Lepas cementing line dan plug valve cementing.
  Note : Selama pekerjaan squeeze tidak ada return.</t>
  </si>
  <si>
    <t>Cabut ROE dari 2346.4 m sampai 2057 m.</t>
  </si>
  <si>
    <t>Persiapan squeeze ke-2 lapisan eksisting BRF interval 2337-2344 m.
- Cabut ROE dari 2356 m sampai 2346.4 m.
- Ambil 385 bbl AA dengan vakum truck di SPA-019 (injection well).
- Fill up sumur dengan 200 bbl AA, tidak ada return.</t>
  </si>
  <si>
    <t>Hesitasi dengan rate 1 bpm, volume 1 bbl, pressure 10 psi. Stop pompa, pressure langsung turun sampai 0 psi.
- M/U cementing line dan plug valve cementing.
- Tutup annular dan pipe ram BOP.</t>
  </si>
  <si>
    <t>Masuk ROE (2-3/8" mole shoe + 15 jts 2-3/8" tubing (bekas) + X/O + 60 jts 2-7/8" tubing (bekas) + X/O + X/O + 146 jts 2-7/8" DP) dari 2057 m sampai 2114.2 m.
- Rangkaian duduk 2-4 klbs (TOC).</t>
  </si>
  <si>
    <t>Fill up sumur dengan 217 bbl AA (GPM/SPP : 126/0 psi), keluar aliran.
- Ambil 310 bbl AA dengan vakum truck di SPA-019 (injection well).</t>
  </si>
  <si>
    <t>Flowcheck statik loss, tidak ada penurunan. Pressure test casing dengan 500 psi/10 menit, baik.</t>
  </si>
  <si>
    <t>Hujan deras disertai angin (unsafe condition).</t>
  </si>
  <si>
    <t>Cabut ROE dari 2114.2 m sampai 1179 m.
- Fill up annulus setiap 20 jts.</t>
  </si>
  <si>
    <t>Persiapan masuk rangkaian 6-1/8" TCB + BHA Rotary.
- Reposisi 15 jts 2-3/8" tubing (bekas) + 60 jts 2-7/8" tubing (bekas) dari pipe rack rig set ke pipe rack spear.
- Loading unloading  10 jts 3-1/2" DP dari pipe box ke pipe rack rig set.</t>
  </si>
  <si>
    <t>Ambil 4 jts 4-3/4" DC dari lokasi BNG-045. (NPT Rig GJE #11 (Tubular problem) : 8 jam)
- Armada belum bisa masuk ke lokasi SPA-034, dikarenakan perbaikan jembatan sungai Semangus Sopa.
- Ambil 225 bbl air tawar dengan vakum truck di SPA-A sebelah SP Sopa.
- Ambil 225 bbl AA dengan vakum truck di SPA-019 (injection well).</t>
  </si>
  <si>
    <t>M/U dan masuk rangkaian 6-1/8" TCB (RR, IADC : 217, Nozz : 3x24/open nozzle) + BHA Rotary (B/S + 4 jts 4-3/4" DC + X/O) sampai 847 m.
- Masuk joint per joint 4 jts 4-3/4" DC.</t>
  </si>
  <si>
    <t>Lanjut masuk rangkaian 6-1/8" TCB + BHA Rotary dari 847 m sampai 2114.2 m.</t>
  </si>
  <si>
    <t>Bor semen dengan 6-1/8" TCB dari 2114.2 m sampai 2210.4 m.
- WOB/GPM/SPP/RPM/TQ/ROPavg : 2-3/168-210/500-700 psi/60/600-800 ft-lbs/7.57 mpm.
- Semen blong di 2140.8-2149.8 m.</t>
  </si>
  <si>
    <t>Lanjut bor semen dengan 6-1/8" TCB dari 2210.4 m sampai 2243.2 m.
- WOB/GPM/SPP/RPM/TQ/ROPavg : 2-3/168-210/500-700 psi/60/600-800 ft-lbs/18.29 mpm.</t>
  </si>
  <si>
    <t>Sirkulasi 1x BU dengan GPM/SPP : 210/700 psi.
- Flowcheck statik loss, baik.</t>
  </si>
  <si>
    <t>N/D kelly dan 4" rotary hose.</t>
  </si>
  <si>
    <t>Lanjut cabut ROE dari 1179 m sampai permukaan.
- Fill up annulus setiap 20 jts.
- (02:00) L/D 60 jts 2-7/8" tubing (bekas) + 15 jts 2-3/8" tubing (bekas)</t>
  </si>
  <si>
    <t>Cabut rangkaian 6-1/8" TCB (RR) + BHA Rotary dari 2243.2 m sampai permukaan.
- Fill up annulus setiap 20 jts.
- L/D 4 jts 4-3/4" DC.</t>
  </si>
  <si>
    <t>M/U dan masuk rangkaian 3-3/4" TCB (NB, IADC : 221, Nozz : CJ) + BHA Rotary (B/S + 4 jts 3-1/8" DC) sampai 2283.8 m (TOC).
- Masuk joint per joint 4 jts 3-1/8" DC + 16 jts 2-3/8" DP.
- Break sirkulasi setiap 20 jts.
- Rangkaian duduk 2-4 klbs di 2283.8 m.</t>
  </si>
  <si>
    <t>Gelar dan ukur 10 jts 3-1/2" DP.</t>
  </si>
  <si>
    <t>M/U kelly dan 4" rotary hose.
- Lanjut ukur 10 jts 3-1/2" DP.</t>
  </si>
  <si>
    <t>Bor semen dengan 3-3/4" TCB dari 2283.8 m sampai 2306.8 m.
- WOB/GPM/SPP/RPM/TQ/ROPavg : 1-2 klbs/210/1000 psi/60/800-900 ft-lbs/1.42 mpm.
- Setelah kelly down lakukan sirkulasi dengan GPM/SPP : 252/1200 psi.
- Keluar cutting bubur semen.</t>
  </si>
  <si>
    <t>Lanjut bor dengan 3-3/4" TCB dari 2306.8 m sampai 2330 m.
- WOB/GPM/SPP/RPM/TQ/ROPavg : 1-2 klbs/210/1000 psi/60/800-900 ft-lbs/1.29 mpm.
- Setelah kelly down lakukan sirkulasi dengan GPM/SPP : 252/1200 psi.
- Keluar cutting bubur semen.</t>
  </si>
  <si>
    <t>Pressure test casing dengan 500 psi/10 menit, baik.</t>
  </si>
  <si>
    <t>Lanjut bor dengan 3-3/4" TCB dari 2330 m sampai 2340 m.
- WOB/GPM/SPP/RPM/TQ/ROPavg : 1-2 klbs/126-210/500-1000 psi/60/800-900 ft-lbs/1.90 mpm.
- Keluar cutting bubur semen.
- Terdapat loss di 2335 m, tidak ada aliran.
- Pin rantai rotary table putus.</t>
  </si>
  <si>
    <t>Usaha perbaikan pin rantai rotary table. (NPT Rig GJE #11 (Repair rotating system) : 2 jam, Kumm NPT Rig GJE #11 : 10 jam)
- Sambil sirkulasi dengan GPM/SPP : 84/100 psi, tidak ada aliran.
- Usaha masuk lebih dalam dengan wash down (GPM/SPP : 252/450 psi), terdapat dudukan sampai 5 klbs.</t>
  </si>
  <si>
    <t>Lanjut bor dengan 3-3/4" TCB dari 2340 m sampai 2344 m.
- WOB/GPM/SPP/RPM/TQ/ROPavg : 1-2 klbs/126-210/500-1000 psi/60/800-900 ft-lbs/1.75 mpm.
- Pin rantai rotary table putus kembali.</t>
  </si>
  <si>
    <t>Usaha perbaikan pin rantai rotary table. (NPT Rig GJE #11 (Repair rotating system) : 1.5 jam, Kumm NPT Rig GJE #11 : 11.5 jam)
- Sambil sirkulasi dengan GPM/SPP : 84/100 psi, tidak ada aliran.
- Usaha masuk lebih dalam dengan wash down (GPM/SPP : 252/450 psi), terdapat dudukan sampai 5 klbs.</t>
  </si>
  <si>
    <t>Lanjut bor dengan 3-3/4" TCB dari 2344 m sampai 2349.8 m.
- WOB/GPM/SPP/RPM/TQ/ROPavg : 1-2 klbs/210/800 psi/60/800-900 ft-lbs/2.17 mpm.</t>
  </si>
  <si>
    <t>Sirkulasi 1x BU dengan GPM/SPP : 210/800 psi, tidak ada return.</t>
  </si>
  <si>
    <t>Cabut rangkaian 3-3/4" TCB + BHA Rotary dari 2349.8 m sampai permukaan.
- L/D 43 jts 3-1/2" DP.
- Fill up annulus setiap 20 jts.</t>
  </si>
  <si>
    <t>Masuk ROE (2-3/8" saw tooth + 15 jts 2-3/8" tubing (bekas) + X/O + 45 jts 2-7/8" tubing (bekas)) sampai 564 m.
- Masuk joint per joint 15 jts 2-3/8" tubing (bekas) + 45 jts 2-7/8" tubing (bekas).</t>
  </si>
  <si>
    <t>Lanjut masuk ROE (2-3/8" saw tooth + 15 jts 2-3/8" tubing (bekas) + X/O + 58 jts 2-7/8" tubing (bekas) + 2-7/8" pup joint 6 ft (bekas) + 2 jts 2-7/8" tubing (bekas) + X/O + X/O + 170 jts 2-7/8" DP) dari 564 m sampai 2346.6 m.
- Masuk joint per joint 15 jts 2-7/8" tubing (bekas).</t>
  </si>
  <si>
    <t>Sirkulasi 1x cycle (450 bbl) dengan GPM/SPP : 210/0 psi, tidak ada return.</t>
  </si>
  <si>
    <t>Persiapan squeeze ke-3 lapisan eksisting BRF interval 2337-2344 m.
- Ambil 370 bbl AA dengan vakum truck di SPA-019 (injection well).
- PJSM.
- M/U cementing line dan plug valve cementing.
- Mixing additive semen.</t>
  </si>
  <si>
    <t>Squeeze ke-3 lapisan eksisting BRF interval 2337-2344 m.
- Pressure test cementing line 2000 psi/5 mnt, baik.
- Pompakan 16.8 bbl water ahead 8.33 ppg dengan rate 2 bpm, pressure 0-10 psi.
- Aduk dan pompakan 8 bbl semen 15.8 ppg dengan rate 2 bpm, pressure 40-60 psi.
- Pompakan 3.2 bbl water behind 8.33 ppg dengan rate 2 bpm, pressure 30-40 psi.
- Displace 34.3 bbls AA 8.41 ppg dengan rate 1 bpm, pressure 10 psi.
- Lepas cementing line dan plug valve cementing.
  Note : Selama pekerjaan squeeze tidak ada return.</t>
  </si>
  <si>
    <t>Cabut ROE dari 2346.6 m sampai 2065.3 m.</t>
  </si>
  <si>
    <t>Hesitasi dengan rate 1 bpm, volume 3 bbl, pressure 10 psi. Stop pompa, pressure langsung turun sampai 0 psi.
- M/U cementing line dan plug valve cementing.
- Tutup annular dan pipe ram BOP.</t>
  </si>
  <si>
    <t>Masuk ROE (2-3/8" saw tooth + 15 jts 2-3/8" tubing (bekas) + X/O + 58 jts 2-7/8" tubing (bekas) + 2-7/8" pup joint 6 ft (bekas) + 2 jts 2-7/8" tubing (bekas) + X/O + X/O + 163 jts 2-7/8" DP) dari 2065.3 m sampai 2276.4 m.
- Rangkaian duduk 4 klbs di 2276.4 m (TOC).</t>
  </si>
  <si>
    <t>Fill up sumur dengan 125 bbl AA 1.01 SG, keluar return.</t>
  </si>
  <si>
    <t>Cabut ROE dari 2276.4 m sampai 279.1 m.
- Fill up annulus setiap 20 jts.
- L/D 45 jts 2-7/8" tubing (bekas).</t>
  </si>
  <si>
    <t>Lanjut cabut ROE dari 279.1 m sampai permukaan.
- Fill up annulus setiap 20 jts.
- L/D 15 jts 2-7/8" tubing (bekas) + 15 jts 2-3/8" tubing (bekas).</t>
  </si>
  <si>
    <t>M/U dan masuk rangkaian 3-3/4" TCB (RR, IADC : 221, Nozz : CJ) + BHA Rotary (B/S + 4 jts 3-1/8" DC) sampai 2276.4 m.
- Masuk joint per joint 16 jts 2-3/8" DP.</t>
  </si>
  <si>
    <t>Bor semen dengan 3-3/4" TCB dari 2276.4 m sampai 2321 m.
- WOB/GPM/SPP/RPM/TQ/ROPavg : 1-2 klbs/210/1000 psi/60/800-900 ft-lbs/3.59 mpm.
- Cutting semen.
- Tidak ada loss.
- Sirkulasi 1.5x BU sambil WOP setelah kelly down dengan GPM/SPP : 252/1200 psi.</t>
  </si>
  <si>
    <t>Lanjut bor semen dengan 3-3/4" TCB dari 2321 m sampai 2330 m.
- WOB/GPM/SPP/RPM/TQ/ROPavg : 1-2 klbs/210/1000 psi/60/800-900 ft-lbs/5.55 mpm.
- Cutting semen.
- Tidak ada loss.
- Sirkulasi 1.5x BU sambil WOP setelah kelly down dengan GPM/SPP : 252/1200 psi.</t>
  </si>
  <si>
    <t>Lanjut bor semen dengan 3-3/4" TCB dari 2330 m sampai 2347 m.
- WOB/GPM/SPP/RPM/TQ/ROPavg : 1-2 klbs/210/1000 psi/60/800-900 ft-lbs/4.94 mpm.
- Cutting semen.
- Tidak ada loss.
- Sirkulasi 1.5x BU sambil WOP setelah kelly down dengan GPM/SPP : 252/1200 psi.</t>
  </si>
  <si>
    <t>Lanjut bor semen dengan 3-3/4" TCB dari 2347 m sampai 2374.8 m.
- WOB/GPM/SPP/RPM/TQ/ROPavg : 1-2 klbs/210/1000 psi/60/800-900 ft-lbs/6.47 mpm.
- Cutting semen.
- Tidak ada loss.
- Sirkulasi 1.5x BU sambil WOP setelah kelly down dengan GPM/SPP : 252/1200 psi.</t>
  </si>
  <si>
    <t>Sirkulasi bersih dengan GPM/SPP : 252/1200 psi.</t>
  </si>
  <si>
    <t>Cabut rangkaian 3-3/4" TCB + BHA Rotary dari 2374.8 m sampai permukaan.
- Fill up annulus setiap 50 joint.</t>
  </si>
  <si>
    <t>M/U dan masuk rangkaian 3-3/4" TCB (RR, IADC : 221, Nozz : CJ) + Scraper 4-1/2" tandem Scraper 7" sampai 2371.5 m.
- Break sirkulasi setiap 20 joint.
- Rangkaian duduk 4 klbs di 2371.5 m, pasang circulating head.</t>
  </si>
  <si>
    <t>Usaha masuk rangkaian lebih dalam dengan wash down dari 2371.5 m sampai 2374.8 m.
- WOB/GPM/SPP : 1 klbs/250/1200 psi.</t>
  </si>
  <si>
    <t>Sirkulasi bersih sambil WOP dengan GPM/SPP : 250/1200 psi.
- Keluar cutting semen halus.</t>
  </si>
  <si>
    <t>Cabut rangkaian 3-3/4" TCB + Scraper 4-1/2" tandem Scraper 7" dari 2374.8 m sampai 863 m.
- Fill up annulus setiap 50 joint.</t>
  </si>
  <si>
    <t>Lanjut cabut rangkaian 3-3/4" TCB + Scraper 4-1/2" tandem Scraper 7" dari 863 m sampai permukaan.
- Fill up annulus setiap 50 joint.</t>
  </si>
  <si>
    <t>N/D bell nipple.</t>
  </si>
  <si>
    <t>Run logging CBL-GR sampai 2371.5 m.</t>
  </si>
  <si>
    <t>Analisa hasil CBL, diputuskan lanjut perforasi produksi.</t>
  </si>
  <si>
    <t>N/U bell nipple.</t>
  </si>
  <si>
    <t>R/U wireline unit Elnusa.
- N/U upper dan lower sheave wheels.</t>
  </si>
  <si>
    <t>R/D wireline unit Elnusa.
- N/D upper dan lower sheave wheels.</t>
  </si>
  <si>
    <t>Masuk rangkaian flexing 2-3/8" plug + 4 jts 3-1/8" DC + X/O + 14 jts 2-3/8" DP + X/O + 116 jts 2-7/8" DP sampai 1253 m.
- Pressure test 1800 psi/5 menit setiap 20 jts, baik.</t>
  </si>
  <si>
    <t>Lanjut masuk rangkaian flexing 2-3/8" plug + 4 jts 3-1/8" DC + X/O + 14 jts 2-3/8" DP + X/O + 170 jts 2-7/8" DP dari 1253 m sampai 1813 m.
- Pressure test 1800 psi/5 menit setiap 20 jts, baik.</t>
  </si>
  <si>
    <t>Cabut rangkaian flexing 2-3/8" plug + 4 jts 3-1/8" DC + X/O + 14 jts 2-3/8" DP + X/O + 170 jts 2-7/8" DP dari 1813 m sampai permukaan.
- (08:00) Mobilisasi handak dari gudang Field Pendopo ke lokasi SPA-034.</t>
  </si>
  <si>
    <t>R/U wireline unit Elnusa.
- N/U upper dan lower sheave wheels.
- N/U PCE wireline. Pressure test 300 psi/10 menit, baik.
- (13:30) Handak dari gudang Field Pendopo tiba di lokasi SPA-034.</t>
  </si>
  <si>
    <t>PJSM. Pekerjaan perforasi lapisan BRF interval 2363-2366 m dengan 3-3/8" HSD 6 SPF. 
- Loading handak.
- Arming casing gun 3-3/8" HSD 6 SPF.
- RIH casing gun 3-3/8" HSD 6 SPF.
- Korelasi kedalaman interval perforasi, fire.
- Cabut casing gun sampai permukaan, all fired (60 ea).</t>
  </si>
  <si>
    <t>Pekerjaan perforasi lapisan BRF interval 2333-2338 m dengan 3-3/8" HSD 6 SPF. 
- Loading handak.
- Arming casing gun 3-3/8" HSD 6 SPF.
- RIH casing gun 3-3/8" HSD 6 SPF.
- Korelasi kedalaman interval perforasi, fire.
- Cabut casing gun sampai permukaan, all fired (99 ea).</t>
  </si>
  <si>
    <t>R/D wireline unit Elnusa.
- N/D upper dan lower sheave wheels.
- N/D PCE wireline.</t>
  </si>
  <si>
    <t>Fill up lubang sampai penuh dengan 98 bbl AA 1.01 SG. Flowcheck selama 10 menit, statik loss 1.1 BPM.</t>
  </si>
  <si>
    <t>M/U dan masuk rangkaian stimulasi acidizing (2-3/8" mole shoe + 2 jts 2-3/8" tubing (bekas)) sampai 20.4 m.</t>
  </si>
  <si>
    <t>Lanjut masuk rangkaian stimulasi acidizing (2-3/8" mole shoe + 2 jts 2-3/8" tubing (bekas) + 4-1/2" packer SG + 2 ea X/O + 4 jts 3-1/8" DC + X/O + 9 jts 2-3/8" DP + X/O + 31 jts 2-7/8" DP) dari 20.4 m sampai 447.2 m.
- Function test packer di permukaan, baik.
- Fill up annulus setiap 50 jts.</t>
  </si>
  <si>
    <t>Lanjut masuk rangkaian stimulasi acidizing (2-3/8" mole shoe + 2 jts 2-3/8" tubing (bekas) + 4-1/2" packer SG + 2 ea X/O + 4 jts 3-1/8" DC + X/O + 9 jts 2-3/8" DP + X/O + 170 jts 2-7/8" DP + 2 ea 2-7/8" pup joint + X/O + 58 jts 3-1/2" DP) dari 447.2 m sampai 2349.9 m.
- Fill up annulus setiap 50 jts.</t>
  </si>
  <si>
    <t>Mixing 97 bbl brine water dan 5 bbl 15% HCl pickle.</t>
  </si>
  <si>
    <t>R/U cementing line dan plug valve cementing.
- Pressure test cementing line 2000 psi/5 menit, baik.</t>
  </si>
  <si>
    <t>PJSM. Pekerjaan pickle string.
- Pompakan 5 bbls 15% HCL.
- Displace string dengan 37 bbl AA 1.01 SG, rate 1-2 BPM/10-20 psi.
- Tutup annular dan pipe ram BOP.
- Reverse out dengan 390 bbl AA 1.01 SG, rate 6 BPM, tidak ada return.
- Buka annular dan pipe ram BOP.
- Displace string dengan 10 bbl AA 1.01 SG, rate 2 BPM/20-60 psi.
- R/D cementing line.</t>
  </si>
  <si>
    <t>Set 4-1/2" packer SG di 2327.9 m, UR di 2349.9 m.
- Angkat rangkaian 20 cm, putar kiri 4x, dudukan rangkaian 12 klbs.</t>
  </si>
  <si>
    <t>Mixing 78 bbl 15% HCl acid.</t>
  </si>
  <si>
    <t>IRT dengan AA 1.01 SG.
- Fill up string dengan 35 bbl AA 1.01 SG dengan rate 3 BPM, pressure 30-500 psi. Pressure sempat naik sampai 500 psi saat pemompaan 18 bbl, cek tekanan annulus tidak ada kenaikan pressure, indikasi pressure set sempurna. Turunkan rate menjadi 2 BPM, pressure langsung turun menjadi 30 psi.
- Tutup annular dan pipe ram BOP.
- IRT dengan 12 bbls AA 1.01 SG, naikan rate bertahap 0.25-1 BPM, pressure 0-45 psi.
- Stop pompa, tekanan langsung turun menjadi 0 psi.
- Ablas tekanan, tidak ada aliran balik.</t>
  </si>
  <si>
    <t>Pekerjaan stimulasi acidizing.
- Pompakan 78 bbl 15% HCl acid dengan rate 2-3 BPM, pressure 0-310 psi.
- Over flush 21 bbl brine water dengan rate 2-2.5 BPM, pressure 0-20 psi.
- Displace 45 bbl brine water dengan rate 2.5-3 BPM, pressure 0-350 psi.
- Tutup plug valve cementing.</t>
  </si>
  <si>
    <t>Rendam 78 bbl 15% HCl acid di formasi.</t>
  </si>
  <si>
    <t>Unset 4-1/2" packer SG.
- Buka plug valve cementing. Buka annular dan pipe ram BOP.
- Angkat rangkaian 2 m (P/U : 81 klbs), turunkan rangkaian 3 m (S/O : 76 klbs), packer unset.</t>
  </si>
  <si>
    <t>Fill up 1x volume string, tidak ada return.</t>
  </si>
  <si>
    <t>Cabut L/D rangkaian stimulasi acidizing dari 2349.9 m sampai 1682.52 m.
- Fill up annulus dengan 10 bbl AA 1.01 SG setiap 1.5 jam, tidak ada return.
- L/D 58 jts 3-1/2" DP, 2 ea 2-7/8" pup joint dan 11 jts 2-7/8" DP.</t>
  </si>
  <si>
    <t>Lanjut cabut L/D rangkaian stimulasi acidizing dari 1682.52 m sampai permukaan.
- Fill up annulus dengan 10 bbl AA 1.01 SG setiap 1.5 jam, tidak ada return.
- L/D 159 jts 2-7/8" DP, kumm 170 jts 2-7/8" DP.
- L/D 9 jts 2-3/8" DP
- L/D 4 jts 3-1/8" DC
- L/D 2-3/8" mole shoe + 2 jts 2-3/8" tubing (bekas) + 4-1/2" packer SG</t>
  </si>
  <si>
    <t>Persiapan masuk RPP ESP WESPI. 
- Loading unloading 91 jts 2-7/8" Drill pipe + 9 jts 2-3/8" DP +4 jts DC 3-1/8" + 2 jts 2-3/8" tubing dari pipe rack set Rig, ke pipe box. 
- Loading unloading 70 jts 2-7/8" Tubing (Dari storage pipe rack ke Pipe rack Rig set) menggunakan crane.
- Ganti pipe ram 3-1/2" ke 2-7/8".
- Ganti link elevator.
- Susun, tally dan bersihkan drat pin/box tubing 2-7/8".
- PJSM bersama membahas program kerja, keselamatan kerja &amp; mitigasi resiko bahaya pekerjaan masuk RPP ESP. 
- Set roller kabel ke kabel spooler. 
- Pasang clamp motor, pump, gas separator dan protector. 
- Tally dan catat serial number ESP.  
- Megger motor  
   ~ P.P : 0.5 Ohm.
   ~ P.G : 2000 M.Ohm (balance)
- Megger Cable
 PG : 2000 M.Ohm
- Naikan peralatan kerja ESP WESPI ke meja floor.</t>
  </si>
  <si>
    <t>M/U dan Install rangkaian ESP WESPI. 
Dengan rincian:
- Centralizer
- Motor 80 HP. 1160 V. 45 A UT 540 S
S/N : 1 CW 04 U Y 1B12D2202
- Flushing oli ke motor sampai penuh.
- Lower protector 66 L 540 S
S/N : 3 CW 1 ZN. Y 2B14B 7611
- Upper protector PFDB 540 S
S/N : 3 C 01 V - 3110076
- Gas separator KGS 400 S
S/N : 4 BW 11 T 21100 45
- PUMP LT. TD 750. 133 STG 400 S.
S/N : 2 BW 125 Y 5 D 12  D 0377
- Pump UT . TD 750. 212 STG 400 S.
S/N : 2 BW 09 U. 10005
+ pump head /BOH</t>
  </si>
  <si>
    <t>Splicing Cable ke motor , check reading cable motor d ground.
* PP : 0.5 Ohm
* PG : 2000 M.ohm (balance).
- Megger cable setelah di install ke  motor 
* PP : 3.3 Ohm.
* PG : 2000 M.ohm (balance).
- Flushing oli dari motor sampai pump UT, ok.</t>
  </si>
  <si>
    <t xml:space="preserve">Masuk joint per joint RPP + ESP WESPI sampai kedalaman 1189 m.
Dengan rincian:
- Centralizer + Motor 80 HP + Lower protector 66 L + Upper protector PFDB + Gas Separator + Lower pump + Upper pump + Pump head / BOH + 3 jts 2-7/8" tubing + Check valve + 1 jts 2-7/8" tubing + Bleeder valve + 1 jts 2-7/8" tubing.
- P/T 1 jts di atas bleeder valve 500 psi/5 menit. baik.
- Pasang Capilary tube 3 meter di atas bleeder valve.
- Rabbit semua 2-7/8" tubing yang masuk.
- P/T 2-7/8" tubing 500 psi setiap penambahan 20 jts tubing.
- F/U AA ke tubing pakai filter agar kotoran tidak masuk.
- Pasang 1 ea cable protector dan 1 ea cable band setiap joint.
- Masuk perlahan hindari jepitan pada kabel.
- Total tubing 2-7/8" yang masuk 104 jts.
- Megger test cable per 20 jts:
  Depht    P-P   P-G
  (mMD)   (Ohm) (MOhm)
  246.05  3.3   1700
  434.46  3.4   1500
  623.31  3.4   1200
  1000.9  3.5   600
  1189    3.6   400
Aksesoris ESP WESPI 
- Cable guard : 7 ea 
- Cable band  : 122 ea 
- Cable protector :100 ea </t>
  </si>
  <si>
    <t>Hujan deras di sertai angin kencang (unsafe condition).</t>
  </si>
  <si>
    <t>Lanjut Masuk joint per joint RPP + ESP WESPI dari 1189 m sampai kedalaman 1564.38 m.
- Rabbit semua 2-7/8" tubing yang masuk.
- P/T 2-7/8" tubing 500 psi setiap penambahan 20 jts tubing.
- F/U AA ke tubing pakai filter agar kotoran tidak masuk.
- Pasang 1 ea cable protector dan 1 ea cable band setiap joint.
- Masuk perlahan hindari jepitan pada kabel.
- Total tubing 2-7/8" yang masuk 164 jts.
- Megger test cable per 20 jts:
  Depht    P-P   P-G
  (mMD)   (Ohm) (MOhm)
  1375.96   3.7   200
  1564.38   3.8   50</t>
  </si>
  <si>
    <t>Lanjut Masuk joint per joint RPP + ESP WESPI dari 1564.38 m sampai kedalaman 1804.59 m, Set KI di kedalaman 1796 m.
- Rabbit semua 2-7/8" tubing yang masuk.
- P/T 2-7/8" tubing 500 psi setiap penambahan 20 jts tubing.
- F/U AA ke tubing pakai filter agar kotoran tidak masuk.
- Pasang 1 ea cable protector dan 1 ea cable band setiap joint.
- Masuk perlahan hindari jepitan pada kabel.
- Total tubing 2-7/8" yang masuk 188 jts + 1 jt Tbg 3-1/2".
- Set Capilary tube di 1745.71 m dan sambung 2 titik capilary tube yang bocor.
- Megger test cable per 20 jts:
  Depht    P-P   P-G
  (mMD)   (Ohm) (MOhm)
  1788.46   4.1   20
Aksesoris ESP WESPI 
- Cable guard : 7 ea 
- Cable band  : 259 ea 
- Cable protector : 167 ea 
- Cable sambungan: 4</t>
  </si>
  <si>
    <t>N/D BOP Group 7-1/16" x 5000 psi  + DSAF 7-1/16" x 3000 psi.
- N/U 7" hanger temporary dan landing joint.
- N/D bell nipple + flow line.</t>
  </si>
  <si>
    <t>N/U ESP wellhead hercules 7-1/16" x 3000 psi + master valve 3-1/8" x 3000 psi.
- N/D landing joint.2-7/8" tbg.</t>
  </si>
  <si>
    <t>Persiapan Geser substructure.
- Turunkan peralatan kerja dan masukan ke dalam tool box.
- Loading unloding 75 jts 2-7/8" tubing. 
- Loading unloding unit BAKER.</t>
  </si>
  <si>
    <t>Geser substructure 1 dan 2.
- Geser Accumulator unit.
- Geser Compressor portabel.
- Turukan 3 ea tangga substructure + V-door.</t>
  </si>
  <si>
    <t>N/U surface line 4" dan 2" casing line.
- Install ESP cable ke junction box.</t>
  </si>
  <si>
    <t>Uji produksi lapisan BRF 2333-2338 m dan 2363-2366 m, alirkan ke SP-SOPA.
- Sonolog Static SFL : 545.91m
- Start up ESP pukul 17.10 wib
- Parameter ESP
 Freq  : 38 HZ
 MC   : 75 A
 MV   : 405 V
 ADH : 22.22.21
 TP    : 80 psi
- Pukul 17.30 wib cairan keluar sampai di SP- SOPA.
- Uji produksi 
Waktu/Gross/Nett/WC/TP/Rate
 17.30- 20.30/ 360 BFPD/ - BOPD/100%/80 psi/15 bbl per jam.
- Cairan terproduksi.</t>
  </si>
  <si>
    <r>
      <t xml:space="preserve">Lanjut Uji produksi lapisan BRF  2333-2338 m dan 2363-2366 m, alirkan ke SP- SOPA.
- Hasil test produksi sumur SPA - 034 Pukul 00.00 - 03.00 WIB ( 86 Bbl / 3 Jam) :
- Rate    : 28.66 bbl /3 jam
- Gross  : 688 bbl. 
- Net      : 0
- WC      : 100 %.
- TP        : 90 psi .
- Frek     :  38 Hz .
- Dynamic Sonolog, Pukul 08.40 WIB :
- DFL : 859.55 m. 
Hasil test produksi sumur SPA - 034 Pukul 10.00 - 14.00 WIB ( 80 Bbl / 4 Jam) :
- Rate    : 20 bbl/1 jam
- Gross  : 480 bbl. 
- Net      : 0
- WC      : 100 %.
- TP        : 90 psi .
- Frek     :  38 Hz.
</t>
    </r>
    <r>
      <rPr>
        <b/>
        <sz val="11"/>
        <rFont val="Arial"/>
        <family val="2"/>
      </rPr>
      <t>Rig GJE-11 dinyatakan release dari pekerjaan sumur SPA-034 TMT 09 Februari 2023 pukul 18:00 WIB, selanjutnya sumur SPA-034 dinyatakan sebagai sumur pengamatan produksi dari lapisan BRF interval 2363-2366 m dan 2333-2338 m.</t>
    </r>
  </si>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</sst>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41" formatCode="_(* #,##0_);_(* \(#,##0\);_(* &quot;-&quot;_);_(@_)"/>
    <numFmt numFmtId="43" formatCode="_(* #,##0.00_);_(* \(#,##0.00\);_(* &quot;-&quot;??_);_(@_)"/>
    <numFmt numFmtId="164" formatCode="_-* #,##0_-;\-* #,##0_-;_-* &quot;-&quot;_-;_-@_-"/>
    <numFmt numFmtId="165" formatCode="_-* #,##0.00_-;\-* #,##0.00_-;_-* &quot;-&quot;??_-;_-@_-"/>
    <numFmt numFmtId="166" formatCode="&quot;: &quot;dd\ mmmm\ yyyy"/>
    <numFmt numFmtId="167" formatCode="dd\ mmmm\ yyyy;@"/>
    <numFmt numFmtId="168" formatCode="_(\$* #,##0.00_);_(\$* \(#,##0.00\);_(\$* \-??_);_(@_)"/>
    <numFmt numFmtId="169" formatCode="0.0"/>
    <numFmt numFmtId="170" formatCode="_(* #,##0.00_);_(* \(#,##0.00\);_(* \-??_);_(@_)"/>
    <numFmt numFmtId="171" formatCode="_(* #,##0_);_(* \(#,##0\);_(* \-_);_(@_)"/>
    <numFmt numFmtId="172" formatCode="_(* #,##0.00_);_(* \(#,##0.00\);_(* \-_);_(@_)"/>
    <numFmt numFmtId="173" formatCode="dd/mmm/yyyy\ hh:mm\ :\ dddd"/>
    <numFmt numFmtId="174" formatCode="dd:hh:mm"/>
    <numFmt numFmtId="175" formatCode="0.00\ \ \ ;\-0.00\ \ \ ;0.00\ \ \ ;[Red]@&quot;    &quot;"/>
    <numFmt numFmtId="176" formatCode="\ #,##0.0_);\ \(#,##0.0\);\ &quot;-&quot;_);_(@_)"/>
    <numFmt numFmtId="177" formatCode="0.0\ &quot;days&quot;"/>
    <numFmt numFmtId="178" formatCode="0.0%"/>
    <numFmt numFmtId="179" formatCode="&quot;X= &quot;#,##0.00\ &quot;M&quot;"/>
    <numFmt numFmtId="180" formatCode="0.00\ &quot;MTR&quot;"/>
    <numFmt numFmtId="181" formatCode="0.0\ &quot;mMD&quot;"/>
    <numFmt numFmtId="182" formatCode="dd\ mmmm\ yyyy\ &quot;pkl&quot;\ hh:mm"/>
    <numFmt numFmtId="183" formatCode="&quot;Eq $   &quot;#,##0_);[Red]&quot;(Eq $   &quot;#,##0\)"/>
    <numFmt numFmtId="184" formatCode="#,##0.00\ &quot;MTR&quot;"/>
    <numFmt numFmtId="185" formatCode="dd\:hh\:mm"/>
    <numFmt numFmtId="186" formatCode="&quot;:&quot;\ General"/>
    <numFmt numFmtId="187" formatCode="_(&quot;$&quot;* #,##0.00_);_(&quot;$&quot;* \(#,##0.00\);_(&quot;$&quot;* \-??_);_(@_)"/>
    <numFmt numFmtId="188" formatCode="_-* #,##0\ _F_-;\-* #,##0\ _F_-;_-* &quot;-&quot;\ _F_-;_-@_-"/>
    <numFmt numFmtId="189" formatCode="_-* #,##0.00\ _F_-;\-* #,##0.00\ _F_-;_-* &quot;-&quot;??\ _F_-;_-@_-"/>
    <numFmt numFmtId="190" formatCode="_-* #,##0\ &quot;F&quot;_-;\-* #,##0\ &quot;F&quot;_-;_-* &quot;-&quot;\ &quot;F&quot;_-;_-@_-"/>
    <numFmt numFmtId="191" formatCode="_-* #,##0.00\ &quot;F&quot;_-;\-* #,##0.00\ &quot;F&quot;_-;_-* &quot;-&quot;??\ &quot;F&quot;_-;_-@_-"/>
    <numFmt numFmtId="192" formatCode="#,##0&quot; F&quot;;\-#,##0&quot; F&quot;"/>
    <numFmt numFmtId="193" formatCode="&quot;Eq $&quot;\ \ \ #,##0.00_);[Red]\(&quot;Eq $&quot;\ \ \ #,##0.00\)"/>
    <numFmt numFmtId="194" formatCode="&quot;: $&quot;#,##0.00_);&quot;($&quot;#,##0.00\)"/>
    <numFmt numFmtId="195" formatCode="_-* #,##0_-;\-* #,##0_-;_-* &quot;-&quot;??_-;_-@_-"/>
  </numFmts>
  <fonts count="183">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imes New Roman"/>
      <family val="1"/>
    </font>
    <font>
      <b/>
      <sz val="18"/>
      <name val="Arial"/>
      <family val="2"/>
    </font>
    <font>
      <b/>
      <sz val="12"/>
      <name val="Arial"/>
      <family val="2"/>
    </font>
    <font>
      <b/>
      <sz val="12"/>
      <color indexed="10"/>
      <name val="Arial"/>
      <family val="2"/>
    </font>
    <font>
      <b/>
      <sz val="11"/>
      <name val="Arial"/>
      <family val="2"/>
    </font>
    <font>
      <b/>
      <sz val="10"/>
      <name val="Arial"/>
      <family val="2"/>
    </font>
    <font>
      <b/>
      <sz val="11"/>
      <color indexed="9"/>
      <name val="Arial"/>
      <family val="2"/>
    </font>
    <font>
      <sz val="10"/>
      <color indexed="8"/>
      <name val="Arial"/>
      <family val="2"/>
    </font>
    <font>
      <b/>
      <sz val="10"/>
      <color indexed="8"/>
      <name val="Arial"/>
      <family val="2"/>
    </font>
    <font>
      <b/>
      <i/>
      <sz val="12"/>
      <color indexed="8"/>
      <name val="Arial"/>
      <family val="2"/>
    </font>
    <font>
      <sz val="8"/>
      <name val="Arial"/>
      <family val="2"/>
    </font>
    <font>
      <sz val="8"/>
      <name val="Arial Narrow"/>
      <family val="2"/>
    </font>
    <font>
      <sz val="11"/>
      <name val="Arial"/>
      <family val="2"/>
    </font>
    <font>
      <sz val="10"/>
      <name val="Arial"/>
      <family val="2"/>
    </font>
    <font>
      <b/>
      <sz val="24"/>
      <color indexed="12"/>
      <name val="Arial"/>
      <family val="2"/>
    </font>
    <font>
      <sz val="10"/>
      <color indexed="22"/>
      <name val="Arial"/>
      <family val="2"/>
    </font>
    <font>
      <b/>
      <sz val="20"/>
      <color indexed="8"/>
      <name val="Arial"/>
      <family val="2"/>
    </font>
    <font>
      <sz val="10"/>
      <name val="Arabic Transparent"/>
      <charset val="178"/>
    </font>
    <font>
      <b/>
      <sz val="10"/>
      <color rgb="FFFF0000"/>
      <name val="Arial"/>
      <family val="2"/>
    </font>
    <font>
      <sz val="10"/>
      <color rgb="FFFF0000"/>
      <name val="Arial"/>
      <family val="2"/>
    </font>
    <font>
      <b/>
      <sz val="14"/>
      <color rgb="FFFF0000"/>
      <name val="Arial"/>
      <family val="2"/>
    </font>
    <font>
      <b/>
      <sz val="11"/>
      <color rgb="FFFF0000"/>
      <name val="Arial"/>
      <family val="2"/>
    </font>
    <font>
      <b/>
      <sz val="12"/>
      <color rgb="FFFF0000"/>
      <name val="Arial"/>
      <family val="2"/>
    </font>
    <font>
      <sz val="10"/>
      <color rgb="FFFF0000"/>
      <name val="Lucida Sans Unicode"/>
      <family val="2"/>
    </font>
    <font>
      <sz val="12"/>
      <color rgb="FFFF0000"/>
      <name val="Arial"/>
      <family val="2"/>
    </font>
    <font>
      <b/>
      <sz val="10"/>
      <color theme="0"/>
      <name val="Arial"/>
      <family val="2"/>
    </font>
    <font>
      <sz val="10"/>
      <color theme="0" tint="-4.9989318521683403E-2"/>
      <name val="Arial"/>
      <family val="2"/>
    </font>
    <font>
      <b/>
      <sz val="11"/>
      <color indexed="22"/>
      <name val="Century Gothic"/>
      <family val="2"/>
    </font>
    <font>
      <sz val="10"/>
      <color indexed="22"/>
      <name val="Wingdings"/>
      <charset val="2"/>
    </font>
    <font>
      <sz val="12"/>
      <color theme="0"/>
      <name val="Arial"/>
      <family val="2"/>
    </font>
    <font>
      <sz val="9"/>
      <color theme="0" tint="-0.499984740745262"/>
      <name val="Arial"/>
      <family val="2"/>
    </font>
    <font>
      <sz val="10"/>
      <color theme="1" tint="0.34998626667073579"/>
      <name val="Arial"/>
      <family val="2"/>
    </font>
    <font>
      <sz val="8"/>
      <color theme="1" tint="0.34998626667073579"/>
      <name val="Arial"/>
      <family val="2"/>
    </font>
    <font>
      <sz val="9"/>
      <color theme="0"/>
      <name val="Arial"/>
      <family val="2"/>
    </font>
    <font>
      <sz val="9"/>
      <color rgb="FFFFFF00"/>
      <name val="Arial"/>
      <family val="2"/>
    </font>
    <font>
      <b/>
      <sz val="10"/>
      <color theme="1" tint="0.249977111117893"/>
      <name val="Arial"/>
      <family val="2"/>
    </font>
    <font>
      <sz val="10"/>
      <color theme="1" tint="0.249977111117893"/>
      <name val="Arial"/>
      <family val="2"/>
    </font>
    <font>
      <b/>
      <sz val="14"/>
      <color theme="1" tint="0.249977111117893"/>
      <name val="Arial"/>
      <family val="2"/>
    </font>
    <font>
      <b/>
      <i/>
      <sz val="10"/>
      <color theme="1" tint="0.249977111117893"/>
      <name val="Arial"/>
      <family val="2"/>
    </font>
    <font>
      <b/>
      <sz val="12"/>
      <color theme="1" tint="0.249977111117893"/>
      <name val="Arial"/>
      <family val="2"/>
    </font>
    <font>
      <b/>
      <sz val="14"/>
      <color rgb="FFFFFFFF"/>
      <name val="Calibri"/>
      <family val="2"/>
    </font>
    <font>
      <sz val="14"/>
      <name val="Arial"/>
      <family val="2"/>
    </font>
    <font>
      <sz val="11"/>
      <color theme="1" tint="0.249977111117893"/>
      <name val="Arial"/>
      <family val="2"/>
    </font>
    <font>
      <sz val="10"/>
      <color theme="1" tint="0.14999847407452621"/>
      <name val="Arial"/>
      <family val="2"/>
    </font>
    <font>
      <b/>
      <sz val="10"/>
      <color theme="1" tint="0.14999847407452621"/>
      <name val="Arial"/>
      <family val="2"/>
    </font>
    <font>
      <sz val="11"/>
      <color theme="1" tint="0.14999847407452621"/>
      <name val="Arial"/>
      <family val="2"/>
    </font>
    <font>
      <sz val="11"/>
      <color theme="1"/>
      <name val="Calibri"/>
      <family val="2"/>
      <scheme val="minor"/>
    </font>
    <font>
      <sz val="10"/>
      <color theme="1"/>
      <name val="Arial"/>
      <family val="2"/>
    </font>
    <font>
      <sz val="11"/>
      <color theme="0"/>
      <name val="Arial"/>
      <family val="2"/>
    </font>
    <font>
      <b/>
      <i/>
      <sz val="11"/>
      <color theme="0"/>
      <name val="Arial"/>
      <family val="2"/>
    </font>
    <font>
      <sz val="10"/>
      <name val="Century Gothic"/>
      <family val="2"/>
    </font>
    <font>
      <sz val="9"/>
      <color theme="1" tint="0.249977111117893"/>
      <name val="Arial"/>
      <family val="2"/>
    </font>
    <font>
      <b/>
      <sz val="9"/>
      <color theme="1" tint="0.249977111117893"/>
      <name val="Century Gothic"/>
      <family val="2"/>
    </font>
    <font>
      <i/>
      <sz val="10"/>
      <color theme="0" tint="-0.14999847407452621"/>
      <name val="Arial"/>
      <family val="2"/>
    </font>
    <font>
      <i/>
      <sz val="10"/>
      <color theme="0" tint="-0.14999847407452621"/>
      <name val="Wingdings 3"/>
      <family val="1"/>
      <charset val="2"/>
    </font>
    <font>
      <sz val="16"/>
      <name val="Century Gothic"/>
      <family val="2"/>
    </font>
    <font>
      <b/>
      <sz val="16"/>
      <color theme="6" tint="-0.249977111117893"/>
      <name val="Century Gothic"/>
      <family val="2"/>
    </font>
    <font>
      <sz val="16"/>
      <color indexed="8"/>
      <name val="Century Gothic"/>
      <family val="2"/>
    </font>
    <font>
      <sz val="12"/>
      <color indexed="8"/>
      <name val="Century Gothic"/>
      <family val="2"/>
    </font>
    <font>
      <b/>
      <sz val="12"/>
      <color theme="0" tint="-4.9989318521683403E-2"/>
      <name val="Century Gothic"/>
      <family val="2"/>
    </font>
    <font>
      <b/>
      <i/>
      <sz val="12"/>
      <color theme="0" tint="-4.9989318521683403E-2"/>
      <name val="Century Gothic"/>
      <family val="2"/>
    </font>
    <font>
      <b/>
      <sz val="12"/>
      <color theme="1" tint="0.34998626667073579"/>
      <name val="Arial"/>
      <family val="2"/>
    </font>
    <font>
      <b/>
      <sz val="12"/>
      <color theme="1" tint="0.499984740745262"/>
      <name val="Arial"/>
      <family val="2"/>
    </font>
    <font>
      <b/>
      <sz val="24"/>
      <color rgb="FF0070C0"/>
      <name val="Century Gothic"/>
      <family val="2"/>
    </font>
    <font>
      <b/>
      <sz val="24"/>
      <color rgb="FFFFC000"/>
      <name val="Century Gothic"/>
      <family val="2"/>
    </font>
    <font>
      <sz val="20"/>
      <color theme="1" tint="0.249977111117893"/>
      <name val="Arial"/>
      <family val="2"/>
    </font>
    <font>
      <sz val="24"/>
      <color theme="1" tint="0.249977111117893"/>
      <name val="Arial"/>
      <family val="2"/>
    </font>
    <font>
      <i/>
      <sz val="11"/>
      <color theme="1" tint="0.249977111117893"/>
      <name val="Arial"/>
      <family val="2"/>
    </font>
    <font>
      <b/>
      <sz val="8"/>
      <color theme="1" tint="0.249977111117893"/>
      <name val="Century Gothic"/>
      <family val="2"/>
    </font>
    <font>
      <sz val="11"/>
      <color theme="1"/>
      <name val="Calibri"/>
      <family val="2"/>
      <charset val="1"/>
      <scheme val="minor"/>
    </font>
    <font>
      <sz val="11"/>
      <color theme="0"/>
      <name val="Calibri"/>
      <family val="2"/>
      <charset val="1"/>
      <scheme val="minor"/>
    </font>
    <font>
      <b/>
      <sz val="22"/>
      <color theme="3"/>
      <name val="Century Gothic"/>
      <family val="2"/>
    </font>
    <font>
      <sz val="8"/>
      <color theme="0" tint="-0.34998626667073579"/>
      <name val="Arial"/>
      <family val="2"/>
    </font>
    <font>
      <b/>
      <sz val="10"/>
      <color theme="3"/>
      <name val="Century Gothic"/>
      <family val="2"/>
    </font>
    <font>
      <sz val="8"/>
      <color rgb="FFFF0000"/>
      <name val="Arial"/>
      <family val="2"/>
    </font>
    <font>
      <sz val="1"/>
      <color theme="0" tint="-0.14999847407452621"/>
      <name val="Arial"/>
      <family val="2"/>
    </font>
    <font>
      <sz val="1"/>
      <color rgb="FFFF0000"/>
      <name val="Arial"/>
      <family val="2"/>
    </font>
    <font>
      <sz val="8"/>
      <color theme="3"/>
      <name val="Arial"/>
      <family val="2"/>
    </font>
    <font>
      <sz val="10"/>
      <color theme="0" tint="-0.249977111117893"/>
      <name val="Arial"/>
      <family val="2"/>
    </font>
    <font>
      <sz val="1"/>
      <color theme="0"/>
      <name val="Arial"/>
      <family val="2"/>
    </font>
    <font>
      <b/>
      <sz val="8"/>
      <color theme="1"/>
      <name val="Arial"/>
      <family val="2"/>
    </font>
    <font>
      <b/>
      <sz val="9"/>
      <color theme="3" tint="-0.499984740745262"/>
      <name val="Arial"/>
      <family val="2"/>
    </font>
    <font>
      <sz val="9"/>
      <color theme="3" tint="-0.499984740745262"/>
      <name val="Arial"/>
      <family val="2"/>
    </font>
    <font>
      <sz val="10"/>
      <name val="MS Sans Serif"/>
      <family val="2"/>
    </font>
    <font>
      <sz val="10"/>
      <color theme="3"/>
      <name val="Century Gothic"/>
      <family val="2"/>
    </font>
    <font>
      <sz val="10"/>
      <color theme="9" tint="-0.24994659260841701"/>
      <name val="Century Gothic"/>
      <family val="2"/>
    </font>
    <font>
      <b/>
      <sz val="14"/>
      <color theme="1" tint="0.249977111117893"/>
      <name val="Century Gothic"/>
      <family val="2"/>
    </font>
    <font>
      <b/>
      <sz val="14"/>
      <color rgb="FF002060"/>
      <name val="Century Gothic"/>
      <family val="2"/>
    </font>
    <font>
      <b/>
      <sz val="14"/>
      <color rgb="FFFFC000"/>
      <name val="Century Gothic"/>
      <family val="2"/>
    </font>
    <font>
      <sz val="8"/>
      <color theme="0" tint="-0.14999847407452621"/>
      <name val="Arial"/>
      <family val="2"/>
    </font>
    <font>
      <sz val="10"/>
      <color theme="0"/>
      <name val="Century Gothic"/>
      <family val="2"/>
    </font>
    <font>
      <sz val="10"/>
      <color theme="6"/>
      <name val="Century Gothic"/>
      <family val="2"/>
    </font>
    <font>
      <b/>
      <sz val="14"/>
      <color theme="0"/>
      <name val="Century Gothic"/>
      <family val="2"/>
    </font>
    <font>
      <b/>
      <sz val="18"/>
      <color indexed="12"/>
      <name val="Arial"/>
      <family val="2"/>
    </font>
    <font>
      <b/>
      <sz val="12"/>
      <color theme="1" tint="0.249977111117893"/>
      <name val="Century Gothic"/>
      <family val="2"/>
    </font>
    <font>
      <b/>
      <sz val="10"/>
      <color theme="1" tint="0.249977111117893"/>
      <name val="Century Gothic"/>
      <family val="2"/>
    </font>
    <font>
      <b/>
      <sz val="16"/>
      <color theme="1" tint="0.249977111117893"/>
      <name val="Century Gothic"/>
      <family val="2"/>
    </font>
    <font>
      <b/>
      <sz val="16"/>
      <color theme="0" tint="-4.9989318521683403E-2"/>
      <name val="Arial"/>
      <family val="2"/>
    </font>
    <font>
      <sz val="11"/>
      <color theme="1"/>
      <name val="Arial"/>
      <family val="2"/>
    </font>
    <font>
      <sz val="11"/>
      <color theme="3"/>
      <name val="Arial"/>
      <family val="2"/>
    </font>
    <font>
      <sz val="11"/>
      <color theme="8" tint="-0.499984740745262"/>
      <name val="Arial"/>
      <family val="2"/>
    </font>
    <font>
      <sz val="10"/>
      <color theme="8" tint="-0.499984740745262"/>
      <name val="Arial"/>
      <family val="2"/>
    </font>
    <font>
      <b/>
      <sz val="14"/>
      <color theme="1" tint="0.34998626667073579"/>
      <name val="Century Gothic"/>
      <family val="2"/>
    </font>
    <font>
      <b/>
      <sz val="14"/>
      <color theme="8" tint="-0.499984740745262"/>
      <name val="Century Gothic"/>
      <family val="2"/>
    </font>
    <font>
      <sz val="10"/>
      <color theme="0"/>
      <name val="Arial"/>
      <family val="2"/>
    </font>
    <font>
      <b/>
      <i/>
      <sz val="9"/>
      <color theme="0"/>
      <name val="Arial"/>
      <family val="2"/>
    </font>
    <font>
      <b/>
      <sz val="6"/>
      <color rgb="FFFF0000"/>
      <name val="Century Gothic"/>
      <family val="2"/>
    </font>
    <font>
      <b/>
      <sz val="26"/>
      <color rgb="FF002060"/>
      <name val="Century Gothic"/>
      <family val="2"/>
    </font>
    <font>
      <b/>
      <sz val="26"/>
      <color theme="9" tint="-0.24994659260841701"/>
      <name val="Century Gothic"/>
      <family val="2"/>
    </font>
    <font>
      <sz val="12"/>
      <color rgb="FF0070C0"/>
      <name val="Wingdings 3"/>
      <family val="1"/>
      <charset val="2"/>
    </font>
    <font>
      <sz val="9"/>
      <color rgb="FFFF0000"/>
      <name val="Arial"/>
      <family val="2"/>
    </font>
    <font>
      <i/>
      <sz val="8"/>
      <color theme="0" tint="-0.499984740745262"/>
      <name val="Arial"/>
      <family val="2"/>
    </font>
    <font>
      <sz val="11"/>
      <color rgb="FFFF0000"/>
      <name val="Arial"/>
      <family val="2"/>
    </font>
    <font>
      <sz val="11"/>
      <color rgb="FF000000"/>
      <name val="Arial"/>
      <family val="2"/>
    </font>
    <font>
      <b/>
      <sz val="26"/>
      <color theme="9" tint="-0.249977111117893"/>
      <name val="Century Gothic"/>
      <family val="2"/>
    </font>
    <font>
      <b/>
      <sz val="9"/>
      <color theme="0"/>
      <name val="Arial"/>
      <family val="2"/>
    </font>
    <font>
      <b/>
      <sz val="10"/>
      <color theme="0"/>
      <name val="Century Gothic"/>
      <family val="2"/>
    </font>
    <font>
      <b/>
      <i/>
      <sz val="9"/>
      <color theme="3"/>
      <name val="Arial"/>
      <family val="2"/>
    </font>
    <font>
      <b/>
      <i/>
      <sz val="11"/>
      <color theme="1" tint="0.249977111117893"/>
      <name val="Century Gothic"/>
      <family val="2"/>
    </font>
    <font>
      <b/>
      <i/>
      <sz val="11"/>
      <color rgb="FF3399FF"/>
      <name val="Century Gothic"/>
      <family val="2"/>
    </font>
    <font>
      <b/>
      <i/>
      <sz val="11"/>
      <color theme="6" tint="0.39997558519241921"/>
      <name val="Century Gothic"/>
      <family val="2"/>
    </font>
    <font>
      <b/>
      <sz val="11"/>
      <color theme="6" tint="0.39997558519241921"/>
      <name val="Wingdings 3"/>
      <family val="1"/>
      <charset val="2"/>
    </font>
    <font>
      <u/>
      <sz val="10"/>
      <color theme="10"/>
      <name val="Arial"/>
      <family val="2"/>
    </font>
    <font>
      <sz val="3"/>
      <color theme="0" tint="-4.9989318521683403E-2"/>
      <name val="Arial"/>
      <family val="2"/>
    </font>
    <font>
      <b/>
      <u/>
      <sz val="18"/>
      <color theme="0" tint="-4.9989318521683403E-2"/>
      <name val="Arial"/>
      <family val="2"/>
    </font>
    <font>
      <u/>
      <sz val="18"/>
      <color theme="0" tint="-4.9989318521683403E-2"/>
      <name val="Arial"/>
      <family val="2"/>
    </font>
    <font>
      <b/>
      <i/>
      <sz val="10"/>
      <color rgb="FFFF0000"/>
      <name val="Arial"/>
      <family val="2"/>
    </font>
    <font>
      <sz val="8"/>
      <color theme="3"/>
      <name val="Arial Narrow"/>
      <family val="2"/>
    </font>
    <font>
      <i/>
      <sz val="10"/>
      <color rgb="FFFF0000"/>
      <name val="Arial"/>
      <family val="2"/>
    </font>
    <font>
      <sz val="10"/>
      <color theme="0" tint="-0.14996795556505021"/>
      <name val="Arial"/>
      <family val="2"/>
    </font>
    <font>
      <sz val="11"/>
      <name val="Lucida Sans Unicode"/>
      <family val="2"/>
    </font>
    <font>
      <sz val="1"/>
      <color theme="0" tint="-0.499984740745262"/>
      <name val="Arial"/>
      <family val="2"/>
    </font>
    <font>
      <b/>
      <sz val="1"/>
      <color rgb="FFFF0000"/>
      <name val="Arial"/>
      <family val="2"/>
    </font>
    <font>
      <sz val="10"/>
      <color rgb="FFFF0000"/>
      <name val="Arial"/>
      <family val="2"/>
      <charset val="1"/>
    </font>
    <font>
      <b/>
      <sz val="16"/>
      <color rgb="FFFF0000"/>
      <name val="Century Gothic"/>
      <family val="2"/>
      <charset val="1"/>
    </font>
    <font>
      <sz val="16"/>
      <color rgb="FFFF0000"/>
      <name val="Century Gothic"/>
      <family val="2"/>
      <charset val="1"/>
    </font>
    <font>
      <b/>
      <sz val="12"/>
      <color rgb="FFFF0000"/>
      <name val="Century Gothic"/>
      <family val="2"/>
      <charset val="1"/>
    </font>
    <font>
      <sz val="12"/>
      <color rgb="FFFF0000"/>
      <name val="Century Gothic"/>
      <family val="2"/>
      <charset val="1"/>
    </font>
    <font>
      <sz val="11"/>
      <color rgb="FFFF0000"/>
      <name val="Arial"/>
      <family val="2"/>
      <charset val="1"/>
    </font>
    <font>
      <b/>
      <i/>
      <sz val="12"/>
      <color rgb="FFFF0000"/>
      <name val="Arial"/>
      <family val="2"/>
      <charset val="1"/>
    </font>
    <font>
      <sz val="9"/>
      <color indexed="9"/>
      <name val="Arial"/>
      <family val="2"/>
      <charset val="134"/>
    </font>
    <font>
      <sz val="10"/>
      <color indexed="8"/>
      <name val="Arial"/>
      <family val="2"/>
      <charset val="134"/>
    </font>
    <font>
      <sz val="11"/>
      <color theme="3"/>
      <name val="Arial Narrow"/>
      <family val="2"/>
    </font>
    <font>
      <sz val="14"/>
      <color theme="3"/>
      <name val="Arial Narrow"/>
      <family val="2"/>
    </font>
    <font>
      <sz val="7"/>
      <color theme="3"/>
      <name val="Arial Narrow"/>
      <family val="2"/>
    </font>
    <font>
      <sz val="10"/>
      <name val="Helv"/>
    </font>
    <font>
      <sz val="11"/>
      <color indexed="8"/>
      <name val="Calibri"/>
      <family val="2"/>
      <charset val="1"/>
    </font>
    <font>
      <sz val="12"/>
      <color indexed="22"/>
      <name val="Arial"/>
      <family val="2"/>
    </font>
    <font>
      <b/>
      <sz val="12"/>
      <color indexed="22"/>
      <name val="Times New Roman"/>
      <family val="1"/>
    </font>
    <font>
      <b/>
      <sz val="10"/>
      <color indexed="22"/>
      <name val="Times New Roman"/>
      <family val="1"/>
    </font>
    <font>
      <sz val="1"/>
      <color indexed="8"/>
      <name val="Courier"/>
      <family val="3"/>
    </font>
    <font>
      <i/>
      <sz val="1"/>
      <color indexed="8"/>
      <name val="Courier"/>
      <family val="3"/>
    </font>
    <font>
      <sz val="12"/>
      <name val="Helv"/>
    </font>
    <font>
      <u/>
      <sz val="11"/>
      <color theme="10"/>
      <name val="Calibri"/>
      <family val="2"/>
      <charset val="1"/>
      <scheme val="minor"/>
    </font>
    <font>
      <b/>
      <sz val="9"/>
      <color theme="3"/>
      <name val="Arial"/>
      <family val="2"/>
    </font>
    <font>
      <i/>
      <sz val="9"/>
      <color theme="3"/>
      <name val="Arial"/>
      <family val="2"/>
    </font>
    <font>
      <sz val="9"/>
      <color theme="3"/>
      <name val="Arial"/>
      <family val="2"/>
    </font>
    <font>
      <sz val="9"/>
      <color theme="4" tint="0.79998168889431442"/>
      <name val="Arial"/>
      <family val="2"/>
    </font>
    <font>
      <sz val="9"/>
      <color theme="0"/>
      <name val="Arial"/>
      <family val="2"/>
      <charset val="134"/>
    </font>
    <font>
      <sz val="11"/>
      <color rgb="FF0070C0"/>
      <name val="Arial"/>
      <family val="2"/>
    </font>
    <font>
      <sz val="10"/>
      <name val="Arial"/>
      <family val="2"/>
      <charset val="134"/>
    </font>
    <font>
      <sz val="11"/>
      <color indexed="8"/>
      <name val="Arial"/>
      <family val="2"/>
    </font>
    <font>
      <b/>
      <sz val="11"/>
      <color indexed="8"/>
      <name val="Arial"/>
      <family val="2"/>
    </font>
  </fonts>
  <fills count="79">
    <fill>
      <patternFill patternType="none"/>
    </fill>
    <fill>
      <patternFill patternType="gray125"/>
    </fill>
    <fill>
      <patternFill patternType="solid">
        <fgColor indexed="31"/>
        <bgColor indexed="22"/>
      </patternFill>
    </fill>
    <fill>
      <patternFill patternType="solid">
        <fgColor indexed="31"/>
      </patternFill>
    </fill>
    <fill>
      <patternFill patternType="solid">
        <fgColor indexed="45"/>
        <bgColor indexed="29"/>
      </patternFill>
    </fill>
    <fill>
      <patternFill patternType="solid">
        <fgColor indexed="45"/>
      </patternFill>
    </fill>
    <fill>
      <patternFill patternType="solid">
        <fgColor indexed="42"/>
        <bgColor indexed="27"/>
      </patternFill>
    </fill>
    <fill>
      <patternFill patternType="solid">
        <fgColor indexed="42"/>
      </patternFill>
    </fill>
    <fill>
      <patternFill patternType="solid">
        <fgColor indexed="46"/>
        <bgColor indexed="24"/>
      </patternFill>
    </fill>
    <fill>
      <patternFill patternType="solid">
        <fgColor indexed="46"/>
      </patternFill>
    </fill>
    <fill>
      <patternFill patternType="solid">
        <fgColor indexed="27"/>
        <bgColor indexed="41"/>
      </patternFill>
    </fill>
    <fill>
      <patternFill patternType="solid">
        <fgColor indexed="27"/>
      </patternFill>
    </fill>
    <fill>
      <patternFill patternType="solid">
        <fgColor indexed="47"/>
        <bgColor indexed="22"/>
      </patternFill>
    </fill>
    <fill>
      <patternFill patternType="solid">
        <fgColor indexed="47"/>
      </patternFill>
    </fill>
    <fill>
      <patternFill patternType="solid">
        <fgColor indexed="44"/>
        <bgColor indexed="31"/>
      </patternFill>
    </fill>
    <fill>
      <patternFill patternType="solid">
        <fgColor indexed="44"/>
      </patternFill>
    </fill>
    <fill>
      <patternFill patternType="solid">
        <fgColor indexed="29"/>
        <bgColor indexed="45"/>
      </patternFill>
    </fill>
    <fill>
      <patternFill patternType="solid">
        <fgColor indexed="29"/>
      </patternFill>
    </fill>
    <fill>
      <patternFill patternType="solid">
        <fgColor indexed="11"/>
        <bgColor indexed="49"/>
      </patternFill>
    </fill>
    <fill>
      <patternFill patternType="solid">
        <fgColor indexed="11"/>
      </patternFill>
    </fill>
    <fill>
      <patternFill patternType="solid">
        <fgColor indexed="51"/>
        <bgColor indexed="13"/>
      </patternFill>
    </fill>
    <fill>
      <patternFill patternType="solid">
        <fgColor indexed="51"/>
      </patternFill>
    </fill>
    <fill>
      <patternFill patternType="solid">
        <fgColor indexed="30"/>
        <bgColor indexed="21"/>
      </patternFill>
    </fill>
    <fill>
      <patternFill patternType="solid">
        <fgColor indexed="30"/>
      </patternFill>
    </fill>
    <fill>
      <patternFill patternType="solid">
        <fgColor indexed="20"/>
        <bgColor indexed="36"/>
      </patternFill>
    </fill>
    <fill>
      <patternFill patternType="solid">
        <fgColor indexed="36"/>
      </patternFill>
    </fill>
    <fill>
      <patternFill patternType="solid">
        <fgColor indexed="49"/>
        <bgColor indexed="40"/>
      </patternFill>
    </fill>
    <fill>
      <patternFill patternType="solid">
        <fgColor indexed="49"/>
      </patternFill>
    </fill>
    <fill>
      <patternFill patternType="solid">
        <fgColor indexed="52"/>
        <bgColor indexed="51"/>
      </patternFill>
    </fill>
    <fill>
      <patternFill patternType="solid">
        <fgColor indexed="52"/>
      </patternFill>
    </fill>
    <fill>
      <patternFill patternType="solid">
        <fgColor indexed="62"/>
        <bgColor indexed="56"/>
      </patternFill>
    </fill>
    <fill>
      <patternFill patternType="solid">
        <fgColor indexed="62"/>
      </patternFill>
    </fill>
    <fill>
      <patternFill patternType="solid">
        <fgColor indexed="10"/>
        <bgColor indexed="60"/>
      </patternFill>
    </fill>
    <fill>
      <patternFill patternType="solid">
        <fgColor indexed="10"/>
      </patternFill>
    </fill>
    <fill>
      <patternFill patternType="solid">
        <fgColor indexed="57"/>
        <bgColor indexed="21"/>
      </patternFill>
    </fill>
    <fill>
      <patternFill patternType="solid">
        <fgColor indexed="57"/>
      </patternFill>
    </fill>
    <fill>
      <patternFill patternType="solid">
        <fgColor indexed="53"/>
        <bgColor indexed="52"/>
      </patternFill>
    </fill>
    <fill>
      <patternFill patternType="solid">
        <fgColor indexed="53"/>
      </patternFill>
    </fill>
    <fill>
      <patternFill patternType="solid">
        <fgColor indexed="22"/>
        <bgColor indexed="31"/>
      </patternFill>
    </fill>
    <fill>
      <patternFill patternType="solid">
        <fgColor indexed="22"/>
      </patternFill>
    </fill>
    <fill>
      <patternFill patternType="solid">
        <fgColor indexed="55"/>
        <bgColor indexed="23"/>
      </patternFill>
    </fill>
    <fill>
      <patternFill patternType="solid">
        <fgColor indexed="55"/>
      </patternFill>
    </fill>
    <fill>
      <patternFill patternType="solid">
        <fgColor indexed="43"/>
        <bgColor indexed="26"/>
      </patternFill>
    </fill>
    <fill>
      <patternFill patternType="solid">
        <fgColor indexed="43"/>
      </patternFill>
    </fill>
    <fill>
      <patternFill patternType="solid">
        <fgColor indexed="26"/>
        <bgColor indexed="9"/>
      </patternFill>
    </fill>
    <fill>
      <patternFill patternType="solid">
        <fgColor indexed="26"/>
      </patternFill>
    </fill>
    <fill>
      <patternFill patternType="mediumGray">
        <fgColor indexed="11"/>
      </patternFill>
    </fill>
    <fill>
      <patternFill patternType="solid">
        <fgColor indexed="9"/>
        <bgColor indexed="64"/>
      </patternFill>
    </fill>
    <fill>
      <patternFill patternType="solid">
        <fgColor indexed="23"/>
        <bgColor indexed="55"/>
      </patternFill>
    </fill>
    <fill>
      <patternFill patternType="solid">
        <fgColor indexed="45"/>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6"/>
        <bgColor indexed="64"/>
      </patternFill>
    </fill>
    <fill>
      <patternFill patternType="solid">
        <fgColor theme="0" tint="-0.14999847407452621"/>
        <bgColor indexed="64"/>
      </patternFill>
    </fill>
    <fill>
      <patternFill patternType="solid">
        <fgColor rgb="FF0070C0"/>
        <bgColor indexed="64"/>
      </patternFill>
    </fill>
    <fill>
      <patternFill patternType="solid">
        <fgColor theme="4" tint="0.79998168889431442"/>
        <bgColor indexed="64"/>
      </patternFill>
    </fill>
    <fill>
      <patternFill patternType="solid">
        <fgColor theme="8" tint="0.59996337778862885"/>
        <bgColor indexed="64"/>
      </patternFill>
    </fill>
    <fill>
      <patternFill patternType="solid">
        <fgColor theme="9"/>
        <bgColor indexed="64"/>
      </patternFill>
    </fill>
    <fill>
      <patternFill patternType="lightUp">
        <fgColor theme="0" tint="-0.24994659260841701"/>
        <bgColor indexed="65"/>
      </patternFill>
    </fill>
    <fill>
      <patternFill patternType="solid">
        <fgColor rgb="FFFFCCCC"/>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FFC000"/>
        <bgColor indexed="64"/>
      </patternFill>
    </fill>
    <fill>
      <patternFill patternType="solid">
        <fgColor theme="0" tint="-0.14996795556505021"/>
        <bgColor indexed="64"/>
      </patternFill>
    </fill>
    <fill>
      <patternFill patternType="solid">
        <fgColor theme="8" tint="0.39997558519241921"/>
        <bgColor indexed="64"/>
      </patternFill>
    </fill>
    <fill>
      <patternFill patternType="solid">
        <fgColor theme="8"/>
        <bgColor indexed="64"/>
      </patternFill>
    </fill>
    <fill>
      <patternFill patternType="solid">
        <fgColor theme="6" tint="0.59999389629810485"/>
        <bgColor indexed="64"/>
      </patternFill>
    </fill>
    <fill>
      <patternFill patternType="solid">
        <fgColor theme="3"/>
        <bgColor indexed="64"/>
      </patternFill>
    </fill>
    <fill>
      <patternFill patternType="solid">
        <fgColor theme="3" tint="0.79998168889431442"/>
        <bgColor indexed="64"/>
      </patternFill>
    </fill>
    <fill>
      <patternFill patternType="solid">
        <fgColor theme="0" tint="-0.499984740745262"/>
        <bgColor indexed="64"/>
      </patternFill>
    </fill>
    <fill>
      <patternFill patternType="solid">
        <fgColor indexed="30"/>
        <bgColor indexed="64"/>
      </patternFill>
    </fill>
  </fills>
  <borders count="18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top/>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ck">
        <color indexed="64"/>
      </top>
      <bottom style="hair">
        <color indexed="64"/>
      </bottom>
      <diagonal/>
    </border>
    <border>
      <left style="thin">
        <color indexed="64"/>
      </left>
      <right style="thin">
        <color indexed="64"/>
      </right>
      <top style="hair">
        <color indexed="64"/>
      </top>
      <bottom style="hair">
        <color indexed="64"/>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right/>
      <top/>
      <bottom style="thin">
        <color indexed="8"/>
      </bottom>
      <diagonal/>
    </border>
    <border>
      <left/>
      <right style="thin">
        <color indexed="8"/>
      </right>
      <top/>
      <bottom style="thin">
        <color indexed="8"/>
      </bottom>
      <diagonal/>
    </border>
    <border>
      <left/>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64"/>
      </bottom>
      <diagonal/>
    </border>
    <border>
      <left style="thin">
        <color indexed="8"/>
      </left>
      <right style="thin">
        <color indexed="8"/>
      </right>
      <top style="thin">
        <color indexed="64"/>
      </top>
      <bottom/>
      <diagonal/>
    </border>
    <border>
      <left style="thin">
        <color indexed="8"/>
      </left>
      <right style="thin">
        <color indexed="8"/>
      </right>
      <top style="double">
        <color indexed="8"/>
      </top>
      <bottom/>
      <diagonal/>
    </border>
    <border>
      <left style="thin">
        <color indexed="8"/>
      </left>
      <right style="thin">
        <color indexed="8"/>
      </right>
      <top style="double">
        <color indexed="8"/>
      </top>
      <bottom style="double">
        <color indexed="8"/>
      </bottom>
      <diagonal/>
    </border>
    <border>
      <left style="double">
        <color indexed="8"/>
      </left>
      <right style="double">
        <color indexed="8"/>
      </right>
      <top style="double">
        <color indexed="8"/>
      </top>
      <bottom style="double">
        <color indexed="8"/>
      </bottom>
      <diagonal/>
    </border>
    <border>
      <left style="thin">
        <color indexed="8"/>
      </left>
      <right/>
      <top/>
      <bottom/>
      <diagonal/>
    </border>
    <border>
      <left style="thin">
        <color indexed="8"/>
      </left>
      <right style="medium">
        <color indexed="8"/>
      </right>
      <top/>
      <bottom/>
      <diagonal/>
    </border>
    <border>
      <left style="thin">
        <color indexed="8"/>
      </left>
      <right style="medium">
        <color indexed="8"/>
      </right>
      <top/>
      <bottom style="thin">
        <color indexed="8"/>
      </bottom>
      <diagonal/>
    </border>
    <border>
      <left style="thin">
        <color indexed="8"/>
      </left>
      <right/>
      <top/>
      <bottom style="thin">
        <color indexed="8"/>
      </bottom>
      <diagonal/>
    </border>
    <border>
      <left/>
      <right style="thin">
        <color indexed="8"/>
      </right>
      <top style="thin">
        <color indexed="8"/>
      </top>
      <bottom/>
      <diagonal/>
    </border>
    <border>
      <left style="thin">
        <color indexed="8"/>
      </left>
      <right style="medium">
        <color indexed="8"/>
      </right>
      <top style="double">
        <color indexed="8"/>
      </top>
      <bottom style="double">
        <color indexed="8"/>
      </bottom>
      <diagonal/>
    </border>
    <border>
      <left style="thin">
        <color indexed="8"/>
      </left>
      <right style="double">
        <color indexed="8"/>
      </right>
      <top style="double">
        <color indexed="8"/>
      </top>
      <bottom style="double">
        <color indexed="8"/>
      </bottom>
      <diagonal/>
    </border>
    <border>
      <left style="thin">
        <color indexed="8"/>
      </left>
      <right style="double">
        <color indexed="8"/>
      </right>
      <top/>
      <bottom/>
      <diagonal/>
    </border>
    <border>
      <left style="thin">
        <color indexed="8"/>
      </left>
      <right style="double">
        <color indexed="8"/>
      </right>
      <top/>
      <bottom style="thin">
        <color indexed="8"/>
      </bottom>
      <diagonal/>
    </border>
    <border>
      <left style="double">
        <color indexed="8"/>
      </left>
      <right style="thin">
        <color indexed="8"/>
      </right>
      <top style="double">
        <color indexed="8"/>
      </top>
      <bottom style="double">
        <color indexed="8"/>
      </bottom>
      <diagonal/>
    </border>
    <border>
      <left style="medium">
        <color indexed="8"/>
      </left>
      <right style="thin">
        <color indexed="8"/>
      </right>
      <top style="double">
        <color indexed="8"/>
      </top>
      <bottom style="double">
        <color indexed="8"/>
      </bottom>
      <diagonal/>
    </border>
    <border>
      <left style="thin">
        <color indexed="8"/>
      </left>
      <right style="medium">
        <color indexed="8"/>
      </right>
      <top style="thin">
        <color indexed="8"/>
      </top>
      <bottom/>
      <diagonal/>
    </border>
    <border>
      <left style="thin">
        <color indexed="8"/>
      </left>
      <right style="double">
        <color indexed="8"/>
      </right>
      <top style="thin">
        <color indexed="8"/>
      </top>
      <bottom/>
      <diagonal/>
    </border>
    <border>
      <left/>
      <right style="double">
        <color indexed="8"/>
      </right>
      <top/>
      <bottom/>
      <diagonal/>
    </border>
    <border>
      <left style="thin">
        <color indexed="8"/>
      </left>
      <right style="medium">
        <color indexed="8"/>
      </right>
      <top/>
      <bottom style="thin">
        <color indexed="64"/>
      </bottom>
      <diagonal/>
    </border>
    <border>
      <left style="thin">
        <color indexed="8"/>
      </left>
      <right style="double">
        <color indexed="8"/>
      </right>
      <top/>
      <bottom style="thin">
        <color indexed="64"/>
      </bottom>
      <diagonal/>
    </border>
    <border>
      <left style="thin">
        <color indexed="64"/>
      </left>
      <right style="thin">
        <color indexed="8"/>
      </right>
      <top style="double">
        <color indexed="8"/>
      </top>
      <bottom/>
      <diagonal/>
    </border>
    <border>
      <left style="thin">
        <color indexed="64"/>
      </left>
      <right style="thin">
        <color indexed="8"/>
      </right>
      <top/>
      <bottom/>
      <diagonal/>
    </border>
    <border>
      <left style="thin">
        <color indexed="64"/>
      </left>
      <right style="thin">
        <color indexed="8"/>
      </right>
      <top/>
      <bottom style="thin">
        <color indexed="8"/>
      </bottom>
      <diagonal/>
    </border>
    <border>
      <left style="thin">
        <color indexed="64"/>
      </left>
      <right style="thin">
        <color indexed="8"/>
      </right>
      <top style="thin">
        <color indexed="8"/>
      </top>
      <bottom/>
      <diagonal/>
    </border>
    <border>
      <left style="thin">
        <color indexed="64"/>
      </left>
      <right style="thin">
        <color indexed="8"/>
      </right>
      <top/>
      <bottom style="thin">
        <color indexed="64"/>
      </bottom>
      <diagonal/>
    </border>
    <border>
      <left style="thin">
        <color indexed="64"/>
      </left>
      <right style="thin">
        <color indexed="8"/>
      </right>
      <top style="thin">
        <color indexed="64"/>
      </top>
      <bottom/>
      <diagonal/>
    </border>
    <border>
      <left style="double">
        <color indexed="8"/>
      </left>
      <right style="thin">
        <color indexed="64"/>
      </right>
      <top style="double">
        <color indexed="8"/>
      </top>
      <bottom/>
      <diagonal/>
    </border>
    <border>
      <left style="double">
        <color indexed="8"/>
      </left>
      <right style="thin">
        <color indexed="64"/>
      </right>
      <top/>
      <bottom/>
      <diagonal/>
    </border>
    <border>
      <left style="double">
        <color indexed="8"/>
      </left>
      <right style="thin">
        <color indexed="64"/>
      </right>
      <top/>
      <bottom style="thin">
        <color indexed="8"/>
      </bottom>
      <diagonal/>
    </border>
    <border>
      <left style="thin">
        <color indexed="8"/>
      </left>
      <right style="medium">
        <color indexed="8"/>
      </right>
      <top style="thin">
        <color indexed="64"/>
      </top>
      <bottom/>
      <diagonal/>
    </border>
    <border>
      <left style="thin">
        <color indexed="8"/>
      </left>
      <right style="double">
        <color indexed="8"/>
      </right>
      <top style="thin">
        <color indexed="64"/>
      </top>
      <bottom/>
      <diagonal/>
    </border>
    <border>
      <left style="double">
        <color indexed="8"/>
      </left>
      <right style="thin">
        <color indexed="64"/>
      </right>
      <top style="thin">
        <color indexed="8"/>
      </top>
      <bottom/>
      <diagonal/>
    </border>
    <border>
      <left style="thin">
        <color theme="0"/>
      </left>
      <right style="thin">
        <color theme="0"/>
      </right>
      <top style="thin">
        <color theme="0"/>
      </top>
      <bottom style="thin">
        <color theme="0"/>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indexed="8"/>
      </left>
      <right/>
      <top style="thin">
        <color indexed="8"/>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bottom style="thin">
        <color theme="0" tint="-0.24994659260841701"/>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right style="thin">
        <color theme="0"/>
      </right>
      <top style="thin">
        <color theme="0"/>
      </top>
      <bottom/>
      <diagonal/>
    </border>
    <border>
      <left/>
      <right style="thin">
        <color theme="0" tint="-0.24994659260841701"/>
      </right>
      <top style="thin">
        <color theme="0" tint="-0.24994659260841701"/>
      </top>
      <bottom/>
      <diagonal/>
    </border>
    <border>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style="thin">
        <color theme="0" tint="-0.24994659260841701"/>
      </left>
      <right/>
      <top/>
      <bottom style="thin">
        <color theme="0" tint="-0.24994659260841701"/>
      </bottom>
      <diagonal/>
    </border>
    <border>
      <left/>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right/>
      <top style="thin">
        <color theme="0"/>
      </top>
      <bottom style="thin">
        <color theme="0"/>
      </bottom>
      <diagonal/>
    </border>
    <border>
      <left/>
      <right/>
      <top/>
      <bottom style="thin">
        <color theme="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right>
      <top/>
      <bottom/>
      <diagonal/>
    </border>
    <border>
      <left style="thin">
        <color theme="0"/>
      </left>
      <right style="thin">
        <color theme="0"/>
      </right>
      <top/>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8" tint="0.39988402966399123"/>
      </left>
      <right style="thin">
        <color theme="8" tint="0.39988402966399123"/>
      </right>
      <top style="thin">
        <color theme="8" tint="0.39988402966399123"/>
      </top>
      <bottom/>
      <diagonal/>
    </border>
    <border>
      <left style="thin">
        <color theme="8" tint="0.39994506668294322"/>
      </left>
      <right style="thin">
        <color theme="8" tint="0.39994506668294322"/>
      </right>
      <top style="thin">
        <color theme="8" tint="0.39994506668294322"/>
      </top>
      <bottom style="thin">
        <color theme="8" tint="0.39994506668294322"/>
      </bottom>
      <diagonal/>
    </border>
    <border>
      <left style="thin">
        <color theme="8" tint="0.39985351115451523"/>
      </left>
      <right style="thin">
        <color theme="8" tint="0.39985351115451523"/>
      </right>
      <top style="thin">
        <color theme="8" tint="0.39985351115451523"/>
      </top>
      <bottom style="thin">
        <color theme="8" tint="0.39985351115451523"/>
      </bottom>
      <diagonal/>
    </border>
    <border>
      <left style="thin">
        <color theme="9" tint="-0.24994659260841701"/>
      </left>
      <right style="thin">
        <color theme="9" tint="-0.24994659260841701"/>
      </right>
      <top style="thin">
        <color theme="9" tint="-0.24994659260841701"/>
      </top>
      <bottom style="thin">
        <color theme="9" tint="-0.24994659260841701"/>
      </bottom>
      <diagonal/>
    </border>
    <border>
      <left style="thin">
        <color theme="0"/>
      </left>
      <right/>
      <top style="thin">
        <color theme="0" tint="-0.24994659260841701"/>
      </top>
      <bottom style="thin">
        <color theme="0" tint="-0.24994659260841701"/>
      </bottom>
      <diagonal/>
    </border>
    <border>
      <left style="thin">
        <color theme="0"/>
      </left>
      <right style="thin">
        <color theme="0"/>
      </right>
      <top style="thin">
        <color theme="0" tint="-0.24994659260841701"/>
      </top>
      <bottom style="thin">
        <color theme="0" tint="-0.2499465926084170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style="thin">
        <color theme="8" tint="0.39988402966399123"/>
      </left>
      <right/>
      <top style="thin">
        <color theme="8" tint="0.39988402966399123"/>
      </top>
      <bottom style="thin">
        <color theme="8" tint="0.39988402966399123"/>
      </bottom>
      <diagonal/>
    </border>
    <border>
      <left/>
      <right/>
      <top style="thin">
        <color theme="8" tint="0.39988402966399123"/>
      </top>
      <bottom style="thin">
        <color theme="8" tint="0.39988402966399123"/>
      </bottom>
      <diagonal/>
    </border>
    <border>
      <left/>
      <right style="thin">
        <color theme="8" tint="0.39988402966399123"/>
      </right>
      <top style="thin">
        <color theme="8" tint="0.39988402966399123"/>
      </top>
      <bottom style="thin">
        <color theme="8" tint="0.39988402966399123"/>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style="thin">
        <color theme="9" tint="-0.24994659260841701"/>
      </left>
      <right style="thin">
        <color theme="9" tint="-0.24994659260841701"/>
      </right>
      <top style="thin">
        <color theme="9" tint="-0.24994659260841701"/>
      </top>
      <bottom/>
      <diagonal/>
    </border>
    <border>
      <left style="thin">
        <color theme="0" tint="-0.14996795556505021"/>
      </left>
      <right style="thin">
        <color theme="0" tint="-0.14996795556505021"/>
      </right>
      <top/>
      <bottom/>
      <diagonal/>
    </border>
    <border>
      <left style="thin">
        <color theme="0" tint="-0.14990691854609822"/>
      </left>
      <right style="thin">
        <color theme="0" tint="-0.14990691854609822"/>
      </right>
      <top style="thin">
        <color theme="0" tint="-0.14990691854609822"/>
      </top>
      <bottom style="thin">
        <color theme="0" tint="-0.14990691854609822"/>
      </bottom>
      <diagonal/>
    </border>
    <border>
      <left style="thin">
        <color theme="0" tint="-0.14993743705557422"/>
      </left>
      <right/>
      <top style="thin">
        <color theme="0" tint="-0.14993743705557422"/>
      </top>
      <bottom style="thin">
        <color theme="0" tint="-0.14993743705557422"/>
      </bottom>
      <diagonal/>
    </border>
    <border>
      <left style="thin">
        <color theme="0" tint="-0.14993743705557422"/>
      </left>
      <right style="thin">
        <color theme="0" tint="-0.14993743705557422"/>
      </right>
      <top style="thin">
        <color theme="0" tint="-0.14993743705557422"/>
      </top>
      <bottom/>
      <diagonal/>
    </border>
    <border>
      <left style="thin">
        <color theme="0" tint="-0.14993743705557422"/>
      </left>
      <right/>
      <top style="thin">
        <color theme="0" tint="-0.14993743705557422"/>
      </top>
      <bottom style="thin">
        <color theme="0" tint="-0.14990691854609822"/>
      </bottom>
      <diagonal/>
    </border>
    <border>
      <left/>
      <right/>
      <top style="thin">
        <color theme="0" tint="-0.14993743705557422"/>
      </top>
      <bottom style="thin">
        <color theme="0" tint="-0.14990691854609822"/>
      </bottom>
      <diagonal/>
    </border>
    <border>
      <left/>
      <right style="thin">
        <color theme="0" tint="-0.14993743705557422"/>
      </right>
      <top style="thin">
        <color theme="0" tint="-0.14993743705557422"/>
      </top>
      <bottom style="thin">
        <color theme="0" tint="-0.14990691854609822"/>
      </bottom>
      <diagonal/>
    </border>
    <border>
      <left style="thin">
        <color theme="0" tint="-0.14993743705557422"/>
      </left>
      <right style="thin">
        <color theme="0" tint="-0.14993743705557422"/>
      </right>
      <top/>
      <bottom/>
      <diagonal/>
    </border>
    <border>
      <left style="thin">
        <color theme="0" tint="-0.14993743705557422"/>
      </left>
      <right style="thin">
        <color theme="0" tint="-0.14993743705557422"/>
      </right>
      <top/>
      <bottom style="thin">
        <color theme="0" tint="-0.14993743705557422"/>
      </bottom>
      <diagonal/>
    </border>
    <border>
      <left/>
      <right style="thin">
        <color theme="0"/>
      </right>
      <top style="thin">
        <color theme="0" tint="-0.24994659260841701"/>
      </top>
      <bottom style="thin">
        <color theme="0" tint="-0.24994659260841701"/>
      </bottom>
      <diagonal/>
    </border>
    <border>
      <left/>
      <right/>
      <top/>
      <bottom style="double">
        <color indexed="8"/>
      </bottom>
      <diagonal/>
    </border>
    <border>
      <left/>
      <right style="thin">
        <color theme="0"/>
      </right>
      <top style="thin">
        <color indexed="8"/>
      </top>
      <bottom style="thin">
        <color theme="0"/>
      </bottom>
      <diagonal/>
    </border>
    <border>
      <left style="thin">
        <color theme="0"/>
      </left>
      <right style="thin">
        <color theme="0"/>
      </right>
      <top style="thin">
        <color indexed="8"/>
      </top>
      <bottom style="thin">
        <color theme="0"/>
      </bottom>
      <diagonal/>
    </border>
    <border>
      <left style="thin">
        <color theme="0"/>
      </left>
      <right/>
      <top style="thin">
        <color indexed="8"/>
      </top>
      <bottom style="thin">
        <color theme="0"/>
      </bottom>
      <diagonal/>
    </border>
    <border>
      <left/>
      <right style="thin">
        <color theme="0"/>
      </right>
      <top style="thin">
        <color theme="0"/>
      </top>
      <bottom style="thin">
        <color theme="0" tint="-0.499984740745262"/>
      </bottom>
      <diagonal/>
    </border>
    <border>
      <left style="thin">
        <color theme="0"/>
      </left>
      <right style="thin">
        <color theme="0"/>
      </right>
      <top style="thin">
        <color theme="0"/>
      </top>
      <bottom style="thin">
        <color theme="0" tint="-0.499984740745262"/>
      </bottom>
      <diagonal/>
    </border>
    <border>
      <left style="thin">
        <color theme="0"/>
      </left>
      <right/>
      <top style="thin">
        <color theme="0"/>
      </top>
      <bottom style="thin">
        <color theme="0"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499984740745262"/>
      </left>
      <right style="thin">
        <color theme="0"/>
      </right>
      <top style="thin">
        <color theme="0"/>
      </top>
      <bottom style="thin">
        <color theme="0"/>
      </bottom>
      <diagonal/>
    </border>
    <border>
      <left style="thin">
        <color theme="0"/>
      </left>
      <right style="thin">
        <color theme="0" tint="-0.499984740745262"/>
      </right>
      <top style="thin">
        <color theme="0"/>
      </top>
      <bottom style="thin">
        <color theme="0"/>
      </bottom>
      <diagonal/>
    </border>
    <border>
      <left style="thin">
        <color theme="0" tint="-0.499984740745262"/>
      </left>
      <right style="thin">
        <color theme="0"/>
      </right>
      <top style="thin">
        <color theme="0"/>
      </top>
      <bottom style="thin">
        <color theme="0" tint="-0.499984740745262"/>
      </bottom>
      <diagonal/>
    </border>
    <border>
      <left style="thin">
        <color theme="0"/>
      </left>
      <right style="thin">
        <color theme="0" tint="-0.499984740745262"/>
      </right>
      <top style="thin">
        <color theme="0"/>
      </top>
      <bottom style="thin">
        <color theme="0" tint="-0.499984740745262"/>
      </bottom>
      <diagonal/>
    </border>
    <border>
      <left style="thin">
        <color theme="0" tint="-0.499984740745262"/>
      </left>
      <right/>
      <top style="thin">
        <color theme="0"/>
      </top>
      <bottom style="thin">
        <color theme="0"/>
      </bottom>
      <diagonal/>
    </border>
    <border>
      <left/>
      <right style="thin">
        <color theme="0" tint="-0.499984740745262"/>
      </right>
      <top style="thin">
        <color theme="0"/>
      </top>
      <bottom style="thin">
        <color theme="0"/>
      </bottom>
      <diagonal/>
    </border>
    <border>
      <left style="thin">
        <color theme="0" tint="-0.499984740745262"/>
      </left>
      <right style="thin">
        <color theme="0"/>
      </right>
      <top style="thin">
        <color theme="0" tint="-0.499984740745262"/>
      </top>
      <bottom style="thin">
        <color theme="0"/>
      </bottom>
      <diagonal/>
    </border>
    <border>
      <left style="thin">
        <color theme="0"/>
      </left>
      <right style="thin">
        <color theme="0"/>
      </right>
      <top style="thin">
        <color theme="0" tint="-0.499984740745262"/>
      </top>
      <bottom style="thin">
        <color theme="0"/>
      </bottom>
      <diagonal/>
    </border>
    <border>
      <left style="thin">
        <color theme="0"/>
      </left>
      <right style="thin">
        <color theme="0" tint="-0.499984740745262"/>
      </right>
      <top style="thin">
        <color theme="0" tint="-0.499984740745262"/>
      </top>
      <bottom style="thin">
        <color theme="0"/>
      </bottom>
      <diagonal/>
    </border>
    <border>
      <left style="thin">
        <color theme="0"/>
      </left>
      <right style="thin">
        <color theme="0"/>
      </right>
      <top style="thin">
        <color theme="0" tint="-0.24994659260841701"/>
      </top>
      <bottom style="thin">
        <color theme="0"/>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right>
      <top style="thin">
        <color theme="0" tint="-0.34998626667073579"/>
      </top>
      <bottom/>
      <diagonal/>
    </border>
    <border>
      <left style="thin">
        <color theme="0" tint="-0.24994659260841701"/>
      </left>
      <right/>
      <top/>
      <bottom/>
      <diagonal/>
    </border>
    <border>
      <left style="thin">
        <color indexed="8"/>
      </left>
      <right/>
      <top style="thin">
        <color indexed="8"/>
      </top>
      <bottom style="thin">
        <color indexed="8"/>
      </bottom>
      <diagonal/>
    </border>
    <border>
      <left style="thin">
        <color theme="0"/>
      </left>
      <right/>
      <top style="thin">
        <color theme="0"/>
      </top>
      <bottom/>
      <diagonal/>
    </border>
    <border>
      <left style="thin">
        <color theme="0"/>
      </left>
      <right style="thin">
        <color theme="0"/>
      </right>
      <top style="thin">
        <color theme="0" tint="-0.499984740745262"/>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FFFFFF"/>
      </bottom>
      <diagonal/>
    </border>
    <border>
      <left/>
      <right/>
      <top style="thin">
        <color rgb="FFFFFFFF"/>
      </top>
      <bottom style="thin">
        <color rgb="FFFFFFFF"/>
      </bottom>
      <diagonal/>
    </border>
    <border>
      <left/>
      <right style="thin">
        <color rgb="FFFFFFFF"/>
      </right>
      <top style="thin">
        <color rgb="FFFFFFFF"/>
      </top>
      <bottom/>
      <diagonal/>
    </border>
    <border>
      <left style="thin">
        <color theme="0"/>
      </left>
      <right style="thin">
        <color theme="0"/>
      </right>
      <top style="thin">
        <color theme="0" tint="-0.499984740745262"/>
      </top>
      <bottom style="thin">
        <color theme="0" tint="-0.499984740745262"/>
      </bottom>
      <diagonal/>
    </border>
    <border>
      <left style="thin">
        <color theme="0"/>
      </left>
      <right style="thin">
        <color theme="0" tint="-0.499984740745262"/>
      </right>
      <top style="thin">
        <color theme="0" tint="-0.499984740745262"/>
      </top>
      <bottom style="thin">
        <color theme="0" tint="-0.499984740745262"/>
      </bottom>
      <diagonal/>
    </border>
    <border>
      <left/>
      <right/>
      <top style="thin">
        <color theme="0"/>
      </top>
      <bottom/>
      <diagonal/>
    </border>
    <border>
      <left style="thin">
        <color theme="0"/>
      </left>
      <right/>
      <top/>
      <bottom/>
      <diagonal/>
    </border>
    <border>
      <left/>
      <right/>
      <top style="thin">
        <color theme="0" tint="-0.14996795556505021"/>
      </top>
      <bottom style="thin">
        <color theme="0" tint="-0.14996795556505021"/>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style="thin">
        <color indexed="9"/>
      </bottom>
      <diagonal/>
    </border>
    <border>
      <left/>
      <right/>
      <top style="thin">
        <color indexed="22"/>
      </top>
      <bottom style="thin">
        <color indexed="9"/>
      </bottom>
      <diagonal/>
    </border>
    <border>
      <left/>
      <right style="thin">
        <color indexed="9"/>
      </right>
      <top style="thin">
        <color indexed="22"/>
      </top>
      <bottom style="thin">
        <color indexed="9"/>
      </bottom>
      <diagonal/>
    </border>
    <border>
      <left style="thin">
        <color indexed="8"/>
      </left>
      <right style="thin">
        <color indexed="8"/>
      </right>
      <top style="thin">
        <color indexed="64"/>
      </top>
      <bottom style="thin">
        <color indexed="8"/>
      </bottom>
      <diagonal/>
    </border>
    <border>
      <left style="thin">
        <color indexed="8"/>
      </left>
      <right style="thin">
        <color indexed="8"/>
      </right>
      <top style="thin">
        <color indexed="8"/>
      </top>
      <bottom style="thin">
        <color indexed="64"/>
      </bottom>
      <diagonal/>
    </border>
    <border>
      <left style="thin">
        <color indexed="64"/>
      </left>
      <right style="thin">
        <color indexed="8"/>
      </right>
      <top style="thin">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medium">
        <color indexed="8"/>
      </right>
      <top style="thin">
        <color indexed="64"/>
      </top>
      <bottom style="thin">
        <color indexed="64"/>
      </bottom>
      <diagonal/>
    </border>
    <border>
      <left style="thin">
        <color indexed="8"/>
      </left>
      <right style="double">
        <color indexed="8"/>
      </right>
      <top style="thin">
        <color indexed="64"/>
      </top>
      <bottom style="thin">
        <color indexed="64"/>
      </bottom>
      <diagonal/>
    </border>
    <border>
      <left/>
      <right/>
      <top style="thin">
        <color indexed="9"/>
      </top>
      <bottom style="thin">
        <color indexed="9"/>
      </bottom>
      <diagonal/>
    </border>
    <border>
      <left style="thin">
        <color indexed="55"/>
      </left>
      <right style="thin">
        <color indexed="55"/>
      </right>
      <top style="thin">
        <color indexed="55"/>
      </top>
      <bottom style="thin">
        <color indexed="55"/>
      </bottom>
      <diagonal/>
    </border>
    <border>
      <left style="thin">
        <color theme="0" tint="-0.24994659260841701"/>
      </left>
      <right/>
      <top style="thin">
        <color indexed="22"/>
      </top>
      <bottom style="thin">
        <color theme="0" tint="-0.24994659260841701"/>
      </bottom>
      <diagonal/>
    </border>
    <border>
      <left/>
      <right/>
      <top style="thin">
        <color indexed="22"/>
      </top>
      <bottom style="thin">
        <color theme="0" tint="-0.24994659260841701"/>
      </bottom>
      <diagonal/>
    </border>
    <border>
      <left/>
      <right style="thin">
        <color indexed="22"/>
      </right>
      <top style="thin">
        <color indexed="22"/>
      </top>
      <bottom style="thin">
        <color theme="0" tint="-0.24994659260841701"/>
      </bottom>
      <diagonal/>
    </border>
    <border>
      <left style="thin">
        <color theme="0" tint="-0.24994659260841701"/>
      </left>
      <right/>
      <top style="thin">
        <color indexed="22"/>
      </top>
      <bottom style="thin">
        <color indexed="22"/>
      </bottom>
      <diagonal/>
    </border>
    <border>
      <left/>
      <right/>
      <top style="thin">
        <color theme="0"/>
      </top>
      <bottom style="thin">
        <color theme="0" tint="-0.499984740745262"/>
      </bottom>
      <diagonal/>
    </border>
    <border>
      <left/>
      <right style="thin">
        <color theme="0"/>
      </right>
      <top style="thin">
        <color theme="0" tint="-0.499984740745262"/>
      </top>
      <bottom style="thin">
        <color theme="0" tint="-0.499984740745262"/>
      </bottom>
      <diagonal/>
    </border>
    <border>
      <left style="thin">
        <color auto="1"/>
      </left>
      <right style="thin">
        <color auto="1"/>
      </right>
      <top style="hair">
        <color auto="1"/>
      </top>
      <bottom style="hair">
        <color auto="1"/>
      </bottom>
      <diagonal/>
    </border>
    <border>
      <left style="thin">
        <color theme="0"/>
      </left>
      <right style="thin">
        <color theme="0"/>
      </right>
      <top/>
      <bottom style="thin">
        <color theme="0" tint="-0.499984740745262"/>
      </bottom>
      <diagonal/>
    </border>
    <border>
      <left style="thin">
        <color theme="0" tint="-0.14990691854609822"/>
      </left>
      <right/>
      <top style="thin">
        <color theme="0" tint="-0.14990691854609822"/>
      </top>
      <bottom style="thin">
        <color theme="0" tint="-0.14990691854609822"/>
      </bottom>
      <diagonal/>
    </border>
    <border>
      <left/>
      <right style="thin">
        <color theme="0" tint="-0.14990691854609822"/>
      </right>
      <top style="thin">
        <color theme="0" tint="-0.14990691854609822"/>
      </top>
      <bottom style="thin">
        <color theme="0" tint="-0.14990691854609822"/>
      </bottom>
      <diagonal/>
    </border>
  </borders>
  <cellStyleXfs count="207">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5" fillId="38" borderId="1" applyNumberFormat="0" applyAlignment="0" applyProtection="0"/>
    <xf numFmtId="0" fontId="5" fillId="39" borderId="1" applyNumberFormat="0" applyAlignment="0" applyProtection="0"/>
    <xf numFmtId="0" fontId="6" fillId="40" borderId="2" applyNumberFormat="0" applyAlignment="0" applyProtection="0"/>
    <xf numFmtId="0" fontId="6" fillId="41" borderId="2" applyNumberFormat="0" applyAlignment="0" applyProtection="0"/>
    <xf numFmtId="0" fontId="33" fillId="0" borderId="0"/>
    <xf numFmtId="0" fontId="33" fillId="0" borderId="0"/>
    <xf numFmtId="0" fontId="33" fillId="0" borderId="0"/>
    <xf numFmtId="0" fontId="33" fillId="0" borderId="0"/>
    <xf numFmtId="171" fontId="33" fillId="0" borderId="0" applyFill="0" applyBorder="0" applyAlignment="0" applyProtection="0"/>
    <xf numFmtId="41" fontId="33" fillId="0" borderId="0" applyFont="0" applyFill="0" applyBorder="0" applyAlignment="0" applyProtection="0"/>
    <xf numFmtId="41"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7" fillId="0" borderId="0" applyNumberFormat="0" applyFill="0" applyBorder="0" applyAlignment="0" applyProtection="0"/>
    <xf numFmtId="0" fontId="8" fillId="6" borderId="0" applyNumberFormat="0" applyBorder="0" applyAlignment="0" applyProtection="0"/>
    <xf numFmtId="0" fontId="8" fillId="7"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12" borderId="1" applyNumberFormat="0" applyAlignment="0" applyProtection="0"/>
    <xf numFmtId="0" fontId="12" fillId="13" borderId="1" applyNumberFormat="0" applyAlignment="0" applyProtection="0"/>
    <xf numFmtId="0" fontId="33" fillId="38" borderId="0" applyNumberFormat="0" applyBorder="0" applyAlignment="0">
      <protection locked="0"/>
    </xf>
    <xf numFmtId="12" fontId="31" fillId="39" borderId="6" applyNumberFormat="0" applyFont="0" applyBorder="0" applyAlignment="0">
      <alignment horizontal="center"/>
      <protection locked="0"/>
    </xf>
    <xf numFmtId="0" fontId="13" fillId="0" borderId="7" applyNumberFormat="0" applyFill="0" applyAlignment="0" applyProtection="0"/>
    <xf numFmtId="0" fontId="37" fillId="0" borderId="0" applyNumberFormat="0">
      <alignment horizontal="right"/>
    </xf>
    <xf numFmtId="0" fontId="14" fillId="42" borderId="0" applyNumberFormat="0" applyBorder="0" applyAlignment="0" applyProtection="0"/>
    <xf numFmtId="0" fontId="14" fillId="43" borderId="0" applyNumberFormat="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3" fillId="0" borderId="0"/>
    <xf numFmtId="0" fontId="33" fillId="0" borderId="0"/>
    <xf numFmtId="0" fontId="33" fillId="0" borderId="0"/>
    <xf numFmtId="0" fontId="33" fillId="44" borderId="8" applyNumberFormat="0" applyAlignment="0" applyProtection="0"/>
    <xf numFmtId="0" fontId="33" fillId="45" borderId="8" applyNumberFormat="0" applyFont="0" applyAlignment="0" applyProtection="0"/>
    <xf numFmtId="0" fontId="16" fillId="38" borderId="9" applyNumberFormat="0" applyAlignment="0" applyProtection="0"/>
    <xf numFmtId="0" fontId="16" fillId="39" borderId="9" applyNumberFormat="0" applyAlignment="0" applyProtection="0"/>
    <xf numFmtId="9" fontId="33" fillId="0" borderId="0" applyFont="0" applyFill="0" applyBorder="0" applyAlignment="0" applyProtection="0"/>
    <xf numFmtId="0" fontId="30" fillId="46" borderId="10" applyNumberFormat="0" applyFont="0" applyBorder="0" applyAlignment="0" applyProtection="0"/>
    <xf numFmtId="175" fontId="30" fillId="0" borderId="11" applyNumberFormat="0" applyFont="0" applyFill="0" applyAlignment="0" applyProtection="0">
      <alignment horizontal="right"/>
    </xf>
    <xf numFmtId="0" fontId="17" fillId="0" borderId="0" applyNumberFormat="0" applyFill="0" applyBorder="0" applyAlignment="0" applyProtection="0"/>
    <xf numFmtId="0" fontId="18" fillId="0" borderId="12" applyNumberFormat="0" applyFill="0" applyAlignment="0" applyProtection="0"/>
    <xf numFmtId="0" fontId="19" fillId="0" borderId="0" applyNumberFormat="0" applyFill="0" applyBorder="0" applyAlignment="0" applyProtection="0"/>
    <xf numFmtId="0" fontId="20" fillId="0" borderId="0"/>
    <xf numFmtId="43" fontId="66" fillId="0" borderId="0" applyFont="0" applyFill="0" applyBorder="0" applyAlignment="0" applyProtection="0"/>
    <xf numFmtId="0" fontId="89" fillId="0" borderId="0"/>
    <xf numFmtId="0" fontId="103" fillId="0" borderId="0"/>
    <xf numFmtId="0" fontId="142" fillId="0" borderId="0" applyNumberFormat="0" applyFill="0" applyBorder="0" applyAlignment="0" applyProtection="0"/>
    <xf numFmtId="0" fontId="33" fillId="0" borderId="0"/>
    <xf numFmtId="0" fontId="89" fillId="0" borderId="0"/>
    <xf numFmtId="0" fontId="27" fillId="0" borderId="0"/>
    <xf numFmtId="0" fontId="165" fillId="0" borderId="0"/>
    <xf numFmtId="0" fontId="165" fillId="0" borderId="0"/>
    <xf numFmtId="0" fontId="165" fillId="0" borderId="0"/>
    <xf numFmtId="0" fontId="165" fillId="0" borderId="0"/>
    <xf numFmtId="164" fontId="33" fillId="0" borderId="0" applyFont="0" applyFill="0" applyBorder="0" applyAlignment="0" applyProtection="0"/>
    <xf numFmtId="164" fontId="33" fillId="0" borderId="0" applyFont="0" applyFill="0" applyBorder="0" applyAlignment="0" applyProtection="0"/>
    <xf numFmtId="164" fontId="166" fillId="0" borderId="0" applyFont="0" applyFill="0" applyBorder="0" applyAlignment="0" applyProtection="0"/>
    <xf numFmtId="164" fontId="33" fillId="0" borderId="0" applyFont="0" applyFill="0" applyBorder="0" applyAlignment="0" applyProtection="0"/>
    <xf numFmtId="164" fontId="33" fillId="0" borderId="0" applyFont="0" applyFill="0" applyBorder="0" applyAlignment="0" applyProtection="0"/>
    <xf numFmtId="164" fontId="33" fillId="0" borderId="0" applyFont="0" applyFill="0" applyBorder="0" applyAlignment="0" applyProtection="0"/>
    <xf numFmtId="164" fontId="33" fillId="0" borderId="0" applyFont="0" applyFill="0" applyBorder="0" applyAlignment="0" applyProtection="0"/>
    <xf numFmtId="164" fontId="33" fillId="0" borderId="0" applyFont="0" applyFill="0" applyBorder="0" applyAlignment="0" applyProtection="0"/>
    <xf numFmtId="164" fontId="33" fillId="0" borderId="0" applyFont="0" applyFill="0" applyBorder="0" applyAlignment="0" applyProtection="0"/>
    <xf numFmtId="164" fontId="33" fillId="0" borderId="0" applyFont="0" applyFill="0" applyBorder="0" applyAlignment="0" applyProtection="0"/>
    <xf numFmtId="164" fontId="33" fillId="0" borderId="0" applyFont="0" applyFill="0" applyBorder="0" applyAlignment="0" applyProtection="0"/>
    <xf numFmtId="164" fontId="33" fillId="0" borderId="0" applyFont="0" applyFill="0" applyBorder="0" applyAlignment="0" applyProtection="0"/>
    <xf numFmtId="164" fontId="33" fillId="0" borderId="0" applyFont="0" applyFill="0" applyBorder="0" applyAlignment="0" applyProtection="0"/>
    <xf numFmtId="165" fontId="33" fillId="0" borderId="0" applyFont="0" applyFill="0" applyBorder="0" applyAlignment="0" applyProtection="0"/>
    <xf numFmtId="0" fontId="167" fillId="0" borderId="0" applyFont="0" applyFill="0" applyBorder="0" applyAlignment="0" applyProtection="0"/>
    <xf numFmtId="0" fontId="168" fillId="0" borderId="0" applyNumberFormat="0" applyFill="0" applyBorder="0" applyAlignment="0" applyProtection="0"/>
    <xf numFmtId="0" fontId="169" fillId="0" borderId="0" applyNumberFormat="0" applyFill="0" applyBorder="0" applyAlignment="0" applyProtection="0"/>
    <xf numFmtId="0" fontId="170" fillId="0" borderId="0">
      <protection locked="0"/>
    </xf>
    <xf numFmtId="0" fontId="170" fillId="0" borderId="0">
      <protection locked="0"/>
    </xf>
    <xf numFmtId="0" fontId="171" fillId="0" borderId="0">
      <protection locked="0"/>
    </xf>
    <xf numFmtId="0" fontId="170" fillId="0" borderId="0">
      <protection locked="0"/>
    </xf>
    <xf numFmtId="0" fontId="170" fillId="0" borderId="0">
      <protection locked="0"/>
    </xf>
    <xf numFmtId="0" fontId="170" fillId="0" borderId="0">
      <protection locked="0"/>
    </xf>
    <xf numFmtId="0" fontId="171" fillId="0" borderId="0">
      <protection locked="0"/>
    </xf>
    <xf numFmtId="3" fontId="167" fillId="0" borderId="0" applyFont="0" applyFill="0" applyBorder="0" applyAlignment="0" applyProtection="0"/>
    <xf numFmtId="188" fontId="33" fillId="0" borderId="0" applyFont="0" applyFill="0" applyBorder="0" applyAlignment="0" applyProtection="0"/>
    <xf numFmtId="189" fontId="33" fillId="0" borderId="0" applyFont="0" applyFill="0" applyBorder="0" applyAlignment="0" applyProtection="0"/>
    <xf numFmtId="190" fontId="33" fillId="0" borderId="0" applyFont="0" applyFill="0" applyBorder="0" applyAlignment="0" applyProtection="0"/>
    <xf numFmtId="191" fontId="33" fillId="0" borderId="0" applyFont="0" applyFill="0" applyBorder="0" applyAlignment="0" applyProtection="0"/>
    <xf numFmtId="192" fontId="167" fillId="0" borderId="0" applyFont="0" applyFill="0" applyBorder="0" applyAlignment="0" applyProtection="0"/>
    <xf numFmtId="0" fontId="172" fillId="0" borderId="0"/>
    <xf numFmtId="0" fontId="172" fillId="0" borderId="0"/>
    <xf numFmtId="0" fontId="172" fillId="0" borderId="0"/>
    <xf numFmtId="0" fontId="172" fillId="0" borderId="0"/>
    <xf numFmtId="0" fontId="172" fillId="0" borderId="0"/>
    <xf numFmtId="0" fontId="172" fillId="0" borderId="0"/>
    <xf numFmtId="0" fontId="172" fillId="0" borderId="0"/>
    <xf numFmtId="0" fontId="172" fillId="0" borderId="0"/>
    <xf numFmtId="0" fontId="33" fillId="0" borderId="0"/>
    <xf numFmtId="0" fontId="33" fillId="0" borderId="0"/>
    <xf numFmtId="0" fontId="33" fillId="0" borderId="0"/>
    <xf numFmtId="0" fontId="33" fillId="0" borderId="0"/>
    <xf numFmtId="0" fontId="15" fillId="0" borderId="0"/>
    <xf numFmtId="0" fontId="33" fillId="0" borderId="0"/>
    <xf numFmtId="0" fontId="33" fillId="0" borderId="0"/>
    <xf numFmtId="0" fontId="30" fillId="46" borderId="10" applyNumberFormat="0" applyFont="0" applyBorder="0" applyAlignment="0" applyProtection="0"/>
    <xf numFmtId="0" fontId="30" fillId="46" borderId="10" applyNumberFormat="0" applyFont="0" applyBorder="0" applyAlignment="0" applyProtection="0"/>
    <xf numFmtId="0" fontId="30" fillId="46" borderId="10" applyNumberFormat="0" applyFont="0" applyBorder="0" applyAlignment="0" applyProtection="0"/>
    <xf numFmtId="0" fontId="30" fillId="46" borderId="10" applyNumberFormat="0" applyFont="0" applyBorder="0" applyAlignment="0" applyProtection="0"/>
    <xf numFmtId="0" fontId="30" fillId="46" borderId="10" applyNumberFormat="0" applyFont="0" applyBorder="0" applyAlignment="0" applyProtection="0"/>
    <xf numFmtId="0" fontId="30" fillId="46" borderId="10" applyNumberFormat="0" applyFont="0" applyBorder="0" applyAlignment="0" applyProtection="0"/>
    <xf numFmtId="0" fontId="30" fillId="46" borderId="10" applyNumberFormat="0" applyFont="0" applyBorder="0" applyAlignment="0" applyProtection="0"/>
    <xf numFmtId="0" fontId="30" fillId="46" borderId="10" applyNumberFormat="0" applyFont="0" applyBorder="0" applyAlignment="0" applyProtection="0"/>
    <xf numFmtId="0" fontId="30" fillId="46" borderId="10" applyNumberFormat="0" applyFont="0" applyBorder="0" applyAlignment="0" applyProtection="0"/>
    <xf numFmtId="0" fontId="30" fillId="46" borderId="10" applyNumberFormat="0" applyFont="0" applyBorder="0" applyAlignment="0" applyProtection="0"/>
    <xf numFmtId="0" fontId="30" fillId="46" borderId="10" applyNumberFormat="0" applyFont="0" applyBorder="0" applyAlignment="0" applyProtection="0"/>
    <xf numFmtId="0" fontId="33" fillId="0" borderId="0"/>
    <xf numFmtId="175" fontId="30" fillId="0" borderId="11" applyNumberFormat="0" applyFont="0" applyFill="0" applyAlignment="0" applyProtection="0">
      <alignment horizontal="right"/>
    </xf>
    <xf numFmtId="175" fontId="30" fillId="0" borderId="11" applyNumberFormat="0" applyFont="0" applyFill="0" applyAlignment="0" applyProtection="0">
      <alignment horizontal="right"/>
    </xf>
    <xf numFmtId="175" fontId="30" fillId="0" borderId="11" applyNumberFormat="0" applyFont="0" applyFill="0" applyAlignment="0" applyProtection="0">
      <alignment horizontal="right"/>
    </xf>
    <xf numFmtId="175" fontId="30" fillId="0" borderId="11" applyNumberFormat="0" applyFont="0" applyFill="0" applyAlignment="0" applyProtection="0">
      <alignment horizontal="right"/>
    </xf>
    <xf numFmtId="175" fontId="30" fillId="0" borderId="11" applyNumberFormat="0" applyFont="0" applyFill="0" applyAlignment="0" applyProtection="0">
      <alignment horizontal="right"/>
    </xf>
    <xf numFmtId="175" fontId="30" fillId="0" borderId="11" applyNumberFormat="0" applyFont="0" applyFill="0" applyAlignment="0" applyProtection="0">
      <alignment horizontal="right"/>
    </xf>
    <xf numFmtId="175" fontId="30" fillId="0" borderId="11" applyNumberFormat="0" applyFont="0" applyFill="0" applyAlignment="0" applyProtection="0">
      <alignment horizontal="right"/>
    </xf>
    <xf numFmtId="175" fontId="30" fillId="0" borderId="11" applyNumberFormat="0" applyFont="0" applyFill="0" applyAlignment="0" applyProtection="0">
      <alignment horizontal="right"/>
    </xf>
    <xf numFmtId="175" fontId="30" fillId="0" borderId="11" applyNumberFormat="0" applyFont="0" applyFill="0" applyAlignment="0" applyProtection="0">
      <alignment horizontal="right"/>
    </xf>
    <xf numFmtId="175" fontId="30" fillId="0" borderId="11" applyNumberFormat="0" applyFont="0" applyFill="0" applyAlignment="0" applyProtection="0">
      <alignment horizontal="right"/>
    </xf>
    <xf numFmtId="175" fontId="30" fillId="0" borderId="11" applyNumberFormat="0" applyFont="0" applyFill="0" applyAlignment="0" applyProtection="0">
      <alignment horizontal="right"/>
    </xf>
    <xf numFmtId="175" fontId="30" fillId="0" borderId="11" applyNumberFormat="0" applyFont="0" applyFill="0" applyAlignment="0" applyProtection="0">
      <alignment horizontal="right"/>
    </xf>
    <xf numFmtId="2" fontId="167" fillId="0" borderId="0" applyFont="0" applyFill="0" applyBorder="0" applyAlignment="0" applyProtection="0"/>
    <xf numFmtId="0" fontId="89" fillId="0" borderId="0"/>
    <xf numFmtId="0" fontId="173" fillId="0" borderId="0" applyNumberFormat="0" applyFill="0" applyBorder="0" applyAlignment="0" applyProtection="0"/>
    <xf numFmtId="0" fontId="1" fillId="0" borderId="0"/>
    <xf numFmtId="165" fontId="1" fillId="0" borderId="0" applyFont="0" applyFill="0" applyBorder="0" applyAlignment="0" applyProtection="0"/>
    <xf numFmtId="164" fontId="89" fillId="0" borderId="0" applyFont="0" applyFill="0" applyBorder="0" applyAlignment="0" applyProtection="0"/>
    <xf numFmtId="0" fontId="1" fillId="0" borderId="0"/>
    <xf numFmtId="0" fontId="1" fillId="0" borderId="0"/>
    <xf numFmtId="165" fontId="33" fillId="0" borderId="0" applyFont="0" applyFill="0" applyBorder="0" applyAlignment="0" applyProtection="0"/>
    <xf numFmtId="164" fontId="89" fillId="0" borderId="0" applyFont="0" applyFill="0" applyBorder="0" applyAlignment="0" applyProtection="0"/>
    <xf numFmtId="175" fontId="30" fillId="0" borderId="184" applyNumberFormat="0" applyFont="0" applyFill="0" applyAlignment="0" applyProtection="0">
      <alignment horizontal="right"/>
    </xf>
    <xf numFmtId="175" fontId="30" fillId="0" borderId="184" applyNumberFormat="0" applyFont="0" applyFill="0" applyAlignment="0" applyProtection="0">
      <alignment horizontal="right"/>
    </xf>
    <xf numFmtId="175" fontId="30" fillId="0" borderId="184" applyNumberFormat="0" applyFont="0" applyFill="0" applyAlignment="0" applyProtection="0">
      <alignment horizontal="right"/>
    </xf>
    <xf numFmtId="175" fontId="30" fillId="0" borderId="184" applyNumberFormat="0" applyFont="0" applyFill="0" applyAlignment="0" applyProtection="0">
      <alignment horizontal="right"/>
    </xf>
    <xf numFmtId="175" fontId="30" fillId="0" borderId="184" applyNumberFormat="0" applyFont="0" applyFill="0" applyAlignment="0" applyProtection="0">
      <alignment horizontal="right"/>
    </xf>
    <xf numFmtId="175" fontId="30" fillId="0" borderId="184" applyNumberFormat="0" applyFont="0" applyFill="0" applyAlignment="0" applyProtection="0">
      <alignment horizontal="right"/>
    </xf>
    <xf numFmtId="175" fontId="30" fillId="0" borderId="184" applyNumberFormat="0" applyFont="0" applyFill="0" applyAlignment="0" applyProtection="0">
      <alignment horizontal="right"/>
    </xf>
    <xf numFmtId="175" fontId="30" fillId="0" borderId="184" applyNumberFormat="0" applyFont="0" applyFill="0" applyAlignment="0" applyProtection="0">
      <alignment horizontal="right"/>
    </xf>
    <xf numFmtId="175" fontId="30" fillId="0" borderId="184" applyNumberFormat="0" applyFont="0" applyFill="0" applyAlignment="0" applyProtection="0">
      <alignment horizontal="right"/>
    </xf>
    <xf numFmtId="0" fontId="89" fillId="0" borderId="0"/>
    <xf numFmtId="175" fontId="30" fillId="0" borderId="184" applyNumberFormat="0" applyFont="0" applyFill="0" applyAlignment="0" applyProtection="0">
      <alignment horizontal="right"/>
    </xf>
    <xf numFmtId="175" fontId="30" fillId="0" borderId="184" applyNumberFormat="0" applyFont="0" applyFill="0" applyAlignment="0" applyProtection="0">
      <alignment horizontal="right"/>
    </xf>
    <xf numFmtId="175" fontId="30" fillId="0" borderId="184" applyNumberFormat="0" applyFont="0" applyFill="0" applyAlignment="0" applyProtection="0">
      <alignment horizontal="right"/>
    </xf>
    <xf numFmtId="165" fontId="33" fillId="0" borderId="0" applyFont="0" applyFill="0" applyBorder="0" applyAlignment="0" applyProtection="0"/>
  </cellStyleXfs>
  <cellXfs count="877">
    <xf numFmtId="0" fontId="0" fillId="0" borderId="0" xfId="0"/>
    <xf numFmtId="0" fontId="22" fillId="0" borderId="0" xfId="0" applyFont="1" applyAlignment="1">
      <alignment vertical="center"/>
    </xf>
    <xf numFmtId="0" fontId="22" fillId="0" borderId="0" xfId="0" applyFont="1" applyAlignment="1">
      <alignment horizontal="center" vertical="center"/>
    </xf>
    <xf numFmtId="0" fontId="22" fillId="0" borderId="0" xfId="0" applyFont="1" applyAlignment="1">
      <alignment horizontal="left" vertical="center"/>
    </xf>
    <xf numFmtId="0" fontId="25" fillId="0" borderId="0" xfId="0" applyFont="1" applyAlignment="1">
      <alignment horizontal="center" vertical="center"/>
    </xf>
    <xf numFmtId="0" fontId="25" fillId="0" borderId="0" xfId="0" applyFont="1" applyAlignment="1">
      <alignment horizontal="center"/>
    </xf>
    <xf numFmtId="10" fontId="0" fillId="0" borderId="0" xfId="0" applyNumberFormat="1"/>
    <xf numFmtId="0" fontId="15" fillId="0" borderId="0" xfId="0" applyFont="1"/>
    <xf numFmtId="0" fontId="0" fillId="0" borderId="0" xfId="0" applyAlignment="1">
      <alignment horizontal="center"/>
    </xf>
    <xf numFmtId="0" fontId="0" fillId="0" borderId="0" xfId="0" applyAlignment="1">
      <alignment vertical="center"/>
    </xf>
    <xf numFmtId="170" fontId="0" fillId="0" borderId="0" xfId="0" applyNumberFormat="1" applyAlignment="1">
      <alignment horizontal="center"/>
    </xf>
    <xf numFmtId="0" fontId="15" fillId="0" borderId="0" xfId="0" applyFont="1" applyAlignment="1">
      <alignment vertical="center"/>
    </xf>
    <xf numFmtId="170" fontId="15" fillId="0" borderId="0" xfId="0" applyNumberFormat="1" applyFont="1" applyAlignment="1">
      <alignment horizontal="center" vertical="center"/>
    </xf>
    <xf numFmtId="0" fontId="15" fillId="0" borderId="0" xfId="0" applyFont="1" applyAlignment="1">
      <alignment horizontal="center" vertical="center"/>
    </xf>
    <xf numFmtId="0" fontId="24" fillId="0" borderId="0" xfId="0" applyFont="1" applyAlignment="1">
      <alignment horizontal="center" vertical="center"/>
    </xf>
    <xf numFmtId="170" fontId="0" fillId="0" borderId="0" xfId="0" applyNumberFormat="1" applyAlignment="1">
      <alignment horizontal="center" vertical="center"/>
    </xf>
    <xf numFmtId="0" fontId="0" fillId="0" borderId="0" xfId="0" applyAlignment="1">
      <alignment horizontal="center" vertical="center"/>
    </xf>
    <xf numFmtId="0" fontId="22" fillId="0" borderId="0" xfId="0" applyFont="1"/>
    <xf numFmtId="0" fontId="15" fillId="0" borderId="17" xfId="0" applyFont="1" applyBorder="1" applyAlignment="1">
      <alignment horizontal="center" vertical="center"/>
    </xf>
    <xf numFmtId="0" fontId="22" fillId="0" borderId="17" xfId="0" applyFont="1" applyBorder="1" applyAlignment="1">
      <alignment horizontal="center" vertical="center"/>
    </xf>
    <xf numFmtId="170" fontId="15" fillId="0" borderId="17" xfId="0" applyNumberFormat="1" applyFont="1" applyBorder="1" applyAlignment="1">
      <alignment horizontal="center" vertical="center"/>
    </xf>
    <xf numFmtId="0" fontId="15" fillId="0" borderId="18" xfId="0" applyFont="1"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0" fontId="15" fillId="0" borderId="19" xfId="0" applyFont="1" applyBorder="1" applyAlignment="1">
      <alignment horizontal="center" vertical="center"/>
    </xf>
    <xf numFmtId="0" fontId="22" fillId="0" borderId="13" xfId="0" applyFont="1" applyBorder="1" applyAlignment="1">
      <alignment horizontal="center" vertical="center"/>
    </xf>
    <xf numFmtId="0" fontId="15" fillId="0" borderId="13" xfId="0" applyFont="1" applyBorder="1" applyAlignment="1">
      <alignment horizontal="center" vertical="center"/>
    </xf>
    <xf numFmtId="170" fontId="15" fillId="0" borderId="13" xfId="0" applyNumberFormat="1" applyFont="1" applyBorder="1" applyAlignment="1">
      <alignment horizontal="center" vertical="center"/>
    </xf>
    <xf numFmtId="0" fontId="23" fillId="0" borderId="19" xfId="0" applyFont="1" applyBorder="1" applyAlignment="1">
      <alignment horizontal="center" vertical="center"/>
    </xf>
    <xf numFmtId="0" fontId="23" fillId="0" borderId="17" xfId="0" applyFont="1" applyBorder="1" applyAlignment="1">
      <alignment horizontal="center" vertical="center"/>
    </xf>
    <xf numFmtId="0" fontId="23" fillId="0" borderId="18" xfId="0" applyFont="1" applyBorder="1" applyAlignment="1">
      <alignment horizontal="center" vertical="center"/>
    </xf>
    <xf numFmtId="170" fontId="15" fillId="0" borderId="20" xfId="0" applyNumberFormat="1" applyFont="1" applyBorder="1" applyAlignment="1">
      <alignment horizontal="center" vertical="center"/>
    </xf>
    <xf numFmtId="170" fontId="15" fillId="0" borderId="21" xfId="0" applyNumberFormat="1" applyFont="1" applyBorder="1" applyAlignment="1">
      <alignment horizontal="center" vertical="center"/>
    </xf>
    <xf numFmtId="0" fontId="22" fillId="0" borderId="23" xfId="0" applyFont="1" applyBorder="1" applyAlignment="1">
      <alignment horizontal="center" vertical="center"/>
    </xf>
    <xf numFmtId="0" fontId="22" fillId="0" borderId="23" xfId="0" applyFont="1" applyBorder="1" applyAlignment="1">
      <alignment horizontal="center" vertical="center" wrapText="1"/>
    </xf>
    <xf numFmtId="170" fontId="22" fillId="0" borderId="23" xfId="0" applyNumberFormat="1" applyFont="1" applyBorder="1" applyAlignment="1">
      <alignment horizontal="center" vertical="center"/>
    </xf>
    <xf numFmtId="0" fontId="15" fillId="0" borderId="17" xfId="0" applyFont="1" applyBorder="1" applyAlignment="1">
      <alignment vertical="center"/>
    </xf>
    <xf numFmtId="170" fontId="15" fillId="0" borderId="19" xfId="0" applyNumberFormat="1" applyFont="1" applyBorder="1" applyAlignment="1">
      <alignment horizontal="center" vertical="center"/>
    </xf>
    <xf numFmtId="170" fontId="22" fillId="0" borderId="24" xfId="0" applyNumberFormat="1" applyFont="1" applyBorder="1" applyAlignment="1">
      <alignment horizontal="center" vertical="center"/>
    </xf>
    <xf numFmtId="170" fontId="15" fillId="0" borderId="24" xfId="0" applyNumberFormat="1" applyFont="1" applyBorder="1" applyAlignment="1">
      <alignment horizontal="center" vertical="center"/>
    </xf>
    <xf numFmtId="0" fontId="0" fillId="0" borderId="15" xfId="0" applyBorder="1" applyAlignment="1">
      <alignment vertical="center" wrapText="1"/>
    </xf>
    <xf numFmtId="0" fontId="39" fillId="0" borderId="0" xfId="0" applyFont="1"/>
    <xf numFmtId="0" fontId="39" fillId="0" borderId="0" xfId="0" applyFont="1" applyAlignment="1">
      <alignment vertical="center"/>
    </xf>
    <xf numFmtId="0" fontId="42" fillId="0" borderId="0" xfId="0" applyFont="1"/>
    <xf numFmtId="0" fontId="39" fillId="0" borderId="0" xfId="0" applyFont="1" applyAlignment="1">
      <alignment horizontal="center" vertical="center"/>
    </xf>
    <xf numFmtId="0" fontId="15" fillId="0" borderId="19" xfId="0" applyFont="1" applyBorder="1" applyAlignment="1">
      <alignment vertical="center"/>
    </xf>
    <xf numFmtId="170" fontId="15" fillId="0" borderId="18" xfId="0" applyNumberFormat="1" applyFont="1" applyBorder="1" applyAlignment="1">
      <alignment horizontal="center" vertical="center"/>
    </xf>
    <xf numFmtId="0" fontId="15" fillId="0" borderId="20" xfId="0" applyFont="1" applyBorder="1" applyAlignment="1">
      <alignment horizontal="center" vertical="center"/>
    </xf>
    <xf numFmtId="0" fontId="42" fillId="0" borderId="17" xfId="0" applyFont="1" applyBorder="1" applyAlignment="1">
      <alignment horizontal="center" vertical="center"/>
    </xf>
    <xf numFmtId="0" fontId="15" fillId="0" borderId="21" xfId="0" applyFont="1" applyBorder="1" applyAlignment="1">
      <alignment vertical="center"/>
    </xf>
    <xf numFmtId="0" fontId="22" fillId="0" borderId="21" xfId="0" applyFont="1" applyBorder="1" applyAlignment="1">
      <alignment horizontal="center" vertical="center"/>
    </xf>
    <xf numFmtId="0" fontId="15" fillId="0" borderId="21" xfId="0" applyFont="1" applyBorder="1" applyAlignment="1">
      <alignment horizontal="center" vertical="center"/>
    </xf>
    <xf numFmtId="0" fontId="45" fillId="52" borderId="53" xfId="0" applyFont="1" applyFill="1" applyBorder="1" applyAlignment="1">
      <alignment horizontal="right" vertical="center"/>
    </xf>
    <xf numFmtId="0" fontId="39" fillId="0" borderId="0" xfId="0" quotePrefix="1" applyFont="1"/>
    <xf numFmtId="0" fontId="50" fillId="0" borderId="58" xfId="0" applyFont="1" applyBorder="1" applyAlignment="1">
      <alignment horizontal="left" vertical="center"/>
    </xf>
    <xf numFmtId="0" fontId="50" fillId="0" borderId="58" xfId="0" applyFont="1" applyBorder="1" applyAlignment="1">
      <alignment horizontal="center" vertical="center"/>
    </xf>
    <xf numFmtId="0" fontId="53" fillId="53" borderId="58" xfId="0" applyFont="1" applyFill="1" applyBorder="1" applyAlignment="1">
      <alignment horizontal="left" vertical="center" indent="1"/>
    </xf>
    <xf numFmtId="0" fontId="50" fillId="0" borderId="58" xfId="0" applyFont="1" applyBorder="1" applyAlignment="1">
      <alignment horizontal="left" vertical="center" shrinkToFit="1"/>
    </xf>
    <xf numFmtId="0" fontId="50" fillId="0" borderId="58" xfId="0" applyFont="1" applyBorder="1" applyAlignment="1">
      <alignment horizontal="center" vertical="center" shrinkToFit="1"/>
    </xf>
    <xf numFmtId="176" fontId="50" fillId="0" borderId="58" xfId="0" applyNumberFormat="1" applyFont="1" applyBorder="1" applyAlignment="1">
      <alignment horizontal="center" vertical="center" shrinkToFit="1"/>
    </xf>
    <xf numFmtId="0" fontId="50" fillId="50" borderId="58" xfId="0" applyFont="1" applyFill="1" applyBorder="1" applyAlignment="1">
      <alignment vertical="center"/>
    </xf>
    <xf numFmtId="0" fontId="50" fillId="50" borderId="58" xfId="0" applyFont="1" applyFill="1" applyBorder="1" applyAlignment="1">
      <alignment horizontal="center" vertical="center"/>
    </xf>
    <xf numFmtId="0" fontId="50" fillId="0" borderId="58" xfId="0" applyFont="1" applyBorder="1" applyAlignment="1">
      <alignment horizontal="left" vertical="center" indent="1"/>
    </xf>
    <xf numFmtId="0" fontId="54" fillId="54" borderId="58" xfId="0" applyFont="1" applyFill="1" applyBorder="1" applyAlignment="1">
      <alignment horizontal="center" vertical="center"/>
    </xf>
    <xf numFmtId="0" fontId="39" fillId="0" borderId="0" xfId="0" applyFont="1" applyAlignment="1">
      <alignment horizontal="center"/>
    </xf>
    <xf numFmtId="0" fontId="50" fillId="0" borderId="58" xfId="0" quotePrefix="1" applyFont="1" applyBorder="1" applyAlignment="1">
      <alignment horizontal="center" vertical="center"/>
    </xf>
    <xf numFmtId="0" fontId="59" fillId="0" borderId="59" xfId="0" applyFont="1" applyBorder="1" applyAlignment="1">
      <alignment horizontal="center" vertical="center"/>
    </xf>
    <xf numFmtId="0" fontId="56" fillId="0" borderId="59" xfId="0" applyFont="1" applyBorder="1" applyAlignment="1">
      <alignment horizontal="center"/>
    </xf>
    <xf numFmtId="0" fontId="56" fillId="0" borderId="59" xfId="0" applyFont="1" applyBorder="1" applyAlignment="1">
      <alignment horizontal="center" vertical="center"/>
    </xf>
    <xf numFmtId="0" fontId="56" fillId="0" borderId="60" xfId="0" applyFont="1" applyBorder="1" applyAlignment="1">
      <alignment horizontal="left" vertical="center" wrapText="1" indent="1"/>
    </xf>
    <xf numFmtId="0" fontId="56" fillId="0" borderId="61" xfId="0" applyFont="1" applyBorder="1" applyAlignment="1">
      <alignment horizontal="center" vertical="center"/>
    </xf>
    <xf numFmtId="176" fontId="56" fillId="0" borderId="59" xfId="0" applyNumberFormat="1" applyFont="1" applyBorder="1" applyAlignment="1">
      <alignment horizontal="center" vertical="center"/>
    </xf>
    <xf numFmtId="176" fontId="56" fillId="0" borderId="59" xfId="0" applyNumberFormat="1" applyFont="1" applyBorder="1" applyAlignment="1">
      <alignment horizontal="right" vertical="center" indent="1"/>
    </xf>
    <xf numFmtId="0" fontId="15" fillId="0" borderId="17" xfId="0" applyFont="1" applyBorder="1" applyAlignment="1">
      <alignment horizontal="left" vertical="center" indent="1"/>
    </xf>
    <xf numFmtId="0" fontId="15" fillId="0" borderId="18" xfId="0" applyFont="1" applyBorder="1" applyAlignment="1">
      <alignment horizontal="left" vertical="center" indent="1"/>
    </xf>
    <xf numFmtId="0" fontId="23" fillId="0" borderId="19" xfId="0" applyFont="1" applyBorder="1" applyAlignment="1">
      <alignment horizontal="left" vertical="center" indent="1"/>
    </xf>
    <xf numFmtId="0" fontId="23" fillId="0" borderId="17" xfId="0" applyFont="1" applyBorder="1" applyAlignment="1">
      <alignment horizontal="left" vertical="center" indent="1"/>
    </xf>
    <xf numFmtId="0" fontId="23" fillId="0" borderId="18" xfId="0" applyFont="1" applyBorder="1" applyAlignment="1">
      <alignment horizontal="left" vertical="center" indent="1"/>
    </xf>
    <xf numFmtId="0" fontId="15" fillId="0" borderId="19" xfId="0" applyFont="1" applyBorder="1" applyAlignment="1">
      <alignment horizontal="left" vertical="center" indent="1"/>
    </xf>
    <xf numFmtId="170" fontId="15" fillId="0" borderId="19" xfId="0" applyNumberFormat="1" applyFont="1" applyBorder="1" applyAlignment="1">
      <alignment horizontal="left" vertical="center" indent="1"/>
    </xf>
    <xf numFmtId="0" fontId="15" fillId="0" borderId="20" xfId="0" applyFont="1" applyBorder="1" applyAlignment="1">
      <alignment horizontal="left" vertical="center" indent="1"/>
    </xf>
    <xf numFmtId="0" fontId="50" fillId="0" borderId="58" xfId="0" quotePrefix="1" applyFont="1" applyBorder="1" applyAlignment="1">
      <alignment horizontal="left" vertical="center" shrinkToFit="1"/>
    </xf>
    <xf numFmtId="0" fontId="50" fillId="55" borderId="58" xfId="0" applyFont="1" applyFill="1" applyBorder="1" applyAlignment="1">
      <alignment horizontal="left" vertical="center" shrinkToFit="1"/>
    </xf>
    <xf numFmtId="0" fontId="61" fillId="0" borderId="0" xfId="0" applyFont="1"/>
    <xf numFmtId="0" fontId="32" fillId="0" borderId="0" xfId="0" applyFont="1"/>
    <xf numFmtId="0" fontId="27" fillId="0" borderId="0" xfId="90" applyFont="1" applyAlignment="1">
      <alignment vertical="center"/>
    </xf>
    <xf numFmtId="0" fontId="34" fillId="0" borderId="53" xfId="90" applyFont="1" applyBorder="1" applyAlignment="1">
      <alignment horizontal="center" vertical="center"/>
    </xf>
    <xf numFmtId="0" fontId="25" fillId="0" borderId="53" xfId="90" applyFont="1" applyBorder="1" applyAlignment="1">
      <alignment horizontal="center" vertical="center"/>
    </xf>
    <xf numFmtId="0" fontId="27" fillId="0" borderId="53" xfId="90" applyFont="1" applyBorder="1" applyAlignment="1">
      <alignment horizontal="left" vertical="center"/>
    </xf>
    <xf numFmtId="0" fontId="27" fillId="0" borderId="53" xfId="90" applyFont="1" applyBorder="1" applyAlignment="1">
      <alignment vertical="center"/>
    </xf>
    <xf numFmtId="0" fontId="0" fillId="0" borderId="53" xfId="0" applyBorder="1"/>
    <xf numFmtId="0" fontId="0" fillId="0" borderId="77" xfId="0" applyBorder="1"/>
    <xf numFmtId="0" fontId="63" fillId="0" borderId="79" xfId="90" applyFont="1" applyBorder="1" applyAlignment="1">
      <alignment horizontal="center" vertical="center"/>
    </xf>
    <xf numFmtId="0" fontId="65" fillId="57" borderId="79" xfId="90" applyFont="1" applyFill="1" applyBorder="1" applyAlignment="1">
      <alignment horizontal="center" vertical="center"/>
    </xf>
    <xf numFmtId="2" fontId="65" fillId="57" borderId="79" xfId="90" applyNumberFormat="1" applyFont="1" applyFill="1" applyBorder="1" applyAlignment="1">
      <alignment horizontal="center" vertical="center"/>
    </xf>
    <xf numFmtId="169" fontId="65" fillId="57" borderId="79" xfId="90" applyNumberFormat="1" applyFont="1" applyFill="1" applyBorder="1" applyAlignment="1">
      <alignment horizontal="center" vertical="center"/>
    </xf>
    <xf numFmtId="0" fontId="69" fillId="61" borderId="0" xfId="90" applyFont="1" applyFill="1" applyAlignment="1">
      <alignment horizontal="center" vertical="center"/>
    </xf>
    <xf numFmtId="169" fontId="69" fillId="61" borderId="79" xfId="90" applyNumberFormat="1" applyFont="1" applyFill="1" applyBorder="1" applyAlignment="1">
      <alignment horizontal="center" vertical="center"/>
    </xf>
    <xf numFmtId="0" fontId="72" fillId="0" borderId="58" xfId="0" applyFont="1" applyBorder="1" applyAlignment="1">
      <alignment horizontal="center" vertical="center" wrapText="1"/>
    </xf>
    <xf numFmtId="0" fontId="71" fillId="0" borderId="58" xfId="0" applyFont="1" applyBorder="1" applyAlignment="1">
      <alignment horizontal="center"/>
    </xf>
    <xf numFmtId="2" fontId="63" fillId="0" borderId="79" xfId="90" applyNumberFormat="1" applyFont="1" applyBorder="1" applyAlignment="1">
      <alignment horizontal="left" vertical="center" wrapText="1"/>
    </xf>
    <xf numFmtId="1" fontId="64" fillId="0" borderId="79" xfId="90" applyNumberFormat="1" applyFont="1" applyBorder="1" applyAlignment="1">
      <alignment horizontal="center" vertical="center"/>
    </xf>
    <xf numFmtId="169" fontId="63" fillId="0" borderId="79" xfId="90" applyNumberFormat="1" applyFont="1" applyBorder="1" applyAlignment="1">
      <alignment horizontal="center" vertical="center"/>
    </xf>
    <xf numFmtId="2" fontId="69" fillId="61" borderId="79" xfId="90" applyNumberFormat="1" applyFont="1" applyFill="1" applyBorder="1" applyAlignment="1">
      <alignment horizontal="left" vertical="center"/>
    </xf>
    <xf numFmtId="0" fontId="63" fillId="0" borderId="79" xfId="90" applyFont="1" applyBorder="1" applyAlignment="1">
      <alignment horizontal="left" vertical="center"/>
    </xf>
    <xf numFmtId="0" fontId="63" fillId="0" borderId="79" xfId="90" applyFont="1" applyBorder="1" applyAlignment="1">
      <alignment horizontal="centerContinuous" vertical="center"/>
    </xf>
    <xf numFmtId="173" fontId="65" fillId="57" borderId="79" xfId="90" applyNumberFormat="1" applyFont="1" applyFill="1" applyBorder="1" applyAlignment="1">
      <alignment horizontal="left" vertical="center"/>
    </xf>
    <xf numFmtId="0" fontId="65" fillId="57" borderId="79" xfId="90" applyFont="1" applyFill="1" applyBorder="1" applyAlignment="1">
      <alignment horizontal="centerContinuous" vertical="center"/>
    </xf>
    <xf numFmtId="173" fontId="68" fillId="61" borderId="79" xfId="90" applyNumberFormat="1" applyFont="1" applyFill="1" applyBorder="1" applyAlignment="1">
      <alignment horizontal="left" vertical="center"/>
    </xf>
    <xf numFmtId="178" fontId="68" fillId="61" borderId="79" xfId="90" quotePrefix="1" applyNumberFormat="1" applyFont="1" applyFill="1" applyBorder="1" applyAlignment="1">
      <alignment horizontal="center" vertical="center"/>
    </xf>
    <xf numFmtId="174" fontId="65" fillId="57" borderId="79" xfId="90" applyNumberFormat="1" applyFont="1" applyFill="1" applyBorder="1" applyAlignment="1">
      <alignment horizontal="centerContinuous" vertical="center"/>
    </xf>
    <xf numFmtId="16" fontId="65" fillId="57" borderId="79" xfId="90" applyNumberFormat="1" applyFont="1" applyFill="1" applyBorder="1" applyAlignment="1">
      <alignment horizontal="center" vertical="center"/>
    </xf>
    <xf numFmtId="178" fontId="65" fillId="57" borderId="79" xfId="90" applyNumberFormat="1" applyFont="1" applyFill="1" applyBorder="1" applyAlignment="1">
      <alignment horizontal="center" vertical="center"/>
    </xf>
    <xf numFmtId="0" fontId="79" fillId="59" borderId="79" xfId="90" applyFont="1" applyFill="1" applyBorder="1" applyAlignment="1">
      <alignment horizontal="center" vertical="center"/>
    </xf>
    <xf numFmtId="0" fontId="86" fillId="0" borderId="53" xfId="90" applyFont="1" applyBorder="1" applyAlignment="1">
      <alignment horizontal="center" vertical="center"/>
    </xf>
    <xf numFmtId="0" fontId="56" fillId="0" borderId="79" xfId="90" applyFont="1" applyBorder="1" applyAlignment="1">
      <alignment horizontal="center" vertical="center"/>
    </xf>
    <xf numFmtId="0" fontId="62" fillId="57" borderId="79" xfId="90" applyFont="1" applyFill="1" applyBorder="1" applyAlignment="1" applyProtection="1">
      <alignment horizontal="center" vertical="center"/>
      <protection locked="0"/>
    </xf>
    <xf numFmtId="0" fontId="87" fillId="61" borderId="79" xfId="90" applyFont="1" applyFill="1" applyBorder="1" applyAlignment="1">
      <alignment horizontal="center" vertical="center"/>
    </xf>
    <xf numFmtId="2" fontId="69" fillId="61" borderId="79" xfId="90" applyNumberFormat="1" applyFont="1" applyFill="1" applyBorder="1" applyAlignment="1">
      <alignment horizontal="center" vertical="center"/>
    </xf>
    <xf numFmtId="16" fontId="69" fillId="61" borderId="79" xfId="90" applyNumberFormat="1" applyFont="1" applyFill="1" applyBorder="1" applyAlignment="1">
      <alignment horizontal="center" vertical="center"/>
    </xf>
    <xf numFmtId="0" fontId="27" fillId="0" borderId="53" xfId="90" applyFont="1" applyBorder="1" applyAlignment="1">
      <alignment horizontal="center" vertical="center"/>
    </xf>
    <xf numFmtId="0" fontId="56" fillId="0" borderId="53" xfId="90" applyFont="1" applyBorder="1" applyAlignment="1">
      <alignment vertical="center"/>
    </xf>
    <xf numFmtId="0" fontId="27" fillId="0" borderId="53" xfId="90" quotePrefix="1" applyFont="1" applyBorder="1" applyAlignment="1">
      <alignment horizontal="left" vertical="center"/>
    </xf>
    <xf numFmtId="2" fontId="27" fillId="0" borderId="53" xfId="90" applyNumberFormat="1" applyFont="1" applyBorder="1" applyAlignment="1">
      <alignment horizontal="left" vertical="center"/>
    </xf>
    <xf numFmtId="0" fontId="71" fillId="0" borderId="66" xfId="0" applyFont="1" applyBorder="1"/>
    <xf numFmtId="0" fontId="71" fillId="0" borderId="53" xfId="0" applyFont="1" applyBorder="1"/>
    <xf numFmtId="0" fontId="0" fillId="0" borderId="67" xfId="0" applyBorder="1"/>
    <xf numFmtId="0" fontId="71" fillId="0" borderId="69" xfId="0" applyFont="1" applyBorder="1"/>
    <xf numFmtId="0" fontId="71" fillId="0" borderId="68" xfId="0" applyFont="1" applyBorder="1"/>
    <xf numFmtId="0" fontId="0" fillId="0" borderId="68" xfId="0" applyBorder="1"/>
    <xf numFmtId="0" fontId="0" fillId="0" borderId="66" xfId="0" applyBorder="1"/>
    <xf numFmtId="0" fontId="56" fillId="0" borderId="64" xfId="0" applyFont="1" applyBorder="1"/>
    <xf numFmtId="0" fontId="56" fillId="0" borderId="53" xfId="0" applyFont="1" applyBorder="1"/>
    <xf numFmtId="0" fontId="0" fillId="0" borderId="53" xfId="0" applyBorder="1" applyAlignment="1">
      <alignment horizontal="center"/>
    </xf>
    <xf numFmtId="0" fontId="0" fillId="0" borderId="77" xfId="0" applyBorder="1" applyAlignment="1">
      <alignment horizontal="center"/>
    </xf>
    <xf numFmtId="0" fontId="0" fillId="0" borderId="77" xfId="0" applyBorder="1" applyAlignment="1">
      <alignment horizontal="center" vertical="center"/>
    </xf>
    <xf numFmtId="0" fontId="73" fillId="0" borderId="77" xfId="0" applyFont="1" applyBorder="1" applyAlignment="1">
      <alignment horizontal="right" vertical="center" shrinkToFit="1"/>
    </xf>
    <xf numFmtId="0" fontId="88" fillId="0" borderId="58" xfId="0" applyFont="1" applyBorder="1" applyAlignment="1">
      <alignment horizontal="center" vertical="center" wrapText="1"/>
    </xf>
    <xf numFmtId="0" fontId="90" fillId="52" borderId="0" xfId="104" applyFont="1" applyFill="1" applyAlignment="1">
      <alignment horizontal="center" vertical="center"/>
    </xf>
    <xf numFmtId="0" fontId="67" fillId="0" borderId="0" xfId="104" applyFont="1"/>
    <xf numFmtId="0" fontId="89" fillId="0" borderId="0" xfId="104"/>
    <xf numFmtId="0" fontId="92" fillId="0" borderId="58" xfId="104" applyFont="1" applyBorder="1" applyAlignment="1">
      <alignment vertical="center" shrinkToFit="1"/>
    </xf>
    <xf numFmtId="0" fontId="92" fillId="0" borderId="58" xfId="104" applyFont="1" applyBorder="1" applyAlignment="1">
      <alignment horizontal="center" shrinkToFit="1"/>
    </xf>
    <xf numFmtId="0" fontId="102" fillId="47" borderId="62" xfId="104" applyFont="1" applyFill="1" applyBorder="1" applyAlignment="1">
      <alignment horizontal="center" vertical="center"/>
    </xf>
    <xf numFmtId="0" fontId="102" fillId="47" borderId="55" xfId="104" applyFont="1" applyFill="1" applyBorder="1" applyAlignment="1">
      <alignment horizontal="center" vertical="center"/>
    </xf>
    <xf numFmtId="0" fontId="33" fillId="0" borderId="59" xfId="104" applyFont="1" applyBorder="1" applyAlignment="1">
      <alignment horizontal="center" vertical="center" wrapText="1"/>
    </xf>
    <xf numFmtId="169" fontId="67" fillId="63" borderId="59" xfId="104" applyNumberFormat="1" applyFont="1" applyFill="1" applyBorder="1" applyAlignment="1">
      <alignment vertical="center"/>
    </xf>
    <xf numFmtId="0" fontId="67" fillId="0" borderId="59" xfId="104" applyFont="1" applyBorder="1" applyAlignment="1">
      <alignment vertical="center"/>
    </xf>
    <xf numFmtId="0" fontId="67" fillId="0" borderId="59" xfId="104" applyFont="1" applyBorder="1" applyAlignment="1">
      <alignment horizontal="left" vertical="center"/>
    </xf>
    <xf numFmtId="0" fontId="33" fillId="0" borderId="59" xfId="104" quotePrefix="1" applyFont="1" applyBorder="1" applyAlignment="1">
      <alignment horizontal="left"/>
    </xf>
    <xf numFmtId="0" fontId="33" fillId="0" borderId="59" xfId="104" quotePrefix="1" applyFont="1" applyBorder="1" applyAlignment="1">
      <alignment horizontal="center"/>
    </xf>
    <xf numFmtId="0" fontId="33" fillId="0" borderId="59" xfId="104" quotePrefix="1" applyFont="1" applyBorder="1" applyAlignment="1">
      <alignment horizontal="right"/>
    </xf>
    <xf numFmtId="0" fontId="67" fillId="0" borderId="60" xfId="104" applyFont="1" applyBorder="1"/>
    <xf numFmtId="0" fontId="33" fillId="0" borderId="59" xfId="104" applyFont="1" applyBorder="1" applyAlignment="1">
      <alignment horizontal="center"/>
    </xf>
    <xf numFmtId="0" fontId="67" fillId="63" borderId="59" xfId="104" applyFont="1" applyFill="1" applyBorder="1" applyAlignment="1">
      <alignment horizontal="center"/>
    </xf>
    <xf numFmtId="12" fontId="67" fillId="0" borderId="59" xfId="104" applyNumberFormat="1" applyFont="1" applyBorder="1" applyAlignment="1">
      <alignment horizontal="left"/>
    </xf>
    <xf numFmtId="0" fontId="67" fillId="0" borderId="59" xfId="104" applyFont="1" applyBorder="1" applyAlignment="1">
      <alignment horizontal="left"/>
    </xf>
    <xf numFmtId="0" fontId="67" fillId="0" borderId="59" xfId="104" applyFont="1" applyBorder="1" applyAlignment="1">
      <alignment horizontal="center"/>
    </xf>
    <xf numFmtId="169" fontId="67" fillId="0" borderId="59" xfId="104" applyNumberFormat="1" applyFont="1" applyBorder="1" applyAlignment="1">
      <alignment horizontal="center"/>
    </xf>
    <xf numFmtId="0" fontId="67" fillId="63" borderId="59" xfId="104" applyFont="1" applyFill="1" applyBorder="1" applyAlignment="1">
      <alignment horizontal="left"/>
    </xf>
    <xf numFmtId="0" fontId="67" fillId="0" borderId="59" xfId="104" applyFont="1" applyBorder="1" applyAlignment="1">
      <alignment horizontal="left" indent="1"/>
    </xf>
    <xf numFmtId="2" fontId="67" fillId="0" borderId="59" xfId="104" applyNumberFormat="1" applyFont="1" applyBorder="1" applyAlignment="1">
      <alignment horizontal="center"/>
    </xf>
    <xf numFmtId="12" fontId="67" fillId="63" borderId="59" xfId="104" applyNumberFormat="1" applyFont="1" applyFill="1" applyBorder="1" applyAlignment="1">
      <alignment horizontal="left"/>
    </xf>
    <xf numFmtId="0" fontId="67" fillId="0" borderId="59" xfId="104" quotePrefix="1" applyFont="1" applyBorder="1" applyAlignment="1">
      <alignment horizontal="center"/>
    </xf>
    <xf numFmtId="0" fontId="93" fillId="0" borderId="96" xfId="105" applyFont="1" applyBorder="1" applyAlignment="1">
      <alignment horizontal="center" vertical="center" wrapText="1"/>
    </xf>
    <xf numFmtId="1" fontId="104" fillId="0" borderId="98" xfId="105" applyNumberFormat="1" applyFont="1" applyBorder="1" applyAlignment="1">
      <alignment horizontal="right" vertical="center" indent="1"/>
    </xf>
    <xf numFmtId="12" fontId="104" fillId="0" borderId="98" xfId="105" applyNumberFormat="1" applyFont="1" applyBorder="1" applyAlignment="1">
      <alignment horizontal="left" vertical="center" indent="1"/>
    </xf>
    <xf numFmtId="0" fontId="104" fillId="0" borderId="97" xfId="105" applyFont="1" applyBorder="1" applyAlignment="1">
      <alignment horizontal="left" vertical="center"/>
    </xf>
    <xf numFmtId="0" fontId="104" fillId="0" borderId="97" xfId="105" applyFont="1" applyBorder="1" applyAlignment="1">
      <alignment horizontal="left" vertical="center" indent="1"/>
    </xf>
    <xf numFmtId="0" fontId="104" fillId="50" borderId="97" xfId="105" applyFont="1" applyFill="1" applyBorder="1" applyAlignment="1">
      <alignment horizontal="left" vertical="center" indent="1"/>
    </xf>
    <xf numFmtId="0" fontId="104" fillId="0" borderId="97" xfId="105" quotePrefix="1" applyFont="1" applyBorder="1" applyAlignment="1">
      <alignment horizontal="left" vertical="center"/>
    </xf>
    <xf numFmtId="1" fontId="105" fillId="0" borderId="99" xfId="105" applyNumberFormat="1" applyFont="1" applyBorder="1" applyAlignment="1">
      <alignment horizontal="right" vertical="center" indent="1"/>
    </xf>
    <xf numFmtId="12" fontId="105" fillId="0" borderId="99" xfId="105" applyNumberFormat="1" applyFont="1" applyBorder="1" applyAlignment="1">
      <alignment horizontal="left" vertical="center" indent="1"/>
    </xf>
    <xf numFmtId="12" fontId="53" fillId="61" borderId="58" xfId="0" applyNumberFormat="1" applyFont="1" applyFill="1" applyBorder="1" applyAlignment="1">
      <alignment horizontal="left" vertical="center" indent="1"/>
    </xf>
    <xf numFmtId="169" fontId="53" fillId="61" borderId="58" xfId="0" applyNumberFormat="1" applyFont="1" applyFill="1" applyBorder="1" applyAlignment="1">
      <alignment horizontal="right" vertical="center" indent="1"/>
    </xf>
    <xf numFmtId="0" fontId="71" fillId="0" borderId="53" xfId="0" applyFont="1" applyBorder="1" applyAlignment="1">
      <alignment horizontal="center"/>
    </xf>
    <xf numFmtId="0" fontId="71" fillId="0" borderId="100" xfId="0" applyFont="1" applyBorder="1" applyAlignment="1">
      <alignment horizontal="left" vertical="center" indent="1"/>
    </xf>
    <xf numFmtId="0" fontId="71" fillId="0" borderId="58" xfId="0" applyFont="1" applyBorder="1" applyAlignment="1">
      <alignment horizontal="center" vertical="center"/>
    </xf>
    <xf numFmtId="0" fontId="61" fillId="0" borderId="64" xfId="0" applyFont="1" applyBorder="1" applyAlignment="1">
      <alignment vertical="center"/>
    </xf>
    <xf numFmtId="0" fontId="106" fillId="0" borderId="81" xfId="0" applyFont="1" applyBorder="1" applyAlignment="1">
      <alignment horizontal="left" vertical="center"/>
    </xf>
    <xf numFmtId="0" fontId="106" fillId="0" borderId="63" xfId="0" applyFont="1" applyBorder="1" applyAlignment="1">
      <alignment horizontal="left" vertical="center"/>
    </xf>
    <xf numFmtId="0" fontId="106" fillId="0" borderId="64" xfId="0" applyFont="1" applyBorder="1" applyAlignment="1">
      <alignment horizontal="left" vertical="center"/>
    </xf>
    <xf numFmtId="0" fontId="61" fillId="0" borderId="0" xfId="0" applyFont="1" applyAlignment="1">
      <alignment vertical="center"/>
    </xf>
    <xf numFmtId="0" fontId="61" fillId="0" borderId="65" xfId="0" applyFont="1" applyBorder="1" applyAlignment="1">
      <alignment vertical="center"/>
    </xf>
    <xf numFmtId="0" fontId="56" fillId="0" borderId="63" xfId="0" applyFont="1" applyBorder="1"/>
    <xf numFmtId="0" fontId="106" fillId="0" borderId="53" xfId="0" applyFont="1" applyBorder="1" applyAlignment="1">
      <alignment horizontal="left" vertical="center"/>
    </xf>
    <xf numFmtId="0" fontId="53" fillId="61" borderId="58" xfId="0" applyFont="1" applyFill="1" applyBorder="1" applyAlignment="1">
      <alignment horizontal="center" vertical="center"/>
    </xf>
    <xf numFmtId="1" fontId="104" fillId="0" borderId="97" xfId="105" applyNumberFormat="1" applyFont="1" applyBorder="1" applyAlignment="1">
      <alignment horizontal="left" vertical="center" indent="1"/>
    </xf>
    <xf numFmtId="169" fontId="0" fillId="0" borderId="77" xfId="0" applyNumberFormat="1" applyBorder="1" applyAlignment="1">
      <alignment horizontal="left" vertical="center"/>
    </xf>
    <xf numFmtId="0" fontId="92" fillId="0" borderId="58" xfId="104" applyFont="1" applyBorder="1" applyAlignment="1">
      <alignment horizontal="center" vertical="center" shrinkToFit="1"/>
    </xf>
    <xf numFmtId="1" fontId="105" fillId="0" borderId="108" xfId="105" applyNumberFormat="1" applyFont="1" applyBorder="1" applyAlignment="1">
      <alignment horizontal="right" vertical="center" indent="1"/>
    </xf>
    <xf numFmtId="12" fontId="105" fillId="0" borderId="108" xfId="105" applyNumberFormat="1" applyFont="1" applyBorder="1" applyAlignment="1">
      <alignment horizontal="left" vertical="center" indent="1"/>
    </xf>
    <xf numFmtId="1" fontId="111" fillId="0" borderId="107" xfId="105" applyNumberFormat="1" applyFont="1" applyBorder="1" applyAlignment="1">
      <alignment horizontal="right" vertical="center" indent="1"/>
    </xf>
    <xf numFmtId="12" fontId="111" fillId="0" borderId="107" xfId="105" applyNumberFormat="1" applyFont="1" applyBorder="1" applyAlignment="1">
      <alignment horizontal="left" vertical="center" indent="1"/>
    </xf>
    <xf numFmtId="12" fontId="110" fillId="61" borderId="98" xfId="105" applyNumberFormat="1" applyFont="1" applyFill="1" applyBorder="1" applyAlignment="1">
      <alignment horizontal="left" vertical="center" indent="1"/>
    </xf>
    <xf numFmtId="12" fontId="110" fillId="64" borderId="99" xfId="105" applyNumberFormat="1" applyFont="1" applyFill="1" applyBorder="1" applyAlignment="1">
      <alignment horizontal="left" vertical="center"/>
    </xf>
    <xf numFmtId="12" fontId="110" fillId="64" borderId="108" xfId="105" applyNumberFormat="1" applyFont="1" applyFill="1" applyBorder="1" applyAlignment="1">
      <alignment horizontal="left" vertical="center"/>
    </xf>
    <xf numFmtId="12" fontId="110" fillId="59" borderId="107" xfId="105" applyNumberFormat="1" applyFont="1" applyFill="1" applyBorder="1" applyAlignment="1">
      <alignment horizontal="left" vertical="center"/>
    </xf>
    <xf numFmtId="0" fontId="89" fillId="66" borderId="0" xfId="104" applyFill="1"/>
    <xf numFmtId="0" fontId="0" fillId="0" borderId="64" xfId="0" applyBorder="1"/>
    <xf numFmtId="169" fontId="32" fillId="0" borderId="77" xfId="0" applyNumberFormat="1" applyFont="1" applyBorder="1" applyAlignment="1">
      <alignment horizontal="left" vertical="center"/>
    </xf>
    <xf numFmtId="0" fontId="0" fillId="0" borderId="64" xfId="0" applyBorder="1" applyAlignment="1">
      <alignment horizontal="center"/>
    </xf>
    <xf numFmtId="169" fontId="71" fillId="57" borderId="58" xfId="0" applyNumberFormat="1" applyFont="1" applyFill="1" applyBorder="1" applyAlignment="1">
      <alignment horizontal="right" vertical="center" indent="1"/>
    </xf>
    <xf numFmtId="185" fontId="71" fillId="57" borderId="58" xfId="0" applyNumberFormat="1" applyFont="1" applyFill="1" applyBorder="1" applyAlignment="1">
      <alignment horizontal="center" vertical="center"/>
    </xf>
    <xf numFmtId="2" fontId="68" fillId="0" borderId="82" xfId="90" applyNumberFormat="1" applyFont="1" applyBorder="1" applyAlignment="1">
      <alignment horizontal="center" vertical="center" shrinkToFit="1"/>
    </xf>
    <xf numFmtId="169" fontId="68" fillId="0" borderId="82" xfId="90" applyNumberFormat="1" applyFont="1" applyBorder="1" applyAlignment="1">
      <alignment horizontal="center" vertical="center" shrinkToFit="1"/>
    </xf>
    <xf numFmtId="0" fontId="63" fillId="0" borderId="109" xfId="90" applyFont="1" applyBorder="1" applyAlignment="1">
      <alignment horizontal="center" vertical="center"/>
    </xf>
    <xf numFmtId="0" fontId="63" fillId="0" borderId="110" xfId="90" applyFont="1" applyBorder="1" applyAlignment="1">
      <alignment horizontal="center" vertical="center"/>
    </xf>
    <xf numFmtId="0" fontId="65" fillId="57" borderId="110" xfId="90" applyFont="1" applyFill="1" applyBorder="1" applyAlignment="1">
      <alignment horizontal="center" vertical="center"/>
    </xf>
    <xf numFmtId="169" fontId="65" fillId="57" borderId="110" xfId="90" applyNumberFormat="1" applyFont="1" applyFill="1" applyBorder="1" applyAlignment="1">
      <alignment horizontal="center" vertical="center"/>
    </xf>
    <xf numFmtId="2" fontId="65" fillId="57" borderId="110" xfId="90" applyNumberFormat="1" applyFont="1" applyFill="1" applyBorder="1" applyAlignment="1">
      <alignment horizontal="center" vertical="center"/>
    </xf>
    <xf numFmtId="0" fontId="69" fillId="61" borderId="110" xfId="90" applyFont="1" applyFill="1" applyBorder="1" applyAlignment="1">
      <alignment horizontal="center" vertical="center"/>
    </xf>
    <xf numFmtId="169" fontId="69" fillId="61" borderId="110" xfId="90" applyNumberFormat="1" applyFont="1" applyFill="1" applyBorder="1" applyAlignment="1">
      <alignment horizontal="center" vertical="center"/>
    </xf>
    <xf numFmtId="169" fontId="71" fillId="57" borderId="58" xfId="0" applyNumberFormat="1" applyFont="1" applyFill="1" applyBorder="1" applyAlignment="1">
      <alignment horizontal="right" vertical="center" indent="2"/>
    </xf>
    <xf numFmtId="0" fontId="53" fillId="68" borderId="58" xfId="0" applyFont="1" applyFill="1" applyBorder="1" applyAlignment="1">
      <alignment horizontal="left" vertical="center" indent="1"/>
    </xf>
    <xf numFmtId="0" fontId="0" fillId="0" borderId="0" xfId="0" quotePrefix="1"/>
    <xf numFmtId="0" fontId="0" fillId="0" borderId="120" xfId="0" applyBorder="1"/>
    <xf numFmtId="0" fontId="0" fillId="0" borderId="121" xfId="0" applyBorder="1"/>
    <xf numFmtId="0" fontId="0" fillId="0" borderId="122" xfId="0" applyBorder="1"/>
    <xf numFmtId="0" fontId="55" fillId="0" borderId="66" xfId="0" applyFont="1" applyBorder="1"/>
    <xf numFmtId="186" fontId="55" fillId="0" borderId="53" xfId="0" applyNumberFormat="1" applyFont="1" applyBorder="1"/>
    <xf numFmtId="0" fontId="56" fillId="0" borderId="67" xfId="0" applyFont="1" applyBorder="1"/>
    <xf numFmtId="0" fontId="57" fillId="0" borderId="66" xfId="0" applyFont="1" applyBorder="1" applyAlignment="1">
      <alignment horizontal="center" vertical="center"/>
    </xf>
    <xf numFmtId="0" fontId="57" fillId="0" borderId="53" xfId="0" applyFont="1" applyBorder="1" applyAlignment="1">
      <alignment horizontal="center" vertical="center"/>
    </xf>
    <xf numFmtId="0" fontId="57" fillId="0" borderId="67" xfId="0" applyFont="1" applyBorder="1" applyAlignment="1">
      <alignment horizontal="center" vertical="center"/>
    </xf>
    <xf numFmtId="0" fontId="55" fillId="0" borderId="66" xfId="0" applyFont="1" applyBorder="1" applyAlignment="1">
      <alignment vertical="center"/>
    </xf>
    <xf numFmtId="2" fontId="55" fillId="0" borderId="53" xfId="0" quotePrefix="1" applyNumberFormat="1" applyFont="1" applyBorder="1" applyAlignment="1">
      <alignment horizontal="left" vertical="center"/>
    </xf>
    <xf numFmtId="0" fontId="55" fillId="0" borderId="53" xfId="0" applyFont="1" applyBorder="1" applyAlignment="1">
      <alignment horizontal="left" vertical="center"/>
    </xf>
    <xf numFmtId="0" fontId="55" fillId="0" borderId="53" xfId="0" applyFont="1" applyBorder="1" applyAlignment="1">
      <alignment horizontal="left" vertical="center" indent="1"/>
    </xf>
    <xf numFmtId="0" fontId="58" fillId="0" borderId="53" xfId="0" applyFont="1" applyBorder="1" applyAlignment="1">
      <alignment horizontal="left" vertical="center"/>
    </xf>
    <xf numFmtId="177" fontId="55" fillId="0" borderId="53" xfId="0" applyNumberFormat="1" applyFont="1" applyBorder="1" applyAlignment="1">
      <alignment horizontal="left" vertical="center"/>
    </xf>
    <xf numFmtId="0" fontId="55" fillId="0" borderId="67" xfId="0" applyFont="1" applyBorder="1" applyAlignment="1">
      <alignment horizontal="left" vertical="center"/>
    </xf>
    <xf numFmtId="0" fontId="58" fillId="0" borderId="66" xfId="0" quotePrefix="1" applyFont="1" applyBorder="1" applyAlignment="1">
      <alignment vertical="center"/>
    </xf>
    <xf numFmtId="169" fontId="58" fillId="0" borderId="53" xfId="0" applyNumberFormat="1" applyFont="1" applyBorder="1" applyAlignment="1">
      <alignment horizontal="right" vertical="center"/>
    </xf>
    <xf numFmtId="2" fontId="58" fillId="0" borderId="53" xfId="0" applyNumberFormat="1" applyFont="1" applyBorder="1" applyAlignment="1">
      <alignment horizontal="right" vertical="center"/>
    </xf>
    <xf numFmtId="0" fontId="55" fillId="0" borderId="53" xfId="0" applyFont="1" applyBorder="1" applyAlignment="1">
      <alignment horizontal="center" vertical="center"/>
    </xf>
    <xf numFmtId="0" fontId="39" fillId="0" borderId="53" xfId="0" applyFont="1" applyBorder="1"/>
    <xf numFmtId="0" fontId="39" fillId="0" borderId="123" xfId="0" applyFont="1" applyBorder="1"/>
    <xf numFmtId="0" fontId="39" fillId="0" borderId="124" xfId="0" applyFont="1" applyBorder="1"/>
    <xf numFmtId="0" fontId="39" fillId="0" borderId="125" xfId="0" applyFont="1" applyBorder="1"/>
    <xf numFmtId="169" fontId="71" fillId="57" borderId="58" xfId="0" applyNumberFormat="1" applyFont="1" applyFill="1" applyBorder="1" applyAlignment="1">
      <alignment horizontal="center" vertical="center"/>
    </xf>
    <xf numFmtId="0" fontId="59" fillId="0" borderId="60" xfId="0" applyFont="1" applyBorder="1" applyAlignment="1">
      <alignment horizontal="center" vertical="center"/>
    </xf>
    <xf numFmtId="0" fontId="72" fillId="0" borderId="58" xfId="0" applyFont="1" applyBorder="1" applyAlignment="1">
      <alignment horizontal="center" vertical="center"/>
    </xf>
    <xf numFmtId="0" fontId="118" fillId="68" borderId="126" xfId="0" applyFont="1" applyFill="1" applyBorder="1"/>
    <xf numFmtId="1" fontId="119" fillId="0" borderId="126" xfId="105" applyNumberFormat="1" applyFont="1" applyBorder="1" applyAlignment="1">
      <alignment horizontal="center" vertical="center"/>
    </xf>
    <xf numFmtId="0" fontId="0" fillId="0" borderId="126" xfId="0" applyBorder="1"/>
    <xf numFmtId="1" fontId="120" fillId="0" borderId="126" xfId="105" applyNumberFormat="1" applyFont="1" applyBorder="1" applyAlignment="1">
      <alignment horizontal="center" vertical="center"/>
    </xf>
    <xf numFmtId="3" fontId="119" fillId="0" borderId="126" xfId="105" applyNumberFormat="1" applyFont="1" applyBorder="1" applyAlignment="1">
      <alignment horizontal="center" vertical="center"/>
    </xf>
    <xf numFmtId="1" fontId="68" fillId="53" borderId="129" xfId="105" applyNumberFormat="1" applyFont="1" applyFill="1" applyBorder="1" applyAlignment="1">
      <alignment horizontal="left" vertical="center"/>
    </xf>
    <xf numFmtId="0" fontId="121" fillId="0" borderId="53" xfId="0" applyFont="1" applyBorder="1"/>
    <xf numFmtId="0" fontId="67" fillId="0" borderId="130" xfId="104" applyFont="1" applyBorder="1"/>
    <xf numFmtId="0" fontId="67" fillId="0" borderId="131" xfId="104" applyFont="1" applyBorder="1"/>
    <xf numFmtId="0" fontId="67" fillId="0" borderId="132" xfId="104" applyFont="1" applyBorder="1"/>
    <xf numFmtId="0" fontId="67" fillId="0" borderId="133" xfId="104" applyFont="1" applyBorder="1"/>
    <xf numFmtId="0" fontId="67" fillId="0" borderId="134" xfId="104" applyFont="1" applyBorder="1"/>
    <xf numFmtId="0" fontId="67" fillId="0" borderId="135" xfId="104" applyFont="1" applyBorder="1"/>
    <xf numFmtId="0" fontId="67" fillId="0" borderId="136" xfId="104" applyFont="1" applyBorder="1"/>
    <xf numFmtId="0" fontId="67" fillId="0" borderId="137" xfId="104" applyFont="1" applyBorder="1"/>
    <xf numFmtId="0" fontId="67" fillId="0" borderId="138" xfId="104" applyFont="1" applyBorder="1"/>
    <xf numFmtId="0" fontId="67" fillId="0" borderId="53" xfId="104" applyFont="1" applyBorder="1"/>
    <xf numFmtId="12" fontId="94" fillId="0" borderId="136" xfId="104" applyNumberFormat="1" applyFont="1" applyBorder="1" applyAlignment="1">
      <alignment horizontal="center" vertical="center"/>
    </xf>
    <xf numFmtId="12" fontId="109" fillId="60" borderId="137" xfId="104" applyNumberFormat="1" applyFont="1" applyFill="1" applyBorder="1" applyAlignment="1">
      <alignment horizontal="center" vertical="center"/>
    </xf>
    <xf numFmtId="12" fontId="95" fillId="60" borderId="137" xfId="104" applyNumberFormat="1" applyFont="1" applyFill="1" applyBorder="1" applyAlignment="1">
      <alignment horizontal="center" vertical="center"/>
    </xf>
    <xf numFmtId="0" fontId="67" fillId="0" borderId="137" xfId="104" applyFont="1" applyBorder="1" applyAlignment="1">
      <alignment horizontal="left" vertical="center"/>
    </xf>
    <xf numFmtId="0" fontId="67" fillId="0" borderId="138" xfId="104" applyFont="1" applyBorder="1" applyAlignment="1">
      <alignment horizontal="left" vertical="center"/>
    </xf>
    <xf numFmtId="0" fontId="94" fillId="0" borderId="130" xfId="104" applyFont="1" applyBorder="1"/>
    <xf numFmtId="0" fontId="96" fillId="0" borderId="53" xfId="104" applyFont="1" applyBorder="1" applyAlignment="1">
      <alignment horizontal="center" vertical="center"/>
    </xf>
    <xf numFmtId="0" fontId="97" fillId="0" borderId="131" xfId="104" applyFont="1" applyBorder="1" applyAlignment="1">
      <alignment horizontal="left" indent="1" shrinkToFit="1"/>
    </xf>
    <xf numFmtId="0" fontId="99" fillId="0" borderId="53" xfId="104" applyFont="1" applyBorder="1" applyAlignment="1">
      <alignment horizontal="center" vertical="center"/>
    </xf>
    <xf numFmtId="0" fontId="100" fillId="0" borderId="132" xfId="104" applyFont="1" applyBorder="1" applyAlignment="1">
      <alignment horizontal="center" vertical="center"/>
    </xf>
    <xf numFmtId="0" fontId="100" fillId="0" borderId="124" xfId="104" applyFont="1" applyBorder="1" applyAlignment="1">
      <alignment horizontal="center" vertical="center"/>
    </xf>
    <xf numFmtId="0" fontId="97" fillId="0" borderId="124" xfId="104" applyFont="1" applyBorder="1" applyAlignment="1">
      <alignment horizontal="left" vertical="center" indent="1" shrinkToFit="1"/>
    </xf>
    <xf numFmtId="0" fontId="97" fillId="0" borderId="133" xfId="104" applyFont="1" applyBorder="1" applyAlignment="1">
      <alignment horizontal="left" vertical="center" indent="1" shrinkToFit="1"/>
    </xf>
    <xf numFmtId="0" fontId="51" fillId="0" borderId="137" xfId="104" applyFont="1" applyBorder="1" applyAlignment="1">
      <alignment horizontal="left" vertical="center"/>
    </xf>
    <xf numFmtId="0" fontId="67" fillId="0" borderId="131" xfId="104" applyFont="1" applyBorder="1" applyAlignment="1">
      <alignment horizontal="left" vertical="center"/>
    </xf>
    <xf numFmtId="0" fontId="97" fillId="0" borderId="124" xfId="104" applyFont="1" applyBorder="1" applyAlignment="1">
      <alignment horizontal="left" vertical="center" shrinkToFit="1"/>
    </xf>
    <xf numFmtId="0" fontId="67" fillId="0" borderId="133" xfId="104" applyFont="1" applyBorder="1" applyAlignment="1">
      <alignment horizontal="left" vertical="center"/>
    </xf>
    <xf numFmtId="0" fontId="67" fillId="0" borderId="136" xfId="104" applyFont="1" applyBorder="1" applyAlignment="1">
      <alignment horizontal="left" vertical="center"/>
    </xf>
    <xf numFmtId="0" fontId="67" fillId="0" borderId="130" xfId="104" applyFont="1" applyBorder="1" applyAlignment="1">
      <alignment horizontal="left" vertical="center"/>
    </xf>
    <xf numFmtId="0" fontId="67" fillId="0" borderId="53" xfId="104" applyFont="1" applyBorder="1" applyAlignment="1">
      <alignment horizontal="left" vertical="center"/>
    </xf>
    <xf numFmtId="0" fontId="67" fillId="0" borderId="132" xfId="104" applyFont="1" applyBorder="1" applyAlignment="1">
      <alignment horizontal="left" vertical="center"/>
    </xf>
    <xf numFmtId="0" fontId="67" fillId="0" borderId="124" xfId="104" applyFont="1" applyBorder="1" applyAlignment="1">
      <alignment horizontal="left" vertical="center"/>
    </xf>
    <xf numFmtId="0" fontId="67" fillId="0" borderId="81" xfId="104" applyFont="1" applyBorder="1"/>
    <xf numFmtId="0" fontId="89" fillId="0" borderId="81" xfId="104" applyBorder="1"/>
    <xf numFmtId="0" fontId="102" fillId="47" borderId="139" xfId="104" applyFont="1" applyFill="1" applyBorder="1"/>
    <xf numFmtId="0" fontId="102" fillId="0" borderId="139" xfId="104" applyFont="1" applyBorder="1" applyAlignment="1">
      <alignment horizontal="center"/>
    </xf>
    <xf numFmtId="0" fontId="102" fillId="0" borderId="64" xfId="104" applyFont="1" applyBorder="1" applyAlignment="1">
      <alignment horizontal="center"/>
    </xf>
    <xf numFmtId="0" fontId="67" fillId="0" borderId="124" xfId="104" applyFont="1" applyBorder="1"/>
    <xf numFmtId="0" fontId="124" fillId="52" borderId="53" xfId="0" applyFont="1" applyFill="1" applyBorder="1"/>
    <xf numFmtId="0" fontId="56" fillId="0" borderId="0" xfId="0" applyFont="1"/>
    <xf numFmtId="0" fontId="56" fillId="0" borderId="58" xfId="0" applyFont="1" applyBorder="1"/>
    <xf numFmtId="169" fontId="71" fillId="57" borderId="58" xfId="0" applyNumberFormat="1" applyFont="1" applyFill="1" applyBorder="1" applyAlignment="1">
      <alignment horizontal="left" vertical="center" indent="1"/>
    </xf>
    <xf numFmtId="0" fontId="71" fillId="0" borderId="58" xfId="0" applyFont="1" applyBorder="1" applyAlignment="1">
      <alignment horizontal="left"/>
    </xf>
    <xf numFmtId="0" fontId="71" fillId="0" borderId="58" xfId="0" applyFont="1" applyBorder="1"/>
    <xf numFmtId="0" fontId="56" fillId="0" borderId="68" xfId="0" applyFont="1" applyBorder="1"/>
    <xf numFmtId="0" fontId="62" fillId="68" borderId="112" xfId="0" applyFont="1" applyFill="1" applyBorder="1"/>
    <xf numFmtId="1" fontId="62" fillId="57" borderId="126" xfId="105" applyNumberFormat="1" applyFont="1" applyFill="1" applyBorder="1" applyAlignment="1">
      <alignment horizontal="left" vertical="center"/>
    </xf>
    <xf numFmtId="0" fontId="121" fillId="71" borderId="64" xfId="0" applyFont="1" applyFill="1" applyBorder="1"/>
    <xf numFmtId="0" fontId="107" fillId="0" borderId="53" xfId="0" applyFont="1" applyBorder="1" applyAlignment="1">
      <alignment horizontal="left" vertical="center"/>
    </xf>
    <xf numFmtId="1" fontId="71" fillId="0" borderId="110" xfId="105" applyNumberFormat="1" applyFont="1" applyBorder="1" applyAlignment="1">
      <alignment horizontal="center" vertical="center"/>
    </xf>
    <xf numFmtId="1" fontId="71" fillId="0" borderId="110" xfId="105" applyNumberFormat="1" applyFont="1" applyBorder="1" applyAlignment="1">
      <alignment horizontal="left" vertical="center"/>
    </xf>
    <xf numFmtId="0" fontId="71" fillId="0" borderId="110" xfId="105" applyFont="1" applyBorder="1" applyAlignment="1">
      <alignment horizontal="center" vertical="center"/>
    </xf>
    <xf numFmtId="0" fontId="71" fillId="0" borderId="110" xfId="0" applyFont="1" applyBorder="1" applyAlignment="1">
      <alignment horizontal="center"/>
    </xf>
    <xf numFmtId="0" fontId="71" fillId="0" borderId="110" xfId="0" applyFont="1" applyBorder="1" applyAlignment="1">
      <alignment horizontal="left"/>
    </xf>
    <xf numFmtId="0" fontId="46" fillId="0" borderId="66" xfId="0" applyFont="1" applyBorder="1"/>
    <xf numFmtId="176" fontId="56" fillId="0" borderId="60" xfId="0" applyNumberFormat="1" applyFont="1" applyBorder="1" applyAlignment="1">
      <alignment horizontal="right" vertical="center" indent="1"/>
    </xf>
    <xf numFmtId="0" fontId="39" fillId="0" borderId="64" xfId="0" applyFont="1" applyBorder="1" applyAlignment="1">
      <alignment vertical="center"/>
    </xf>
    <xf numFmtId="0" fontId="40" fillId="0" borderId="53" xfId="0" applyFont="1" applyBorder="1" applyAlignment="1">
      <alignment horizontal="center" vertical="center"/>
    </xf>
    <xf numFmtId="0" fontId="41" fillId="0" borderId="53" xfId="0" applyFont="1" applyBorder="1" applyAlignment="1">
      <alignment horizontal="center" vertical="center"/>
    </xf>
    <xf numFmtId="0" fontId="38" fillId="0" borderId="53" xfId="0" applyFont="1" applyBorder="1" applyAlignment="1">
      <alignment horizontal="center" vertical="center"/>
    </xf>
    <xf numFmtId="0" fontId="39" fillId="0" borderId="53" xfId="0" applyFont="1" applyBorder="1" applyAlignment="1">
      <alignment vertical="center"/>
    </xf>
    <xf numFmtId="0" fontId="42" fillId="0" borderId="53" xfId="0" applyFont="1" applyBorder="1"/>
    <xf numFmtId="1" fontId="42" fillId="0" borderId="53" xfId="0" applyNumberFormat="1" applyFont="1" applyBorder="1" applyAlignment="1">
      <alignment horizontal="center" vertical="top"/>
    </xf>
    <xf numFmtId="172" fontId="39" fillId="0" borderId="53" xfId="59" applyNumberFormat="1" applyFont="1" applyFill="1" applyBorder="1" applyAlignment="1" applyProtection="1"/>
    <xf numFmtId="1" fontId="39" fillId="0" borderId="53" xfId="0" applyNumberFormat="1" applyFont="1" applyBorder="1" applyAlignment="1">
      <alignment horizontal="center" vertical="top"/>
    </xf>
    <xf numFmtId="1" fontId="43" fillId="0" borderId="53" xfId="0" applyNumberFormat="1" applyFont="1" applyBorder="1" applyAlignment="1">
      <alignment horizontal="center" vertical="top"/>
    </xf>
    <xf numFmtId="0" fontId="39" fillId="0" borderId="53" xfId="0" applyFont="1" applyBorder="1" applyAlignment="1">
      <alignment horizontal="left"/>
    </xf>
    <xf numFmtId="172" fontId="38" fillId="0" borderId="53" xfId="0" applyNumberFormat="1" applyFont="1" applyBorder="1" applyAlignment="1">
      <alignment horizontal="center" vertical="center"/>
    </xf>
    <xf numFmtId="0" fontId="39" fillId="0" borderId="53" xfId="0" applyFont="1" applyBorder="1" applyAlignment="1">
      <alignment horizontal="left" vertical="center"/>
    </xf>
    <xf numFmtId="0" fontId="39" fillId="0" borderId="53" xfId="0" applyFont="1" applyBorder="1" applyAlignment="1">
      <alignment horizontal="center" vertical="center"/>
    </xf>
    <xf numFmtId="0" fontId="39" fillId="0" borderId="68" xfId="0" applyFont="1" applyBorder="1"/>
    <xf numFmtId="2" fontId="71" fillId="0" borderId="58" xfId="0" applyNumberFormat="1" applyFont="1" applyBorder="1" applyAlignment="1">
      <alignment horizontal="center"/>
    </xf>
    <xf numFmtId="0" fontId="67" fillId="0" borderId="150" xfId="104" applyFont="1" applyBorder="1"/>
    <xf numFmtId="0" fontId="129" fillId="0" borderId="68" xfId="0" applyFont="1" applyBorder="1"/>
    <xf numFmtId="0" fontId="71" fillId="50" borderId="110" xfId="0" applyFont="1" applyFill="1" applyBorder="1" applyAlignment="1">
      <alignment horizontal="center"/>
    </xf>
    <xf numFmtId="0" fontId="39" fillId="0" borderId="64" xfId="0" applyFont="1" applyBorder="1"/>
    <xf numFmtId="0" fontId="130" fillId="0" borderId="68" xfId="0" applyFont="1" applyBorder="1" applyAlignment="1">
      <alignment horizontal="center"/>
    </xf>
    <xf numFmtId="0" fontId="130" fillId="0" borderId="68" xfId="0" applyFont="1" applyBorder="1"/>
    <xf numFmtId="0" fontId="130" fillId="0" borderId="68" xfId="0" applyFont="1" applyBorder="1" applyAlignment="1">
      <alignment horizontal="left"/>
    </xf>
    <xf numFmtId="0" fontId="130" fillId="50" borderId="68" xfId="0" applyFont="1" applyFill="1" applyBorder="1" applyAlignment="1">
      <alignment horizontal="center"/>
    </xf>
    <xf numFmtId="174" fontId="69" fillId="61" borderId="79" xfId="90" applyNumberFormat="1" applyFont="1" applyFill="1" applyBorder="1" applyAlignment="1">
      <alignment horizontal="center" vertical="center"/>
    </xf>
    <xf numFmtId="0" fontId="0" fillId="0" borderId="63" xfId="0" applyBorder="1"/>
    <xf numFmtId="0" fontId="127" fillId="0" borderId="64" xfId="0" applyFont="1" applyBorder="1" applyAlignment="1">
      <alignment horizontal="left" vertical="center"/>
    </xf>
    <xf numFmtId="0" fontId="0" fillId="0" borderId="65" xfId="0" applyBorder="1"/>
    <xf numFmtId="0" fontId="131" fillId="0" borderId="133" xfId="104" applyFont="1" applyBorder="1" applyAlignment="1">
      <alignment horizontal="right"/>
    </xf>
    <xf numFmtId="0" fontId="60" fillId="73" borderId="151" xfId="0" applyFont="1" applyFill="1" applyBorder="1" applyAlignment="1">
      <alignment horizontal="center" vertical="center" wrapText="1" readingOrder="1"/>
    </xf>
    <xf numFmtId="0" fontId="60" fillId="59" borderId="151" xfId="0" applyFont="1" applyFill="1" applyBorder="1" applyAlignment="1">
      <alignment horizontal="center" vertical="center" wrapText="1" readingOrder="1"/>
    </xf>
    <xf numFmtId="0" fontId="132" fillId="74" borderId="151" xfId="0" applyFont="1" applyFill="1" applyBorder="1" applyAlignment="1">
      <alignment horizontal="center" vertical="center" wrapText="1" readingOrder="1"/>
    </xf>
    <xf numFmtId="0" fontId="132" fillId="74" borderId="151" xfId="0" applyFont="1" applyFill="1" applyBorder="1" applyAlignment="1">
      <alignment horizontal="left" vertical="center" indent="1" readingOrder="1"/>
    </xf>
    <xf numFmtId="0" fontId="32" fillId="72" borderId="151" xfId="0" applyFont="1" applyFill="1" applyBorder="1" applyAlignment="1">
      <alignment horizontal="left" vertical="center" wrapText="1" indent="1" readingOrder="1"/>
    </xf>
    <xf numFmtId="0" fontId="92" fillId="0" borderId="54" xfId="104" applyFont="1" applyBorder="1" applyAlignment="1">
      <alignment horizontal="center" vertical="center" shrinkToFit="1"/>
    </xf>
    <xf numFmtId="0" fontId="0" fillId="71" borderId="0" xfId="0" applyFill="1"/>
    <xf numFmtId="176" fontId="133" fillId="74" borderId="151" xfId="0" applyNumberFormat="1" applyFont="1" applyFill="1" applyBorder="1" applyAlignment="1">
      <alignment horizontal="right" vertical="center" wrapText="1" indent="1" readingOrder="1"/>
    </xf>
    <xf numFmtId="0" fontId="0" fillId="0" borderId="154" xfId="0" applyBorder="1" applyAlignment="1">
      <alignment horizontal="center" vertical="center"/>
    </xf>
    <xf numFmtId="3" fontId="0" fillId="0" borderId="154" xfId="0" applyNumberFormat="1" applyBorder="1" applyAlignment="1">
      <alignment horizontal="center" vertical="center"/>
    </xf>
    <xf numFmtId="0" fontId="32" fillId="72" borderId="151" xfId="0" applyFont="1" applyFill="1" applyBorder="1" applyAlignment="1">
      <alignment horizontal="left" vertical="top" wrapText="1" indent="1" readingOrder="1"/>
    </xf>
    <xf numFmtId="176" fontId="60" fillId="59" borderId="152" xfId="0" applyNumberFormat="1" applyFont="1" applyFill="1" applyBorder="1" applyAlignment="1">
      <alignment horizontal="center" vertical="center" wrapText="1" readingOrder="1"/>
    </xf>
    <xf numFmtId="0" fontId="32" fillId="72" borderId="155" xfId="0" applyFont="1" applyFill="1" applyBorder="1" applyAlignment="1">
      <alignment horizontal="left" vertical="center" wrapText="1" indent="1" readingOrder="1"/>
    </xf>
    <xf numFmtId="0" fontId="60" fillId="59" borderId="156" xfId="0" applyFont="1" applyFill="1" applyBorder="1" applyAlignment="1">
      <alignment horizontal="center" vertical="center" wrapText="1" readingOrder="1"/>
    </xf>
    <xf numFmtId="0" fontId="60" fillId="73" borderId="156" xfId="0" applyFont="1" applyFill="1" applyBorder="1" applyAlignment="1">
      <alignment horizontal="center" vertical="center" wrapText="1" readingOrder="1"/>
    </xf>
    <xf numFmtId="0" fontId="127" fillId="0" borderId="53" xfId="0" applyFont="1" applyBorder="1" applyAlignment="1">
      <alignment horizontal="left" vertical="center"/>
    </xf>
    <xf numFmtId="0" fontId="60" fillId="59" borderId="153" xfId="0" applyFont="1" applyFill="1" applyBorder="1" applyAlignment="1">
      <alignment horizontal="center" vertical="center" wrapText="1" readingOrder="1"/>
    </xf>
    <xf numFmtId="0" fontId="32" fillId="72" borderId="155" xfId="0" applyFont="1" applyFill="1" applyBorder="1" applyAlignment="1">
      <alignment horizontal="left" vertical="top" wrapText="1" indent="1" readingOrder="1"/>
    </xf>
    <xf numFmtId="0" fontId="0" fillId="50" borderId="53" xfId="0" applyFill="1" applyBorder="1"/>
    <xf numFmtId="1" fontId="120" fillId="50" borderId="53" xfId="105" applyNumberFormat="1" applyFont="1" applyFill="1" applyBorder="1" applyAlignment="1">
      <alignment horizontal="left" vertical="center"/>
    </xf>
    <xf numFmtId="1" fontId="120" fillId="0" borderId="53" xfId="105" applyNumberFormat="1" applyFont="1" applyBorder="1" applyAlignment="1">
      <alignment horizontal="left" vertical="center"/>
    </xf>
    <xf numFmtId="0" fontId="0" fillId="0" borderId="53" xfId="0" applyBorder="1" applyAlignment="1">
      <alignment horizontal="center" shrinkToFit="1"/>
    </xf>
    <xf numFmtId="0" fontId="26" fillId="48" borderId="126" xfId="0" applyFont="1" applyFill="1" applyBorder="1" applyAlignment="1">
      <alignment horizontal="center" vertical="center"/>
    </xf>
    <xf numFmtId="10" fontId="26" fillId="48" borderId="126" xfId="0" applyNumberFormat="1" applyFont="1" applyFill="1" applyBorder="1" applyAlignment="1">
      <alignment horizontal="center" vertical="center"/>
    </xf>
    <xf numFmtId="0" fontId="22" fillId="0" borderId="53" xfId="0" applyFont="1" applyBorder="1"/>
    <xf numFmtId="0" fontId="15" fillId="0" borderId="53" xfId="0" applyFont="1" applyBorder="1"/>
    <xf numFmtId="10" fontId="0" fillId="0" borderId="53" xfId="0" applyNumberFormat="1" applyBorder="1"/>
    <xf numFmtId="0" fontId="25" fillId="0" borderId="53" xfId="0" applyFont="1" applyBorder="1"/>
    <xf numFmtId="0" fontId="25" fillId="0" borderId="67" xfId="0" applyFont="1" applyBorder="1"/>
    <xf numFmtId="0" fontId="25" fillId="0" borderId="67" xfId="0" applyFont="1" applyBorder="1" applyAlignment="1">
      <alignment horizontal="center" vertical="center"/>
    </xf>
    <xf numFmtId="0" fontId="25" fillId="0" borderId="66" xfId="0" applyFont="1" applyBorder="1" applyAlignment="1">
      <alignment horizontal="center" vertical="center"/>
    </xf>
    <xf numFmtId="17" fontId="25" fillId="0" borderId="53" xfId="0" applyNumberFormat="1" applyFont="1" applyBorder="1" applyAlignment="1">
      <alignment horizontal="left" vertical="center"/>
    </xf>
    <xf numFmtId="166" fontId="25" fillId="0" borderId="53" xfId="0" applyNumberFormat="1" applyFont="1" applyBorder="1" applyAlignment="1">
      <alignment horizontal="left" vertical="center"/>
    </xf>
    <xf numFmtId="0" fontId="67" fillId="0" borderId="64" xfId="104" applyFont="1" applyBorder="1"/>
    <xf numFmtId="0" fontId="67" fillId="0" borderId="65" xfId="104" applyFont="1" applyBorder="1"/>
    <xf numFmtId="0" fontId="67" fillId="0" borderId="66" xfId="104" applyFont="1" applyBorder="1"/>
    <xf numFmtId="0" fontId="67" fillId="0" borderId="67" xfId="104" applyFont="1" applyBorder="1"/>
    <xf numFmtId="0" fontId="67" fillId="0" borderId="69" xfId="104" applyFont="1" applyBorder="1"/>
    <xf numFmtId="0" fontId="67" fillId="0" borderId="68" xfId="104" applyFont="1" applyBorder="1"/>
    <xf numFmtId="0" fontId="67" fillId="0" borderId="149" xfId="104" applyFont="1" applyBorder="1"/>
    <xf numFmtId="0" fontId="67" fillId="56" borderId="64" xfId="104" applyFont="1" applyFill="1" applyBorder="1"/>
    <xf numFmtId="0" fontId="89" fillId="56" borderId="64" xfId="104" applyFill="1" applyBorder="1"/>
    <xf numFmtId="0" fontId="67" fillId="56" borderId="65" xfId="104" applyFont="1" applyFill="1" applyBorder="1"/>
    <xf numFmtId="0" fontId="67" fillId="56" borderId="66" xfId="104" applyFont="1" applyFill="1" applyBorder="1"/>
    <xf numFmtId="0" fontId="89" fillId="56" borderId="53" xfId="104" applyFill="1" applyBorder="1"/>
    <xf numFmtId="0" fontId="67" fillId="56" borderId="53" xfId="104" applyFont="1" applyFill="1" applyBorder="1"/>
    <xf numFmtId="0" fontId="67" fillId="56" borderId="67" xfId="104" applyFont="1" applyFill="1" applyBorder="1"/>
    <xf numFmtId="0" fontId="67" fillId="56" borderId="69" xfId="104" applyFont="1" applyFill="1" applyBorder="1"/>
    <xf numFmtId="0" fontId="89" fillId="56" borderId="68" xfId="104" applyFill="1" applyBorder="1"/>
    <xf numFmtId="0" fontId="67" fillId="56" borderId="68" xfId="104" applyFont="1" applyFill="1" applyBorder="1"/>
    <xf numFmtId="0" fontId="67" fillId="56" borderId="149" xfId="104" applyFont="1" applyFill="1" applyBorder="1"/>
    <xf numFmtId="0" fontId="92" fillId="0" borderId="54" xfId="104" applyFont="1" applyBorder="1" applyAlignment="1">
      <alignment vertical="center" shrinkToFit="1"/>
    </xf>
    <xf numFmtId="0" fontId="92" fillId="0" borderId="54" xfId="104" applyFont="1" applyBorder="1" applyAlignment="1">
      <alignment horizontal="center" shrinkToFit="1"/>
    </xf>
    <xf numFmtId="0" fontId="32" fillId="74" borderId="153" xfId="0" applyFont="1" applyFill="1" applyBorder="1" applyAlignment="1">
      <alignment horizontal="left" vertical="top" indent="1" readingOrder="1"/>
    </xf>
    <xf numFmtId="0" fontId="32" fillId="74" borderId="151" xfId="0" applyFont="1" applyFill="1" applyBorder="1" applyAlignment="1">
      <alignment horizontal="center" vertical="center" wrapText="1" readingOrder="1"/>
    </xf>
    <xf numFmtId="176" fontId="32" fillId="74" borderId="151" xfId="0" applyNumberFormat="1" applyFont="1" applyFill="1" applyBorder="1" applyAlignment="1">
      <alignment horizontal="right" vertical="center" wrapText="1" indent="1" readingOrder="1"/>
    </xf>
    <xf numFmtId="0" fontId="32" fillId="74" borderId="158" xfId="0" applyFont="1" applyFill="1" applyBorder="1" applyAlignment="1">
      <alignment horizontal="left" vertical="top" indent="1" readingOrder="1"/>
    </xf>
    <xf numFmtId="0" fontId="32" fillId="74" borderId="155" xfId="0" applyFont="1" applyFill="1" applyBorder="1" applyAlignment="1">
      <alignment horizontal="center" vertical="center" wrapText="1" readingOrder="1"/>
    </xf>
    <xf numFmtId="176" fontId="32" fillId="74" borderId="155" xfId="0" applyNumberFormat="1" applyFont="1" applyFill="1" applyBorder="1" applyAlignment="1">
      <alignment horizontal="right" vertical="center" wrapText="1" indent="1" readingOrder="1"/>
    </xf>
    <xf numFmtId="10" fontId="60" fillId="59" borderId="152" xfId="0" applyNumberFormat="1" applyFont="1" applyFill="1" applyBorder="1" applyAlignment="1">
      <alignment horizontal="center" vertical="center" wrapText="1" readingOrder="1"/>
    </xf>
    <xf numFmtId="0" fontId="138" fillId="0" borderId="53" xfId="0" applyFont="1" applyBorder="1" applyAlignment="1">
      <alignment horizontal="left" vertical="center"/>
    </xf>
    <xf numFmtId="0" fontId="139" fillId="0" borderId="53" xfId="0" applyFont="1" applyBorder="1" applyAlignment="1">
      <alignment horizontal="left" vertical="center"/>
    </xf>
    <xf numFmtId="0" fontId="143" fillId="0" borderId="53" xfId="0" applyFont="1" applyBorder="1" applyAlignment="1">
      <alignment vertical="center"/>
    </xf>
    <xf numFmtId="0" fontId="146" fillId="0" borderId="53" xfId="90" applyFont="1" applyBorder="1" applyAlignment="1">
      <alignment horizontal="right" vertical="center"/>
    </xf>
    <xf numFmtId="0" fontId="149" fillId="0" borderId="66" xfId="0" applyFont="1" applyBorder="1"/>
    <xf numFmtId="169" fontId="32" fillId="68" borderId="79" xfId="90" applyNumberFormat="1" applyFont="1" applyFill="1" applyBorder="1" applyAlignment="1">
      <alignment horizontal="center" vertical="center"/>
    </xf>
    <xf numFmtId="2" fontId="32" fillId="68" borderId="79" xfId="90" applyNumberFormat="1" applyFont="1" applyFill="1" applyBorder="1" applyAlignment="1">
      <alignment horizontal="left" vertical="center"/>
    </xf>
    <xf numFmtId="1" fontId="24" fillId="68" borderId="79" xfId="90" applyNumberFormat="1" applyFont="1" applyFill="1" applyBorder="1" applyAlignment="1">
      <alignment horizontal="center" vertical="center"/>
    </xf>
    <xf numFmtId="2" fontId="32" fillId="68" borderId="79" xfId="90" applyNumberFormat="1" applyFont="1" applyFill="1" applyBorder="1" applyAlignment="1">
      <alignment horizontal="center" vertical="center"/>
    </xf>
    <xf numFmtId="0" fontId="150" fillId="68" borderId="110" xfId="90" applyFont="1" applyFill="1" applyBorder="1" applyAlignment="1">
      <alignment horizontal="center" vertical="center"/>
    </xf>
    <xf numFmtId="2" fontId="32" fillId="68" borderId="110" xfId="90" applyNumberFormat="1" applyFont="1" applyFill="1" applyBorder="1" applyAlignment="1">
      <alignment horizontal="center" vertical="center"/>
    </xf>
    <xf numFmtId="0" fontId="32" fillId="68" borderId="110" xfId="0" applyFont="1" applyFill="1" applyBorder="1" applyAlignment="1">
      <alignment horizontal="center" vertical="center"/>
    </xf>
    <xf numFmtId="169" fontId="32" fillId="68" borderId="110" xfId="90" applyNumberFormat="1" applyFont="1" applyFill="1" applyBorder="1" applyAlignment="1">
      <alignment horizontal="center" vertical="center"/>
    </xf>
    <xf numFmtId="0" fontId="96" fillId="0" borderId="0" xfId="0" applyFont="1" applyAlignment="1">
      <alignment vertical="center"/>
    </xf>
    <xf numFmtId="0" fontId="96" fillId="0" borderId="53" xfId="0" applyFont="1" applyBorder="1"/>
    <xf numFmtId="0" fontId="96" fillId="0" borderId="67" xfId="0" applyFont="1" applyBorder="1"/>
    <xf numFmtId="0" fontId="96" fillId="0" borderId="0" xfId="0" applyFont="1"/>
    <xf numFmtId="0" fontId="151" fillId="0" borderId="58" xfId="0" applyFont="1" applyBorder="1" applyAlignment="1">
      <alignment horizontal="center" vertical="center"/>
    </xf>
    <xf numFmtId="0" fontId="151" fillId="0" borderId="58" xfId="0" applyFont="1" applyBorder="1" applyAlignment="1">
      <alignment horizontal="left" vertical="center" indent="1"/>
    </xf>
    <xf numFmtId="169" fontId="151" fillId="0" borderId="58" xfId="0" applyNumberFormat="1" applyFont="1" applyBorder="1" applyAlignment="1">
      <alignment horizontal="left" vertical="center" indent="1"/>
    </xf>
    <xf numFmtId="0" fontId="152" fillId="0" borderId="0" xfId="0" applyFont="1"/>
    <xf numFmtId="0" fontId="96" fillId="0" borderId="0" xfId="0" applyFont="1" applyAlignment="1">
      <alignment horizontal="center" vertical="center"/>
    </xf>
    <xf numFmtId="0" fontId="96" fillId="0" borderId="68" xfId="0" applyFont="1" applyBorder="1"/>
    <xf numFmtId="0" fontId="96" fillId="0" borderId="149" xfId="0" applyFont="1" applyBorder="1"/>
    <xf numFmtId="169" fontId="130" fillId="61" borderId="58" xfId="0" applyNumberFormat="1" applyFont="1" applyFill="1" applyBorder="1" applyAlignment="1">
      <alignment horizontal="right" vertical="center" indent="1"/>
    </xf>
    <xf numFmtId="0" fontId="71" fillId="0" borderId="101" xfId="0" applyFont="1" applyBorder="1" applyAlignment="1">
      <alignment horizontal="left" vertical="center" indent="1"/>
    </xf>
    <xf numFmtId="0" fontId="153" fillId="0" borderId="0" xfId="90" applyFont="1" applyAlignment="1">
      <alignment vertical="center"/>
    </xf>
    <xf numFmtId="0" fontId="153" fillId="0" borderId="0" xfId="90" quotePrefix="1" applyFont="1" applyAlignment="1">
      <alignment vertical="center"/>
    </xf>
    <xf numFmtId="0" fontId="156" fillId="0" borderId="79" xfId="90" applyFont="1" applyBorder="1" applyAlignment="1">
      <alignment horizontal="center" vertical="center"/>
    </xf>
    <xf numFmtId="0" fontId="156" fillId="0" borderId="82" xfId="90" applyFont="1" applyBorder="1" applyAlignment="1">
      <alignment horizontal="center" vertical="center"/>
    </xf>
    <xf numFmtId="0" fontId="153" fillId="0" borderId="79" xfId="90" applyFont="1" applyBorder="1" applyAlignment="1">
      <alignment horizontal="center" vertical="center"/>
    </xf>
    <xf numFmtId="0" fontId="153" fillId="0" borderId="103" xfId="90" applyFont="1" applyBorder="1" applyAlignment="1">
      <alignment horizontal="center" vertical="center"/>
    </xf>
    <xf numFmtId="2" fontId="158" fillId="0" borderId="79" xfId="90" applyNumberFormat="1" applyFont="1" applyBorder="1" applyAlignment="1">
      <alignment horizontal="center" vertical="center"/>
    </xf>
    <xf numFmtId="0" fontId="158" fillId="0" borderId="79" xfId="90" applyFont="1" applyBorder="1" applyAlignment="1">
      <alignment horizontal="center" vertical="center"/>
    </xf>
    <xf numFmtId="2" fontId="158" fillId="0" borderId="79" xfId="90" applyNumberFormat="1" applyFont="1" applyBorder="1" applyAlignment="1">
      <alignment horizontal="left" vertical="center"/>
    </xf>
    <xf numFmtId="1" fontId="158" fillId="0" borderId="79" xfId="90" applyNumberFormat="1" applyFont="1" applyBorder="1" applyAlignment="1">
      <alignment horizontal="center" vertical="center" shrinkToFit="1"/>
    </xf>
    <xf numFmtId="0" fontId="22" fillId="0" borderId="46" xfId="0" applyFont="1" applyBorder="1" applyAlignment="1">
      <alignment horizontal="center" vertical="center"/>
    </xf>
    <xf numFmtId="0" fontId="22" fillId="0" borderId="42" xfId="0" applyFont="1" applyBorder="1" applyAlignment="1">
      <alignment horizontal="center" vertical="center"/>
    </xf>
    <xf numFmtId="0" fontId="22" fillId="0" borderId="21" xfId="0" applyFont="1" applyBorder="1" applyAlignment="1">
      <alignment horizontal="left" vertical="center"/>
    </xf>
    <xf numFmtId="0" fontId="22" fillId="0" borderId="17" xfId="0" applyFont="1" applyBorder="1" applyAlignment="1">
      <alignment horizontal="left" vertical="center"/>
    </xf>
    <xf numFmtId="0" fontId="22" fillId="0" borderId="44" xfId="0" applyFont="1" applyBorder="1" applyAlignment="1">
      <alignment horizontal="center" vertical="center"/>
    </xf>
    <xf numFmtId="0" fontId="22" fillId="0" borderId="19" xfId="0" applyFont="1" applyBorder="1" applyAlignment="1">
      <alignment horizontal="left" vertical="center"/>
    </xf>
    <xf numFmtId="173" fontId="65" fillId="56" borderId="79" xfId="90" applyNumberFormat="1" applyFont="1" applyFill="1" applyBorder="1" applyAlignment="1">
      <alignment horizontal="left" vertical="center"/>
    </xf>
    <xf numFmtId="0" fontId="44" fillId="0" borderId="17" xfId="0" applyFont="1" applyBorder="1" applyAlignment="1">
      <alignment horizontal="left" vertical="center" indent="1"/>
    </xf>
    <xf numFmtId="0" fontId="44" fillId="0" borderId="18" xfId="0" applyFont="1" applyBorder="1" applyAlignment="1">
      <alignment horizontal="left" vertical="center" indent="1"/>
    </xf>
    <xf numFmtId="0" fontId="42" fillId="0" borderId="18" xfId="0" applyFont="1" applyBorder="1" applyAlignment="1">
      <alignment horizontal="center" vertical="center"/>
    </xf>
    <xf numFmtId="0" fontId="22" fillId="0" borderId="19" xfId="0" applyFont="1" applyBorder="1" applyAlignment="1">
      <alignment horizontal="left" vertical="center" indent="1"/>
    </xf>
    <xf numFmtId="0" fontId="22" fillId="0" borderId="18" xfId="0" applyFont="1" applyBorder="1" applyAlignment="1">
      <alignment horizontal="left" vertical="center" indent="1"/>
    </xf>
    <xf numFmtId="0" fontId="44" fillId="0" borderId="20" xfId="0" applyFont="1" applyBorder="1" applyAlignment="1">
      <alignment horizontal="left" vertical="center" indent="1"/>
    </xf>
    <xf numFmtId="0" fontId="22" fillId="0" borderId="20" xfId="0" applyFont="1" applyBorder="1" applyAlignment="1">
      <alignment horizontal="center" vertical="center"/>
    </xf>
    <xf numFmtId="0" fontId="15" fillId="0" borderId="13" xfId="0" applyFont="1" applyBorder="1" applyAlignment="1">
      <alignment horizontal="left" vertical="center" indent="1"/>
    </xf>
    <xf numFmtId="0" fontId="15" fillId="0" borderId="170" xfId="0" applyFont="1" applyBorder="1" applyAlignment="1">
      <alignment horizontal="center" vertical="center"/>
    </xf>
    <xf numFmtId="0" fontId="15" fillId="0" borderId="170" xfId="0" applyFont="1" applyBorder="1" applyAlignment="1">
      <alignment horizontal="left" vertical="center" indent="1"/>
    </xf>
    <xf numFmtId="0" fontId="22" fillId="0" borderId="170" xfId="0" applyFont="1" applyBorder="1" applyAlignment="1">
      <alignment horizontal="center" vertical="center"/>
    </xf>
    <xf numFmtId="170" fontId="15" fillId="0" borderId="170" xfId="0" applyNumberFormat="1" applyFont="1" applyBorder="1" applyAlignment="1">
      <alignment horizontal="center" vertical="center"/>
    </xf>
    <xf numFmtId="0" fontId="22" fillId="0" borderId="19" xfId="0" applyFont="1" applyBorder="1" applyAlignment="1">
      <alignment horizontal="justify" vertical="center" wrapText="1"/>
    </xf>
    <xf numFmtId="170" fontId="15" fillId="0" borderId="171" xfId="0" applyNumberFormat="1" applyFont="1" applyBorder="1" applyAlignment="1">
      <alignment horizontal="center" vertical="center"/>
    </xf>
    <xf numFmtId="0" fontId="42" fillId="0" borderId="19" xfId="0" applyFont="1" applyBorder="1" applyAlignment="1">
      <alignment horizontal="center" vertical="center"/>
    </xf>
    <xf numFmtId="0" fontId="44" fillId="0" borderId="19" xfId="0" applyFont="1" applyBorder="1" applyAlignment="1">
      <alignment horizontal="center" vertical="center"/>
    </xf>
    <xf numFmtId="0" fontId="44" fillId="0" borderId="17" xfId="0" applyFont="1" applyBorder="1" applyAlignment="1">
      <alignment horizontal="center" vertical="center"/>
    </xf>
    <xf numFmtId="0" fontId="44" fillId="0" borderId="18" xfId="0" applyFont="1" applyBorder="1" applyAlignment="1">
      <alignment horizontal="center" vertical="center"/>
    </xf>
    <xf numFmtId="0" fontId="44" fillId="0" borderId="19" xfId="0" applyFont="1" applyBorder="1" applyAlignment="1">
      <alignment horizontal="left" vertical="center" indent="1"/>
    </xf>
    <xf numFmtId="0" fontId="15" fillId="0" borderId="20" xfId="0" applyFont="1" applyBorder="1" applyAlignment="1">
      <alignment vertical="center"/>
    </xf>
    <xf numFmtId="0" fontId="22" fillId="0" borderId="172" xfId="0" applyFont="1" applyBorder="1" applyAlignment="1">
      <alignment horizontal="center" vertical="center"/>
    </xf>
    <xf numFmtId="0" fontId="22" fillId="0" borderId="173" xfId="0" applyFont="1" applyBorder="1" applyAlignment="1">
      <alignment horizontal="left" vertical="center"/>
    </xf>
    <xf numFmtId="0" fontId="15" fillId="0" borderId="173" xfId="0" applyFont="1" applyBorder="1" applyAlignment="1">
      <alignment vertical="center"/>
    </xf>
    <xf numFmtId="0" fontId="22" fillId="0" borderId="173" xfId="0" applyFont="1" applyBorder="1" applyAlignment="1">
      <alignment horizontal="center" vertical="center"/>
    </xf>
    <xf numFmtId="0" fontId="15" fillId="0" borderId="173" xfId="0" applyFont="1" applyBorder="1" applyAlignment="1">
      <alignment horizontal="center" vertical="center"/>
    </xf>
    <xf numFmtId="170" fontId="15" fillId="0" borderId="173" xfId="0" applyNumberFormat="1" applyFont="1" applyBorder="1" applyAlignment="1">
      <alignment horizontal="center" vertical="center"/>
    </xf>
    <xf numFmtId="0" fontId="15" fillId="0" borderId="17" xfId="0" applyFont="1" applyBorder="1" applyAlignment="1">
      <alignment horizontal="left" vertical="center" wrapText="1" indent="1"/>
    </xf>
    <xf numFmtId="12" fontId="160" fillId="78" borderId="8" xfId="0" applyNumberFormat="1" applyFont="1" applyFill="1" applyBorder="1" applyAlignment="1">
      <alignment horizontal="left" vertical="center" indent="1"/>
    </xf>
    <xf numFmtId="0" fontId="42" fillId="0" borderId="20" xfId="0" applyFont="1" applyBorder="1" applyAlignment="1">
      <alignment horizontal="center" vertical="center"/>
    </xf>
    <xf numFmtId="0" fontId="44" fillId="0" borderId="20" xfId="0" applyFont="1" applyBorder="1" applyAlignment="1">
      <alignment horizontal="center" vertical="center"/>
    </xf>
    <xf numFmtId="170" fontId="44" fillId="0" borderId="20" xfId="0" applyNumberFormat="1" applyFont="1" applyBorder="1" applyAlignment="1">
      <alignment horizontal="center" vertical="center"/>
    </xf>
    <xf numFmtId="0" fontId="121" fillId="0" borderId="66" xfId="0" applyFont="1" applyBorder="1"/>
    <xf numFmtId="12" fontId="124" fillId="61" borderId="82" xfId="105" applyNumberFormat="1" applyFont="1" applyFill="1" applyBorder="1" applyAlignment="1">
      <alignment horizontal="left" vertical="center" indent="1"/>
    </xf>
    <xf numFmtId="169" fontId="124" fillId="61" borderId="82" xfId="105" applyNumberFormat="1" applyFont="1" applyFill="1" applyBorder="1" applyAlignment="1">
      <alignment horizontal="right" vertical="center" indent="1"/>
    </xf>
    <xf numFmtId="169" fontId="67" fillId="0" borderId="0" xfId="104" applyNumberFormat="1" applyFont="1"/>
    <xf numFmtId="0" fontId="175" fillId="76" borderId="54" xfId="104" applyFont="1" applyFill="1" applyBorder="1" applyAlignment="1">
      <alignment horizontal="center" vertical="center"/>
    </xf>
    <xf numFmtId="0" fontId="175" fillId="76" borderId="55" xfId="104" applyFont="1" applyFill="1" applyBorder="1" applyAlignment="1">
      <alignment horizontal="center" vertical="center"/>
    </xf>
    <xf numFmtId="0" fontId="175" fillId="76" borderId="56" xfId="104" applyFont="1" applyFill="1" applyBorder="1" applyAlignment="1">
      <alignment horizontal="center" vertical="center"/>
    </xf>
    <xf numFmtId="0" fontId="176" fillId="0" borderId="54" xfId="104" applyFont="1" applyBorder="1" applyAlignment="1">
      <alignment horizontal="center" vertical="center"/>
    </xf>
    <xf numFmtId="0" fontId="176" fillId="0" borderId="55" xfId="104" applyFont="1" applyBorder="1" applyAlignment="1">
      <alignment horizontal="center" vertical="center"/>
    </xf>
    <xf numFmtId="0" fontId="176" fillId="0" borderId="56" xfId="104" applyFont="1" applyBorder="1" applyAlignment="1">
      <alignment horizontal="center" vertical="center"/>
    </xf>
    <xf numFmtId="0" fontId="125" fillId="0" borderId="185" xfId="104" applyFont="1" applyBorder="1"/>
    <xf numFmtId="0" fontId="176" fillId="56" borderId="74" xfId="104" applyFont="1" applyFill="1" applyBorder="1" applyAlignment="1">
      <alignment horizontal="center" vertical="center"/>
    </xf>
    <xf numFmtId="0" fontId="174" fillId="56" borderId="0" xfId="104" applyFont="1" applyFill="1" applyAlignment="1">
      <alignment horizontal="center" vertical="center"/>
    </xf>
    <xf numFmtId="194" fontId="25" fillId="0" borderId="53" xfId="0" applyNumberFormat="1" applyFont="1" applyBorder="1" applyAlignment="1">
      <alignment horizontal="left" vertical="center"/>
    </xf>
    <xf numFmtId="0" fontId="114" fillId="0" borderId="110" xfId="90" applyFont="1" applyBorder="1" applyAlignment="1">
      <alignment horizontal="center" vertical="center" wrapText="1"/>
    </xf>
    <xf numFmtId="0" fontId="154" fillId="0" borderId="79" xfId="90" applyFont="1" applyBorder="1" applyAlignment="1">
      <alignment horizontal="center" vertical="center"/>
    </xf>
    <xf numFmtId="0" fontId="27" fillId="0" borderId="0" xfId="90" applyFont="1" applyAlignment="1">
      <alignment horizontal="center" vertical="center"/>
    </xf>
    <xf numFmtId="0" fontId="83" fillId="0" borderId="80" xfId="0" applyFont="1" applyBorder="1" applyAlignment="1">
      <alignment horizontal="left" vertical="center"/>
    </xf>
    <xf numFmtId="0" fontId="83" fillId="0" borderId="81" xfId="0" applyFont="1" applyBorder="1" applyAlignment="1">
      <alignment horizontal="left" vertical="center"/>
    </xf>
    <xf numFmtId="0" fontId="83" fillId="0" borderId="53" xfId="0" applyFont="1" applyBorder="1" applyAlignment="1">
      <alignment horizontal="left" vertical="center"/>
    </xf>
    <xf numFmtId="0" fontId="36" fillId="0" borderId="53" xfId="90" applyFont="1" applyBorder="1" applyAlignment="1">
      <alignment horizontal="center" vertical="center"/>
    </xf>
    <xf numFmtId="0" fontId="85" fillId="0" borderId="53" xfId="90" applyFont="1" applyBorder="1" applyAlignment="1">
      <alignment horizontal="center" vertical="center"/>
    </xf>
    <xf numFmtId="0" fontId="46" fillId="0" borderId="53" xfId="90" applyFont="1" applyBorder="1" applyAlignment="1">
      <alignment vertical="center"/>
    </xf>
    <xf numFmtId="0" fontId="39" fillId="0" borderId="53" xfId="90" applyFont="1" applyBorder="1" applyAlignment="1">
      <alignment vertical="center"/>
    </xf>
    <xf numFmtId="0" fontId="153" fillId="0" borderId="53" xfId="90" applyFont="1" applyBorder="1" applyAlignment="1">
      <alignment vertical="center"/>
    </xf>
    <xf numFmtId="0" fontId="82" fillId="0" borderId="66" xfId="90" applyFont="1" applyBorder="1" applyAlignment="1">
      <alignment horizontal="left" vertical="center"/>
    </xf>
    <xf numFmtId="0" fontId="34" fillId="0" borderId="67" xfId="90" applyFont="1" applyBorder="1" applyAlignment="1">
      <alignment horizontal="left" vertical="center"/>
    </xf>
    <xf numFmtId="0" fontId="81" fillId="0" borderId="53" xfId="90" applyFont="1" applyBorder="1" applyAlignment="1">
      <alignment horizontal="left" vertical="center"/>
    </xf>
    <xf numFmtId="0" fontId="34" fillId="0" borderId="53" xfId="90" applyFont="1" applyBorder="1" applyAlignment="1">
      <alignment horizontal="left" vertical="center"/>
    </xf>
    <xf numFmtId="0" fontId="0" fillId="0" borderId="53" xfId="0" applyBorder="1" applyAlignment="1">
      <alignment vertical="center"/>
    </xf>
    <xf numFmtId="0" fontId="28" fillId="0" borderId="67" xfId="90" applyFont="1" applyBorder="1" applyAlignment="1">
      <alignment horizontal="left" vertical="center"/>
    </xf>
    <xf numFmtId="0" fontId="153" fillId="0" borderId="53" xfId="90" quotePrefix="1" applyFont="1" applyBorder="1" applyAlignment="1">
      <alignment vertical="center"/>
    </xf>
    <xf numFmtId="0" fontId="34" fillId="0" borderId="81" xfId="90" applyFont="1" applyBorder="1" applyAlignment="1">
      <alignment horizontal="left" vertical="center"/>
    </xf>
    <xf numFmtId="0" fontId="27" fillId="0" borderId="69" xfId="90" applyFont="1" applyBorder="1" applyAlignment="1">
      <alignment vertical="center"/>
    </xf>
    <xf numFmtId="0" fontId="113" fillId="0" borderId="68" xfId="90" quotePrefix="1" applyFont="1" applyBorder="1" applyAlignment="1">
      <alignment horizontal="left" vertical="center"/>
    </xf>
    <xf numFmtId="0" fontId="34" fillId="0" borderId="68" xfId="90" applyFont="1" applyBorder="1" applyAlignment="1">
      <alignment horizontal="center" vertical="center"/>
    </xf>
    <xf numFmtId="0" fontId="34" fillId="0" borderId="81" xfId="90" applyFont="1" applyBorder="1" applyAlignment="1">
      <alignment horizontal="center" vertical="center"/>
    </xf>
    <xf numFmtId="0" fontId="25" fillId="0" borderId="68" xfId="90" applyFont="1" applyBorder="1" applyAlignment="1">
      <alignment horizontal="center" vertical="center"/>
    </xf>
    <xf numFmtId="0" fontId="86" fillId="0" borderId="68" xfId="90" applyFont="1" applyBorder="1" applyAlignment="1">
      <alignment horizontal="center" vertical="center"/>
    </xf>
    <xf numFmtId="0" fontId="27" fillId="0" borderId="68" xfId="90" applyFont="1" applyBorder="1" applyAlignment="1">
      <alignment horizontal="left" vertical="center"/>
    </xf>
    <xf numFmtId="0" fontId="27" fillId="0" borderId="68" xfId="90" applyFont="1" applyBorder="1" applyAlignment="1">
      <alignment vertical="center"/>
    </xf>
    <xf numFmtId="0" fontId="75" fillId="0" borderId="77" xfId="0" applyFont="1" applyBorder="1" applyAlignment="1">
      <alignment vertical="center"/>
    </xf>
    <xf numFmtId="0" fontId="155" fillId="0" borderId="0" xfId="90" applyFont="1" applyAlignment="1">
      <alignment vertical="center"/>
    </xf>
    <xf numFmtId="0" fontId="77" fillId="0" borderId="0" xfId="90" applyFont="1" applyAlignment="1">
      <alignment vertical="center"/>
    </xf>
    <xf numFmtId="0" fontId="70" fillId="0" borderId="77" xfId="0" applyFont="1" applyBorder="1" applyAlignment="1">
      <alignment vertical="center"/>
    </xf>
    <xf numFmtId="0" fontId="157" fillId="0" borderId="0" xfId="90" applyFont="1" applyAlignment="1">
      <alignment vertical="center"/>
    </xf>
    <xf numFmtId="0" fontId="78" fillId="0" borderId="0" xfId="90" applyFont="1" applyAlignment="1">
      <alignment vertical="center"/>
    </xf>
    <xf numFmtId="0" fontId="27" fillId="0" borderId="78" xfId="90" applyFont="1" applyBorder="1" applyAlignment="1">
      <alignment vertical="center"/>
    </xf>
    <xf numFmtId="0" fontId="0" fillId="0" borderId="77" xfId="0" applyBorder="1" applyAlignment="1">
      <alignment vertical="center"/>
    </xf>
    <xf numFmtId="0" fontId="27" fillId="0" borderId="77" xfId="90" applyFont="1" applyBorder="1" applyAlignment="1">
      <alignment vertical="center"/>
    </xf>
    <xf numFmtId="0" fontId="32" fillId="68" borderId="110" xfId="91" applyFont="1" applyFill="1" applyBorder="1" applyAlignment="1">
      <alignment horizontal="left" vertical="center" wrapText="1"/>
    </xf>
    <xf numFmtId="0" fontId="159" fillId="0" borderId="0" xfId="90" applyFont="1" applyAlignment="1">
      <alignment vertical="center"/>
    </xf>
    <xf numFmtId="0" fontId="29" fillId="0" borderId="0" xfId="90" applyFont="1" applyAlignment="1">
      <alignment vertical="center"/>
    </xf>
    <xf numFmtId="0" fontId="29" fillId="49" borderId="0" xfId="90" applyFont="1" applyFill="1" applyAlignment="1">
      <alignment vertical="center"/>
    </xf>
    <xf numFmtId="0" fontId="32" fillId="68" borderId="110" xfId="0" applyFont="1" applyFill="1" applyBorder="1" applyAlignment="1">
      <alignment horizontal="left" vertical="center" wrapText="1"/>
    </xf>
    <xf numFmtId="2" fontId="24" fillId="68" borderId="79" xfId="90" applyNumberFormat="1" applyFont="1" applyFill="1" applyBorder="1" applyAlignment="1" applyProtection="1">
      <alignment horizontal="left" vertical="center" wrapText="1"/>
      <protection locked="0"/>
    </xf>
    <xf numFmtId="2" fontId="32" fillId="68" borderId="79" xfId="90" applyNumberFormat="1" applyFont="1" applyFill="1" applyBorder="1" applyAlignment="1" applyProtection="1">
      <alignment horizontal="left" vertical="center" wrapText="1"/>
      <protection locked="0"/>
    </xf>
    <xf numFmtId="0" fontId="25" fillId="0" borderId="0" xfId="90" applyFont="1" applyAlignment="1">
      <alignment horizontal="center" vertical="center"/>
    </xf>
    <xf numFmtId="0" fontId="56" fillId="0" borderId="0" xfId="90" applyFont="1" applyAlignment="1">
      <alignment vertical="center"/>
    </xf>
    <xf numFmtId="0" fontId="27" fillId="0" borderId="0" xfId="90" applyFont="1" applyAlignment="1">
      <alignment horizontal="left" vertical="center"/>
    </xf>
    <xf numFmtId="0" fontId="46" fillId="0" borderId="0" xfId="90" applyFont="1" applyAlignment="1">
      <alignment vertical="center"/>
    </xf>
    <xf numFmtId="0" fontId="39" fillId="0" borderId="0" xfId="90" applyFont="1" applyAlignment="1">
      <alignment vertical="center"/>
    </xf>
    <xf numFmtId="173" fontId="179" fillId="61" borderId="79" xfId="90" applyNumberFormat="1" applyFont="1" applyFill="1" applyBorder="1" applyAlignment="1">
      <alignment horizontal="left" vertical="center"/>
    </xf>
    <xf numFmtId="2" fontId="32" fillId="68" borderId="79" xfId="90" applyNumberFormat="1" applyFont="1" applyFill="1" applyBorder="1" applyAlignment="1" applyProtection="1">
      <alignment horizontal="justify" vertical="center" wrapText="1"/>
      <protection locked="0"/>
    </xf>
    <xf numFmtId="173" fontId="118" fillId="0" borderId="79" xfId="90" applyNumberFormat="1" applyFont="1" applyBorder="1" applyAlignment="1">
      <alignment horizontal="left" vertical="center"/>
    </xf>
    <xf numFmtId="169" fontId="68" fillId="57" borderId="79" xfId="90" applyNumberFormat="1" applyFont="1" applyFill="1" applyBorder="1" applyAlignment="1">
      <alignment horizontal="center" vertical="center"/>
    </xf>
    <xf numFmtId="173" fontId="65" fillId="0" borderId="79" xfId="90" applyNumberFormat="1" applyFont="1" applyBorder="1" applyAlignment="1">
      <alignment horizontal="left" vertical="center"/>
    </xf>
    <xf numFmtId="0" fontId="130" fillId="0" borderId="110" xfId="0" applyFont="1" applyBorder="1" applyAlignment="1">
      <alignment horizontal="center"/>
    </xf>
    <xf numFmtId="0" fontId="69" fillId="61" borderId="186" xfId="90" applyFont="1" applyFill="1" applyBorder="1" applyAlignment="1">
      <alignment horizontal="left" vertical="center"/>
    </xf>
    <xf numFmtId="0" fontId="69" fillId="61" borderId="187" xfId="90" applyFont="1" applyFill="1" applyBorder="1" applyAlignment="1">
      <alignment horizontal="left" vertical="center"/>
    </xf>
    <xf numFmtId="173" fontId="65" fillId="50" borderId="79" xfId="90" applyNumberFormat="1" applyFont="1" applyFill="1" applyBorder="1" applyAlignment="1">
      <alignment horizontal="left" vertical="center"/>
    </xf>
    <xf numFmtId="1" fontId="32" fillId="68" borderId="110" xfId="90" applyNumberFormat="1" applyFont="1" applyFill="1" applyBorder="1" applyAlignment="1">
      <alignment horizontal="center" vertical="center"/>
    </xf>
    <xf numFmtId="1" fontId="69" fillId="61" borderId="110" xfId="90" applyNumberFormat="1" applyFont="1" applyFill="1" applyBorder="1" applyAlignment="1">
      <alignment horizontal="center" vertical="center"/>
    </xf>
    <xf numFmtId="0" fontId="181" fillId="0" borderId="0" xfId="90" applyFont="1" applyAlignment="1">
      <alignment horizontal="center" vertical="center"/>
    </xf>
    <xf numFmtId="0" fontId="181" fillId="0" borderId="0" xfId="90" applyFont="1" applyAlignment="1">
      <alignment vertical="center"/>
    </xf>
    <xf numFmtId="2" fontId="181" fillId="0" borderId="0" xfId="90" applyNumberFormat="1" applyFont="1" applyAlignment="1">
      <alignment horizontal="center" vertical="center"/>
    </xf>
    <xf numFmtId="0" fontId="0" fillId="0" borderId="126" xfId="0" applyBorder="1" applyAlignment="1">
      <alignment horizontal="center" vertical="center"/>
    </xf>
    <xf numFmtId="167" fontId="0" fillId="0" borderId="126" xfId="0" applyNumberFormat="1" applyBorder="1" applyAlignment="1">
      <alignment horizontal="center" vertical="center"/>
    </xf>
    <xf numFmtId="168" fontId="0" fillId="42" borderId="126" xfId="0" applyNumberFormat="1" applyFill="1" applyBorder="1" applyAlignment="1">
      <alignment vertical="center"/>
    </xf>
    <xf numFmtId="168" fontId="0" fillId="0" borderId="126" xfId="0" applyNumberFormat="1" applyBorder="1" applyAlignment="1">
      <alignment vertical="center"/>
    </xf>
    <xf numFmtId="10" fontId="0" fillId="0" borderId="126" xfId="0" applyNumberFormat="1" applyBorder="1" applyAlignment="1">
      <alignment horizontal="center" vertical="center"/>
    </xf>
    <xf numFmtId="168" fontId="67" fillId="42" borderId="126" xfId="0" applyNumberFormat="1" applyFont="1" applyFill="1" applyBorder="1" applyAlignment="1">
      <alignment vertical="center"/>
    </xf>
    <xf numFmtId="168" fontId="67" fillId="0" borderId="126" xfId="0" applyNumberFormat="1" applyFont="1" applyBorder="1" applyAlignment="1">
      <alignment vertical="center"/>
    </xf>
    <xf numFmtId="2" fontId="0" fillId="0" borderId="126" xfId="0" applyNumberFormat="1" applyBorder="1" applyAlignment="1">
      <alignment horizontal="center" vertical="center"/>
    </xf>
    <xf numFmtId="187" fontId="180" fillId="42" borderId="177" xfId="0" applyNumberFormat="1" applyFont="1" applyFill="1" applyBorder="1" applyAlignment="1">
      <alignment vertical="center"/>
    </xf>
    <xf numFmtId="187" fontId="161" fillId="42" borderId="177" xfId="0" applyNumberFormat="1" applyFont="1" applyFill="1" applyBorder="1" applyAlignment="1">
      <alignment vertical="center"/>
    </xf>
    <xf numFmtId="0" fontId="0" fillId="0" borderId="67" xfId="0" applyBorder="1" applyAlignment="1">
      <alignment horizontal="center" vertical="center"/>
    </xf>
    <xf numFmtId="0" fontId="0" fillId="0" borderId="66" xfId="0" applyBorder="1" applyAlignment="1">
      <alignment vertical="center"/>
    </xf>
    <xf numFmtId="10" fontId="0" fillId="0" borderId="0" xfId="0" applyNumberFormat="1" applyAlignment="1">
      <alignment vertical="center"/>
    </xf>
    <xf numFmtId="195" fontId="25" fillId="0" borderId="0" xfId="206" applyNumberFormat="1" applyFont="1" applyAlignment="1">
      <alignment horizontal="center" vertical="center"/>
    </xf>
    <xf numFmtId="195" fontId="38" fillId="0" borderId="0" xfId="206" applyNumberFormat="1" applyFont="1" applyAlignment="1">
      <alignment horizontal="center" vertical="center"/>
    </xf>
    <xf numFmtId="195" fontId="0" fillId="0" borderId="0" xfId="206" applyNumberFormat="1" applyFont="1" applyAlignment="1">
      <alignment horizontal="center" vertical="center"/>
    </xf>
    <xf numFmtId="169" fontId="0" fillId="0" borderId="126" xfId="0" applyNumberFormat="1" applyBorder="1" applyAlignment="1">
      <alignment horizontal="center" vertical="center"/>
    </xf>
    <xf numFmtId="2" fontId="132" fillId="68" borderId="79" xfId="90" applyNumberFormat="1" applyFont="1" applyFill="1" applyBorder="1" applyAlignment="1" applyProtection="1">
      <alignment horizontal="left" vertical="center" wrapText="1"/>
      <protection locked="0"/>
    </xf>
    <xf numFmtId="2" fontId="182" fillId="0" borderId="0" xfId="90" applyNumberFormat="1" applyFont="1" applyAlignment="1">
      <alignment horizontal="center" vertical="center"/>
    </xf>
    <xf numFmtId="2" fontId="118" fillId="68" borderId="79" xfId="90" applyNumberFormat="1" applyFont="1" applyFill="1" applyBorder="1" applyAlignment="1" applyProtection="1">
      <alignment horizontal="left" vertical="center" wrapText="1"/>
      <protection locked="0"/>
    </xf>
    <xf numFmtId="173" fontId="118" fillId="50" borderId="79" xfId="90" applyNumberFormat="1" applyFont="1" applyFill="1" applyBorder="1" applyAlignment="1">
      <alignment horizontal="left" vertical="center"/>
    </xf>
    <xf numFmtId="2" fontId="27" fillId="0" borderId="0" xfId="90" applyNumberFormat="1" applyFont="1" applyAlignment="1">
      <alignment horizontal="center" vertical="center"/>
    </xf>
    <xf numFmtId="0" fontId="0" fillId="0" borderId="126" xfId="0" applyBorder="1" applyAlignment="1">
      <alignment horizontal="center"/>
    </xf>
    <xf numFmtId="1" fontId="0" fillId="0" borderId="126" xfId="0" applyNumberFormat="1" applyBorder="1" applyAlignment="1">
      <alignment horizontal="center"/>
    </xf>
    <xf numFmtId="169" fontId="0" fillId="0" borderId="126" xfId="0" applyNumberFormat="1" applyBorder="1" applyAlignment="1">
      <alignment horizontal="center"/>
    </xf>
    <xf numFmtId="168" fontId="0" fillId="42" borderId="126" xfId="0" applyNumberFormat="1" applyFill="1" applyBorder="1"/>
    <xf numFmtId="168" fontId="0" fillId="0" borderId="126" xfId="0" applyNumberFormat="1" applyBorder="1"/>
    <xf numFmtId="169" fontId="32" fillId="50" borderId="79" xfId="90" applyNumberFormat="1" applyFont="1" applyFill="1" applyBorder="1" applyAlignment="1">
      <alignment horizontal="center" vertical="center"/>
    </xf>
    <xf numFmtId="2" fontId="32" fillId="68" borderId="79" xfId="90" quotePrefix="1" applyNumberFormat="1" applyFont="1" applyFill="1" applyBorder="1" applyAlignment="1" applyProtection="1">
      <alignment horizontal="justify" vertical="center" wrapText="1"/>
      <protection locked="0"/>
    </xf>
    <xf numFmtId="0" fontId="72" fillId="0" borderId="58" xfId="0" applyFont="1" applyBorder="1" applyAlignment="1">
      <alignment horizontal="center" vertical="center"/>
    </xf>
    <xf numFmtId="169" fontId="71" fillId="57" borderId="54" xfId="0" applyNumberFormat="1" applyFont="1" applyFill="1" applyBorder="1" applyAlignment="1">
      <alignment horizontal="left" vertical="center" indent="1"/>
    </xf>
    <xf numFmtId="169" fontId="71" fillId="57" borderId="56" xfId="0" applyNumberFormat="1" applyFont="1" applyFill="1" applyBorder="1" applyAlignment="1">
      <alignment horizontal="left" vertical="center" indent="1"/>
    </xf>
    <xf numFmtId="173" fontId="71" fillId="57" borderId="54" xfId="0" applyNumberFormat="1" applyFont="1" applyFill="1" applyBorder="1" applyAlignment="1">
      <alignment horizontal="right" vertical="center" indent="1"/>
    </xf>
    <xf numFmtId="173" fontId="71" fillId="57" borderId="55" xfId="0" applyNumberFormat="1" applyFont="1" applyFill="1" applyBorder="1" applyAlignment="1">
      <alignment horizontal="right" vertical="center" indent="1"/>
    </xf>
    <xf numFmtId="173" fontId="71" fillId="57" borderId="56" xfId="0" applyNumberFormat="1" applyFont="1" applyFill="1" applyBorder="1" applyAlignment="1">
      <alignment horizontal="right" vertical="center" indent="1"/>
    </xf>
    <xf numFmtId="0" fontId="71" fillId="0" borderId="54" xfId="0" applyFont="1" applyBorder="1" applyAlignment="1">
      <alignment horizontal="left" vertical="center" indent="1"/>
    </xf>
    <xf numFmtId="0" fontId="71" fillId="0" borderId="55" xfId="0" applyFont="1" applyBorder="1" applyAlignment="1">
      <alignment horizontal="left" vertical="center" indent="1"/>
    </xf>
    <xf numFmtId="0" fontId="71" fillId="0" borderId="56" xfId="0" applyFont="1" applyBorder="1" applyAlignment="1">
      <alignment horizontal="left" vertical="center" indent="1"/>
    </xf>
    <xf numFmtId="193" fontId="160" fillId="78" borderId="164" xfId="0" applyNumberFormat="1" applyFont="1" applyFill="1" applyBorder="1" applyAlignment="1">
      <alignment horizontal="left" vertical="center" indent="1"/>
    </xf>
    <xf numFmtId="193" fontId="160" fillId="78" borderId="165" xfId="0" applyNumberFormat="1" applyFont="1" applyFill="1" applyBorder="1" applyAlignment="1">
      <alignment horizontal="left" vertical="center" indent="1"/>
    </xf>
    <xf numFmtId="193" fontId="160" fillId="78" borderId="166" xfId="0" applyNumberFormat="1" applyFont="1" applyFill="1" applyBorder="1" applyAlignment="1">
      <alignment horizontal="left" vertical="center" indent="1"/>
    </xf>
    <xf numFmtId="180" fontId="178" fillId="78" borderId="176" xfId="104" applyNumberFormat="1" applyFont="1" applyFill="1" applyBorder="1" applyAlignment="1">
      <alignment horizontal="left" vertical="center" indent="1"/>
    </xf>
    <xf numFmtId="0" fontId="71" fillId="0" borderId="101" xfId="0" applyFont="1" applyBorder="1" applyAlignment="1">
      <alignment horizontal="left" vertical="center" indent="1"/>
    </xf>
    <xf numFmtId="0" fontId="53" fillId="61" borderId="54" xfId="0" applyFont="1" applyFill="1" applyBorder="1" applyAlignment="1">
      <alignment horizontal="left" vertical="center" indent="1"/>
    </xf>
    <xf numFmtId="0" fontId="53" fillId="61" borderId="55" xfId="0" applyFont="1" applyFill="1" applyBorder="1" applyAlignment="1">
      <alignment horizontal="left" vertical="center" indent="1"/>
    </xf>
    <xf numFmtId="0" fontId="53" fillId="61" borderId="118" xfId="0" applyFont="1" applyFill="1" applyBorder="1" applyAlignment="1">
      <alignment horizontal="left" vertical="center" indent="1"/>
    </xf>
    <xf numFmtId="0" fontId="53" fillId="61" borderId="54" xfId="0" applyFont="1" applyFill="1" applyBorder="1" applyAlignment="1">
      <alignment horizontal="left" vertical="center" wrapText="1" indent="1"/>
    </xf>
    <xf numFmtId="1" fontId="122" fillId="68" borderId="140" xfId="105" applyNumberFormat="1" applyFont="1" applyFill="1" applyBorder="1" applyAlignment="1">
      <alignment horizontal="center" vertical="center" textRotation="46" wrapText="1"/>
    </xf>
    <xf numFmtId="1" fontId="122" fillId="68" borderId="141" xfId="105" applyNumberFormat="1" applyFont="1" applyFill="1" applyBorder="1" applyAlignment="1">
      <alignment horizontal="center" vertical="center" textRotation="46" wrapText="1"/>
    </xf>
    <xf numFmtId="0" fontId="118" fillId="68" borderId="127" xfId="0" applyFont="1" applyFill="1" applyBorder="1" applyAlignment="1">
      <alignment horizontal="center"/>
    </xf>
    <xf numFmtId="0" fontId="118" fillId="68" borderId="129" xfId="0" applyFont="1" applyFill="1" applyBorder="1" applyAlignment="1">
      <alignment horizontal="center"/>
    </xf>
    <xf numFmtId="1" fontId="123" fillId="66" borderId="140" xfId="105" applyNumberFormat="1" applyFont="1" applyFill="1" applyBorder="1" applyAlignment="1">
      <alignment horizontal="center" vertical="center" textRotation="90" wrapText="1"/>
    </xf>
    <xf numFmtId="1" fontId="123" fillId="66" borderId="141" xfId="105" applyNumberFormat="1" applyFont="1" applyFill="1" applyBorder="1" applyAlignment="1">
      <alignment horizontal="center" vertical="center" textRotation="90" wrapText="1"/>
    </xf>
    <xf numFmtId="0" fontId="53" fillId="61" borderId="56" xfId="0" applyFont="1" applyFill="1" applyBorder="1" applyAlignment="1">
      <alignment horizontal="left" vertical="center" indent="1"/>
    </xf>
    <xf numFmtId="0" fontId="72" fillId="0" borderId="54" xfId="0" applyFont="1" applyBorder="1" applyAlignment="1">
      <alignment horizontal="center" wrapText="1"/>
    </xf>
    <xf numFmtId="0" fontId="72" fillId="0" borderId="56" xfId="0" applyFont="1" applyBorder="1" applyAlignment="1">
      <alignment horizontal="center" wrapText="1"/>
    </xf>
    <xf numFmtId="0" fontId="72" fillId="0" borderId="54" xfId="0" applyFont="1" applyBorder="1" applyAlignment="1">
      <alignment horizontal="center"/>
    </xf>
    <xf numFmtId="0" fontId="72" fillId="0" borderId="55" xfId="0" applyFont="1" applyBorder="1" applyAlignment="1">
      <alignment horizontal="center"/>
    </xf>
    <xf numFmtId="0" fontId="72" fillId="0" borderId="56" xfId="0" applyFont="1" applyBorder="1" applyAlignment="1">
      <alignment horizontal="center"/>
    </xf>
    <xf numFmtId="0" fontId="72" fillId="0" borderId="58" xfId="0" applyFont="1" applyBorder="1" applyAlignment="1">
      <alignment horizontal="center"/>
    </xf>
    <xf numFmtId="0" fontId="72" fillId="0" borderId="147" xfId="0" applyFont="1" applyBorder="1" applyAlignment="1">
      <alignment horizontal="center" vertical="center" wrapText="1"/>
    </xf>
    <xf numFmtId="0" fontId="72" fillId="0" borderId="0" xfId="0" applyFont="1" applyAlignment="1">
      <alignment horizontal="center" vertical="center" wrapText="1"/>
    </xf>
    <xf numFmtId="0" fontId="68" fillId="52" borderId="58" xfId="90" applyFont="1" applyFill="1" applyBorder="1" applyAlignment="1">
      <alignment horizontal="left" vertical="center" indent="1"/>
    </xf>
    <xf numFmtId="184" fontId="160" fillId="78" borderId="167" xfId="104" applyNumberFormat="1" applyFont="1" applyFill="1" applyBorder="1" applyAlignment="1">
      <alignment horizontal="left" vertical="center" indent="1"/>
    </xf>
    <xf numFmtId="184" fontId="160" fillId="78" borderId="168" xfId="104" applyNumberFormat="1" applyFont="1" applyFill="1" applyBorder="1" applyAlignment="1">
      <alignment horizontal="left" vertical="center" indent="1"/>
    </xf>
    <xf numFmtId="184" fontId="160" fillId="78" borderId="169" xfId="104" applyNumberFormat="1" applyFont="1" applyFill="1" applyBorder="1" applyAlignment="1">
      <alignment horizontal="left" vertical="center" indent="1"/>
    </xf>
    <xf numFmtId="182" fontId="178" fillId="78" borderId="164" xfId="0" applyNumberFormat="1" applyFont="1" applyFill="1" applyBorder="1" applyAlignment="1">
      <alignment horizontal="left" vertical="center" indent="1"/>
    </xf>
    <xf numFmtId="182" fontId="178" fillId="78" borderId="165" xfId="0" applyNumberFormat="1" applyFont="1" applyFill="1" applyBorder="1" applyAlignment="1">
      <alignment horizontal="left" vertical="center" indent="1"/>
    </xf>
    <xf numFmtId="182" fontId="178" fillId="78" borderId="166" xfId="0" applyNumberFormat="1" applyFont="1" applyFill="1" applyBorder="1" applyAlignment="1">
      <alignment horizontal="left" vertical="center" indent="1"/>
    </xf>
    <xf numFmtId="0" fontId="160" fillId="78" borderId="181" xfId="0" applyFont="1" applyFill="1" applyBorder="1" applyAlignment="1">
      <alignment horizontal="left" vertical="center" indent="1"/>
    </xf>
    <xf numFmtId="0" fontId="160" fillId="78" borderId="165" xfId="0" applyFont="1" applyFill="1" applyBorder="1" applyAlignment="1">
      <alignment horizontal="left" vertical="center" indent="1"/>
    </xf>
    <xf numFmtId="0" fontId="160" fillId="78" borderId="166" xfId="0" applyFont="1" applyFill="1" applyBorder="1" applyAlignment="1">
      <alignment horizontal="left" vertical="center" indent="1"/>
    </xf>
    <xf numFmtId="1" fontId="112" fillId="53" borderId="126" xfId="105" applyNumberFormat="1" applyFont="1" applyFill="1" applyBorder="1" applyAlignment="1">
      <alignment horizontal="center" vertical="center" textRotation="46" wrapText="1"/>
    </xf>
    <xf numFmtId="1" fontId="123" fillId="69" borderId="126" xfId="105" applyNumberFormat="1" applyFont="1" applyFill="1" applyBorder="1" applyAlignment="1">
      <alignment horizontal="center" vertical="center" textRotation="46" wrapText="1"/>
    </xf>
    <xf numFmtId="0" fontId="160" fillId="78" borderId="178" xfId="0" applyFont="1" applyFill="1" applyBorder="1" applyAlignment="1">
      <alignment horizontal="left" vertical="center" indent="1"/>
    </xf>
    <xf numFmtId="0" fontId="160" fillId="78" borderId="179" xfId="0" applyFont="1" applyFill="1" applyBorder="1" applyAlignment="1">
      <alignment horizontal="left" vertical="center" indent="1"/>
    </xf>
    <xf numFmtId="0" fontId="160" fillId="78" borderId="180" xfId="0" applyFont="1" applyFill="1" applyBorder="1" applyAlignment="1">
      <alignment horizontal="left" vertical="center" indent="1"/>
    </xf>
    <xf numFmtId="0" fontId="62" fillId="68" borderId="113" xfId="0" applyFont="1" applyFill="1" applyBorder="1"/>
    <xf numFmtId="0" fontId="62" fillId="68" borderId="115" xfId="0" applyFont="1" applyFill="1" applyBorder="1"/>
    <xf numFmtId="1" fontId="62" fillId="60" borderId="127" xfId="105" applyNumberFormat="1" applyFont="1" applyFill="1" applyBorder="1" applyAlignment="1">
      <alignment horizontal="left" vertical="center"/>
    </xf>
    <xf numFmtId="1" fontId="62" fillId="60" borderId="128" xfId="105" applyNumberFormat="1" applyFont="1" applyFill="1" applyBorder="1" applyAlignment="1">
      <alignment horizontal="left" vertical="center"/>
    </xf>
    <xf numFmtId="1" fontId="62" fillId="60" borderId="129" xfId="105" applyNumberFormat="1" applyFont="1" applyFill="1" applyBorder="1" applyAlignment="1">
      <alignment horizontal="left" vertical="center"/>
    </xf>
    <xf numFmtId="0" fontId="118" fillId="71" borderId="142" xfId="0" applyFont="1" applyFill="1" applyBorder="1" applyAlignment="1">
      <alignment horizontal="center"/>
    </xf>
    <xf numFmtId="0" fontId="118" fillId="71" borderId="143" xfId="0" applyFont="1" applyFill="1" applyBorder="1" applyAlignment="1">
      <alignment horizontal="center"/>
    </xf>
    <xf numFmtId="0" fontId="126" fillId="56" borderId="58" xfId="0" applyFont="1" applyFill="1" applyBorder="1" applyAlignment="1">
      <alignment horizontal="right" vertical="center" wrapText="1" shrinkToFit="1"/>
    </xf>
    <xf numFmtId="0" fontId="62" fillId="70" borderId="58" xfId="90" applyFont="1" applyFill="1" applyBorder="1" applyAlignment="1">
      <alignment horizontal="left" vertical="center" indent="1"/>
    </xf>
    <xf numFmtId="0" fontId="62" fillId="57" borderId="58" xfId="90" applyFont="1" applyFill="1" applyBorder="1" applyAlignment="1">
      <alignment horizontal="left" vertical="center" indent="1"/>
    </xf>
    <xf numFmtId="169" fontId="68" fillId="58" borderId="58" xfId="90" applyNumberFormat="1" applyFont="1" applyFill="1" applyBorder="1" applyAlignment="1">
      <alignment horizontal="left" vertical="center" indent="1"/>
    </xf>
    <xf numFmtId="169" fontId="69" fillId="61" borderId="58" xfId="90" applyNumberFormat="1" applyFont="1" applyFill="1" applyBorder="1" applyAlignment="1">
      <alignment horizontal="left" vertical="center" indent="1"/>
    </xf>
    <xf numFmtId="17" fontId="160" fillId="78" borderId="181" xfId="0" quotePrefix="1" applyNumberFormat="1" applyFont="1" applyFill="1" applyBorder="1" applyAlignment="1">
      <alignment horizontal="left" vertical="center" indent="1"/>
    </xf>
    <xf numFmtId="17" fontId="160" fillId="78" borderId="165" xfId="0" quotePrefix="1" applyNumberFormat="1" applyFont="1" applyFill="1" applyBorder="1" applyAlignment="1">
      <alignment horizontal="left" vertical="center" indent="1"/>
    </xf>
    <xf numFmtId="17" fontId="160" fillId="78" borderId="166" xfId="0" quotePrefix="1" applyNumberFormat="1" applyFont="1" applyFill="1" applyBorder="1" applyAlignment="1">
      <alignment horizontal="left" vertical="center" indent="1"/>
    </xf>
    <xf numFmtId="0" fontId="118" fillId="71" borderId="144" xfId="0" applyFont="1" applyFill="1" applyBorder="1" applyAlignment="1">
      <alignment horizontal="center"/>
    </xf>
    <xf numFmtId="0" fontId="118" fillId="71" borderId="145" xfId="0" applyFont="1" applyFill="1" applyBorder="1" applyAlignment="1">
      <alignment horizontal="center"/>
    </xf>
    <xf numFmtId="0" fontId="118" fillId="71" borderId="146" xfId="0" applyFont="1" applyFill="1" applyBorder="1" applyAlignment="1">
      <alignment horizontal="center"/>
    </xf>
    <xf numFmtId="181" fontId="160" fillId="78" borderId="176" xfId="104" applyNumberFormat="1" applyFont="1" applyFill="1" applyBorder="1" applyAlignment="1">
      <alignment horizontal="left" vertical="center" indent="1"/>
    </xf>
    <xf numFmtId="0" fontId="160" fillId="78" borderId="164" xfId="0" applyFont="1" applyFill="1" applyBorder="1" applyAlignment="1">
      <alignment horizontal="left" vertical="center" indent="1"/>
    </xf>
    <xf numFmtId="0" fontId="72" fillId="0" borderId="54" xfId="0" applyFont="1" applyBorder="1" applyAlignment="1">
      <alignment horizontal="center" vertical="center" wrapText="1"/>
    </xf>
    <xf numFmtId="0" fontId="72" fillId="0" borderId="55" xfId="0" applyFont="1" applyBorder="1" applyAlignment="1">
      <alignment horizontal="center" vertical="center" wrapText="1"/>
    </xf>
    <xf numFmtId="0" fontId="72" fillId="0" borderId="56" xfId="0" applyFont="1" applyBorder="1" applyAlignment="1">
      <alignment horizontal="center" vertical="center" wrapText="1"/>
    </xf>
    <xf numFmtId="1" fontId="68" fillId="53" borderId="127" xfId="105" applyNumberFormat="1" applyFont="1" applyFill="1" applyBorder="1" applyAlignment="1">
      <alignment horizontal="left" vertical="center"/>
    </xf>
    <xf numFmtId="1" fontId="68" fillId="53" borderId="128" xfId="105" applyNumberFormat="1" applyFont="1" applyFill="1" applyBorder="1" applyAlignment="1">
      <alignment horizontal="left" vertical="center"/>
    </xf>
    <xf numFmtId="1" fontId="68" fillId="53" borderId="129" xfId="105" applyNumberFormat="1" applyFont="1" applyFill="1" applyBorder="1" applyAlignment="1">
      <alignment horizontal="left" vertical="center"/>
    </xf>
    <xf numFmtId="0" fontId="72" fillId="0" borderId="58" xfId="0" applyFont="1" applyBorder="1" applyAlignment="1">
      <alignment horizontal="center" vertical="center" wrapText="1"/>
    </xf>
    <xf numFmtId="0" fontId="72" fillId="0" borderId="72" xfId="0" applyFont="1" applyBorder="1" applyAlignment="1">
      <alignment horizontal="center" vertical="center" wrapText="1"/>
    </xf>
    <xf numFmtId="0" fontId="72" fillId="0" borderId="74" xfId="0" applyFont="1" applyBorder="1" applyAlignment="1">
      <alignment horizontal="center" vertical="center" wrapText="1"/>
    </xf>
    <xf numFmtId="0" fontId="72" fillId="0" borderId="70" xfId="0" applyFont="1" applyBorder="1" applyAlignment="1">
      <alignment horizontal="center" vertical="center" wrapText="1"/>
    </xf>
    <xf numFmtId="0" fontId="72" fillId="0" borderId="73" xfId="0" applyFont="1" applyBorder="1" applyAlignment="1">
      <alignment horizontal="center" vertical="center" wrapText="1"/>
    </xf>
    <xf numFmtId="0" fontId="72" fillId="0" borderId="62" xfId="0" applyFont="1" applyBorder="1" applyAlignment="1">
      <alignment horizontal="center" vertical="center" wrapText="1"/>
    </xf>
    <xf numFmtId="0" fontId="72" fillId="0" borderId="71" xfId="0" applyFont="1" applyBorder="1" applyAlignment="1">
      <alignment horizontal="center" vertical="center" wrapText="1"/>
    </xf>
    <xf numFmtId="0" fontId="72" fillId="0" borderId="74" xfId="0" applyFont="1" applyBorder="1" applyAlignment="1">
      <alignment horizontal="center" vertical="center"/>
    </xf>
    <xf numFmtId="0" fontId="72" fillId="0" borderId="73" xfId="0" applyFont="1" applyBorder="1" applyAlignment="1">
      <alignment horizontal="center" vertical="center"/>
    </xf>
    <xf numFmtId="0" fontId="72" fillId="0" borderId="62" xfId="0" applyFont="1" applyBorder="1" applyAlignment="1">
      <alignment horizontal="center" vertical="center"/>
    </xf>
    <xf numFmtId="0" fontId="148" fillId="0" borderId="149" xfId="0" applyFont="1" applyBorder="1" applyAlignment="1">
      <alignment vertical="top" wrapText="1"/>
    </xf>
    <xf numFmtId="0" fontId="148" fillId="0" borderId="161" xfId="0" applyFont="1" applyBorder="1" applyAlignment="1">
      <alignment vertical="top" wrapText="1"/>
    </xf>
    <xf numFmtId="0" fontId="148" fillId="0" borderId="69" xfId="0" applyFont="1" applyBorder="1" applyAlignment="1">
      <alignment vertical="top" wrapText="1"/>
    </xf>
    <xf numFmtId="0" fontId="148" fillId="0" borderId="162" xfId="0" applyFont="1" applyBorder="1" applyAlignment="1">
      <alignment vertical="top" wrapText="1"/>
    </xf>
    <xf numFmtId="0" fontId="148" fillId="0" borderId="0" xfId="0" applyFont="1" applyAlignment="1">
      <alignment vertical="top" wrapText="1"/>
    </xf>
    <xf numFmtId="0" fontId="148" fillId="0" borderId="80" xfId="0" applyFont="1" applyBorder="1" applyAlignment="1">
      <alignment vertical="top" wrapText="1"/>
    </xf>
    <xf numFmtId="1" fontId="120" fillId="69" borderId="127" xfId="105" applyNumberFormat="1" applyFont="1" applyFill="1" applyBorder="1" applyAlignment="1">
      <alignment horizontal="left" vertical="center"/>
    </xf>
    <xf numFmtId="1" fontId="120" fillId="69" borderId="128" xfId="105" applyNumberFormat="1" applyFont="1" applyFill="1" applyBorder="1" applyAlignment="1">
      <alignment horizontal="left" vertical="center"/>
    </xf>
    <xf numFmtId="1" fontId="120" fillId="69" borderId="129" xfId="105" applyNumberFormat="1" applyFont="1" applyFill="1" applyBorder="1" applyAlignment="1">
      <alignment horizontal="left" vertical="center"/>
    </xf>
    <xf numFmtId="0" fontId="0" fillId="0" borderId="53" xfId="0" applyBorder="1" applyAlignment="1">
      <alignment horizontal="center"/>
    </xf>
    <xf numFmtId="0" fontId="71" fillId="0" borderId="75" xfId="0" applyFont="1" applyBorder="1" applyAlignment="1">
      <alignment horizontal="center" vertical="center"/>
    </xf>
    <xf numFmtId="0" fontId="71" fillId="0" borderId="76" xfId="0" applyFont="1" applyBorder="1" applyAlignment="1">
      <alignment horizontal="center" vertical="center"/>
    </xf>
    <xf numFmtId="0" fontId="72" fillId="0" borderId="75" xfId="0" applyFont="1" applyBorder="1" applyAlignment="1">
      <alignment horizontal="center" vertical="center" wrapText="1"/>
    </xf>
    <xf numFmtId="0" fontId="72" fillId="0" borderId="76" xfId="0" applyFont="1" applyBorder="1" applyAlignment="1">
      <alignment horizontal="center" vertical="center" wrapText="1"/>
    </xf>
    <xf numFmtId="0" fontId="71" fillId="0" borderId="72" xfId="0" applyFont="1" applyBorder="1" applyAlignment="1">
      <alignment horizontal="center" vertical="center"/>
    </xf>
    <xf numFmtId="0" fontId="71" fillId="0" borderId="70" xfId="0" applyFont="1" applyBorder="1" applyAlignment="1">
      <alignment horizontal="center" vertical="center"/>
    </xf>
    <xf numFmtId="0" fontId="71" fillId="0" borderId="73" xfId="0" applyFont="1" applyBorder="1" applyAlignment="1">
      <alignment horizontal="center" vertical="center"/>
    </xf>
    <xf numFmtId="0" fontId="71" fillId="0" borderId="71" xfId="0" applyFont="1" applyBorder="1" applyAlignment="1">
      <alignment horizontal="center" vertical="center"/>
    </xf>
    <xf numFmtId="0" fontId="25" fillId="0" borderId="53" xfId="0" applyFont="1" applyBorder="1" applyAlignment="1">
      <alignment horizontal="left" vertical="center"/>
    </xf>
    <xf numFmtId="0" fontId="26" fillId="48" borderId="141" xfId="0" applyFont="1" applyFill="1" applyBorder="1" applyAlignment="1">
      <alignment horizontal="center" vertical="center"/>
    </xf>
    <xf numFmtId="0" fontId="26" fillId="48" borderId="126" xfId="0" applyFont="1" applyFill="1" applyBorder="1" applyAlignment="1">
      <alignment horizontal="center" vertical="center"/>
    </xf>
    <xf numFmtId="0" fontId="114" fillId="0" borderId="79" xfId="90" applyFont="1" applyBorder="1" applyAlignment="1">
      <alignment horizontal="center" vertical="center" wrapText="1"/>
    </xf>
    <xf numFmtId="0" fontId="79" fillId="59" borderId="79" xfId="90" applyFont="1" applyFill="1" applyBorder="1" applyAlignment="1">
      <alignment horizontal="center" vertical="center" wrapText="1"/>
    </xf>
    <xf numFmtId="0" fontId="116" fillId="0" borderId="79" xfId="90" applyFont="1" applyBorder="1" applyAlignment="1">
      <alignment horizontal="center" vertical="center"/>
    </xf>
    <xf numFmtId="0" fontId="76" fillId="0" borderId="79" xfId="90" applyFont="1" applyBorder="1" applyAlignment="1">
      <alignment horizontal="center" vertical="center"/>
    </xf>
    <xf numFmtId="0" fontId="115" fillId="0" borderId="82" xfId="90" applyFont="1" applyBorder="1" applyAlignment="1">
      <alignment horizontal="center" vertical="center" textRotation="90" wrapText="1"/>
    </xf>
    <xf numFmtId="0" fontId="115" fillId="0" borderId="111" xfId="90" applyFont="1" applyBorder="1" applyAlignment="1">
      <alignment horizontal="center" vertical="center" textRotation="90" wrapText="1"/>
    </xf>
    <xf numFmtId="0" fontId="116" fillId="0" borderId="113" xfId="90" applyFont="1" applyBorder="1" applyAlignment="1">
      <alignment horizontal="center" vertical="center"/>
    </xf>
    <xf numFmtId="0" fontId="116" fillId="0" borderId="114" xfId="90" applyFont="1" applyBorder="1" applyAlignment="1">
      <alignment horizontal="center" vertical="center"/>
    </xf>
    <xf numFmtId="0" fontId="116" fillId="0" borderId="115" xfId="90" applyFont="1" applyBorder="1" applyAlignment="1">
      <alignment horizontal="center" vertical="center"/>
    </xf>
    <xf numFmtId="0" fontId="114" fillId="0" borderId="110" xfId="90" applyFont="1" applyBorder="1" applyAlignment="1">
      <alignment horizontal="center" vertical="center" wrapText="1"/>
    </xf>
    <xf numFmtId="0" fontId="156" fillId="0" borderId="102" xfId="90" applyFont="1" applyBorder="1" applyAlignment="1">
      <alignment horizontal="center" vertical="center"/>
    </xf>
    <xf numFmtId="0" fontId="156" fillId="0" borderId="103" xfId="90" applyFont="1" applyBorder="1" applyAlignment="1">
      <alignment horizontal="center" vertical="center"/>
    </xf>
    <xf numFmtId="0" fontId="156" fillId="0" borderId="83" xfId="90" applyFont="1" applyBorder="1" applyAlignment="1">
      <alignment horizontal="center" vertical="center"/>
    </xf>
    <xf numFmtId="0" fontId="156" fillId="0" borderId="84" xfId="90" applyFont="1" applyBorder="1" applyAlignment="1">
      <alignment horizontal="center" vertical="center"/>
    </xf>
    <xf numFmtId="0" fontId="154" fillId="0" borderId="83" xfId="90" applyFont="1" applyBorder="1" applyAlignment="1">
      <alignment horizontal="center" vertical="center"/>
    </xf>
    <xf numFmtId="0" fontId="154" fillId="0" borderId="163" xfId="90" applyFont="1" applyBorder="1" applyAlignment="1">
      <alignment horizontal="center" vertical="center"/>
    </xf>
    <xf numFmtId="0" fontId="154" fillId="0" borderId="84" xfId="90" applyFont="1" applyBorder="1" applyAlignment="1">
      <alignment horizontal="center" vertical="center"/>
    </xf>
    <xf numFmtId="0" fontId="154" fillId="0" borderId="82" xfId="90" applyFont="1" applyBorder="1" applyAlignment="1">
      <alignment horizontal="center" vertical="center"/>
    </xf>
    <xf numFmtId="0" fontId="114" fillId="0" borderId="112" xfId="90" applyFont="1" applyBorder="1" applyAlignment="1">
      <alignment horizontal="center" vertical="center" wrapText="1"/>
    </xf>
    <xf numFmtId="0" fontId="114" fillId="0" borderId="116" xfId="90" applyFont="1" applyBorder="1" applyAlignment="1">
      <alignment horizontal="center" vertical="center" wrapText="1"/>
    </xf>
    <xf numFmtId="0" fontId="114" fillId="0" borderId="117" xfId="90" applyFont="1" applyBorder="1" applyAlignment="1">
      <alignment horizontal="center" vertical="center" wrapText="1"/>
    </xf>
    <xf numFmtId="0" fontId="154" fillId="0" borderId="79" xfId="90" applyFont="1" applyBorder="1" applyAlignment="1">
      <alignment horizontal="center" vertical="center"/>
    </xf>
    <xf numFmtId="0" fontId="80" fillId="59" borderId="79" xfId="90" applyFont="1" applyFill="1" applyBorder="1" applyAlignment="1">
      <alignment horizontal="center" vertical="center"/>
    </xf>
    <xf numFmtId="0" fontId="115" fillId="0" borderId="110" xfId="90" applyFont="1" applyBorder="1" applyAlignment="1">
      <alignment horizontal="center" vertical="center" wrapText="1"/>
    </xf>
    <xf numFmtId="0" fontId="114" fillId="0" borderId="110" xfId="90" applyFont="1" applyBorder="1" applyAlignment="1">
      <alignment horizontal="center" vertical="center"/>
    </xf>
    <xf numFmtId="0" fontId="136" fillId="75" borderId="60" xfId="104" applyFont="1" applyFill="1" applyBorder="1" applyAlignment="1">
      <alignment horizontal="center"/>
    </xf>
    <xf numFmtId="0" fontId="136" fillId="75" borderId="93" xfId="104" applyFont="1" applyFill="1" applyBorder="1" applyAlignment="1">
      <alignment horizontal="center"/>
    </xf>
    <xf numFmtId="0" fontId="136" fillId="75" borderId="183" xfId="104" applyFont="1" applyFill="1" applyBorder="1" applyAlignment="1">
      <alignment horizontal="center"/>
    </xf>
    <xf numFmtId="0" fontId="174" fillId="56" borderId="0" xfId="104" applyFont="1" applyFill="1" applyAlignment="1">
      <alignment horizontal="left" vertical="center" indent="1"/>
    </xf>
    <xf numFmtId="169" fontId="174" fillId="56" borderId="0" xfId="104" applyNumberFormat="1" applyFont="1" applyFill="1" applyAlignment="1">
      <alignment horizontal="center" vertical="center"/>
    </xf>
    <xf numFmtId="169" fontId="176" fillId="0" borderId="58" xfId="104" applyNumberFormat="1" applyFont="1" applyBorder="1" applyAlignment="1">
      <alignment horizontal="center" vertical="center"/>
    </xf>
    <xf numFmtId="169" fontId="176" fillId="56" borderId="74" xfId="104" applyNumberFormat="1" applyFont="1" applyFill="1" applyBorder="1" applyAlignment="1">
      <alignment horizontal="center" vertical="center"/>
    </xf>
    <xf numFmtId="169" fontId="175" fillId="76" borderId="58" xfId="104" applyNumberFormat="1" applyFont="1" applyFill="1" applyBorder="1" applyAlignment="1">
      <alignment horizontal="center" vertical="center"/>
    </xf>
    <xf numFmtId="0" fontId="135" fillId="75" borderId="58" xfId="104" applyFont="1" applyFill="1" applyBorder="1" applyAlignment="1">
      <alignment horizontal="center" vertical="center" wrapText="1"/>
    </xf>
    <xf numFmtId="0" fontId="147" fillId="0" borderId="67" xfId="104" applyFont="1" applyBorder="1" applyAlignment="1">
      <alignment horizontal="left" indent="1" shrinkToFit="1"/>
    </xf>
    <xf numFmtId="0" fontId="147" fillId="0" borderId="77" xfId="104" applyFont="1" applyBorder="1" applyAlignment="1">
      <alignment horizontal="left" indent="1" shrinkToFit="1"/>
    </xf>
    <xf numFmtId="0" fontId="147" fillId="0" borderId="66" xfId="104" applyFont="1" applyBorder="1" applyAlignment="1">
      <alignment horizontal="left" indent="1" shrinkToFit="1"/>
    </xf>
    <xf numFmtId="0" fontId="102" fillId="47" borderId="62" xfId="104" applyFont="1" applyFill="1" applyBorder="1"/>
    <xf numFmtId="0" fontId="147" fillId="0" borderId="53" xfId="104" applyFont="1" applyBorder="1" applyAlignment="1">
      <alignment horizontal="left" indent="1" shrinkToFit="1"/>
    </xf>
    <xf numFmtId="0" fontId="102" fillId="62" borderId="77" xfId="104" applyFont="1" applyFill="1" applyBorder="1" applyAlignment="1">
      <alignment horizontal="left" indent="1"/>
    </xf>
    <xf numFmtId="181" fontId="102" fillId="62" borderId="77" xfId="104" applyNumberFormat="1" applyFont="1" applyFill="1" applyBorder="1" applyAlignment="1">
      <alignment horizontal="left" indent="1"/>
    </xf>
    <xf numFmtId="0" fontId="102" fillId="47" borderId="55" xfId="104" applyFont="1" applyFill="1" applyBorder="1"/>
    <xf numFmtId="0" fontId="137" fillId="76" borderId="58" xfId="104" applyFont="1" applyFill="1" applyBorder="1" applyAlignment="1">
      <alignment horizontal="left" vertical="center" indent="1"/>
    </xf>
    <xf numFmtId="0" fontId="135" fillId="75" borderId="58" xfId="104" applyFont="1" applyFill="1" applyBorder="1" applyAlignment="1">
      <alignment horizontal="center" vertical="center"/>
    </xf>
    <xf numFmtId="0" fontId="176" fillId="0" borderId="58" xfId="104" applyFont="1" applyBorder="1" applyAlignment="1">
      <alignment horizontal="left" vertical="center" indent="1"/>
    </xf>
    <xf numFmtId="0" fontId="101" fillId="47" borderId="55" xfId="104" applyFont="1" applyFill="1" applyBorder="1"/>
    <xf numFmtId="0" fontId="162" fillId="0" borderId="67" xfId="104" applyFont="1" applyBorder="1" applyAlignment="1">
      <alignment horizontal="left" vertical="center" indent="1" shrinkToFit="1"/>
    </xf>
    <xf numFmtId="0" fontId="162" fillId="0" borderId="77" xfId="104" applyFont="1" applyBorder="1" applyAlignment="1">
      <alignment horizontal="left" vertical="center" indent="1" shrinkToFit="1"/>
    </xf>
    <xf numFmtId="0" fontId="162" fillId="0" borderId="66" xfId="104" applyFont="1" applyBorder="1" applyAlignment="1">
      <alignment horizontal="left" vertical="center" indent="1" shrinkToFit="1"/>
    </xf>
    <xf numFmtId="0" fontId="93" fillId="0" borderId="104" xfId="105" applyFont="1" applyBorder="1" applyAlignment="1">
      <alignment horizontal="center" vertical="center" wrapText="1"/>
    </xf>
    <xf numFmtId="0" fontId="93" fillId="0" borderId="105" xfId="105" applyFont="1" applyBorder="1" applyAlignment="1">
      <alignment horizontal="center" vertical="center" wrapText="1"/>
    </xf>
    <xf numFmtId="0" fontId="93" fillId="0" borderId="106" xfId="105" applyFont="1" applyBorder="1" applyAlignment="1">
      <alignment horizontal="center" vertical="center" wrapText="1"/>
    </xf>
    <xf numFmtId="182" fontId="102" fillId="62" borderId="77" xfId="104" applyNumberFormat="1" applyFont="1" applyFill="1" applyBorder="1" applyAlignment="1">
      <alignment horizontal="left" indent="1"/>
    </xf>
    <xf numFmtId="183" fontId="101" fillId="62" borderId="77" xfId="104" applyNumberFormat="1" applyFont="1" applyFill="1" applyBorder="1" applyAlignment="1">
      <alignment horizontal="left" indent="1"/>
    </xf>
    <xf numFmtId="10" fontId="101" fillId="62" borderId="77" xfId="104" applyNumberFormat="1" applyFont="1" applyFill="1" applyBorder="1" applyAlignment="1">
      <alignment horizontal="left" indent="1"/>
    </xf>
    <xf numFmtId="179" fontId="102" fillId="62" borderId="77" xfId="104" applyNumberFormat="1" applyFont="1" applyFill="1" applyBorder="1" applyAlignment="1">
      <alignment horizontal="left" indent="1"/>
    </xf>
    <xf numFmtId="179" fontId="177" fillId="62" borderId="77" xfId="104" applyNumberFormat="1" applyFont="1" applyFill="1" applyBorder="1" applyAlignment="1">
      <alignment horizontal="left" indent="1"/>
    </xf>
    <xf numFmtId="180" fontId="102" fillId="62" borderId="77" xfId="104" applyNumberFormat="1" applyFont="1" applyFill="1" applyBorder="1" applyAlignment="1">
      <alignment horizontal="left" indent="1"/>
    </xf>
    <xf numFmtId="0" fontId="97" fillId="0" borderId="53" xfId="104" applyFont="1" applyBorder="1" applyAlignment="1">
      <alignment horizontal="left" vertical="center" shrinkToFit="1"/>
    </xf>
    <xf numFmtId="0" fontId="92" fillId="0" borderId="54" xfId="104" applyFont="1" applyBorder="1" applyAlignment="1">
      <alignment horizontal="center" vertical="center" shrinkToFit="1"/>
    </xf>
    <xf numFmtId="0" fontId="92" fillId="0" borderId="56" xfId="104" applyFont="1" applyBorder="1" applyAlignment="1">
      <alignment horizontal="center" vertical="center" shrinkToFit="1"/>
    </xf>
    <xf numFmtId="0" fontId="92" fillId="0" borderId="55" xfId="104" applyFont="1" applyBorder="1" applyAlignment="1">
      <alignment horizontal="center" vertical="center" shrinkToFit="1"/>
    </xf>
    <xf numFmtId="0" fontId="92" fillId="0" borderId="75" xfId="104" applyFont="1" applyBorder="1" applyAlignment="1">
      <alignment vertical="center" shrinkToFit="1"/>
    </xf>
    <xf numFmtId="0" fontId="92" fillId="0" borderId="76" xfId="104" applyFont="1" applyBorder="1" applyAlignment="1">
      <alignment vertical="center" shrinkToFit="1"/>
    </xf>
    <xf numFmtId="0" fontId="162" fillId="0" borderId="67" xfId="104" applyFont="1" applyBorder="1" applyAlignment="1">
      <alignment horizontal="left" vertical="center" shrinkToFit="1"/>
    </xf>
    <xf numFmtId="0" fontId="162" fillId="0" borderId="77" xfId="104" applyFont="1" applyBorder="1" applyAlignment="1">
      <alignment horizontal="left" vertical="center" shrinkToFit="1"/>
    </xf>
    <xf numFmtId="0" fontId="162" fillId="0" borderId="66" xfId="104" applyFont="1" applyBorder="1" applyAlignment="1">
      <alignment horizontal="left" vertical="center" shrinkToFit="1"/>
    </xf>
    <xf numFmtId="0" fontId="90" fillId="52" borderId="0" xfId="104" applyFont="1" applyFill="1" applyAlignment="1">
      <alignment horizontal="center" vertical="center"/>
    </xf>
    <xf numFmtId="0" fontId="136" fillId="75" borderId="159" xfId="104" applyFont="1" applyFill="1" applyBorder="1" applyAlignment="1">
      <alignment horizontal="center"/>
    </xf>
    <xf numFmtId="0" fontId="136" fillId="75" borderId="160" xfId="104" applyFont="1" applyFill="1" applyBorder="1" applyAlignment="1">
      <alignment horizontal="center"/>
    </xf>
    <xf numFmtId="0" fontId="98" fillId="65" borderId="53" xfId="104" applyFont="1" applyFill="1" applyBorder="1" applyAlignment="1">
      <alignment horizontal="center" vertical="center" textRotation="90"/>
    </xf>
    <xf numFmtId="0" fontId="163" fillId="0" borderId="125" xfId="104" applyFont="1" applyBorder="1" applyAlignment="1">
      <alignment horizontal="left" vertical="center" indent="1" shrinkToFit="1"/>
    </xf>
    <xf numFmtId="0" fontId="163" fillId="0" borderId="182" xfId="104" applyFont="1" applyBorder="1" applyAlignment="1">
      <alignment horizontal="left" vertical="center" indent="1" shrinkToFit="1"/>
    </xf>
    <xf numFmtId="0" fontId="163" fillId="0" borderId="123" xfId="104" applyFont="1" applyBorder="1" applyAlignment="1">
      <alignment horizontal="left" vertical="center" indent="1" shrinkToFit="1"/>
    </xf>
    <xf numFmtId="0" fontId="33" fillId="0" borderId="59" xfId="104" applyFont="1" applyBorder="1" applyAlignment="1">
      <alignment horizontal="center" vertical="center" wrapText="1"/>
    </xf>
    <xf numFmtId="0" fontId="67" fillId="0" borderId="59" xfId="104" applyFont="1" applyBorder="1"/>
    <xf numFmtId="0" fontId="67" fillId="0" borderId="60" xfId="104" applyFont="1" applyBorder="1"/>
    <xf numFmtId="0" fontId="67" fillId="0" borderId="93" xfId="104" applyFont="1" applyBorder="1"/>
    <xf numFmtId="0" fontId="67" fillId="0" borderId="61" xfId="104" applyFont="1" applyBorder="1"/>
    <xf numFmtId="0" fontId="101" fillId="62" borderId="78" xfId="104" applyFont="1" applyFill="1" applyBorder="1" applyAlignment="1">
      <alignment horizontal="left" indent="1"/>
    </xf>
    <xf numFmtId="0" fontId="93" fillId="0" borderId="97" xfId="105" applyFont="1" applyBorder="1" applyAlignment="1">
      <alignment horizontal="left" vertical="center" wrapText="1"/>
    </xf>
    <xf numFmtId="0" fontId="33" fillId="0" borderId="94" xfId="104" applyFont="1" applyBorder="1" applyAlignment="1">
      <alignment horizontal="center" vertical="center" wrapText="1"/>
    </xf>
    <xf numFmtId="0" fontId="33" fillId="0" borderId="95" xfId="104" applyFont="1" applyBorder="1" applyAlignment="1">
      <alignment horizontal="center" vertical="center" wrapText="1"/>
    </xf>
    <xf numFmtId="0" fontId="67" fillId="0" borderId="59" xfId="104" applyFont="1" applyBorder="1" applyAlignment="1">
      <alignment horizontal="center" vertical="center" wrapText="1"/>
    </xf>
    <xf numFmtId="0" fontId="33" fillId="0" borderId="85" xfId="104" applyFont="1" applyBorder="1" applyAlignment="1">
      <alignment horizontal="center" vertical="center" wrapText="1"/>
    </xf>
    <xf numFmtId="0" fontId="33" fillId="0" borderId="86" xfId="104" applyFont="1" applyBorder="1" applyAlignment="1">
      <alignment horizontal="center" vertical="center" wrapText="1"/>
    </xf>
    <xf numFmtId="0" fontId="33" fillId="0" borderId="87" xfId="104" applyFont="1" applyBorder="1" applyAlignment="1">
      <alignment horizontal="center" vertical="center" wrapText="1"/>
    </xf>
    <xf numFmtId="0" fontId="33" fillId="0" borderId="90" xfId="104" applyFont="1" applyBorder="1" applyAlignment="1">
      <alignment horizontal="center" vertical="center" wrapText="1"/>
    </xf>
    <xf numFmtId="0" fontId="33" fillId="0" borderId="91" xfId="104" applyFont="1" applyBorder="1" applyAlignment="1">
      <alignment horizontal="center" vertical="center" wrapText="1"/>
    </xf>
    <xf numFmtId="0" fontId="33" fillId="0" borderId="92" xfId="104" applyFont="1" applyBorder="1" applyAlignment="1">
      <alignment horizontal="center" vertical="center" wrapText="1"/>
    </xf>
    <xf numFmtId="0" fontId="176" fillId="56" borderId="74" xfId="104" applyFont="1" applyFill="1" applyBorder="1" applyAlignment="1">
      <alignment horizontal="left" vertical="center" indent="1"/>
    </xf>
    <xf numFmtId="0" fontId="147" fillId="0" borderId="67" xfId="104" applyFont="1" applyBorder="1" applyAlignment="1">
      <alignment horizontal="left" vertical="center" indent="1" shrinkToFit="1"/>
    </xf>
    <xf numFmtId="0" fontId="147" fillId="0" borderId="77" xfId="104" applyFont="1" applyBorder="1" applyAlignment="1">
      <alignment horizontal="left" vertical="center" indent="1" shrinkToFit="1"/>
    </xf>
    <xf numFmtId="0" fontId="147" fillId="0" borderId="66" xfId="104" applyFont="1" applyBorder="1" applyAlignment="1">
      <alignment horizontal="left" vertical="center" indent="1" shrinkToFit="1"/>
    </xf>
    <xf numFmtId="0" fontId="147" fillId="0" borderId="125" xfId="104" applyFont="1" applyBorder="1" applyAlignment="1">
      <alignment horizontal="left" vertical="center" indent="1" shrinkToFit="1"/>
    </xf>
    <xf numFmtId="0" fontId="147" fillId="0" borderId="182" xfId="104" applyFont="1" applyBorder="1" applyAlignment="1">
      <alignment horizontal="left" vertical="center" indent="1" shrinkToFit="1"/>
    </xf>
    <xf numFmtId="0" fontId="147" fillId="0" borderId="123" xfId="104" applyFont="1" applyBorder="1" applyAlignment="1">
      <alignment horizontal="left" vertical="center" indent="1" shrinkToFit="1"/>
    </xf>
    <xf numFmtId="0" fontId="112" fillId="75" borderId="161" xfId="104" applyFont="1" applyFill="1" applyBorder="1" applyAlignment="1">
      <alignment horizontal="center" vertical="center"/>
    </xf>
    <xf numFmtId="0" fontId="91" fillId="0" borderId="85" xfId="104" applyFont="1" applyBorder="1" applyAlignment="1">
      <alignment horizontal="center" vertical="center" wrapText="1"/>
    </xf>
    <xf numFmtId="0" fontId="91" fillId="0" borderId="86" xfId="104" applyFont="1" applyBorder="1" applyAlignment="1">
      <alignment horizontal="center" vertical="center" wrapText="1"/>
    </xf>
    <xf numFmtId="0" fontId="91" fillId="0" borderId="87" xfId="104" applyFont="1" applyBorder="1" applyAlignment="1">
      <alignment horizontal="center" vertical="center" wrapText="1"/>
    </xf>
    <xf numFmtId="0" fontId="91" fillId="0" borderId="88" xfId="104" applyFont="1" applyBorder="1" applyAlignment="1">
      <alignment horizontal="center" vertical="center" wrapText="1"/>
    </xf>
    <xf numFmtId="0" fontId="91" fillId="0" borderId="0" xfId="104" applyFont="1" applyAlignment="1">
      <alignment horizontal="center" vertical="center" wrapText="1"/>
    </xf>
    <xf numFmtId="0" fontId="91" fillId="0" borderId="89" xfId="104" applyFont="1" applyBorder="1" applyAlignment="1">
      <alignment horizontal="center" vertical="center" wrapText="1"/>
    </xf>
    <xf numFmtId="0" fontId="91" fillId="0" borderId="90" xfId="104" applyFont="1" applyBorder="1" applyAlignment="1">
      <alignment horizontal="center" vertical="center" wrapText="1"/>
    </xf>
    <xf numFmtId="0" fontId="91" fillId="0" borderId="91" xfId="104" applyFont="1" applyBorder="1" applyAlignment="1">
      <alignment horizontal="center" vertical="center" wrapText="1"/>
    </xf>
    <xf numFmtId="0" fontId="91" fillId="0" borderId="92" xfId="104" applyFont="1" applyBorder="1" applyAlignment="1">
      <alignment horizontal="center" vertical="center" wrapText="1"/>
    </xf>
    <xf numFmtId="0" fontId="164" fillId="0" borderId="53" xfId="104" applyFont="1" applyBorder="1" applyAlignment="1">
      <alignment horizontal="left" indent="1" shrinkToFit="1"/>
    </xf>
    <xf numFmtId="0" fontId="0" fillId="0" borderId="13" xfId="0" applyBorder="1"/>
    <xf numFmtId="0" fontId="21" fillId="0" borderId="19" xfId="0" applyFont="1" applyBorder="1" applyAlignment="1">
      <alignment horizontal="center" shrinkToFit="1"/>
    </xf>
    <xf numFmtId="0" fontId="0" fillId="0" borderId="28" xfId="0" applyBorder="1"/>
    <xf numFmtId="0" fontId="15" fillId="0" borderId="26" xfId="0" applyFont="1" applyBorder="1" applyAlignment="1">
      <alignment vertical="center"/>
    </xf>
    <xf numFmtId="0" fontId="15" fillId="0" borderId="32" xfId="0" applyFont="1" applyBorder="1" applyAlignment="1">
      <alignment vertical="center"/>
    </xf>
    <xf numFmtId="0" fontId="22" fillId="0" borderId="34" xfId="0" applyFont="1" applyBorder="1" applyAlignment="1">
      <alignment horizontal="center" vertical="center" wrapText="1"/>
    </xf>
    <xf numFmtId="0" fontId="22" fillId="0" borderId="35" xfId="0" applyFont="1" applyBorder="1" applyAlignment="1">
      <alignment horizontal="center" vertical="center" wrapText="1"/>
    </xf>
    <xf numFmtId="0" fontId="15" fillId="0" borderId="36" xfId="0" applyFont="1" applyBorder="1" applyAlignment="1">
      <alignment vertical="center"/>
    </xf>
    <xf numFmtId="0" fontId="15" fillId="0" borderId="37" xfId="0" applyFont="1" applyBorder="1" applyAlignment="1">
      <alignment vertical="center"/>
    </xf>
    <xf numFmtId="0" fontId="22" fillId="0" borderId="30" xfId="0" applyFont="1" applyBorder="1" applyAlignment="1">
      <alignment horizontal="center" vertical="center"/>
    </xf>
    <xf numFmtId="0" fontId="22" fillId="0" borderId="31" xfId="0" applyFont="1" applyBorder="1" applyAlignment="1">
      <alignment horizontal="center" vertical="center"/>
    </xf>
    <xf numFmtId="0" fontId="22" fillId="0" borderId="41" xfId="0" applyFont="1" applyBorder="1" applyAlignment="1">
      <alignment horizontal="center" vertical="center"/>
    </xf>
    <xf numFmtId="0" fontId="22" fillId="0" borderId="42" xfId="0" applyFont="1" applyBorder="1" applyAlignment="1">
      <alignment horizontal="center" vertical="center"/>
    </xf>
    <xf numFmtId="0" fontId="22" fillId="0" borderId="43" xfId="0" applyFont="1" applyBorder="1" applyAlignment="1">
      <alignment horizontal="center" vertical="center"/>
    </xf>
    <xf numFmtId="0" fontId="22" fillId="0" borderId="0" xfId="0" applyFont="1" applyAlignment="1">
      <alignment vertical="center"/>
    </xf>
    <xf numFmtId="0" fontId="22" fillId="0" borderId="119" xfId="0" applyFont="1" applyBorder="1" applyAlignment="1">
      <alignment vertical="center"/>
    </xf>
    <xf numFmtId="0" fontId="15" fillId="0" borderId="27" xfId="0" applyFont="1" applyBorder="1" applyAlignment="1">
      <alignment vertical="center"/>
    </xf>
    <xf numFmtId="0" fontId="15" fillId="0" borderId="33" xfId="0" applyFont="1" applyBorder="1" applyAlignment="1">
      <alignment vertical="center"/>
    </xf>
    <xf numFmtId="0" fontId="22" fillId="0" borderId="22" xfId="0" applyFont="1" applyBorder="1" applyAlignment="1">
      <alignment horizontal="left" vertical="center"/>
    </xf>
    <xf numFmtId="0" fontId="22" fillId="0" borderId="17" xfId="0" applyFont="1" applyBorder="1" applyAlignment="1">
      <alignment horizontal="left" vertical="center"/>
    </xf>
    <xf numFmtId="0" fontId="22" fillId="0" borderId="18" xfId="0" applyFont="1" applyBorder="1" applyAlignment="1">
      <alignment horizontal="left" vertical="center"/>
    </xf>
    <xf numFmtId="0" fontId="23" fillId="0" borderId="26" xfId="0" applyFont="1" applyBorder="1" applyAlignment="1">
      <alignment vertical="center"/>
    </xf>
    <xf numFmtId="0" fontId="23" fillId="0" borderId="32" xfId="0" applyFont="1" applyBorder="1" applyAlignment="1">
      <alignment vertical="center"/>
    </xf>
    <xf numFmtId="0" fontId="15" fillId="0" borderId="25" xfId="0" applyFont="1" applyBorder="1" applyAlignment="1">
      <alignment vertical="center"/>
    </xf>
    <xf numFmtId="0" fontId="15" fillId="0" borderId="0" xfId="0" applyFont="1" applyAlignment="1">
      <alignment vertical="center"/>
    </xf>
    <xf numFmtId="0" fontId="15" fillId="0" borderId="38" xfId="0" applyFont="1" applyBorder="1" applyAlignment="1">
      <alignment vertical="center"/>
    </xf>
    <xf numFmtId="0" fontId="44" fillId="0" borderId="39" xfId="0" applyFont="1" applyBorder="1" applyAlignment="1">
      <alignment vertical="center"/>
    </xf>
    <xf numFmtId="0" fontId="44" fillId="0" borderId="40" xfId="0" applyFont="1" applyBorder="1" applyAlignment="1">
      <alignment vertical="center"/>
    </xf>
    <xf numFmtId="0" fontId="23" fillId="0" borderId="27" xfId="0" applyFont="1" applyBorder="1" applyAlignment="1">
      <alignment vertical="center"/>
    </xf>
    <xf numFmtId="0" fontId="23" fillId="0" borderId="33" xfId="0" applyFont="1" applyBorder="1" applyAlignment="1">
      <alignment vertical="center"/>
    </xf>
    <xf numFmtId="0" fontId="15" fillId="0" borderId="36" xfId="0" applyFont="1" applyBorder="1" applyAlignment="1">
      <alignment horizontal="justify" vertical="center" wrapText="1"/>
    </xf>
    <xf numFmtId="0" fontId="15" fillId="0" borderId="37" xfId="0" applyFont="1" applyBorder="1" applyAlignment="1">
      <alignment horizontal="justify" vertical="center" wrapText="1"/>
    </xf>
    <xf numFmtId="0" fontId="15" fillId="0" borderId="39" xfId="0" applyFont="1" applyBorder="1" applyAlignment="1">
      <alignment vertical="center"/>
    </xf>
    <xf numFmtId="0" fontId="15" fillId="0" borderId="40" xfId="0" applyFont="1" applyBorder="1" applyAlignment="1">
      <alignment vertical="center"/>
    </xf>
    <xf numFmtId="0" fontId="22" fillId="0" borderId="19" xfId="0" applyFont="1" applyBorder="1" applyAlignment="1">
      <alignment horizontal="left" vertical="center"/>
    </xf>
    <xf numFmtId="0" fontId="22" fillId="0" borderId="20" xfId="0" applyFont="1" applyBorder="1" applyAlignment="1">
      <alignment horizontal="left" vertical="center"/>
    </xf>
    <xf numFmtId="0" fontId="22" fillId="0" borderId="44" xfId="0" applyFont="1" applyBorder="1" applyAlignment="1">
      <alignment horizontal="center" vertical="center"/>
    </xf>
    <xf numFmtId="0" fontId="22" fillId="0" borderId="45" xfId="0" applyFont="1" applyBorder="1" applyAlignment="1">
      <alignment horizontal="center" vertical="center"/>
    </xf>
    <xf numFmtId="0" fontId="23" fillId="0" borderId="19" xfId="0" applyFont="1" applyBorder="1" applyAlignment="1">
      <alignment horizontal="left" vertical="center"/>
    </xf>
    <xf numFmtId="0" fontId="23" fillId="0" borderId="17" xfId="0" applyFont="1" applyBorder="1" applyAlignment="1">
      <alignment horizontal="left" vertical="center"/>
    </xf>
    <xf numFmtId="0" fontId="23" fillId="0" borderId="18" xfId="0" applyFont="1" applyBorder="1" applyAlignment="1">
      <alignment horizontal="left" vertical="center"/>
    </xf>
    <xf numFmtId="0" fontId="23" fillId="0" borderId="44" xfId="0" applyFont="1" applyBorder="1" applyAlignment="1">
      <alignment horizontal="center" vertical="center"/>
    </xf>
    <xf numFmtId="0" fontId="23" fillId="0" borderId="42" xfId="0" applyFont="1" applyBorder="1" applyAlignment="1">
      <alignment horizontal="center" vertical="center"/>
    </xf>
    <xf numFmtId="0" fontId="23" fillId="0" borderId="36" xfId="0" applyFont="1" applyBorder="1" applyAlignment="1">
      <alignment vertical="center"/>
    </xf>
    <xf numFmtId="0" fontId="23" fillId="0" borderId="37" xfId="0" applyFont="1" applyBorder="1" applyAlignment="1">
      <alignment vertical="center"/>
    </xf>
    <xf numFmtId="0" fontId="44" fillId="0" borderId="26" xfId="0" applyFont="1" applyBorder="1" applyAlignment="1">
      <alignment vertical="center"/>
    </xf>
    <xf numFmtId="0" fontId="44" fillId="0" borderId="32" xfId="0" applyFont="1" applyBorder="1" applyAlignment="1">
      <alignment vertical="center"/>
    </xf>
    <xf numFmtId="0" fontId="22" fillId="0" borderId="24" xfId="0" applyFont="1" applyBorder="1" applyAlignment="1">
      <alignment horizontal="left" vertical="center" wrapText="1"/>
    </xf>
    <xf numFmtId="0" fontId="15" fillId="0" borderId="24" xfId="0" applyFont="1" applyBorder="1" applyAlignment="1">
      <alignment vertical="center"/>
    </xf>
    <xf numFmtId="0" fontId="22" fillId="0" borderId="24" xfId="0" applyFont="1" applyBorder="1" applyAlignment="1">
      <alignment horizontal="center" vertical="center"/>
    </xf>
    <xf numFmtId="0" fontId="15" fillId="0" borderId="50" xfId="0" applyFont="1" applyBorder="1" applyAlignment="1">
      <alignment vertical="center"/>
    </xf>
    <xf numFmtId="0" fontId="15" fillId="0" borderId="51" xfId="0" applyFont="1" applyBorder="1" applyAlignment="1">
      <alignment vertical="center"/>
    </xf>
    <xf numFmtId="0" fontId="22" fillId="50" borderId="47" xfId="0" applyFont="1" applyFill="1" applyBorder="1" applyAlignment="1">
      <alignment horizontal="center" vertical="center" textRotation="90"/>
    </xf>
    <xf numFmtId="0" fontId="22" fillId="50" borderId="48" xfId="0" applyFont="1" applyFill="1" applyBorder="1" applyAlignment="1">
      <alignment horizontal="center" vertical="center" textRotation="90"/>
    </xf>
    <xf numFmtId="0" fontId="22" fillId="50" borderId="49" xfId="0" applyFont="1" applyFill="1" applyBorder="1" applyAlignment="1">
      <alignment horizontal="center" vertical="center" textRotation="90"/>
    </xf>
    <xf numFmtId="0" fontId="23" fillId="0" borderId="21" xfId="0" applyFont="1" applyBorder="1" applyAlignment="1">
      <alignment horizontal="center" vertical="center"/>
    </xf>
    <xf numFmtId="0" fontId="23" fillId="0" borderId="17" xfId="0" applyFont="1" applyBorder="1" applyAlignment="1">
      <alignment horizontal="center" vertical="center"/>
    </xf>
    <xf numFmtId="0" fontId="23" fillId="0" borderId="18" xfId="0" applyFont="1" applyBorder="1" applyAlignment="1">
      <alignment horizontal="center" vertical="center"/>
    </xf>
    <xf numFmtId="0" fontId="23" fillId="0" borderId="46" xfId="0" applyFont="1" applyBorder="1" applyAlignment="1">
      <alignment horizontal="center" vertical="center"/>
    </xf>
    <xf numFmtId="0" fontId="23" fillId="0" borderId="43" xfId="0" applyFont="1" applyBorder="1" applyAlignment="1">
      <alignment horizontal="center" vertical="center"/>
    </xf>
    <xf numFmtId="0" fontId="22" fillId="51" borderId="52" xfId="0" applyFont="1" applyFill="1" applyBorder="1" applyAlignment="1">
      <alignment horizontal="center" vertical="center" textRotation="90"/>
    </xf>
    <xf numFmtId="0" fontId="22" fillId="51" borderId="48" xfId="0" applyFont="1" applyFill="1" applyBorder="1" applyAlignment="1">
      <alignment horizontal="center" vertical="center" textRotation="90"/>
    </xf>
    <xf numFmtId="0" fontId="22" fillId="0" borderId="46" xfId="0" applyFont="1" applyBorder="1" applyAlignment="1">
      <alignment horizontal="center" vertical="center"/>
    </xf>
    <xf numFmtId="0" fontId="22" fillId="0" borderId="21" xfId="0" applyFont="1" applyBorder="1" applyAlignment="1">
      <alignment horizontal="left" vertical="center"/>
    </xf>
    <xf numFmtId="0" fontId="15" fillId="0" borderId="174" xfId="0" applyFont="1" applyBorder="1" applyAlignment="1">
      <alignment vertical="center"/>
    </xf>
    <xf numFmtId="0" fontId="15" fillId="0" borderId="175" xfId="0" applyFont="1" applyBorder="1" applyAlignment="1">
      <alignment vertical="center"/>
    </xf>
    <xf numFmtId="0" fontId="42" fillId="0" borderId="19" xfId="0" applyFont="1" applyBorder="1" applyAlignment="1">
      <alignment horizontal="center" vertical="center"/>
    </xf>
    <xf numFmtId="0" fontId="42" fillId="0" borderId="17" xfId="0" applyFont="1" applyBorder="1" applyAlignment="1">
      <alignment horizontal="center" vertical="center"/>
    </xf>
    <xf numFmtId="0" fontId="42" fillId="0" borderId="18" xfId="0" applyFont="1" applyBorder="1" applyAlignment="1">
      <alignment horizontal="center" vertical="center"/>
    </xf>
    <xf numFmtId="0" fontId="22" fillId="0" borderId="19" xfId="0" applyFont="1" applyBorder="1" applyAlignment="1">
      <alignment horizontal="center" vertical="center"/>
    </xf>
    <xf numFmtId="0" fontId="22" fillId="0" borderId="17" xfId="0" applyFont="1" applyBorder="1" applyAlignment="1">
      <alignment horizontal="center" vertical="center"/>
    </xf>
    <xf numFmtId="0" fontId="22" fillId="0" borderId="20" xfId="0" applyFont="1" applyBorder="1" applyAlignment="1">
      <alignment horizontal="center" vertical="center"/>
    </xf>
    <xf numFmtId="0" fontId="49" fillId="53" borderId="54" xfId="0" applyFont="1" applyFill="1" applyBorder="1" applyAlignment="1">
      <alignment horizontal="left" vertical="center" indent="1"/>
    </xf>
    <xf numFmtId="0" fontId="49" fillId="53" borderId="55" xfId="0" applyFont="1" applyFill="1" applyBorder="1" applyAlignment="1">
      <alignment horizontal="left" vertical="center" indent="1"/>
    </xf>
    <xf numFmtId="0" fontId="49" fillId="53" borderId="56" xfId="0" applyFont="1" applyFill="1" applyBorder="1" applyAlignment="1">
      <alignment horizontal="left" vertical="center" indent="1"/>
    </xf>
    <xf numFmtId="0" fontId="50" fillId="0" borderId="55" xfId="0" applyFont="1" applyBorder="1" applyAlignment="1">
      <alignment horizontal="left" vertical="center"/>
    </xf>
    <xf numFmtId="0" fontId="50" fillId="0" borderId="56" xfId="0" applyFont="1" applyBorder="1" applyAlignment="1">
      <alignment horizontal="left" vertical="center"/>
    </xf>
    <xf numFmtId="0" fontId="117" fillId="67" borderId="57" xfId="0" applyFont="1" applyFill="1" applyBorder="1" applyAlignment="1" applyProtection="1">
      <alignment horizontal="center" vertical="center" wrapText="1"/>
      <protection locked="0"/>
    </xf>
    <xf numFmtId="0" fontId="117" fillId="67" borderId="16" xfId="0" applyFont="1" applyFill="1" applyBorder="1" applyAlignment="1" applyProtection="1">
      <alignment horizontal="center" vertical="center" wrapText="1"/>
      <protection locked="0"/>
    </xf>
    <xf numFmtId="0" fontId="117" fillId="67" borderId="29" xfId="0" applyFont="1" applyFill="1" applyBorder="1" applyAlignment="1" applyProtection="1">
      <alignment horizontal="center" vertical="center" wrapText="1"/>
      <protection locked="0"/>
    </xf>
    <xf numFmtId="0" fontId="0" fillId="0" borderId="148" xfId="0" applyBorder="1"/>
    <xf numFmtId="0" fontId="51" fillId="0" borderId="28" xfId="0" applyFont="1" applyBorder="1"/>
    <xf numFmtId="0" fontId="52" fillId="0" borderId="15" xfId="0" applyFont="1" applyBorder="1" applyAlignment="1">
      <alignment horizontal="left" wrapText="1" indent="3"/>
    </xf>
    <xf numFmtId="0" fontId="59" fillId="0" borderId="60" xfId="0" applyFont="1" applyBorder="1" applyAlignment="1">
      <alignment horizontal="center" vertical="center"/>
    </xf>
    <xf numFmtId="0" fontId="59" fillId="0" borderId="61" xfId="0" applyFont="1" applyBorder="1" applyAlignment="1">
      <alignment horizontal="center" vertical="center"/>
    </xf>
    <xf numFmtId="0" fontId="46" fillId="0" borderId="14" xfId="0" applyFont="1" applyBorder="1" applyAlignment="1">
      <alignment horizontal="center"/>
    </xf>
    <xf numFmtId="0" fontId="145" fillId="77" borderId="53" xfId="106" applyFont="1" applyFill="1" applyBorder="1" applyAlignment="1">
      <alignment horizontal="center" vertical="center"/>
    </xf>
    <xf numFmtId="0" fontId="144" fillId="77" borderId="53" xfId="106" applyFont="1" applyFill="1" applyBorder="1" applyAlignment="1">
      <alignment horizontal="center" vertical="center"/>
    </xf>
    <xf numFmtId="0" fontId="60" fillId="59" borderId="157" xfId="0" applyFont="1" applyFill="1" applyBorder="1" applyAlignment="1">
      <alignment horizontal="right" vertical="center" wrapText="1" indent="1" readingOrder="1"/>
    </xf>
    <xf numFmtId="0" fontId="60" fillId="59" borderId="153" xfId="0" applyFont="1" applyFill="1" applyBorder="1" applyAlignment="1">
      <alignment horizontal="right" vertical="center" wrapText="1" indent="1" readingOrder="1"/>
    </xf>
  </cellXfs>
  <cellStyles count="207">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Comma" xfId="206" builtinId="3"/>
    <cellStyle name="Comma  - Style1" xfId="55" xr:uid="{00000000-0005-0000-0000-000036000000}"/>
    <cellStyle name="Comma  - Style1 2" xfId="110" xr:uid="{00000000-0005-0000-0000-000037000000}"/>
    <cellStyle name="Comma  - Style2" xfId="56" xr:uid="{00000000-0005-0000-0000-000038000000}"/>
    <cellStyle name="Comma  - Style2 2" xfId="111" xr:uid="{00000000-0005-0000-0000-000039000000}"/>
    <cellStyle name="Comma  - Style3" xfId="57" xr:uid="{00000000-0005-0000-0000-00003A000000}"/>
    <cellStyle name="Comma  - Style3 2" xfId="112" xr:uid="{00000000-0005-0000-0000-00003B000000}"/>
    <cellStyle name="Comma  - Style4" xfId="58" xr:uid="{00000000-0005-0000-0000-00003C000000}"/>
    <cellStyle name="Comma  - Style4 2" xfId="113" xr:uid="{00000000-0005-0000-0000-00003D000000}"/>
    <cellStyle name="Comma [0]" xfId="59" builtinId="6"/>
    <cellStyle name="Comma [0] 10" xfId="114" xr:uid="{00000000-0005-0000-0000-00003F000000}"/>
    <cellStyle name="Comma [0] 11" xfId="115" xr:uid="{00000000-0005-0000-0000-000040000000}"/>
    <cellStyle name="Comma [0] 12" xfId="116" xr:uid="{00000000-0005-0000-0000-000041000000}"/>
    <cellStyle name="Comma [0] 13" xfId="192" xr:uid="{00000000-0005-0000-0000-000042000000}"/>
    <cellStyle name="Comma [0] 14" xfId="188" xr:uid="{00000000-0005-0000-0000-000043000000}"/>
    <cellStyle name="Comma [0] 2" xfId="60" xr:uid="{00000000-0005-0000-0000-000044000000}"/>
    <cellStyle name="Comma [0] 2 2" xfId="118" xr:uid="{00000000-0005-0000-0000-000045000000}"/>
    <cellStyle name="Comma [0] 2 3" xfId="119" xr:uid="{00000000-0005-0000-0000-000046000000}"/>
    <cellStyle name="Comma [0] 2 4" xfId="117" xr:uid="{00000000-0005-0000-0000-000047000000}"/>
    <cellStyle name="Comma [0] 3" xfId="61" xr:uid="{00000000-0005-0000-0000-000048000000}"/>
    <cellStyle name="Comma [0] 3 2" xfId="120" xr:uid="{00000000-0005-0000-0000-000049000000}"/>
    <cellStyle name="Comma [0] 4" xfId="121" xr:uid="{00000000-0005-0000-0000-00004A000000}"/>
    <cellStyle name="Comma [0] 5" xfId="122" xr:uid="{00000000-0005-0000-0000-00004B000000}"/>
    <cellStyle name="Comma [0] 6" xfId="123" xr:uid="{00000000-0005-0000-0000-00004C000000}"/>
    <cellStyle name="Comma [0] 7" xfId="124" xr:uid="{00000000-0005-0000-0000-00004D000000}"/>
    <cellStyle name="Comma [0] 8" xfId="125" xr:uid="{00000000-0005-0000-0000-00004E000000}"/>
    <cellStyle name="Comma [0] 9" xfId="126" xr:uid="{00000000-0005-0000-0000-00004F000000}"/>
    <cellStyle name="Comma 10" xfId="191" xr:uid="{00000000-0005-0000-0000-000050000000}"/>
    <cellStyle name="Comma 12" xfId="103" xr:uid="{00000000-0005-0000-0000-000051000000}"/>
    <cellStyle name="Comma 2" xfId="62" xr:uid="{00000000-0005-0000-0000-000052000000}"/>
    <cellStyle name="Comma 2 2" xfId="127" xr:uid="{00000000-0005-0000-0000-000053000000}"/>
    <cellStyle name="Comma 3" xfId="63" xr:uid="{00000000-0005-0000-0000-000054000000}"/>
    <cellStyle name="Comma 3 2" xfId="187" xr:uid="{00000000-0005-0000-0000-000055000000}"/>
    <cellStyle name="Comma 4" xfId="64" xr:uid="{00000000-0005-0000-0000-000056000000}"/>
    <cellStyle name="Comma 5" xfId="65" xr:uid="{00000000-0005-0000-0000-000057000000}"/>
    <cellStyle name="Date" xfId="128" xr:uid="{00000000-0005-0000-0000-000058000000}"/>
    <cellStyle name="En-tête 1" xfId="129" xr:uid="{00000000-0005-0000-0000-000059000000}"/>
    <cellStyle name="En-tête 2" xfId="130" xr:uid="{00000000-0005-0000-0000-00005A000000}"/>
    <cellStyle name="Explanatory Text" xfId="66" builtinId="53" customBuiltin="1"/>
    <cellStyle name="F2" xfId="131" xr:uid="{00000000-0005-0000-0000-00005C000000}"/>
    <cellStyle name="F3" xfId="132" xr:uid="{00000000-0005-0000-0000-00005D000000}"/>
    <cellStyle name="F4" xfId="133" xr:uid="{00000000-0005-0000-0000-00005E000000}"/>
    <cellStyle name="F5" xfId="134" xr:uid="{00000000-0005-0000-0000-00005F000000}"/>
    <cellStyle name="F6" xfId="135" xr:uid="{00000000-0005-0000-0000-000060000000}"/>
    <cellStyle name="F7" xfId="136" xr:uid="{00000000-0005-0000-0000-000061000000}"/>
    <cellStyle name="F8" xfId="137" xr:uid="{00000000-0005-0000-0000-000062000000}"/>
    <cellStyle name="Financier0" xfId="138" xr:uid="{00000000-0005-0000-0000-000063000000}"/>
    <cellStyle name="Good" xfId="67" builtinId="26" customBuiltin="1"/>
    <cellStyle name="Good 2" xfId="68" xr:uid="{00000000-0005-0000-0000-000065000000}"/>
    <cellStyle name="Heading 1" xfId="69" builtinId="16" customBuiltin="1"/>
    <cellStyle name="Heading 2" xfId="70" builtinId="17" customBuiltin="1"/>
    <cellStyle name="Heading 3" xfId="71" builtinId="18" customBuiltin="1"/>
    <cellStyle name="Heading 4" xfId="72" builtinId="19" customBuiltin="1"/>
    <cellStyle name="Hyperlink" xfId="106" builtinId="8"/>
    <cellStyle name="Hyperlink 2" xfId="185" xr:uid="{00000000-0005-0000-0000-00006B000000}"/>
    <cellStyle name="Input" xfId="73" builtinId="20" customBuiltin="1"/>
    <cellStyle name="Input 2" xfId="74" xr:uid="{00000000-0005-0000-0000-00006D000000}"/>
    <cellStyle name="Input cells" xfId="75" xr:uid="{00000000-0005-0000-0000-00006E000000}"/>
    <cellStyle name="Input cells 2" xfId="76" xr:uid="{00000000-0005-0000-0000-00006F000000}"/>
    <cellStyle name="Linked Cell" xfId="77" builtinId="24" customBuiltin="1"/>
    <cellStyle name="Milliers [0]_Feuil1" xfId="139" xr:uid="{00000000-0005-0000-0000-000071000000}"/>
    <cellStyle name="Milliers_Feuil1" xfId="140" xr:uid="{00000000-0005-0000-0000-000072000000}"/>
    <cellStyle name="Monétaire [0]_Feuil1" xfId="141" xr:uid="{00000000-0005-0000-0000-000073000000}"/>
    <cellStyle name="Monétaire_Feuil1" xfId="142" xr:uid="{00000000-0005-0000-0000-000074000000}"/>
    <cellStyle name="Monétaire0" xfId="143" xr:uid="{00000000-0005-0000-0000-000075000000}"/>
    <cellStyle name="MS_Arabic" xfId="78" xr:uid="{00000000-0005-0000-0000-000076000000}"/>
    <cellStyle name="Neutral" xfId="79" builtinId="28" customBuiltin="1"/>
    <cellStyle name="Neutral 2" xfId="80" xr:uid="{00000000-0005-0000-0000-000078000000}"/>
    <cellStyle name="Normal" xfId="0" builtinId="0"/>
    <cellStyle name="Normal - Style1" xfId="81" xr:uid="{00000000-0005-0000-0000-00007A000000}"/>
    <cellStyle name="Normal - Style1 2" xfId="144" xr:uid="{00000000-0005-0000-0000-00007B000000}"/>
    <cellStyle name="Normal - Style2" xfId="82" xr:uid="{00000000-0005-0000-0000-00007C000000}"/>
    <cellStyle name="Normal - Style2 2" xfId="145" xr:uid="{00000000-0005-0000-0000-00007D000000}"/>
    <cellStyle name="Normal - Style3" xfId="83" xr:uid="{00000000-0005-0000-0000-00007E000000}"/>
    <cellStyle name="Normal - Style3 2" xfId="146" xr:uid="{00000000-0005-0000-0000-00007F000000}"/>
    <cellStyle name="Normal - Style4" xfId="84" xr:uid="{00000000-0005-0000-0000-000080000000}"/>
    <cellStyle name="Normal - Style4 2" xfId="147" xr:uid="{00000000-0005-0000-0000-000081000000}"/>
    <cellStyle name="Normal - Style5" xfId="85" xr:uid="{00000000-0005-0000-0000-000082000000}"/>
    <cellStyle name="Normal - Style5 2" xfId="148" xr:uid="{00000000-0005-0000-0000-000083000000}"/>
    <cellStyle name="Normal - Style6" xfId="86" xr:uid="{00000000-0005-0000-0000-000084000000}"/>
    <cellStyle name="Normal - Style6 2" xfId="149" xr:uid="{00000000-0005-0000-0000-000085000000}"/>
    <cellStyle name="Normal - Style7" xfId="87" xr:uid="{00000000-0005-0000-0000-000086000000}"/>
    <cellStyle name="Normal - Style7 2" xfId="150" xr:uid="{00000000-0005-0000-0000-000087000000}"/>
    <cellStyle name="Normal - Style8" xfId="88" xr:uid="{00000000-0005-0000-0000-000088000000}"/>
    <cellStyle name="Normal - Style8 2" xfId="151" xr:uid="{00000000-0005-0000-0000-000089000000}"/>
    <cellStyle name="Normal 10" xfId="184" xr:uid="{00000000-0005-0000-0000-00008A000000}"/>
    <cellStyle name="Normal 10 2 3" xfId="89" xr:uid="{00000000-0005-0000-0000-00008B000000}"/>
    <cellStyle name="Normal 11" xfId="152" xr:uid="{00000000-0005-0000-0000-00008C000000}"/>
    <cellStyle name="Normal 12" xfId="153" xr:uid="{00000000-0005-0000-0000-00008D000000}"/>
    <cellStyle name="Normal 13" xfId="202" xr:uid="{00000000-0005-0000-0000-00008E000000}"/>
    <cellStyle name="Normal 14" xfId="154" xr:uid="{00000000-0005-0000-0000-00008F000000}"/>
    <cellStyle name="Normal 2" xfId="90" xr:uid="{00000000-0005-0000-0000-000090000000}"/>
    <cellStyle name="Normal 2 10" xfId="107" xr:uid="{00000000-0005-0000-0000-000091000000}"/>
    <cellStyle name="Normal 2 2" xfId="109" xr:uid="{00000000-0005-0000-0000-000092000000}"/>
    <cellStyle name="Normal 2_AFE excel project" xfId="155" xr:uid="{00000000-0005-0000-0000-000093000000}"/>
    <cellStyle name="Normal 3" xfId="104" xr:uid="{00000000-0005-0000-0000-000094000000}"/>
    <cellStyle name="Normal 3 2" xfId="156" xr:uid="{00000000-0005-0000-0000-000095000000}"/>
    <cellStyle name="Normal 4" xfId="157" xr:uid="{00000000-0005-0000-0000-000096000000}"/>
    <cellStyle name="Normal 5" xfId="158" xr:uid="{00000000-0005-0000-0000-000097000000}"/>
    <cellStyle name="Normal 6" xfId="186" xr:uid="{00000000-0005-0000-0000-000098000000}"/>
    <cellStyle name="Normal 7" xfId="190" xr:uid="{00000000-0005-0000-0000-000099000000}"/>
    <cellStyle name="Normal 8" xfId="189" xr:uid="{00000000-0005-0000-0000-00009A000000}"/>
    <cellStyle name="Normal 9" xfId="108" xr:uid="{00000000-0005-0000-0000-00009B000000}"/>
    <cellStyle name="Normal_DT_SGC-9X" xfId="91" xr:uid="{00000000-0005-0000-0000-00009C000000}"/>
    <cellStyle name="Normal_Wellcost_Estimate_TBN_U1" xfId="105" xr:uid="{00000000-0005-0000-0000-00009D000000}"/>
    <cellStyle name="Note" xfId="92" builtinId="10" customBuiltin="1"/>
    <cellStyle name="Note 2" xfId="93" xr:uid="{00000000-0005-0000-0000-00009F000000}"/>
    <cellStyle name="Output" xfId="94" builtinId="21" customBuiltin="1"/>
    <cellStyle name="Output 2" xfId="95" xr:uid="{00000000-0005-0000-0000-0000A1000000}"/>
    <cellStyle name="Percent 2" xfId="96" xr:uid="{00000000-0005-0000-0000-0000A2000000}"/>
    <cellStyle name="Profile" xfId="97" xr:uid="{00000000-0005-0000-0000-0000A3000000}"/>
    <cellStyle name="Profile 10" xfId="159" xr:uid="{00000000-0005-0000-0000-0000A4000000}"/>
    <cellStyle name="Profile 11" xfId="160" xr:uid="{00000000-0005-0000-0000-0000A5000000}"/>
    <cellStyle name="Profile 12" xfId="161" xr:uid="{00000000-0005-0000-0000-0000A6000000}"/>
    <cellStyle name="Profile 2" xfId="162" xr:uid="{00000000-0005-0000-0000-0000A7000000}"/>
    <cellStyle name="Profile 3" xfId="163" xr:uid="{00000000-0005-0000-0000-0000A8000000}"/>
    <cellStyle name="Profile 4" xfId="164" xr:uid="{00000000-0005-0000-0000-0000A9000000}"/>
    <cellStyle name="Profile 5" xfId="165" xr:uid="{00000000-0005-0000-0000-0000AA000000}"/>
    <cellStyle name="Profile 6" xfId="166" xr:uid="{00000000-0005-0000-0000-0000AB000000}"/>
    <cellStyle name="Profile 7" xfId="167" xr:uid="{00000000-0005-0000-0000-0000AC000000}"/>
    <cellStyle name="Profile 8" xfId="168" xr:uid="{00000000-0005-0000-0000-0000AD000000}"/>
    <cellStyle name="Profile 9" xfId="169" xr:uid="{00000000-0005-0000-0000-0000AE000000}"/>
    <cellStyle name="Style 1" xfId="170" xr:uid="{00000000-0005-0000-0000-0000AF000000}"/>
    <cellStyle name="TableBorder" xfId="98" xr:uid="{00000000-0005-0000-0000-0000B0000000}"/>
    <cellStyle name="TableBorder 10" xfId="171" xr:uid="{00000000-0005-0000-0000-0000B1000000}"/>
    <cellStyle name="TableBorder 10 2" xfId="200" xr:uid="{00000000-0005-0000-0000-0000B2000000}"/>
    <cellStyle name="TableBorder 11" xfId="172" xr:uid="{00000000-0005-0000-0000-0000B3000000}"/>
    <cellStyle name="TableBorder 11 2" xfId="199" xr:uid="{00000000-0005-0000-0000-0000B4000000}"/>
    <cellStyle name="TableBorder 12" xfId="173" xr:uid="{00000000-0005-0000-0000-0000B5000000}"/>
    <cellStyle name="TableBorder 12 2" xfId="198" xr:uid="{00000000-0005-0000-0000-0000B6000000}"/>
    <cellStyle name="TableBorder 13" xfId="201" xr:uid="{00000000-0005-0000-0000-0000B7000000}"/>
    <cellStyle name="TableBorder 2" xfId="174" xr:uid="{00000000-0005-0000-0000-0000B8000000}"/>
    <cellStyle name="TableBorder 2 2" xfId="197" xr:uid="{00000000-0005-0000-0000-0000B9000000}"/>
    <cellStyle name="TableBorder 3" xfId="175" xr:uid="{00000000-0005-0000-0000-0000BA000000}"/>
    <cellStyle name="TableBorder 3 2" xfId="196" xr:uid="{00000000-0005-0000-0000-0000BB000000}"/>
    <cellStyle name="TableBorder 4" xfId="176" xr:uid="{00000000-0005-0000-0000-0000BC000000}"/>
    <cellStyle name="TableBorder 4 2" xfId="203" xr:uid="{00000000-0005-0000-0000-0000BD000000}"/>
    <cellStyle name="TableBorder 5" xfId="177" xr:uid="{00000000-0005-0000-0000-0000BE000000}"/>
    <cellStyle name="TableBorder 5 2" xfId="204" xr:uid="{00000000-0005-0000-0000-0000BF000000}"/>
    <cellStyle name="TableBorder 6" xfId="178" xr:uid="{00000000-0005-0000-0000-0000C0000000}"/>
    <cellStyle name="TableBorder 6 2" xfId="195" xr:uid="{00000000-0005-0000-0000-0000C1000000}"/>
    <cellStyle name="TableBorder 7" xfId="179" xr:uid="{00000000-0005-0000-0000-0000C2000000}"/>
    <cellStyle name="TableBorder 7 2" xfId="205" xr:uid="{00000000-0005-0000-0000-0000C3000000}"/>
    <cellStyle name="TableBorder 8" xfId="180" xr:uid="{00000000-0005-0000-0000-0000C4000000}"/>
    <cellStyle name="TableBorder 8 2" xfId="194" xr:uid="{00000000-0005-0000-0000-0000C5000000}"/>
    <cellStyle name="TableBorder 9" xfId="181" xr:uid="{00000000-0005-0000-0000-0000C6000000}"/>
    <cellStyle name="TableBorder 9 2" xfId="193" xr:uid="{00000000-0005-0000-0000-0000C7000000}"/>
    <cellStyle name="TableBorder_AFE &amp; WO Time B-94_Fishing_22Juli08_After" xfId="182" xr:uid="{00000000-0005-0000-0000-0000C8000000}"/>
    <cellStyle name="Title" xfId="99" builtinId="15" customBuiltin="1"/>
    <cellStyle name="Total" xfId="100" builtinId="25" customBuiltin="1"/>
    <cellStyle name="Virgule fixe" xfId="183" xr:uid="{00000000-0005-0000-0000-0000CB000000}"/>
    <cellStyle name="Warning Text" xfId="101" builtinId="11" customBuiltin="1"/>
    <cellStyle name="標準_DDR_26jun00" xfId="102" xr:uid="{00000000-0005-0000-0000-0000CD000000}"/>
  </cellStyles>
  <dxfs count="180">
    <dxf>
      <fill>
        <patternFill>
          <bgColor theme="8" tint="0.79998168889431442"/>
        </patternFill>
      </fill>
    </dxf>
    <dxf>
      <fill>
        <patternFill>
          <bgColor theme="8" tint="0.79998168889431442"/>
        </patternFill>
      </fill>
    </dxf>
    <dxf>
      <fill>
        <patternFill>
          <bgColor theme="0"/>
        </patternFill>
      </fill>
    </dxf>
    <dxf>
      <fill>
        <patternFill>
          <bgColor theme="6" tint="0.79998168889431442"/>
        </patternFill>
      </fill>
    </dxf>
    <dxf>
      <fill>
        <patternFill>
          <bgColor theme="6" tint="0.79998168889431442"/>
        </patternFill>
      </fill>
    </dxf>
    <dxf>
      <font>
        <b/>
        <i/>
        <color theme="0"/>
      </font>
      <fill>
        <patternFill>
          <bgColor rgb="FFFF0000"/>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60"/>
          <bgColor indexed="10"/>
        </patternFill>
      </fill>
    </dxf>
    <dxf>
      <font>
        <color theme="0"/>
      </font>
      <fill>
        <patternFill patternType="none">
          <bgColor auto="1"/>
        </patternFill>
      </fill>
      <border>
        <left style="thin">
          <color theme="0"/>
        </left>
        <right style="thin">
          <color theme="0"/>
        </right>
        <top style="thin">
          <color theme="0"/>
        </top>
        <bottom style="thin">
          <color theme="0"/>
        </bottom>
      </border>
    </dxf>
    <dxf>
      <font>
        <color theme="0"/>
      </font>
      <fill>
        <patternFill patternType="none">
          <bgColor auto="1"/>
        </patternFill>
      </fill>
      <border>
        <left/>
        <right style="thin">
          <color theme="0"/>
        </right>
        <top style="thin">
          <color theme="0"/>
        </top>
        <bottom style="thin">
          <color theme="0"/>
        </bottom>
      </border>
    </dxf>
    <dxf>
      <font>
        <color theme="0"/>
      </font>
      <fill>
        <patternFill patternType="lightDown">
          <fgColor theme="0" tint="-0.34998626667073579"/>
          <bgColor auto="1"/>
        </patternFill>
      </fill>
      <border>
        <left style="thin">
          <color theme="0" tint="-0.499984740745262"/>
        </left>
        <right/>
        <top/>
        <bottom/>
      </border>
    </dxf>
    <dxf>
      <font>
        <color theme="0"/>
      </font>
      <fill>
        <patternFill patternType="lightDown">
          <fgColor theme="0" tint="-0.34998626667073579"/>
        </patternFill>
      </fill>
      <border>
        <left style="thin">
          <color theme="0" tint="-0.499984740745262"/>
        </left>
        <right/>
        <top/>
        <bottom style="thin">
          <color theme="0" tint="-0.499984740745262"/>
        </bottom>
        <vertical/>
        <horizontal/>
      </border>
    </dxf>
    <dxf>
      <font>
        <color theme="0"/>
      </font>
      <fill>
        <patternFill patternType="lightUp">
          <fgColor theme="0" tint="-0.34998626667073579"/>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border>
        <bottom style="thin">
          <color theme="0" tint="-0.24994659260841701"/>
        </bottom>
        <vertical/>
        <horizontal/>
      </border>
    </dxf>
    <dxf>
      <font>
        <color theme="0"/>
      </font>
      <fill>
        <patternFill patternType="lightDown">
          <fgColor theme="0" tint="-0.34998626667073579"/>
          <bgColor auto="1"/>
        </patternFill>
      </fill>
      <border>
        <left style="thin">
          <color theme="0" tint="-0.499984740745262"/>
        </left>
        <right/>
        <top/>
        <bottom/>
      </border>
    </dxf>
    <dxf>
      <font>
        <color theme="0"/>
      </font>
      <fill>
        <patternFill patternType="lightDown">
          <fgColor theme="0" tint="-0.34998626667073579"/>
        </patternFill>
      </fill>
      <border>
        <left style="thin">
          <color theme="0" tint="-0.499984740745262"/>
        </left>
        <right/>
        <top/>
        <bottom style="thin">
          <color theme="0" tint="-0.499984740745262"/>
        </bottom>
        <vertical/>
        <horizontal/>
      </border>
    </dxf>
    <dxf>
      <font>
        <color theme="0"/>
      </font>
      <fill>
        <patternFill patternType="lightUp">
          <fgColor theme="0" tint="-0.34998626667073579"/>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color theme="0"/>
      </font>
      <fill>
        <patternFill patternType="none">
          <bgColor auto="1"/>
        </patternFill>
      </fill>
      <border>
        <left/>
        <right/>
        <top/>
        <bottom/>
      </border>
    </dxf>
    <dxf>
      <font>
        <b/>
        <i val="0"/>
        <condense val="0"/>
        <extend val="0"/>
        <color indexed="9"/>
      </font>
      <fill>
        <patternFill patternType="solid">
          <fgColor indexed="60"/>
          <bgColor indexed="10"/>
        </patternFill>
      </fill>
    </dxf>
    <dxf>
      <font>
        <b/>
        <i val="0"/>
        <condense val="0"/>
        <extend val="0"/>
        <color indexed="9"/>
      </font>
      <fill>
        <patternFill>
          <bgColor indexed="10"/>
        </patternFill>
      </fill>
    </dxf>
    <dxf>
      <font>
        <b val="0"/>
        <condense val="0"/>
        <extend val="0"/>
        <color indexed="9"/>
      </font>
      <fill>
        <patternFill patternType="solid">
          <fgColor indexed="60"/>
          <bgColor indexed="10"/>
        </patternFill>
      </fill>
    </dxf>
    <dxf>
      <font>
        <condense val="0"/>
        <extend val="0"/>
        <color indexed="9"/>
      </font>
      <fill>
        <patternFill>
          <bgColor indexed="10"/>
        </patternFill>
      </fill>
    </dxf>
    <dxf>
      <font>
        <color theme="0"/>
      </font>
      <fill>
        <patternFill>
          <bgColor rgb="FFFF0000"/>
        </patternFill>
      </fill>
    </dxf>
    <dxf>
      <font>
        <color theme="0"/>
      </font>
      <fill>
        <patternFill>
          <bgColor rgb="FFFF0000"/>
        </patternFill>
      </fill>
    </dxf>
    <dxf>
      <font>
        <color theme="0" tint="-4.9989318521683403E-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4.9989318521683403E-2"/>
      </font>
    </dxf>
    <dxf>
      <font>
        <color theme="0"/>
      </font>
      <fill>
        <patternFill>
          <bgColor rgb="FFFF0000"/>
        </patternFill>
      </fill>
    </dxf>
    <dxf>
      <font>
        <color theme="0" tint="-4.9989318521683403E-2"/>
      </font>
    </dxf>
    <dxf>
      <font>
        <color theme="0"/>
      </font>
      <fill>
        <patternFill>
          <bgColor rgb="FFFF0000"/>
        </patternFill>
      </fill>
    </dxf>
    <dxf>
      <font>
        <color theme="0" tint="-4.9989318521683403E-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ndense val="0"/>
        <extend val="0"/>
        <color indexed="10"/>
      </font>
      <fill>
        <patternFill>
          <bgColor indexed="10"/>
        </patternFill>
      </fill>
    </dxf>
    <dxf>
      <font>
        <b val="0"/>
        <condense val="0"/>
        <extend val="0"/>
        <color indexed="10"/>
      </font>
      <fill>
        <patternFill patternType="solid">
          <fgColor indexed="60"/>
          <bgColor indexed="10"/>
        </patternFill>
      </fill>
    </dxf>
    <dxf>
      <font>
        <b val="0"/>
        <condense val="0"/>
        <extend val="0"/>
        <color indexed="10"/>
      </font>
      <fill>
        <patternFill patternType="solid">
          <fgColor indexed="60"/>
          <bgColor indexed="10"/>
        </patternFill>
      </fill>
    </dxf>
    <dxf>
      <font>
        <condense val="0"/>
        <extend val="0"/>
        <color indexed="10"/>
      </font>
      <fill>
        <patternFill>
          <bgColor indexed="10"/>
        </patternFill>
      </fill>
    </dxf>
    <dxf>
      <font>
        <b/>
        <i val="0"/>
        <condense val="0"/>
        <extend val="0"/>
        <color indexed="9"/>
      </font>
      <fill>
        <patternFill>
          <bgColor indexed="10"/>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60"/>
          <bgColor indexed="10"/>
        </patternFill>
      </fill>
    </dxf>
    <dxf>
      <font>
        <b/>
        <i val="0"/>
        <condense val="0"/>
        <extend val="0"/>
        <color indexed="9"/>
      </font>
      <fill>
        <patternFill>
          <bgColor indexed="10"/>
        </patternFill>
      </fill>
    </dxf>
    <dxf>
      <font>
        <condense val="0"/>
        <extend val="0"/>
        <color indexed="10"/>
      </font>
      <fill>
        <patternFill>
          <bgColor indexed="10"/>
        </patternFill>
      </fill>
    </dxf>
    <dxf>
      <font>
        <b val="0"/>
        <condense val="0"/>
        <extend val="0"/>
        <color indexed="10"/>
      </font>
      <fill>
        <patternFill patternType="solid">
          <fgColor indexed="60"/>
          <bgColor indexed="10"/>
        </patternFill>
      </fill>
    </dxf>
    <dxf>
      <font>
        <b val="0"/>
        <condense val="0"/>
        <extend val="0"/>
        <color indexed="10"/>
      </font>
      <fill>
        <patternFill patternType="solid">
          <fgColor indexed="60"/>
          <bgColor indexed="10"/>
        </patternFill>
      </fill>
    </dxf>
    <dxf>
      <font>
        <condense val="0"/>
        <extend val="0"/>
        <color indexed="10"/>
      </font>
      <fill>
        <patternFill>
          <bgColor indexed="10"/>
        </patternFill>
      </fill>
    </dxf>
    <dxf>
      <font>
        <color theme="3"/>
      </font>
      <fill>
        <patternFill>
          <bgColor rgb="FFFFC000"/>
        </patternFill>
      </fill>
    </dxf>
    <dxf>
      <font>
        <color theme="0"/>
      </font>
      <fill>
        <patternFill>
          <bgColor theme="0" tint="-0.499984740745262"/>
        </patternFill>
      </fill>
    </dxf>
    <dxf>
      <font>
        <color theme="0"/>
      </font>
      <fill>
        <patternFill>
          <bgColor theme="0" tint="-0.499984740745262"/>
        </patternFill>
      </fill>
    </dxf>
    <dxf>
      <font>
        <color theme="3"/>
      </font>
      <fill>
        <patternFill>
          <bgColor rgb="FFFFC000"/>
        </patternFill>
      </fill>
    </dxf>
    <dxf>
      <font>
        <color theme="0"/>
      </font>
      <fill>
        <patternFill>
          <bgColor theme="0" tint="-0.499984740745262"/>
        </patternFill>
      </fill>
    </dxf>
    <dxf>
      <font>
        <color theme="3"/>
      </font>
      <fill>
        <patternFill>
          <bgColor rgb="FFFFC000"/>
        </patternFill>
      </fill>
    </dxf>
    <dxf>
      <font>
        <color theme="3"/>
      </font>
      <fill>
        <patternFill>
          <bgColor rgb="FFFFC000"/>
        </patternFill>
      </fill>
    </dxf>
    <dxf>
      <font>
        <color theme="0"/>
      </font>
      <fill>
        <patternFill>
          <bgColor theme="0" tint="-0.499984740745262"/>
        </patternFill>
      </fill>
    </dxf>
    <dxf>
      <font>
        <color theme="0"/>
      </font>
      <fill>
        <patternFill>
          <bgColor theme="0" tint="-0.499984740745262"/>
        </patternFill>
      </fill>
    </dxf>
    <dxf>
      <font>
        <color theme="3"/>
      </font>
      <fill>
        <patternFill>
          <bgColor rgb="FFFFC000"/>
        </patternFill>
      </fill>
    </dxf>
    <dxf>
      <font>
        <color theme="3"/>
      </font>
      <fill>
        <patternFill>
          <bgColor rgb="FFFFC000"/>
        </patternFill>
      </fill>
    </dxf>
    <dxf>
      <font>
        <color theme="0"/>
      </font>
      <fill>
        <patternFill>
          <bgColor theme="0" tint="-0.499984740745262"/>
        </patternFill>
      </fill>
    </dxf>
    <dxf>
      <font>
        <color theme="3"/>
      </font>
      <fill>
        <patternFill>
          <bgColor rgb="FFFFC000"/>
        </patternFill>
      </fill>
    </dxf>
    <dxf>
      <font>
        <color theme="0"/>
      </font>
      <fill>
        <patternFill>
          <bgColor theme="0" tint="-0.499984740745262"/>
        </patternFill>
      </fill>
    </dxf>
    <dxf>
      <font>
        <color theme="3"/>
      </font>
      <fill>
        <patternFill>
          <bgColor rgb="FFFFC000"/>
        </patternFill>
      </fill>
    </dxf>
    <dxf>
      <font>
        <color theme="0"/>
      </font>
      <fill>
        <patternFill>
          <bgColor theme="0" tint="-0.499984740745262"/>
        </patternFill>
      </fill>
    </dxf>
    <dxf>
      <font>
        <color theme="3"/>
      </font>
      <fill>
        <patternFill>
          <bgColor rgb="FFFFC000"/>
        </patternFill>
      </fill>
    </dxf>
    <dxf>
      <font>
        <color theme="0"/>
      </font>
      <fill>
        <patternFill>
          <bgColor theme="0" tint="-0.499984740745262"/>
        </patternFill>
      </fill>
    </dxf>
    <dxf>
      <font>
        <color theme="3"/>
      </font>
      <fill>
        <patternFill>
          <bgColor rgb="FFFFC000"/>
        </patternFill>
      </fill>
    </dxf>
    <dxf>
      <font>
        <color theme="0"/>
      </font>
      <fill>
        <patternFill>
          <bgColor theme="0" tint="-0.499984740745262"/>
        </patternFill>
      </fill>
    </dxf>
    <dxf>
      <font>
        <color theme="0"/>
      </font>
      <fill>
        <patternFill>
          <bgColor theme="0" tint="-0.499984740745262"/>
        </patternFill>
      </fill>
    </dxf>
    <dxf>
      <font>
        <color theme="3"/>
      </font>
      <fill>
        <patternFill>
          <bgColor rgb="FFFFC000"/>
        </patternFill>
      </fill>
    </dxf>
    <dxf>
      <font>
        <color theme="3"/>
      </font>
      <fill>
        <patternFill>
          <bgColor rgb="FFFFC000"/>
        </patternFill>
      </fill>
    </dxf>
    <dxf>
      <font>
        <color theme="3"/>
      </font>
      <fill>
        <patternFill>
          <bgColor rgb="FFFFC000"/>
        </patternFill>
      </fill>
    </dxf>
    <dxf>
      <font>
        <color theme="0"/>
      </font>
      <fill>
        <patternFill>
          <bgColor theme="0" tint="-0.499984740745262"/>
        </patternFill>
      </fill>
    </dxf>
    <dxf>
      <font>
        <color theme="0"/>
      </font>
      <fill>
        <patternFill>
          <bgColor theme="0" tint="-0.499984740745262"/>
        </patternFill>
      </fill>
    </dxf>
    <dxf>
      <font>
        <color theme="3"/>
      </font>
      <fill>
        <patternFill>
          <bgColor rgb="FFFFC000"/>
        </patternFill>
      </fill>
    </dxf>
    <dxf>
      <font>
        <color theme="0"/>
      </font>
      <fill>
        <patternFill>
          <bgColor theme="0" tint="-0.499984740745262"/>
        </patternFill>
      </fill>
    </dxf>
    <dxf>
      <font>
        <color theme="3"/>
      </font>
      <fill>
        <patternFill>
          <bgColor rgb="FFFFC000"/>
        </patternFill>
      </fill>
    </dxf>
    <dxf>
      <font>
        <color theme="0"/>
      </font>
      <fill>
        <patternFill>
          <bgColor theme="0" tint="-0.499984740745262"/>
        </patternFill>
      </fill>
    </dxf>
    <dxf>
      <font>
        <color theme="3"/>
      </font>
      <fill>
        <patternFill>
          <bgColor rgb="FFFFC000"/>
        </patternFill>
      </fill>
    </dxf>
    <dxf>
      <font>
        <color theme="0"/>
      </font>
      <fill>
        <patternFill>
          <bgColor theme="0" tint="-0.499984740745262"/>
        </patternFill>
      </fill>
    </dxf>
    <dxf>
      <font>
        <color theme="3"/>
      </font>
      <fill>
        <patternFill>
          <bgColor rgb="FFFFC000"/>
        </patternFill>
      </fill>
    </dxf>
    <dxf>
      <font>
        <color theme="0"/>
      </font>
      <fill>
        <patternFill>
          <bgColor theme="0" tint="-0.499984740745262"/>
        </patternFill>
      </fill>
    </dxf>
    <dxf>
      <font>
        <color theme="3"/>
      </font>
      <fill>
        <patternFill>
          <bgColor rgb="FFFFC000"/>
        </patternFill>
      </fill>
    </dxf>
    <dxf>
      <font>
        <color theme="0"/>
      </font>
      <fill>
        <patternFill>
          <bgColor theme="0" tint="-0.499984740745262"/>
        </patternFill>
      </fill>
    </dxf>
    <dxf>
      <font>
        <color theme="3"/>
      </font>
      <fill>
        <patternFill>
          <bgColor rgb="FFFFC000"/>
        </patternFill>
      </fill>
    </dxf>
    <dxf>
      <font>
        <color theme="0"/>
      </font>
      <fill>
        <patternFill>
          <bgColor theme="0" tint="-0.499984740745262"/>
        </patternFill>
      </fill>
    </dxf>
    <dxf>
      <font>
        <color theme="0"/>
      </font>
      <fill>
        <patternFill>
          <bgColor theme="0" tint="-0.499984740745262"/>
        </patternFill>
      </fill>
    </dxf>
    <dxf>
      <font>
        <color theme="0"/>
      </font>
      <fill>
        <patternFill>
          <bgColor theme="0" tint="-0.499984740745262"/>
        </patternFill>
      </fill>
    </dxf>
    <dxf>
      <font>
        <color theme="3"/>
      </font>
      <fill>
        <patternFill>
          <bgColor rgb="FFFFC000"/>
        </patternFill>
      </fill>
    </dxf>
    <dxf>
      <font>
        <color theme="3"/>
      </font>
      <fill>
        <patternFill>
          <bgColor rgb="FFFFC000"/>
        </patternFill>
      </fill>
    </dxf>
    <dxf>
      <font>
        <color theme="0"/>
      </font>
      <fill>
        <patternFill>
          <bgColor theme="0" tint="-0.499984740745262"/>
        </patternFill>
      </fill>
    </dxf>
    <dxf>
      <font>
        <color theme="0"/>
      </font>
      <fill>
        <patternFill>
          <bgColor theme="0" tint="-0.499984740745262"/>
        </patternFill>
      </fill>
    </dxf>
    <dxf>
      <font>
        <color theme="3"/>
      </font>
      <fill>
        <patternFill>
          <bgColor rgb="FFFFC000"/>
        </patternFill>
      </fill>
    </dxf>
    <dxf>
      <font>
        <color theme="0"/>
      </font>
      <fill>
        <patternFill>
          <bgColor theme="0" tint="-0.499984740745262"/>
        </patternFill>
      </fill>
    </dxf>
    <dxf>
      <font>
        <color theme="3"/>
      </font>
      <fill>
        <patternFill>
          <bgColor rgb="FFFFC000"/>
        </patternFill>
      </fill>
    </dxf>
    <dxf>
      <font>
        <color theme="3"/>
      </font>
      <fill>
        <patternFill>
          <bgColor rgb="FFFFC000"/>
        </patternFill>
      </fill>
    </dxf>
    <dxf>
      <font>
        <color theme="0"/>
      </font>
      <fill>
        <patternFill>
          <bgColor theme="0" tint="-0.499984740745262"/>
        </patternFill>
      </fill>
    </dxf>
    <dxf>
      <font>
        <color theme="0"/>
      </font>
      <fill>
        <patternFill>
          <bgColor theme="0" tint="-0.499984740745262"/>
        </patternFill>
      </fill>
    </dxf>
    <dxf>
      <font>
        <color theme="3"/>
      </font>
      <fill>
        <patternFill>
          <bgColor rgb="FFFFC000"/>
        </patternFill>
      </fill>
    </dxf>
    <dxf>
      <font>
        <color theme="0"/>
      </font>
      <fill>
        <patternFill>
          <bgColor theme="0" tint="-0.499984740745262"/>
        </patternFill>
      </fill>
    </dxf>
    <dxf>
      <font>
        <color theme="3"/>
      </font>
      <fill>
        <patternFill>
          <bgColor rgb="FFFFC000"/>
        </patternFill>
      </fill>
    </dxf>
    <dxf>
      <font>
        <color theme="0"/>
      </font>
      <fill>
        <patternFill>
          <bgColor theme="0" tint="-0.499984740745262"/>
        </patternFill>
      </fill>
    </dxf>
    <dxf>
      <font>
        <color theme="3"/>
      </font>
      <fill>
        <patternFill>
          <bgColor rgb="FFFFC000"/>
        </patternFill>
      </fill>
    </dxf>
    <dxf>
      <font>
        <color theme="0"/>
      </font>
      <fill>
        <patternFill>
          <bgColor theme="0" tint="-0.499984740745262"/>
        </patternFill>
      </fill>
    </dxf>
    <dxf>
      <font>
        <color theme="3"/>
      </font>
      <fill>
        <patternFill>
          <bgColor rgb="FFFFC000"/>
        </patternFill>
      </fill>
    </dxf>
    <dxf>
      <font>
        <color theme="0"/>
      </font>
      <fill>
        <patternFill>
          <bgColor theme="0" tint="-0.499984740745262"/>
        </patternFill>
      </fill>
    </dxf>
    <dxf>
      <font>
        <color theme="3"/>
      </font>
      <fill>
        <patternFill>
          <bgColor rgb="FFFFC000"/>
        </patternFill>
      </fill>
    </dxf>
    <dxf>
      <font>
        <color theme="0"/>
      </font>
      <fill>
        <patternFill>
          <bgColor theme="0" tint="-0.499984740745262"/>
        </patternFill>
      </fill>
    </dxf>
    <dxf>
      <font>
        <color theme="3"/>
      </font>
      <fill>
        <patternFill>
          <bgColor rgb="FFFFC000"/>
        </patternFill>
      </fill>
    </dxf>
    <dxf>
      <font>
        <color theme="0"/>
      </font>
      <fill>
        <patternFill>
          <bgColor theme="0" tint="-0.499984740745262"/>
        </patternFill>
      </fill>
    </dxf>
    <dxf>
      <font>
        <color theme="3"/>
      </font>
      <fill>
        <patternFill>
          <bgColor rgb="FFFFC000"/>
        </patternFill>
      </fill>
    </dxf>
    <dxf>
      <font>
        <color theme="0"/>
      </font>
      <fill>
        <patternFill>
          <bgColor theme="0" tint="-0.499984740745262"/>
        </patternFill>
      </fill>
    </dxf>
    <dxf>
      <font>
        <color theme="3"/>
      </font>
      <fill>
        <patternFill>
          <bgColor rgb="FFFFC000"/>
        </patternFill>
      </fill>
    </dxf>
    <dxf>
      <font>
        <color theme="3"/>
      </font>
      <fill>
        <patternFill>
          <bgColor rgb="FFFFC000"/>
        </patternFill>
      </fill>
    </dxf>
    <dxf>
      <font>
        <color theme="0"/>
      </font>
      <fill>
        <patternFill>
          <bgColor theme="0" tint="-0.499984740745262"/>
        </patternFill>
      </fill>
    </dxf>
    <dxf>
      <font>
        <color theme="3"/>
      </font>
      <fill>
        <patternFill>
          <bgColor rgb="FFFFC000"/>
        </patternFill>
      </fill>
    </dxf>
    <dxf>
      <font>
        <color theme="0"/>
      </font>
      <fill>
        <patternFill>
          <bgColor theme="0" tint="-0.499984740745262"/>
        </patternFill>
      </fill>
    </dxf>
    <dxf>
      <font>
        <color theme="0"/>
      </font>
      <fill>
        <patternFill>
          <bgColor theme="0" tint="-0.499984740745262"/>
        </patternFill>
      </fill>
    </dxf>
    <dxf>
      <font>
        <color theme="3"/>
      </font>
      <fill>
        <patternFill>
          <bgColor rgb="FFFFC000"/>
        </patternFill>
      </fill>
    </dxf>
    <dxf>
      <font>
        <color theme="3"/>
      </font>
      <fill>
        <patternFill>
          <bgColor rgb="FFFFC000"/>
        </patternFill>
      </fill>
    </dxf>
    <dxf>
      <font>
        <color theme="0"/>
      </font>
      <fill>
        <patternFill>
          <bgColor theme="0" tint="-0.499984740745262"/>
        </patternFill>
      </fill>
    </dxf>
    <dxf>
      <font>
        <color theme="3"/>
      </font>
      <fill>
        <patternFill>
          <bgColor rgb="FFFFC000"/>
        </patternFill>
      </fill>
    </dxf>
    <dxf>
      <font>
        <color theme="0"/>
      </font>
      <fill>
        <patternFill>
          <bgColor theme="0" tint="-0.499984740745262"/>
        </patternFill>
      </fill>
    </dxf>
    <dxf>
      <font>
        <color theme="3"/>
      </font>
      <fill>
        <patternFill>
          <bgColor rgb="FFFFC000"/>
        </patternFill>
      </fill>
    </dxf>
    <dxf>
      <font>
        <color theme="0"/>
      </font>
      <fill>
        <patternFill>
          <bgColor theme="0" tint="-0.499984740745262"/>
        </patternFill>
      </fill>
    </dxf>
    <dxf>
      <font>
        <color theme="3"/>
      </font>
      <fill>
        <patternFill>
          <bgColor rgb="FFFFC000"/>
        </patternFill>
      </fill>
    </dxf>
    <dxf>
      <font>
        <color theme="0"/>
      </font>
      <fill>
        <patternFill>
          <bgColor theme="0" tint="-0.499984740745262"/>
        </patternFill>
      </fill>
    </dxf>
    <dxf>
      <font>
        <color theme="3"/>
      </font>
      <fill>
        <patternFill>
          <bgColor rgb="FFFFC000"/>
        </patternFill>
      </fill>
    </dxf>
    <dxf>
      <font>
        <color theme="0"/>
      </font>
      <fill>
        <patternFill>
          <bgColor theme="0" tint="-0.499984740745262"/>
        </patternFill>
      </fill>
    </dxf>
    <dxf>
      <font>
        <color theme="0"/>
      </font>
      <fill>
        <patternFill>
          <bgColor theme="0" tint="-0.499984740745262"/>
        </patternFill>
      </fill>
    </dxf>
    <dxf>
      <font>
        <color theme="3"/>
      </font>
      <fill>
        <patternFill>
          <bgColor rgb="FFFFC000"/>
        </patternFill>
      </fill>
    </dxf>
    <dxf>
      <font>
        <color theme="3"/>
      </font>
      <fill>
        <patternFill>
          <bgColor rgb="FFFFC000"/>
        </patternFill>
      </fill>
    </dxf>
    <dxf>
      <font>
        <color theme="0"/>
      </font>
      <fill>
        <patternFill>
          <bgColor theme="0" tint="-0.499984740745262"/>
        </patternFill>
      </fill>
    </dxf>
    <dxf>
      <font>
        <color theme="0"/>
      </font>
      <fill>
        <patternFill>
          <bgColor theme="0" tint="-0.499984740745262"/>
        </patternFill>
      </fill>
    </dxf>
    <dxf>
      <font>
        <color theme="3"/>
      </font>
      <fill>
        <patternFill>
          <bgColor rgb="FFFFC000"/>
        </patternFill>
      </fill>
    </dxf>
    <dxf>
      <font>
        <color theme="0"/>
      </font>
      <fill>
        <patternFill>
          <bgColor theme="0" tint="-0.499984740745262"/>
        </patternFill>
      </fill>
    </dxf>
    <dxf>
      <font>
        <color theme="3"/>
      </font>
      <fill>
        <patternFill>
          <bgColor rgb="FFFFC000"/>
        </patternFill>
      </fill>
    </dxf>
    <dxf>
      <font>
        <color theme="3"/>
      </font>
      <fill>
        <patternFill>
          <bgColor rgb="FFFFC000"/>
        </patternFill>
      </fill>
    </dxf>
    <dxf>
      <font>
        <color theme="0"/>
      </font>
      <fill>
        <patternFill>
          <bgColor theme="0" tint="-0.499984740745262"/>
        </patternFill>
      </fill>
    </dxf>
    <dxf>
      <font>
        <color theme="3"/>
      </font>
      <fill>
        <patternFill>
          <bgColor rgb="FFFFC000"/>
        </patternFill>
      </fill>
    </dxf>
    <dxf>
      <font>
        <color theme="0"/>
      </font>
      <fill>
        <patternFill>
          <bgColor theme="0" tint="-0.499984740745262"/>
        </patternFill>
      </fill>
    </dxf>
    <dxf>
      <font>
        <color theme="3"/>
      </font>
      <fill>
        <patternFill>
          <bgColor rgb="FFFFC000"/>
        </patternFill>
      </fill>
    </dxf>
    <dxf>
      <font>
        <color theme="0"/>
      </font>
      <fill>
        <patternFill>
          <bgColor theme="0" tint="-0.499984740745262"/>
        </patternFill>
      </fill>
    </dxf>
    <dxf>
      <font>
        <color theme="3"/>
      </font>
      <fill>
        <patternFill>
          <bgColor rgb="FFFFC000"/>
        </patternFill>
      </fill>
    </dxf>
    <dxf>
      <font>
        <color theme="3"/>
      </font>
      <fill>
        <patternFill>
          <bgColor rgb="FFFFC000"/>
        </patternFill>
      </fill>
    </dxf>
    <dxf>
      <font>
        <color theme="0"/>
      </font>
      <fill>
        <patternFill>
          <bgColor theme="0" tint="-0.499984740745262"/>
        </patternFill>
      </fill>
    </dxf>
    <dxf>
      <font>
        <color theme="3"/>
      </font>
      <fill>
        <patternFill>
          <bgColor rgb="FFFFC000"/>
        </patternFill>
      </fill>
    </dxf>
    <dxf>
      <font>
        <color theme="0"/>
      </font>
      <fill>
        <patternFill>
          <bgColor theme="0" tint="-0.499984740745262"/>
        </patternFill>
      </fill>
    </dxf>
    <dxf>
      <font>
        <color theme="0"/>
      </font>
      <fill>
        <patternFill>
          <bgColor theme="0" tint="-0.499984740745262"/>
        </patternFill>
      </fill>
    </dxf>
    <dxf>
      <font>
        <color theme="3"/>
      </font>
      <fill>
        <patternFill>
          <bgColor rgb="FFFFC000"/>
        </patternFill>
      </fill>
    </dxf>
    <dxf>
      <font>
        <color theme="3"/>
      </font>
      <fill>
        <patternFill>
          <bgColor rgb="FFFFC000"/>
        </patternFill>
      </fill>
    </dxf>
    <dxf>
      <font>
        <color theme="0"/>
      </font>
      <fill>
        <patternFill>
          <bgColor theme="0" tint="-0.499984740745262"/>
        </patternFill>
      </fill>
    </dxf>
    <dxf>
      <font>
        <color theme="0"/>
      </font>
      <fill>
        <patternFill>
          <bgColor theme="0" tint="-0.499984740745262"/>
        </patternFill>
      </fill>
    </dxf>
    <dxf>
      <font>
        <color theme="3"/>
      </font>
      <fill>
        <patternFill>
          <bgColor rgb="FFFFC000"/>
        </patternFill>
      </fill>
    </dxf>
    <dxf>
      <font>
        <color theme="0" tint="-0.14996795556505021"/>
      </font>
    </dxf>
    <dxf>
      <font>
        <color theme="0" tint="-0.14996795556505021"/>
      </font>
    </dxf>
    <dxf>
      <font>
        <b/>
        <i val="0"/>
        <color theme="0"/>
      </font>
      <fill>
        <patternFill>
          <bgColor rgb="FFFF0000"/>
        </patternFill>
      </fill>
    </dxf>
    <dxf>
      <font>
        <color rgb="FFFF0000"/>
      </font>
    </dxf>
    <dxf>
      <font>
        <color theme="0" tint="-0.14996795556505021"/>
      </font>
    </dxf>
    <dxf>
      <font>
        <color rgb="FFFF0000"/>
      </font>
    </dxf>
    <dxf>
      <font>
        <color theme="0" tint="-0.14996795556505021"/>
      </font>
    </dxf>
    <dxf>
      <font>
        <color theme="0" tint="-0.14996795556505021"/>
      </font>
    </dxf>
    <dxf>
      <font>
        <color theme="0" tint="-0.14996795556505021"/>
      </font>
    </dxf>
    <dxf>
      <font>
        <color theme="0" tint="-0.14996795556505021"/>
      </font>
    </dxf>
    <dxf>
      <font>
        <color rgb="FFFF0000"/>
      </font>
    </dxf>
    <dxf>
      <font>
        <color rgb="FFFF0000"/>
      </font>
    </dxf>
    <dxf>
      <font>
        <color rgb="FFFF0000"/>
      </font>
    </dxf>
    <dxf>
      <font>
        <color rgb="FFFF0000"/>
      </font>
    </dxf>
  </dxfs>
  <tableStyles count="0" defaultTableStyle="TableStyleMedium9" defaultPivotStyle="PivotStyleLight16"/>
  <colors>
    <mruColors>
      <color rgb="FF006600"/>
      <color rgb="FF3366CC"/>
      <color rgb="FFFFCCCC"/>
      <color rgb="FF3399FF"/>
      <color rgb="FFCCFF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externalLink" Target="externalLinks/externalLink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chartsheet" Target="chartsheets/sheet1.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externalLink" Target="externalLinks/externalLink5.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3819063382155664E-2"/>
          <c:y val="6.9598531014319023E-2"/>
          <c:w val="0.87514625891751563"/>
          <c:h val="0.85228222407937559"/>
        </c:manualLayout>
      </c:layout>
      <c:scatterChart>
        <c:scatterStyle val="lineMarker"/>
        <c:varyColors val="0"/>
        <c:ser>
          <c:idx val="0"/>
          <c:order val="0"/>
          <c:tx>
            <c:v>PLAN</c:v>
          </c:tx>
          <c:spPr>
            <a:ln w="47625">
              <a:solidFill>
                <a:srgbClr val="00B050"/>
              </a:solidFill>
            </a:ln>
          </c:spPr>
          <c:marker>
            <c:symbol val="none"/>
          </c:marker>
          <c:xVal>
            <c:numRef>
              <c:f>'2_DATA'!$AD$10:$AD$791</c:f>
              <c:numCache>
                <c:formatCode>0.00</c:formatCode>
                <c:ptCount val="782"/>
                <c:pt idx="0">
                  <c:v>0</c:v>
                </c:pt>
                <c:pt idx="1">
                  <c:v>0</c:v>
                </c:pt>
                <c:pt idx="2">
                  <c:v>0.16666666666666666</c:v>
                </c:pt>
                <c:pt idx="3">
                  <c:v>0.16666666666666666</c:v>
                </c:pt>
                <c:pt idx="4">
                  <c:v>0.20833333333333331</c:v>
                </c:pt>
                <c:pt idx="5">
                  <c:v>0.375</c:v>
                </c:pt>
                <c:pt idx="6">
                  <c:v>0.45833333333333331</c:v>
                </c:pt>
                <c:pt idx="7">
                  <c:v>0.45833333333333331</c:v>
                </c:pt>
                <c:pt idx="8">
                  <c:v>0.70833333333333326</c:v>
                </c:pt>
                <c:pt idx="9">
                  <c:v>0.70833333333333326</c:v>
                </c:pt>
                <c:pt idx="10">
                  <c:v>0.74999999999999989</c:v>
                </c:pt>
                <c:pt idx="11">
                  <c:v>0.83333333333333326</c:v>
                </c:pt>
                <c:pt idx="12">
                  <c:v>1.0208333333333333</c:v>
                </c:pt>
                <c:pt idx="13">
                  <c:v>1.0208333333333333</c:v>
                </c:pt>
                <c:pt idx="14">
                  <c:v>1.0208333333333333</c:v>
                </c:pt>
                <c:pt idx="15">
                  <c:v>1.3125</c:v>
                </c:pt>
                <c:pt idx="16">
                  <c:v>1.3125</c:v>
                </c:pt>
                <c:pt idx="17">
                  <c:v>1.3125</c:v>
                </c:pt>
                <c:pt idx="18">
                  <c:v>1.3125</c:v>
                </c:pt>
                <c:pt idx="19">
                  <c:v>1.3125</c:v>
                </c:pt>
                <c:pt idx="20">
                  <c:v>1.3125</c:v>
                </c:pt>
                <c:pt idx="21">
                  <c:v>1.3958333333333333</c:v>
                </c:pt>
                <c:pt idx="22">
                  <c:v>1.3958333333333333</c:v>
                </c:pt>
                <c:pt idx="23">
                  <c:v>1.6875</c:v>
                </c:pt>
                <c:pt idx="24">
                  <c:v>1.6875</c:v>
                </c:pt>
                <c:pt idx="25">
                  <c:v>1.6875</c:v>
                </c:pt>
                <c:pt idx="26">
                  <c:v>1.9375</c:v>
                </c:pt>
                <c:pt idx="27">
                  <c:v>1.9375</c:v>
                </c:pt>
                <c:pt idx="28">
                  <c:v>1.9375</c:v>
                </c:pt>
                <c:pt idx="29">
                  <c:v>1.9375</c:v>
                </c:pt>
                <c:pt idx="30">
                  <c:v>2.1875</c:v>
                </c:pt>
                <c:pt idx="31">
                  <c:v>2.1875</c:v>
                </c:pt>
                <c:pt idx="32">
                  <c:v>2.1875</c:v>
                </c:pt>
                <c:pt idx="33">
                  <c:v>2.5208333333333335</c:v>
                </c:pt>
                <c:pt idx="34">
                  <c:v>2.5208333333333335</c:v>
                </c:pt>
                <c:pt idx="35">
                  <c:v>2.5208333333333335</c:v>
                </c:pt>
                <c:pt idx="36">
                  <c:v>2.5208333333333335</c:v>
                </c:pt>
                <c:pt idx="37">
                  <c:v>2.5208333333333335</c:v>
                </c:pt>
                <c:pt idx="38">
                  <c:v>2.5208333333333335</c:v>
                </c:pt>
                <c:pt idx="39">
                  <c:v>2.5208333333333335</c:v>
                </c:pt>
                <c:pt idx="40">
                  <c:v>2.5208333333333335</c:v>
                </c:pt>
                <c:pt idx="41">
                  <c:v>2.5208333333333335</c:v>
                </c:pt>
                <c:pt idx="42">
                  <c:v>2.5208333333333335</c:v>
                </c:pt>
                <c:pt idx="43">
                  <c:v>2.5208333333333335</c:v>
                </c:pt>
                <c:pt idx="44">
                  <c:v>2.5208333333333335</c:v>
                </c:pt>
                <c:pt idx="45">
                  <c:v>2.5208333333333335</c:v>
                </c:pt>
                <c:pt idx="46">
                  <c:v>2.5208333333333335</c:v>
                </c:pt>
                <c:pt idx="47">
                  <c:v>2.7708333333333335</c:v>
                </c:pt>
                <c:pt idx="48">
                  <c:v>2.7708333333333335</c:v>
                </c:pt>
                <c:pt idx="49">
                  <c:v>3.0625</c:v>
                </c:pt>
                <c:pt idx="50">
                  <c:v>3.0625</c:v>
                </c:pt>
                <c:pt idx="51">
                  <c:v>3.0625</c:v>
                </c:pt>
                <c:pt idx="52">
                  <c:v>3.0625</c:v>
                </c:pt>
                <c:pt idx="53">
                  <c:v>3.0625</c:v>
                </c:pt>
                <c:pt idx="54">
                  <c:v>3.3958333333333335</c:v>
                </c:pt>
                <c:pt idx="55">
                  <c:v>3.3958333333333335</c:v>
                </c:pt>
                <c:pt idx="56">
                  <c:v>3.479166666666667</c:v>
                </c:pt>
                <c:pt idx="57">
                  <c:v>3.479166666666667</c:v>
                </c:pt>
                <c:pt idx="58">
                  <c:v>3.7708333333333335</c:v>
                </c:pt>
                <c:pt idx="59">
                  <c:v>3.7708333333333335</c:v>
                </c:pt>
                <c:pt idx="60">
                  <c:v>3.7708333333333335</c:v>
                </c:pt>
                <c:pt idx="61">
                  <c:v>3.7708333333333335</c:v>
                </c:pt>
                <c:pt idx="62">
                  <c:v>3.7708333333333335</c:v>
                </c:pt>
                <c:pt idx="63">
                  <c:v>3.7708333333333335</c:v>
                </c:pt>
                <c:pt idx="64">
                  <c:v>3.7708333333333335</c:v>
                </c:pt>
                <c:pt idx="65">
                  <c:v>3.7708333333333335</c:v>
                </c:pt>
                <c:pt idx="66">
                  <c:v>3.7708333333333335</c:v>
                </c:pt>
                <c:pt idx="67">
                  <c:v>3.7708333333333335</c:v>
                </c:pt>
                <c:pt idx="68">
                  <c:v>3.7708333333333335</c:v>
                </c:pt>
                <c:pt idx="69">
                  <c:v>3.7708333333333335</c:v>
                </c:pt>
                <c:pt idx="70">
                  <c:v>3.7708333333333335</c:v>
                </c:pt>
                <c:pt idx="71">
                  <c:v>3.7708333333333335</c:v>
                </c:pt>
                <c:pt idx="72">
                  <c:v>3.7708333333333335</c:v>
                </c:pt>
                <c:pt idx="73">
                  <c:v>3.7708333333333335</c:v>
                </c:pt>
                <c:pt idx="74">
                  <c:v>3.7708333333333335</c:v>
                </c:pt>
                <c:pt idx="75">
                  <c:v>3.7708333333333335</c:v>
                </c:pt>
                <c:pt idx="76">
                  <c:v>3.7708333333333335</c:v>
                </c:pt>
                <c:pt idx="77">
                  <c:v>3.7708333333333335</c:v>
                </c:pt>
                <c:pt idx="78">
                  <c:v>3.7708333333333335</c:v>
                </c:pt>
                <c:pt idx="79">
                  <c:v>3.7708333333333335</c:v>
                </c:pt>
                <c:pt idx="80">
                  <c:v>3.7708333333333335</c:v>
                </c:pt>
                <c:pt idx="81">
                  <c:v>3.7708333333333335</c:v>
                </c:pt>
                <c:pt idx="82">
                  <c:v>3.7708333333333335</c:v>
                </c:pt>
                <c:pt idx="83">
                  <c:v>3.7708333333333335</c:v>
                </c:pt>
                <c:pt idx="84">
                  <c:v>3.7708333333333335</c:v>
                </c:pt>
                <c:pt idx="85">
                  <c:v>3.7708333333333335</c:v>
                </c:pt>
                <c:pt idx="86">
                  <c:v>3.7708333333333335</c:v>
                </c:pt>
                <c:pt idx="87">
                  <c:v>3.7708333333333335</c:v>
                </c:pt>
                <c:pt idx="88">
                  <c:v>3.7708333333333335</c:v>
                </c:pt>
                <c:pt idx="89">
                  <c:v>3.7708333333333335</c:v>
                </c:pt>
                <c:pt idx="90">
                  <c:v>3.7708333333333335</c:v>
                </c:pt>
                <c:pt idx="91">
                  <c:v>3.7708333333333335</c:v>
                </c:pt>
                <c:pt idx="92">
                  <c:v>3.7708333333333335</c:v>
                </c:pt>
                <c:pt idx="93">
                  <c:v>3.7708333333333335</c:v>
                </c:pt>
                <c:pt idx="94">
                  <c:v>3.7708333333333335</c:v>
                </c:pt>
                <c:pt idx="95">
                  <c:v>3.7708333333333335</c:v>
                </c:pt>
                <c:pt idx="96">
                  <c:v>3.7708333333333335</c:v>
                </c:pt>
                <c:pt idx="97">
                  <c:v>3.7708333333333335</c:v>
                </c:pt>
                <c:pt idx="98">
                  <c:v>3.7708333333333335</c:v>
                </c:pt>
                <c:pt idx="99">
                  <c:v>3.7708333333333335</c:v>
                </c:pt>
                <c:pt idx="100">
                  <c:v>4.0625</c:v>
                </c:pt>
                <c:pt idx="101">
                  <c:v>4.0625</c:v>
                </c:pt>
                <c:pt idx="102">
                  <c:v>4.145833333333333</c:v>
                </c:pt>
                <c:pt idx="103">
                  <c:v>4.4375</c:v>
                </c:pt>
                <c:pt idx="104">
                  <c:v>4.4375</c:v>
                </c:pt>
                <c:pt idx="105">
                  <c:v>4.4375</c:v>
                </c:pt>
                <c:pt idx="106">
                  <c:v>4.520833333333333</c:v>
                </c:pt>
                <c:pt idx="107">
                  <c:v>4.8541666666666661</c:v>
                </c:pt>
                <c:pt idx="108">
                  <c:v>4.8541666666666661</c:v>
                </c:pt>
                <c:pt idx="109">
                  <c:v>4.8541666666666661</c:v>
                </c:pt>
                <c:pt idx="110">
                  <c:v>4.8541666666666661</c:v>
                </c:pt>
                <c:pt idx="111">
                  <c:v>4.8541666666666661</c:v>
                </c:pt>
                <c:pt idx="112">
                  <c:v>4.8541666666666661</c:v>
                </c:pt>
                <c:pt idx="113">
                  <c:v>4.8541666666666661</c:v>
                </c:pt>
                <c:pt idx="114">
                  <c:v>4.8541666666666661</c:v>
                </c:pt>
                <c:pt idx="115">
                  <c:v>6.8541666666666661</c:v>
                </c:pt>
                <c:pt idx="116">
                  <c:v>7.1041666666666661</c:v>
                </c:pt>
                <c:pt idx="117">
                  <c:v>7.3749999999999991</c:v>
                </c:pt>
                <c:pt idx="118">
                  <c:v>7.6249999999999991</c:v>
                </c:pt>
                <c:pt idx="119">
                  <c:v>7.9583333333333321</c:v>
                </c:pt>
                <c:pt idx="120">
                  <c:v>8.2083333333333321</c:v>
                </c:pt>
                <c:pt idx="121">
                  <c:v>8.4583333333333321</c:v>
                </c:pt>
                <c:pt idx="122">
                  <c:v>8.8749999999999982</c:v>
                </c:pt>
                <c:pt idx="123">
                  <c:v>8.9583333333333321</c:v>
                </c:pt>
                <c:pt idx="124">
                  <c:v>8.9999999999999982</c:v>
                </c:pt>
                <c:pt idx="125">
                  <c:v>9.2916666666666643</c:v>
                </c:pt>
                <c:pt idx="126">
                  <c:v>9.5833333333333304</c:v>
                </c:pt>
                <c:pt idx="127">
                  <c:v>9.6666666666666643</c:v>
                </c:pt>
                <c:pt idx="128">
                  <c:v>9.9583333333333304</c:v>
                </c:pt>
                <c:pt idx="129">
                  <c:v>10.041666666666664</c:v>
                </c:pt>
                <c:pt idx="130">
                  <c:v>10.291666666666664</c:v>
                </c:pt>
                <c:pt idx="131">
                  <c:v>10.541666666666664</c:v>
                </c:pt>
                <c:pt idx="132">
                  <c:v>10.541666666666664</c:v>
                </c:pt>
                <c:pt idx="133">
                  <c:v>10.541666666666664</c:v>
                </c:pt>
                <c:pt idx="134">
                  <c:v>10.541666666666664</c:v>
                </c:pt>
                <c:pt idx="135">
                  <c:v>10.541666666666664</c:v>
                </c:pt>
                <c:pt idx="136">
                  <c:v>10.791666666666664</c:v>
                </c:pt>
                <c:pt idx="137">
                  <c:v>11.041666666666664</c:v>
                </c:pt>
                <c:pt idx="138">
                  <c:v>11.20833333333333</c:v>
                </c:pt>
                <c:pt idx="139">
                  <c:v>13.20833333333333</c:v>
                </c:pt>
                <c:pt idx="140">
                  <c:v>13.374999999999996</c:v>
                </c:pt>
                <c:pt idx="141">
                  <c:v>13.416666666666663</c:v>
                </c:pt>
                <c:pt idx="142">
                  <c:v>13.583333333333329</c:v>
                </c:pt>
                <c:pt idx="143">
                  <c:v>13.833333333333329</c:v>
                </c:pt>
                <c:pt idx="144">
                  <c:v>13.874999999999995</c:v>
                </c:pt>
                <c:pt idx="145">
                  <c:v>13.958333333333329</c:v>
                </c:pt>
                <c:pt idx="146">
                  <c:v>14.208333333333329</c:v>
                </c:pt>
                <c:pt idx="147">
                  <c:v>14.458333333333329</c:v>
                </c:pt>
                <c:pt idx="148">
                  <c:v>14.458333333333329</c:v>
                </c:pt>
                <c:pt idx="149">
                  <c:v>14.458333333333329</c:v>
                </c:pt>
                <c:pt idx="150">
                  <c:v>14.458333333333329</c:v>
                </c:pt>
                <c:pt idx="151">
                  <c:v>15.458333333333329</c:v>
                </c:pt>
                <c:pt idx="152">
                  <c:v>15.458333333333329</c:v>
                </c:pt>
                <c:pt idx="153">
                  <c:v>15.458333333333329</c:v>
                </c:pt>
                <c:pt idx="154">
                  <c:v>15.458333333333329</c:v>
                </c:pt>
                <c:pt idx="155">
                  <c:v>15.458333333333329</c:v>
                </c:pt>
                <c:pt idx="156">
                  <c:v>15.458333333333329</c:v>
                </c:pt>
                <c:pt idx="157">
                  <c:v>15.458333333333329</c:v>
                </c:pt>
                <c:pt idx="158">
                  <c:v>15.458333333333329</c:v>
                </c:pt>
                <c:pt idx="159">
                  <c:v>15.624999999999995</c:v>
                </c:pt>
                <c:pt idx="160">
                  <c:v>15.666666666666661</c:v>
                </c:pt>
                <c:pt idx="161">
                  <c:v>15.833333333333327</c:v>
                </c:pt>
                <c:pt idx="162">
                  <c:v>16.083333333333329</c:v>
                </c:pt>
                <c:pt idx="163">
                  <c:v>16.124999999999996</c:v>
                </c:pt>
                <c:pt idx="164">
                  <c:v>16.208333333333329</c:v>
                </c:pt>
                <c:pt idx="165">
                  <c:v>16.458333333333329</c:v>
                </c:pt>
                <c:pt idx="166">
                  <c:v>16.458333333333329</c:v>
                </c:pt>
                <c:pt idx="167">
                  <c:v>16.458333333333329</c:v>
                </c:pt>
                <c:pt idx="168">
                  <c:v>16.458333333333329</c:v>
                </c:pt>
                <c:pt idx="169">
                  <c:v>16.458333333333329</c:v>
                </c:pt>
                <c:pt idx="170">
                  <c:v>16.708333333333329</c:v>
                </c:pt>
                <c:pt idx="171">
                  <c:v>16.708333333333329</c:v>
                </c:pt>
                <c:pt idx="172">
                  <c:v>16.708333333333329</c:v>
                </c:pt>
                <c:pt idx="173">
                  <c:v>16.708333333333329</c:v>
                </c:pt>
                <c:pt idx="174">
                  <c:v>16.958333333333329</c:v>
                </c:pt>
                <c:pt idx="175">
                  <c:v>17.291666666666661</c:v>
                </c:pt>
                <c:pt idx="176">
                  <c:v>17.708333333333329</c:v>
                </c:pt>
                <c:pt idx="177">
                  <c:v>17.708333333333329</c:v>
                </c:pt>
                <c:pt idx="178">
                  <c:v>17.708333333333329</c:v>
                </c:pt>
                <c:pt idx="179">
                  <c:v>17.708333333333329</c:v>
                </c:pt>
                <c:pt idx="180">
                  <c:v>18.708333333333329</c:v>
                </c:pt>
                <c:pt idx="181">
                  <c:v>18.708333333333329</c:v>
                </c:pt>
                <c:pt idx="182">
                  <c:v>18.708333333333329</c:v>
                </c:pt>
                <c:pt idx="183">
                  <c:v>18.708333333333329</c:v>
                </c:pt>
                <c:pt idx="184">
                  <c:v>18.708333333333329</c:v>
                </c:pt>
              </c:numCache>
            </c:numRef>
          </c:xVal>
          <c:yVal>
            <c:numRef>
              <c:f>'2_DATA'!$AE$10:$AE$791</c:f>
              <c:numCache>
                <c:formatCode>0.00</c:formatCode>
                <c:ptCount val="782"/>
                <c:pt idx="0">
                  <c:v>0</c:v>
                </c:pt>
                <c:pt idx="1">
                  <c:v>0</c:v>
                </c:pt>
                <c:pt idx="2">
                  <c:v>0</c:v>
                </c:pt>
                <c:pt idx="3">
                  <c:v>0</c:v>
                </c:pt>
                <c:pt idx="4">
                  <c:v>0</c:v>
                </c:pt>
                <c:pt idx="5">
                  <c:v>0</c:v>
                </c:pt>
                <c:pt idx="6">
                  <c:v>0</c:v>
                </c:pt>
                <c:pt idx="7">
                  <c:v>0</c:v>
                </c:pt>
                <c:pt idx="8">
                  <c:v>0</c:v>
                </c:pt>
                <c:pt idx="9">
                  <c:v>0</c:v>
                </c:pt>
                <c:pt idx="10">
                  <c:v>1112</c:v>
                </c:pt>
                <c:pt idx="11">
                  <c:v>1112</c:v>
                </c:pt>
                <c:pt idx="12">
                  <c:v>1112</c:v>
                </c:pt>
                <c:pt idx="13">
                  <c:v>1112</c:v>
                </c:pt>
                <c:pt idx="14">
                  <c:v>1112</c:v>
                </c:pt>
                <c:pt idx="15">
                  <c:v>1112</c:v>
                </c:pt>
                <c:pt idx="16">
                  <c:v>1112</c:v>
                </c:pt>
                <c:pt idx="17">
                  <c:v>1112</c:v>
                </c:pt>
                <c:pt idx="18">
                  <c:v>1112</c:v>
                </c:pt>
                <c:pt idx="19">
                  <c:v>1112</c:v>
                </c:pt>
                <c:pt idx="20">
                  <c:v>1112</c:v>
                </c:pt>
                <c:pt idx="21">
                  <c:v>1112</c:v>
                </c:pt>
                <c:pt idx="22">
                  <c:v>1112</c:v>
                </c:pt>
                <c:pt idx="23">
                  <c:v>1112</c:v>
                </c:pt>
                <c:pt idx="24">
                  <c:v>1112</c:v>
                </c:pt>
                <c:pt idx="25">
                  <c:v>1112</c:v>
                </c:pt>
                <c:pt idx="26">
                  <c:v>1112</c:v>
                </c:pt>
                <c:pt idx="27">
                  <c:v>1112</c:v>
                </c:pt>
                <c:pt idx="28">
                  <c:v>1112</c:v>
                </c:pt>
                <c:pt idx="29">
                  <c:v>1112</c:v>
                </c:pt>
                <c:pt idx="30">
                  <c:v>1112</c:v>
                </c:pt>
                <c:pt idx="31">
                  <c:v>1112</c:v>
                </c:pt>
                <c:pt idx="32">
                  <c:v>1112</c:v>
                </c:pt>
                <c:pt idx="33">
                  <c:v>1112</c:v>
                </c:pt>
                <c:pt idx="34">
                  <c:v>1112</c:v>
                </c:pt>
                <c:pt idx="35">
                  <c:v>1112</c:v>
                </c:pt>
                <c:pt idx="36">
                  <c:v>1112</c:v>
                </c:pt>
                <c:pt idx="37">
                  <c:v>1112</c:v>
                </c:pt>
                <c:pt idx="38">
                  <c:v>1112</c:v>
                </c:pt>
                <c:pt idx="39">
                  <c:v>1112</c:v>
                </c:pt>
                <c:pt idx="40">
                  <c:v>1112</c:v>
                </c:pt>
                <c:pt idx="41">
                  <c:v>1112</c:v>
                </c:pt>
                <c:pt idx="42">
                  <c:v>1112</c:v>
                </c:pt>
                <c:pt idx="43">
                  <c:v>1112</c:v>
                </c:pt>
                <c:pt idx="44">
                  <c:v>1112</c:v>
                </c:pt>
                <c:pt idx="45">
                  <c:v>1112</c:v>
                </c:pt>
                <c:pt idx="46">
                  <c:v>1112</c:v>
                </c:pt>
                <c:pt idx="47">
                  <c:v>1112</c:v>
                </c:pt>
                <c:pt idx="48">
                  <c:v>1112</c:v>
                </c:pt>
                <c:pt idx="49">
                  <c:v>1112</c:v>
                </c:pt>
                <c:pt idx="50">
                  <c:v>1112</c:v>
                </c:pt>
                <c:pt idx="51">
                  <c:v>1112</c:v>
                </c:pt>
                <c:pt idx="52">
                  <c:v>1112</c:v>
                </c:pt>
                <c:pt idx="53">
                  <c:v>1112</c:v>
                </c:pt>
                <c:pt idx="54">
                  <c:v>1112</c:v>
                </c:pt>
                <c:pt idx="55">
                  <c:v>1112</c:v>
                </c:pt>
                <c:pt idx="56">
                  <c:v>1112</c:v>
                </c:pt>
                <c:pt idx="57">
                  <c:v>1112</c:v>
                </c:pt>
                <c:pt idx="58">
                  <c:v>1112</c:v>
                </c:pt>
                <c:pt idx="59">
                  <c:v>1112</c:v>
                </c:pt>
                <c:pt idx="60">
                  <c:v>1112</c:v>
                </c:pt>
                <c:pt idx="61">
                  <c:v>1112</c:v>
                </c:pt>
                <c:pt idx="62">
                  <c:v>1112</c:v>
                </c:pt>
                <c:pt idx="63">
                  <c:v>1112</c:v>
                </c:pt>
                <c:pt idx="64">
                  <c:v>1112</c:v>
                </c:pt>
                <c:pt idx="65">
                  <c:v>1112</c:v>
                </c:pt>
                <c:pt idx="66">
                  <c:v>1112</c:v>
                </c:pt>
                <c:pt idx="67">
                  <c:v>1112</c:v>
                </c:pt>
                <c:pt idx="68">
                  <c:v>1112</c:v>
                </c:pt>
                <c:pt idx="69">
                  <c:v>1112</c:v>
                </c:pt>
                <c:pt idx="70">
                  <c:v>1112</c:v>
                </c:pt>
                <c:pt idx="71">
                  <c:v>1112</c:v>
                </c:pt>
                <c:pt idx="72">
                  <c:v>1112</c:v>
                </c:pt>
                <c:pt idx="73">
                  <c:v>1112</c:v>
                </c:pt>
                <c:pt idx="74">
                  <c:v>1112</c:v>
                </c:pt>
                <c:pt idx="75">
                  <c:v>1112</c:v>
                </c:pt>
                <c:pt idx="76">
                  <c:v>1112</c:v>
                </c:pt>
                <c:pt idx="77">
                  <c:v>1112</c:v>
                </c:pt>
                <c:pt idx="78">
                  <c:v>1112</c:v>
                </c:pt>
                <c:pt idx="79">
                  <c:v>1112</c:v>
                </c:pt>
                <c:pt idx="80">
                  <c:v>1112</c:v>
                </c:pt>
                <c:pt idx="81">
                  <c:v>1112</c:v>
                </c:pt>
                <c:pt idx="82">
                  <c:v>1112</c:v>
                </c:pt>
                <c:pt idx="83">
                  <c:v>1112</c:v>
                </c:pt>
                <c:pt idx="84">
                  <c:v>1112</c:v>
                </c:pt>
                <c:pt idx="85">
                  <c:v>1112</c:v>
                </c:pt>
                <c:pt idx="86">
                  <c:v>1112</c:v>
                </c:pt>
                <c:pt idx="87">
                  <c:v>1112</c:v>
                </c:pt>
                <c:pt idx="88">
                  <c:v>1112</c:v>
                </c:pt>
                <c:pt idx="89">
                  <c:v>1112</c:v>
                </c:pt>
                <c:pt idx="90">
                  <c:v>1112</c:v>
                </c:pt>
                <c:pt idx="91">
                  <c:v>1112</c:v>
                </c:pt>
                <c:pt idx="92">
                  <c:v>1112</c:v>
                </c:pt>
                <c:pt idx="93">
                  <c:v>1112</c:v>
                </c:pt>
                <c:pt idx="94">
                  <c:v>1112</c:v>
                </c:pt>
                <c:pt idx="95">
                  <c:v>1112</c:v>
                </c:pt>
                <c:pt idx="96">
                  <c:v>1112</c:v>
                </c:pt>
                <c:pt idx="97">
                  <c:v>1112</c:v>
                </c:pt>
                <c:pt idx="98">
                  <c:v>1112</c:v>
                </c:pt>
                <c:pt idx="99">
                  <c:v>1112</c:v>
                </c:pt>
                <c:pt idx="100">
                  <c:v>1112</c:v>
                </c:pt>
                <c:pt idx="101">
                  <c:v>1112</c:v>
                </c:pt>
                <c:pt idx="102">
                  <c:v>1112</c:v>
                </c:pt>
                <c:pt idx="103">
                  <c:v>1112</c:v>
                </c:pt>
                <c:pt idx="104">
                  <c:v>1112</c:v>
                </c:pt>
                <c:pt idx="105">
                  <c:v>1112</c:v>
                </c:pt>
                <c:pt idx="106">
                  <c:v>1112</c:v>
                </c:pt>
                <c:pt idx="107">
                  <c:v>1112</c:v>
                </c:pt>
                <c:pt idx="108">
                  <c:v>1112</c:v>
                </c:pt>
                <c:pt idx="109">
                  <c:v>1112</c:v>
                </c:pt>
                <c:pt idx="110">
                  <c:v>1112</c:v>
                </c:pt>
                <c:pt idx="111">
                  <c:v>1112</c:v>
                </c:pt>
                <c:pt idx="112">
                  <c:v>1112</c:v>
                </c:pt>
                <c:pt idx="113">
                  <c:v>1112</c:v>
                </c:pt>
                <c:pt idx="114">
                  <c:v>1112</c:v>
                </c:pt>
                <c:pt idx="115">
                  <c:v>1112</c:v>
                </c:pt>
                <c:pt idx="116">
                  <c:v>1112</c:v>
                </c:pt>
                <c:pt idx="117">
                  <c:v>1112</c:v>
                </c:pt>
                <c:pt idx="118">
                  <c:v>1112</c:v>
                </c:pt>
                <c:pt idx="119">
                  <c:v>1112</c:v>
                </c:pt>
                <c:pt idx="120">
                  <c:v>1112</c:v>
                </c:pt>
                <c:pt idx="121">
                  <c:v>1112</c:v>
                </c:pt>
                <c:pt idx="122">
                  <c:v>1112</c:v>
                </c:pt>
                <c:pt idx="123">
                  <c:v>1112</c:v>
                </c:pt>
                <c:pt idx="124">
                  <c:v>1112</c:v>
                </c:pt>
                <c:pt idx="125">
                  <c:v>1112</c:v>
                </c:pt>
                <c:pt idx="126">
                  <c:v>1112</c:v>
                </c:pt>
                <c:pt idx="127">
                  <c:v>1112</c:v>
                </c:pt>
                <c:pt idx="128">
                  <c:v>1112</c:v>
                </c:pt>
                <c:pt idx="129">
                  <c:v>1112</c:v>
                </c:pt>
                <c:pt idx="130">
                  <c:v>1112</c:v>
                </c:pt>
                <c:pt idx="131">
                  <c:v>1112</c:v>
                </c:pt>
                <c:pt idx="132">
                  <c:v>1112</c:v>
                </c:pt>
                <c:pt idx="133">
                  <c:v>1112</c:v>
                </c:pt>
                <c:pt idx="134">
                  <c:v>1112</c:v>
                </c:pt>
                <c:pt idx="135">
                  <c:v>1112</c:v>
                </c:pt>
                <c:pt idx="136">
                  <c:v>1112</c:v>
                </c:pt>
                <c:pt idx="137">
                  <c:v>1112</c:v>
                </c:pt>
                <c:pt idx="138">
                  <c:v>1112</c:v>
                </c:pt>
                <c:pt idx="139">
                  <c:v>1112</c:v>
                </c:pt>
                <c:pt idx="140">
                  <c:v>1112</c:v>
                </c:pt>
                <c:pt idx="141">
                  <c:v>1112</c:v>
                </c:pt>
                <c:pt idx="142">
                  <c:v>1112</c:v>
                </c:pt>
                <c:pt idx="143">
                  <c:v>1112</c:v>
                </c:pt>
                <c:pt idx="144">
                  <c:v>1112</c:v>
                </c:pt>
                <c:pt idx="145">
                  <c:v>1112</c:v>
                </c:pt>
                <c:pt idx="146">
                  <c:v>1112</c:v>
                </c:pt>
                <c:pt idx="147">
                  <c:v>1112</c:v>
                </c:pt>
                <c:pt idx="148">
                  <c:v>1112</c:v>
                </c:pt>
                <c:pt idx="149">
                  <c:v>1112</c:v>
                </c:pt>
                <c:pt idx="150">
                  <c:v>1112</c:v>
                </c:pt>
                <c:pt idx="151">
                  <c:v>1112</c:v>
                </c:pt>
                <c:pt idx="152">
                  <c:v>1112</c:v>
                </c:pt>
                <c:pt idx="153">
                  <c:v>1112</c:v>
                </c:pt>
                <c:pt idx="154">
                  <c:v>1112</c:v>
                </c:pt>
                <c:pt idx="155">
                  <c:v>1112</c:v>
                </c:pt>
                <c:pt idx="156">
                  <c:v>1112</c:v>
                </c:pt>
                <c:pt idx="157">
                  <c:v>1112</c:v>
                </c:pt>
                <c:pt idx="158">
                  <c:v>1112</c:v>
                </c:pt>
                <c:pt idx="159">
                  <c:v>1112</c:v>
                </c:pt>
                <c:pt idx="160">
                  <c:v>1112</c:v>
                </c:pt>
                <c:pt idx="161">
                  <c:v>1112</c:v>
                </c:pt>
                <c:pt idx="162">
                  <c:v>1112</c:v>
                </c:pt>
                <c:pt idx="163">
                  <c:v>1112</c:v>
                </c:pt>
                <c:pt idx="164">
                  <c:v>1112</c:v>
                </c:pt>
                <c:pt idx="165">
                  <c:v>1112</c:v>
                </c:pt>
                <c:pt idx="166">
                  <c:v>1112</c:v>
                </c:pt>
                <c:pt idx="167">
                  <c:v>1112</c:v>
                </c:pt>
                <c:pt idx="168">
                  <c:v>1112</c:v>
                </c:pt>
                <c:pt idx="169">
                  <c:v>1112</c:v>
                </c:pt>
                <c:pt idx="170">
                  <c:v>1112</c:v>
                </c:pt>
                <c:pt idx="171">
                  <c:v>1112</c:v>
                </c:pt>
                <c:pt idx="172">
                  <c:v>1112</c:v>
                </c:pt>
                <c:pt idx="173">
                  <c:v>1112</c:v>
                </c:pt>
                <c:pt idx="174">
                  <c:v>1112</c:v>
                </c:pt>
                <c:pt idx="175">
                  <c:v>1112</c:v>
                </c:pt>
                <c:pt idx="176">
                  <c:v>1112</c:v>
                </c:pt>
                <c:pt idx="177">
                  <c:v>1112</c:v>
                </c:pt>
                <c:pt idx="178">
                  <c:v>1112</c:v>
                </c:pt>
                <c:pt idx="179">
                  <c:v>1112</c:v>
                </c:pt>
                <c:pt idx="180">
                  <c:v>1112</c:v>
                </c:pt>
                <c:pt idx="181">
                  <c:v>1112</c:v>
                </c:pt>
                <c:pt idx="182">
                  <c:v>1112</c:v>
                </c:pt>
                <c:pt idx="183">
                  <c:v>1112</c:v>
                </c:pt>
                <c:pt idx="184">
                  <c:v>1112</c:v>
                </c:pt>
              </c:numCache>
            </c:numRef>
          </c:yVal>
          <c:smooth val="0"/>
          <c:extLst>
            <c:ext xmlns:c16="http://schemas.microsoft.com/office/drawing/2014/chart" uri="{C3380CC4-5D6E-409C-BE32-E72D297353CC}">
              <c16:uniqueId val="{00000000-E4BD-4903-B44E-8038991DE8A0}"/>
            </c:ext>
          </c:extLst>
        </c:ser>
        <c:ser>
          <c:idx val="3"/>
          <c:order val="1"/>
          <c:tx>
            <c:v>ACTUAL</c:v>
          </c:tx>
          <c:spPr>
            <a:ln w="44450">
              <a:solidFill>
                <a:srgbClr val="FF0000"/>
              </a:solidFill>
            </a:ln>
          </c:spPr>
          <c:marker>
            <c:symbol val="none"/>
          </c:marker>
          <c:xVal>
            <c:numRef>
              <c:f>'2_DATA'!$AF$10:$AF$791</c:f>
              <c:numCache>
                <c:formatCode>0.00</c:formatCode>
                <c:ptCount val="782"/>
                <c:pt idx="0">
                  <c:v>0</c:v>
                </c:pt>
                <c:pt idx="1">
                  <c:v>0</c:v>
                </c:pt>
                <c:pt idx="2">
                  <c:v>4.1666666666666664E-2</c:v>
                </c:pt>
                <c:pt idx="3">
                  <c:v>0.125</c:v>
                </c:pt>
                <c:pt idx="4">
                  <c:v>0.16666666666666666</c:v>
                </c:pt>
                <c:pt idx="5">
                  <c:v>0.16666666666666666</c:v>
                </c:pt>
                <c:pt idx="6">
                  <c:v>0.20833333333333331</c:v>
                </c:pt>
                <c:pt idx="7">
                  <c:v>0.24999999999999997</c:v>
                </c:pt>
                <c:pt idx="8">
                  <c:v>0.33333333333333331</c:v>
                </c:pt>
                <c:pt idx="9">
                  <c:v>0.375</c:v>
                </c:pt>
                <c:pt idx="10">
                  <c:v>0.375</c:v>
                </c:pt>
                <c:pt idx="11">
                  <c:v>0.375</c:v>
                </c:pt>
                <c:pt idx="12">
                  <c:v>0.41666666666666669</c:v>
                </c:pt>
                <c:pt idx="13">
                  <c:v>0.9375</c:v>
                </c:pt>
                <c:pt idx="14">
                  <c:v>1.1666666666666667</c:v>
                </c:pt>
                <c:pt idx="15">
                  <c:v>1.2083333333333335</c:v>
                </c:pt>
                <c:pt idx="16">
                  <c:v>2.104166666666667</c:v>
                </c:pt>
                <c:pt idx="17">
                  <c:v>2.1458333333333335</c:v>
                </c:pt>
                <c:pt idx="18">
                  <c:v>2.2083333333333335</c:v>
                </c:pt>
                <c:pt idx="19">
                  <c:v>2.25</c:v>
                </c:pt>
                <c:pt idx="20">
                  <c:v>2.4375</c:v>
                </c:pt>
                <c:pt idx="21">
                  <c:v>2.4583333333333335</c:v>
                </c:pt>
                <c:pt idx="22">
                  <c:v>2.5</c:v>
                </c:pt>
                <c:pt idx="23">
                  <c:v>2.5416666666666665</c:v>
                </c:pt>
                <c:pt idx="24">
                  <c:v>3.083333333333333</c:v>
                </c:pt>
                <c:pt idx="25">
                  <c:v>3.1249999999999996</c:v>
                </c:pt>
                <c:pt idx="26">
                  <c:v>3.208333333333333</c:v>
                </c:pt>
                <c:pt idx="27">
                  <c:v>3.583333333333333</c:v>
                </c:pt>
                <c:pt idx="28">
                  <c:v>3.708333333333333</c:v>
                </c:pt>
                <c:pt idx="29">
                  <c:v>3.7499999999999996</c:v>
                </c:pt>
                <c:pt idx="30">
                  <c:v>3.833333333333333</c:v>
                </c:pt>
                <c:pt idx="31">
                  <c:v>3.8749999999999996</c:v>
                </c:pt>
                <c:pt idx="32">
                  <c:v>3.9999999999999996</c:v>
                </c:pt>
                <c:pt idx="33">
                  <c:v>4.208333333333333</c:v>
                </c:pt>
                <c:pt idx="34">
                  <c:v>4.6666666666666661</c:v>
                </c:pt>
                <c:pt idx="35">
                  <c:v>4.7499999999999991</c:v>
                </c:pt>
                <c:pt idx="36">
                  <c:v>4.8333333333333321</c:v>
                </c:pt>
                <c:pt idx="37">
                  <c:v>4.9166666666666652</c:v>
                </c:pt>
                <c:pt idx="38">
                  <c:v>5.1041666666666652</c:v>
                </c:pt>
                <c:pt idx="39">
                  <c:v>5.1458333333333321</c:v>
                </c:pt>
                <c:pt idx="40">
                  <c:v>5.1666666666666652</c:v>
                </c:pt>
                <c:pt idx="41">
                  <c:v>5.2083333333333321</c:v>
                </c:pt>
                <c:pt idx="42">
                  <c:v>5.7916666666666652</c:v>
                </c:pt>
                <c:pt idx="43">
                  <c:v>5.8124999999999982</c:v>
                </c:pt>
                <c:pt idx="44">
                  <c:v>5.9374999999999982</c:v>
                </c:pt>
                <c:pt idx="45">
                  <c:v>5.9583333333333313</c:v>
                </c:pt>
                <c:pt idx="46">
                  <c:v>6.0416666666666643</c:v>
                </c:pt>
                <c:pt idx="47">
                  <c:v>6.2083333333333313</c:v>
                </c:pt>
                <c:pt idx="48">
                  <c:v>6.5416666666666643</c:v>
                </c:pt>
                <c:pt idx="49">
                  <c:v>6.6249999999999973</c:v>
                </c:pt>
                <c:pt idx="50">
                  <c:v>6.9583333333333304</c:v>
                </c:pt>
                <c:pt idx="51">
                  <c:v>7.2083333333333304</c:v>
                </c:pt>
                <c:pt idx="52">
                  <c:v>7.6249999999999973</c:v>
                </c:pt>
                <c:pt idx="53">
                  <c:v>7.6666666666666643</c:v>
                </c:pt>
                <c:pt idx="54">
                  <c:v>8.2083333333333304</c:v>
                </c:pt>
                <c:pt idx="55">
                  <c:v>8.6874999999999964</c:v>
                </c:pt>
                <c:pt idx="56">
                  <c:v>8.7499999999999964</c:v>
                </c:pt>
                <c:pt idx="57">
                  <c:v>8.7916666666666625</c:v>
                </c:pt>
                <c:pt idx="58">
                  <c:v>9.2083333333333286</c:v>
                </c:pt>
                <c:pt idx="59">
                  <c:v>9.8333333333333286</c:v>
                </c:pt>
                <c:pt idx="60">
                  <c:v>9.8541666666666625</c:v>
                </c:pt>
                <c:pt idx="61">
                  <c:v>9.8749999999999964</c:v>
                </c:pt>
                <c:pt idx="62">
                  <c:v>9.9166666666666625</c:v>
                </c:pt>
                <c:pt idx="63">
                  <c:v>9.9999999999999964</c:v>
                </c:pt>
                <c:pt idx="64">
                  <c:v>10.041666666666663</c:v>
                </c:pt>
                <c:pt idx="65">
                  <c:v>10.124999999999996</c:v>
                </c:pt>
                <c:pt idx="66">
                  <c:v>10.14583333333333</c:v>
                </c:pt>
                <c:pt idx="67">
                  <c:v>10.20833333333333</c:v>
                </c:pt>
                <c:pt idx="68">
                  <c:v>10.291666666666664</c:v>
                </c:pt>
                <c:pt idx="69">
                  <c:v>10.312499999999998</c:v>
                </c:pt>
                <c:pt idx="70">
                  <c:v>10.374999999999998</c:v>
                </c:pt>
                <c:pt idx="71">
                  <c:v>10.395833333333332</c:v>
                </c:pt>
                <c:pt idx="72">
                  <c:v>10.458333333333332</c:v>
                </c:pt>
                <c:pt idx="73">
                  <c:v>10.499999999999998</c:v>
                </c:pt>
                <c:pt idx="74">
                  <c:v>10.958333333333332</c:v>
                </c:pt>
                <c:pt idx="75">
                  <c:v>11.208333333333332</c:v>
                </c:pt>
                <c:pt idx="76">
                  <c:v>11.499999999999998</c:v>
                </c:pt>
                <c:pt idx="77">
                  <c:v>11.562499999999998</c:v>
                </c:pt>
                <c:pt idx="78">
                  <c:v>11.645833333333332</c:v>
                </c:pt>
                <c:pt idx="79">
                  <c:v>11.749999999999998</c:v>
                </c:pt>
                <c:pt idx="80">
                  <c:v>11.791666666666664</c:v>
                </c:pt>
                <c:pt idx="81">
                  <c:v>11.812499999999998</c:v>
                </c:pt>
                <c:pt idx="82">
                  <c:v>12.208333333333332</c:v>
                </c:pt>
                <c:pt idx="83">
                  <c:v>12.708333333333332</c:v>
                </c:pt>
                <c:pt idx="84">
                  <c:v>12.749999999999998</c:v>
                </c:pt>
                <c:pt idx="85">
                  <c:v>12.791666666666664</c:v>
                </c:pt>
                <c:pt idx="86">
                  <c:v>12.812499999999998</c:v>
                </c:pt>
                <c:pt idx="87">
                  <c:v>13.208333333333332</c:v>
                </c:pt>
                <c:pt idx="88">
                  <c:v>13.291666666666666</c:v>
                </c:pt>
                <c:pt idx="89">
                  <c:v>13.8125</c:v>
                </c:pt>
                <c:pt idx="90">
                  <c:v>13.854166666666666</c:v>
                </c:pt>
                <c:pt idx="91">
                  <c:v>14.208333333333332</c:v>
                </c:pt>
                <c:pt idx="92">
                  <c:v>14.291666666666666</c:v>
                </c:pt>
                <c:pt idx="93">
                  <c:v>14.333333333333332</c:v>
                </c:pt>
                <c:pt idx="94">
                  <c:v>14.416666666666666</c:v>
                </c:pt>
                <c:pt idx="95">
                  <c:v>14.458333333333332</c:v>
                </c:pt>
                <c:pt idx="96">
                  <c:v>14.729166666666666</c:v>
                </c:pt>
                <c:pt idx="97">
                  <c:v>14.8125</c:v>
                </c:pt>
                <c:pt idx="98">
                  <c:v>14.854166666666666</c:v>
                </c:pt>
                <c:pt idx="99">
                  <c:v>15.208333333333332</c:v>
                </c:pt>
                <c:pt idx="100">
                  <c:v>15.708333333333332</c:v>
                </c:pt>
                <c:pt idx="101">
                  <c:v>15.791666666666666</c:v>
                </c:pt>
                <c:pt idx="102">
                  <c:v>15.875</c:v>
                </c:pt>
                <c:pt idx="103">
                  <c:v>16.208333333333332</c:v>
                </c:pt>
                <c:pt idx="104">
                  <c:v>16.375</c:v>
                </c:pt>
                <c:pt idx="105">
                  <c:v>16.416666666666668</c:v>
                </c:pt>
                <c:pt idx="106">
                  <c:v>16.583333333333336</c:v>
                </c:pt>
                <c:pt idx="107">
                  <c:v>16.708333333333336</c:v>
                </c:pt>
                <c:pt idx="108">
                  <c:v>16.750000000000004</c:v>
                </c:pt>
                <c:pt idx="109">
                  <c:v>16.791666666666671</c:v>
                </c:pt>
                <c:pt idx="110">
                  <c:v>16.833333333333339</c:v>
                </c:pt>
                <c:pt idx="111">
                  <c:v>17.208333333333339</c:v>
                </c:pt>
                <c:pt idx="112">
                  <c:v>17.375000000000007</c:v>
                </c:pt>
                <c:pt idx="113">
                  <c:v>17.666666666666675</c:v>
                </c:pt>
                <c:pt idx="114">
                  <c:v>17.708333333333343</c:v>
                </c:pt>
                <c:pt idx="115">
                  <c:v>17.708333333333343</c:v>
                </c:pt>
                <c:pt idx="116">
                  <c:v>17.708333333333343</c:v>
                </c:pt>
                <c:pt idx="117">
                  <c:v>17.708333333333343</c:v>
                </c:pt>
                <c:pt idx="118">
                  <c:v>17.708333333333343</c:v>
                </c:pt>
                <c:pt idx="119">
                  <c:v>17.708333333333343</c:v>
                </c:pt>
                <c:pt idx="120">
                  <c:v>17.708333333333343</c:v>
                </c:pt>
                <c:pt idx="121">
                  <c:v>17.708333333333343</c:v>
                </c:pt>
                <c:pt idx="122">
                  <c:v>17.708333333333343</c:v>
                </c:pt>
                <c:pt idx="123">
                  <c:v>17.708333333333343</c:v>
                </c:pt>
                <c:pt idx="124">
                  <c:v>17.708333333333343</c:v>
                </c:pt>
                <c:pt idx="125">
                  <c:v>17.708333333333343</c:v>
                </c:pt>
                <c:pt idx="126">
                  <c:v>17.708333333333343</c:v>
                </c:pt>
                <c:pt idx="127">
                  <c:v>17.708333333333343</c:v>
                </c:pt>
                <c:pt idx="128">
                  <c:v>17.708333333333343</c:v>
                </c:pt>
                <c:pt idx="129">
                  <c:v>17.770833333333343</c:v>
                </c:pt>
                <c:pt idx="130">
                  <c:v>17.770833333333343</c:v>
                </c:pt>
                <c:pt idx="131">
                  <c:v>17.875000000000011</c:v>
                </c:pt>
                <c:pt idx="132">
                  <c:v>17.958333333333343</c:v>
                </c:pt>
                <c:pt idx="133">
                  <c:v>17.979166666666675</c:v>
                </c:pt>
                <c:pt idx="134">
                  <c:v>18.000000000000007</c:v>
                </c:pt>
                <c:pt idx="135">
                  <c:v>18.020833333333339</c:v>
                </c:pt>
                <c:pt idx="136">
                  <c:v>18.020833333333339</c:v>
                </c:pt>
                <c:pt idx="137">
                  <c:v>18.020833333333339</c:v>
                </c:pt>
                <c:pt idx="138">
                  <c:v>18.020833333333339</c:v>
                </c:pt>
                <c:pt idx="139">
                  <c:v>18.020833333333339</c:v>
                </c:pt>
                <c:pt idx="140">
                  <c:v>18.020833333333339</c:v>
                </c:pt>
                <c:pt idx="141">
                  <c:v>18.020833333333339</c:v>
                </c:pt>
                <c:pt idx="142">
                  <c:v>18.020833333333339</c:v>
                </c:pt>
                <c:pt idx="143">
                  <c:v>18.020833333333339</c:v>
                </c:pt>
                <c:pt idx="144">
                  <c:v>18.020833333333339</c:v>
                </c:pt>
                <c:pt idx="145">
                  <c:v>18.020833333333339</c:v>
                </c:pt>
                <c:pt idx="146">
                  <c:v>18.020833333333339</c:v>
                </c:pt>
                <c:pt idx="147">
                  <c:v>18.041666666666671</c:v>
                </c:pt>
                <c:pt idx="148">
                  <c:v>18.083333333333339</c:v>
                </c:pt>
                <c:pt idx="149">
                  <c:v>18.208333333333339</c:v>
                </c:pt>
                <c:pt idx="150">
                  <c:v>18.458333333333339</c:v>
                </c:pt>
                <c:pt idx="151">
                  <c:v>18.687500000000007</c:v>
                </c:pt>
                <c:pt idx="152">
                  <c:v>18.708333333333339</c:v>
                </c:pt>
                <c:pt idx="153">
                  <c:v>18.791666666666671</c:v>
                </c:pt>
                <c:pt idx="154">
                  <c:v>18.812500000000004</c:v>
                </c:pt>
                <c:pt idx="155">
                  <c:v>18.833333333333336</c:v>
                </c:pt>
                <c:pt idx="156">
                  <c:v>18.875000000000004</c:v>
                </c:pt>
                <c:pt idx="157">
                  <c:v>18.916666666666671</c:v>
                </c:pt>
                <c:pt idx="158">
                  <c:v>18.958333333333339</c:v>
                </c:pt>
                <c:pt idx="159">
                  <c:v>18.958333333333339</c:v>
                </c:pt>
                <c:pt idx="160">
                  <c:v>18.958333333333339</c:v>
                </c:pt>
                <c:pt idx="161">
                  <c:v>18.958333333333339</c:v>
                </c:pt>
                <c:pt idx="162">
                  <c:v>18.958333333333339</c:v>
                </c:pt>
                <c:pt idx="163">
                  <c:v>19.000000000000007</c:v>
                </c:pt>
                <c:pt idx="164">
                  <c:v>19.020833333333339</c:v>
                </c:pt>
                <c:pt idx="165">
                  <c:v>19.208333333333339</c:v>
                </c:pt>
                <c:pt idx="166">
                  <c:v>19.750000000000007</c:v>
                </c:pt>
                <c:pt idx="167">
                  <c:v>19.875000000000007</c:v>
                </c:pt>
                <c:pt idx="168">
                  <c:v>20.083333333333339</c:v>
                </c:pt>
                <c:pt idx="169">
                  <c:v>20.208333333333339</c:v>
                </c:pt>
                <c:pt idx="170">
                  <c:v>20.916666666666671</c:v>
                </c:pt>
                <c:pt idx="171">
                  <c:v>20.958333333333339</c:v>
                </c:pt>
                <c:pt idx="172">
                  <c:v>21.208333333333339</c:v>
                </c:pt>
                <c:pt idx="173">
                  <c:v>21.291666666666671</c:v>
                </c:pt>
                <c:pt idx="174">
                  <c:v>21.375000000000004</c:v>
                </c:pt>
                <c:pt idx="175">
                  <c:v>21.375000000000004</c:v>
                </c:pt>
                <c:pt idx="176">
                  <c:v>21.500000000000004</c:v>
                </c:pt>
                <c:pt idx="177">
                  <c:v>21.750000000000004</c:v>
                </c:pt>
                <c:pt idx="178">
                  <c:v>21.875000000000004</c:v>
                </c:pt>
                <c:pt idx="179">
                  <c:v>21.916666666666671</c:v>
                </c:pt>
                <c:pt idx="180">
                  <c:v>22.208333333333339</c:v>
                </c:pt>
                <c:pt idx="181">
                  <c:v>22.958333333333339</c:v>
                </c:pt>
                <c:pt idx="182">
                  <c:v>22.958333333333339</c:v>
                </c:pt>
                <c:pt idx="183">
                  <c:v>22.958333333333339</c:v>
                </c:pt>
                <c:pt idx="184">
                  <c:v>22.958333333333339</c:v>
                </c:pt>
              </c:numCache>
            </c:numRef>
          </c:xVal>
          <c:yVal>
            <c:numRef>
              <c:f>'2_DATA'!$AG$10:$AG$791</c:f>
              <c:numCache>
                <c:formatCode>0.00</c:formatCode>
                <c:ptCount val="782"/>
                <c:pt idx="0">
                  <c:v>0</c:v>
                </c:pt>
                <c:pt idx="1">
                  <c:v>0</c:v>
                </c:pt>
                <c:pt idx="2">
                  <c:v>0</c:v>
                </c:pt>
                <c:pt idx="3">
                  <c:v>0</c:v>
                </c:pt>
                <c:pt idx="4">
                  <c:v>0</c:v>
                </c:pt>
                <c:pt idx="5">
                  <c:v>0</c:v>
                </c:pt>
                <c:pt idx="6">
                  <c:v>0</c:v>
                </c:pt>
                <c:pt idx="7">
                  <c:v>0</c:v>
                </c:pt>
                <c:pt idx="8">
                  <c:v>0</c:v>
                </c:pt>
                <c:pt idx="9">
                  <c:v>0</c:v>
                </c:pt>
                <c:pt idx="10">
                  <c:v>1814.13</c:v>
                </c:pt>
                <c:pt idx="11">
                  <c:v>1814.13</c:v>
                </c:pt>
                <c:pt idx="12">
                  <c:v>1814.13</c:v>
                </c:pt>
                <c:pt idx="13">
                  <c:v>1814.13</c:v>
                </c:pt>
                <c:pt idx="14">
                  <c:v>1814.13</c:v>
                </c:pt>
                <c:pt idx="15">
                  <c:v>1814.13</c:v>
                </c:pt>
                <c:pt idx="16">
                  <c:v>2335.3000000000002</c:v>
                </c:pt>
                <c:pt idx="17">
                  <c:v>2335.3000000000002</c:v>
                </c:pt>
                <c:pt idx="18">
                  <c:v>2335.6999999999998</c:v>
                </c:pt>
                <c:pt idx="19">
                  <c:v>2335.6999999999998</c:v>
                </c:pt>
                <c:pt idx="20">
                  <c:v>2372</c:v>
                </c:pt>
                <c:pt idx="21">
                  <c:v>2372</c:v>
                </c:pt>
                <c:pt idx="22">
                  <c:v>2372</c:v>
                </c:pt>
                <c:pt idx="23">
                  <c:v>2372</c:v>
                </c:pt>
                <c:pt idx="24">
                  <c:v>2372</c:v>
                </c:pt>
                <c:pt idx="25">
                  <c:v>2372</c:v>
                </c:pt>
                <c:pt idx="26">
                  <c:v>2372</c:v>
                </c:pt>
                <c:pt idx="27">
                  <c:v>2372</c:v>
                </c:pt>
                <c:pt idx="28">
                  <c:v>2372</c:v>
                </c:pt>
                <c:pt idx="29">
                  <c:v>2372</c:v>
                </c:pt>
                <c:pt idx="30">
                  <c:v>2372</c:v>
                </c:pt>
                <c:pt idx="31">
                  <c:v>2372</c:v>
                </c:pt>
                <c:pt idx="32">
                  <c:v>2372</c:v>
                </c:pt>
                <c:pt idx="33">
                  <c:v>2372</c:v>
                </c:pt>
                <c:pt idx="34">
                  <c:v>2372</c:v>
                </c:pt>
                <c:pt idx="35">
                  <c:v>2372</c:v>
                </c:pt>
                <c:pt idx="36">
                  <c:v>2372</c:v>
                </c:pt>
                <c:pt idx="37">
                  <c:v>2372</c:v>
                </c:pt>
                <c:pt idx="38">
                  <c:v>2372</c:v>
                </c:pt>
                <c:pt idx="39">
                  <c:v>2372</c:v>
                </c:pt>
                <c:pt idx="40">
                  <c:v>2372</c:v>
                </c:pt>
                <c:pt idx="41">
                  <c:v>2372</c:v>
                </c:pt>
                <c:pt idx="42">
                  <c:v>2372</c:v>
                </c:pt>
                <c:pt idx="43">
                  <c:v>2372</c:v>
                </c:pt>
                <c:pt idx="44">
                  <c:v>2372</c:v>
                </c:pt>
                <c:pt idx="45">
                  <c:v>2372</c:v>
                </c:pt>
                <c:pt idx="46">
                  <c:v>2372</c:v>
                </c:pt>
                <c:pt idx="47">
                  <c:v>2372</c:v>
                </c:pt>
                <c:pt idx="48">
                  <c:v>2372</c:v>
                </c:pt>
                <c:pt idx="49">
                  <c:v>2372</c:v>
                </c:pt>
                <c:pt idx="50">
                  <c:v>2372</c:v>
                </c:pt>
                <c:pt idx="51">
                  <c:v>2372</c:v>
                </c:pt>
                <c:pt idx="52">
                  <c:v>2372</c:v>
                </c:pt>
                <c:pt idx="53">
                  <c:v>2372</c:v>
                </c:pt>
                <c:pt idx="54">
                  <c:v>2372</c:v>
                </c:pt>
                <c:pt idx="55">
                  <c:v>2372</c:v>
                </c:pt>
                <c:pt idx="56">
                  <c:v>2372</c:v>
                </c:pt>
                <c:pt idx="57">
                  <c:v>2372</c:v>
                </c:pt>
                <c:pt idx="58">
                  <c:v>2372</c:v>
                </c:pt>
                <c:pt idx="59">
                  <c:v>2372</c:v>
                </c:pt>
                <c:pt idx="60">
                  <c:v>2372</c:v>
                </c:pt>
                <c:pt idx="61">
                  <c:v>2372</c:v>
                </c:pt>
                <c:pt idx="62">
                  <c:v>2372</c:v>
                </c:pt>
                <c:pt idx="63">
                  <c:v>2372</c:v>
                </c:pt>
                <c:pt idx="64">
                  <c:v>2372</c:v>
                </c:pt>
                <c:pt idx="65">
                  <c:v>2372</c:v>
                </c:pt>
                <c:pt idx="66">
                  <c:v>2372</c:v>
                </c:pt>
                <c:pt idx="67">
                  <c:v>2372</c:v>
                </c:pt>
                <c:pt idx="68">
                  <c:v>2372</c:v>
                </c:pt>
                <c:pt idx="69">
                  <c:v>2372</c:v>
                </c:pt>
                <c:pt idx="70">
                  <c:v>2372</c:v>
                </c:pt>
                <c:pt idx="71">
                  <c:v>2372</c:v>
                </c:pt>
                <c:pt idx="72">
                  <c:v>2372</c:v>
                </c:pt>
                <c:pt idx="73">
                  <c:v>2372</c:v>
                </c:pt>
                <c:pt idx="74">
                  <c:v>2372</c:v>
                </c:pt>
                <c:pt idx="75">
                  <c:v>2372</c:v>
                </c:pt>
                <c:pt idx="76">
                  <c:v>2372</c:v>
                </c:pt>
                <c:pt idx="77">
                  <c:v>2372</c:v>
                </c:pt>
                <c:pt idx="78">
                  <c:v>2372</c:v>
                </c:pt>
                <c:pt idx="79">
                  <c:v>2372</c:v>
                </c:pt>
                <c:pt idx="80">
                  <c:v>2372</c:v>
                </c:pt>
                <c:pt idx="81">
                  <c:v>2372</c:v>
                </c:pt>
                <c:pt idx="82">
                  <c:v>2372</c:v>
                </c:pt>
                <c:pt idx="83">
                  <c:v>2372</c:v>
                </c:pt>
                <c:pt idx="84">
                  <c:v>2372</c:v>
                </c:pt>
                <c:pt idx="85">
                  <c:v>2372</c:v>
                </c:pt>
                <c:pt idx="86">
                  <c:v>2372</c:v>
                </c:pt>
                <c:pt idx="87">
                  <c:v>2372</c:v>
                </c:pt>
                <c:pt idx="88">
                  <c:v>2372</c:v>
                </c:pt>
                <c:pt idx="89">
                  <c:v>2372</c:v>
                </c:pt>
                <c:pt idx="90">
                  <c:v>2372</c:v>
                </c:pt>
                <c:pt idx="91">
                  <c:v>2372</c:v>
                </c:pt>
                <c:pt idx="92">
                  <c:v>2372</c:v>
                </c:pt>
                <c:pt idx="93">
                  <c:v>2372</c:v>
                </c:pt>
                <c:pt idx="94">
                  <c:v>2372</c:v>
                </c:pt>
                <c:pt idx="95">
                  <c:v>2372</c:v>
                </c:pt>
                <c:pt idx="96">
                  <c:v>2374.8000000000002</c:v>
                </c:pt>
                <c:pt idx="97">
                  <c:v>2374.8000000000002</c:v>
                </c:pt>
                <c:pt idx="98">
                  <c:v>2374.8000000000002</c:v>
                </c:pt>
                <c:pt idx="99">
                  <c:v>2374.8000000000002</c:v>
                </c:pt>
                <c:pt idx="100">
                  <c:v>2374.8000000000002</c:v>
                </c:pt>
                <c:pt idx="101">
                  <c:v>2374.8000000000002</c:v>
                </c:pt>
                <c:pt idx="102">
                  <c:v>2374.8000000000002</c:v>
                </c:pt>
                <c:pt idx="103">
                  <c:v>2374.8000000000002</c:v>
                </c:pt>
                <c:pt idx="104">
                  <c:v>2374.8000000000002</c:v>
                </c:pt>
                <c:pt idx="105">
                  <c:v>2374.8000000000002</c:v>
                </c:pt>
                <c:pt idx="106">
                  <c:v>2374.8000000000002</c:v>
                </c:pt>
                <c:pt idx="107">
                  <c:v>2374.8000000000002</c:v>
                </c:pt>
                <c:pt idx="108">
                  <c:v>2374.8000000000002</c:v>
                </c:pt>
                <c:pt idx="109">
                  <c:v>2374.8000000000002</c:v>
                </c:pt>
                <c:pt idx="110">
                  <c:v>2374.8000000000002</c:v>
                </c:pt>
                <c:pt idx="111">
                  <c:v>2374.8000000000002</c:v>
                </c:pt>
                <c:pt idx="112">
                  <c:v>2374.8000000000002</c:v>
                </c:pt>
                <c:pt idx="113">
                  <c:v>2374.8000000000002</c:v>
                </c:pt>
                <c:pt idx="114">
                  <c:v>2374.8000000000002</c:v>
                </c:pt>
                <c:pt idx="115">
                  <c:v>2374.8000000000002</c:v>
                </c:pt>
                <c:pt idx="116">
                  <c:v>2374.8000000000002</c:v>
                </c:pt>
                <c:pt idx="117">
                  <c:v>2374.8000000000002</c:v>
                </c:pt>
                <c:pt idx="118">
                  <c:v>2374.8000000000002</c:v>
                </c:pt>
                <c:pt idx="119">
                  <c:v>2374.8000000000002</c:v>
                </c:pt>
                <c:pt idx="120">
                  <c:v>2374.8000000000002</c:v>
                </c:pt>
                <c:pt idx="121">
                  <c:v>2374.8000000000002</c:v>
                </c:pt>
                <c:pt idx="122">
                  <c:v>2374.8000000000002</c:v>
                </c:pt>
                <c:pt idx="123">
                  <c:v>2374.8000000000002</c:v>
                </c:pt>
                <c:pt idx="124">
                  <c:v>2374.8000000000002</c:v>
                </c:pt>
                <c:pt idx="125">
                  <c:v>2374.8000000000002</c:v>
                </c:pt>
                <c:pt idx="126">
                  <c:v>2374.8000000000002</c:v>
                </c:pt>
                <c:pt idx="127">
                  <c:v>2374.8000000000002</c:v>
                </c:pt>
                <c:pt idx="128">
                  <c:v>2374.8000000000002</c:v>
                </c:pt>
                <c:pt idx="129">
                  <c:v>2374.8000000000002</c:v>
                </c:pt>
                <c:pt idx="130">
                  <c:v>2374.8000000000002</c:v>
                </c:pt>
                <c:pt idx="131">
                  <c:v>2374.8000000000002</c:v>
                </c:pt>
                <c:pt idx="132">
                  <c:v>2374.8000000000002</c:v>
                </c:pt>
                <c:pt idx="133">
                  <c:v>2374.8000000000002</c:v>
                </c:pt>
                <c:pt idx="134">
                  <c:v>2374.8000000000002</c:v>
                </c:pt>
                <c:pt idx="135">
                  <c:v>2374.8000000000002</c:v>
                </c:pt>
                <c:pt idx="136">
                  <c:v>2374.8000000000002</c:v>
                </c:pt>
                <c:pt idx="137">
                  <c:v>2374.8000000000002</c:v>
                </c:pt>
                <c:pt idx="138">
                  <c:v>2374.8000000000002</c:v>
                </c:pt>
                <c:pt idx="139">
                  <c:v>2374.8000000000002</c:v>
                </c:pt>
                <c:pt idx="140">
                  <c:v>2374.8000000000002</c:v>
                </c:pt>
                <c:pt idx="141">
                  <c:v>2374.8000000000002</c:v>
                </c:pt>
                <c:pt idx="142">
                  <c:v>2374.8000000000002</c:v>
                </c:pt>
                <c:pt idx="143">
                  <c:v>2374.8000000000002</c:v>
                </c:pt>
                <c:pt idx="144">
                  <c:v>2374.8000000000002</c:v>
                </c:pt>
                <c:pt idx="145">
                  <c:v>2374.8000000000002</c:v>
                </c:pt>
                <c:pt idx="146">
                  <c:v>2374.8000000000002</c:v>
                </c:pt>
                <c:pt idx="147">
                  <c:v>2374.8000000000002</c:v>
                </c:pt>
                <c:pt idx="148">
                  <c:v>2374.8000000000002</c:v>
                </c:pt>
                <c:pt idx="149">
                  <c:v>2374.8000000000002</c:v>
                </c:pt>
                <c:pt idx="150">
                  <c:v>2374.8000000000002</c:v>
                </c:pt>
                <c:pt idx="151">
                  <c:v>2374.8000000000002</c:v>
                </c:pt>
                <c:pt idx="152">
                  <c:v>2374.8000000000002</c:v>
                </c:pt>
                <c:pt idx="153">
                  <c:v>2374.8000000000002</c:v>
                </c:pt>
                <c:pt idx="154">
                  <c:v>2374.8000000000002</c:v>
                </c:pt>
                <c:pt idx="155">
                  <c:v>2374.8000000000002</c:v>
                </c:pt>
                <c:pt idx="156">
                  <c:v>2374.8000000000002</c:v>
                </c:pt>
                <c:pt idx="157">
                  <c:v>2374.8000000000002</c:v>
                </c:pt>
                <c:pt idx="158">
                  <c:v>2374.8000000000002</c:v>
                </c:pt>
                <c:pt idx="159">
                  <c:v>2374.8000000000002</c:v>
                </c:pt>
                <c:pt idx="160">
                  <c:v>2374.8000000000002</c:v>
                </c:pt>
                <c:pt idx="161">
                  <c:v>2374.8000000000002</c:v>
                </c:pt>
                <c:pt idx="162">
                  <c:v>2374.8000000000002</c:v>
                </c:pt>
                <c:pt idx="163">
                  <c:v>2374.8000000000002</c:v>
                </c:pt>
                <c:pt idx="164">
                  <c:v>2374.8000000000002</c:v>
                </c:pt>
                <c:pt idx="165">
                  <c:v>2374.8000000000002</c:v>
                </c:pt>
                <c:pt idx="166">
                  <c:v>2374.8000000000002</c:v>
                </c:pt>
                <c:pt idx="167">
                  <c:v>2374.8000000000002</c:v>
                </c:pt>
                <c:pt idx="168">
                  <c:v>2374.8000000000002</c:v>
                </c:pt>
                <c:pt idx="169">
                  <c:v>2374.8000000000002</c:v>
                </c:pt>
                <c:pt idx="170">
                  <c:v>2374.8000000000002</c:v>
                </c:pt>
                <c:pt idx="171">
                  <c:v>2374.8000000000002</c:v>
                </c:pt>
                <c:pt idx="172">
                  <c:v>2374.8000000000002</c:v>
                </c:pt>
                <c:pt idx="173">
                  <c:v>2374.8000000000002</c:v>
                </c:pt>
                <c:pt idx="174">
                  <c:v>2374.8000000000002</c:v>
                </c:pt>
                <c:pt idx="175">
                  <c:v>2374.8000000000002</c:v>
                </c:pt>
                <c:pt idx="176">
                  <c:v>2374.8000000000002</c:v>
                </c:pt>
                <c:pt idx="177">
                  <c:v>2374.8000000000002</c:v>
                </c:pt>
                <c:pt idx="178">
                  <c:v>2374.8000000000002</c:v>
                </c:pt>
                <c:pt idx="179">
                  <c:v>2374.8000000000002</c:v>
                </c:pt>
                <c:pt idx="180">
                  <c:v>2374.8000000000002</c:v>
                </c:pt>
                <c:pt idx="181">
                  <c:v>2374.8000000000002</c:v>
                </c:pt>
                <c:pt idx="182">
                  <c:v>2374.8000000000002</c:v>
                </c:pt>
                <c:pt idx="183">
                  <c:v>2374.8000000000002</c:v>
                </c:pt>
                <c:pt idx="184">
                  <c:v>2374.8000000000002</c:v>
                </c:pt>
              </c:numCache>
            </c:numRef>
          </c:yVal>
          <c:smooth val="0"/>
          <c:extLst>
            <c:ext xmlns:c16="http://schemas.microsoft.com/office/drawing/2014/chart" uri="{C3380CC4-5D6E-409C-BE32-E72D297353CC}">
              <c16:uniqueId val="{00000002-E4BD-4903-B44E-8038991DE8A0}"/>
            </c:ext>
          </c:extLst>
        </c:ser>
        <c:dLbls>
          <c:showLegendKey val="0"/>
          <c:showVal val="0"/>
          <c:showCatName val="0"/>
          <c:showSerName val="0"/>
          <c:showPercent val="0"/>
          <c:showBubbleSize val="0"/>
        </c:dLbls>
        <c:axId val="176621440"/>
        <c:axId val="176640000"/>
      </c:scatterChart>
      <c:scatterChart>
        <c:scatterStyle val="lineMarker"/>
        <c:varyColors val="0"/>
        <c:ser>
          <c:idx val="2"/>
          <c:order val="2"/>
          <c:tx>
            <c:v>COST PLAN</c:v>
          </c:tx>
          <c:spPr>
            <a:ln w="19050">
              <a:solidFill>
                <a:schemeClr val="accent4">
                  <a:lumMod val="60000"/>
                  <a:lumOff val="40000"/>
                </a:schemeClr>
              </a:solidFill>
            </a:ln>
          </c:spPr>
          <c:marker>
            <c:symbol val="none"/>
          </c:marker>
          <c:xVal>
            <c:numRef>
              <c:f>BUDGET!$B$8:$B$27</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formatCode="0.0">
                  <c:v>18.708333333333329</c:v>
                </c:pt>
              </c:numCache>
            </c:numRef>
          </c:xVal>
          <c:yVal>
            <c:numRef>
              <c:f>BUDGET!$G$8:$G$27</c:f>
              <c:numCache>
                <c:formatCode>0.00%</c:formatCode>
                <c:ptCount val="20"/>
                <c:pt idx="0">
                  <c:v>3.9183833559011956E-2</c:v>
                </c:pt>
                <c:pt idx="1">
                  <c:v>0.18200637689497418</c:v>
                </c:pt>
                <c:pt idx="2">
                  <c:v>0.207685632784881</c:v>
                </c:pt>
                <c:pt idx="3">
                  <c:v>0.24537937142840313</c:v>
                </c:pt>
                <c:pt idx="4">
                  <c:v>0.26180820969518864</c:v>
                </c:pt>
                <c:pt idx="5">
                  <c:v>0.32339335127549296</c:v>
                </c:pt>
                <c:pt idx="6">
                  <c:v>0.33982218954227844</c:v>
                </c:pt>
                <c:pt idx="7">
                  <c:v>0.42210397014127887</c:v>
                </c:pt>
                <c:pt idx="8">
                  <c:v>0.48704695443647733</c:v>
                </c:pt>
                <c:pt idx="9">
                  <c:v>0.50347579270326281</c:v>
                </c:pt>
                <c:pt idx="10">
                  <c:v>0.51990463097004835</c:v>
                </c:pt>
                <c:pt idx="11">
                  <c:v>0.63062187796796465</c:v>
                </c:pt>
                <c:pt idx="12">
                  <c:v>0.64705071623475019</c:v>
                </c:pt>
                <c:pt idx="13">
                  <c:v>0.66347955450153573</c:v>
                </c:pt>
                <c:pt idx="14">
                  <c:v>0.72000997149300494</c:v>
                </c:pt>
                <c:pt idx="15">
                  <c:v>0.73643880975979048</c:v>
                </c:pt>
                <c:pt idx="16">
                  <c:v>0.86769811006095376</c:v>
                </c:pt>
                <c:pt idx="17">
                  <c:v>0.8841269483277393</c:v>
                </c:pt>
                <c:pt idx="18">
                  <c:v>0.98357116173321391</c:v>
                </c:pt>
                <c:pt idx="19">
                  <c:v>0.99999999999999956</c:v>
                </c:pt>
              </c:numCache>
            </c:numRef>
          </c:yVal>
          <c:smooth val="0"/>
          <c:extLst>
            <c:ext xmlns:c16="http://schemas.microsoft.com/office/drawing/2014/chart" uri="{C3380CC4-5D6E-409C-BE32-E72D297353CC}">
              <c16:uniqueId val="{00000000-57F1-4F29-ACF5-B1A705533C16}"/>
            </c:ext>
          </c:extLst>
        </c:ser>
        <c:ser>
          <c:idx val="4"/>
          <c:order val="3"/>
          <c:tx>
            <c:v>COST ACTUAL</c:v>
          </c:tx>
          <c:spPr>
            <a:ln w="22225">
              <a:solidFill>
                <a:srgbClr val="FFC000"/>
              </a:solidFill>
            </a:ln>
          </c:spPr>
          <c:marker>
            <c:symbol val="none"/>
          </c:marker>
          <c:xVal>
            <c:numRef>
              <c:f>BUDGET!$C$8:$C$69</c:f>
              <c:numCache>
                <c:formatCode>0.00</c:formatCode>
                <c:ptCount val="62"/>
                <c:pt idx="0" formatCode="General">
                  <c:v>0</c:v>
                </c:pt>
                <c:pt idx="1">
                  <c:v>0.20833333333333334</c:v>
                </c:pt>
                <c:pt idx="2">
                  <c:v>1.2083333333333333</c:v>
                </c:pt>
                <c:pt idx="3">
                  <c:v>2.208333333333333</c:v>
                </c:pt>
                <c:pt idx="4">
                  <c:v>3.208333333333333</c:v>
                </c:pt>
                <c:pt idx="5">
                  <c:v>4.208333333333333</c:v>
                </c:pt>
                <c:pt idx="6">
                  <c:v>5.208333333333333</c:v>
                </c:pt>
                <c:pt idx="7">
                  <c:v>6.208333333333333</c:v>
                </c:pt>
                <c:pt idx="8">
                  <c:v>7.208333333333333</c:v>
                </c:pt>
                <c:pt idx="9">
                  <c:v>8.2083333333333321</c:v>
                </c:pt>
                <c:pt idx="10">
                  <c:v>9.2083333333333321</c:v>
                </c:pt>
                <c:pt idx="11">
                  <c:v>10.208333333333332</c:v>
                </c:pt>
                <c:pt idx="12">
                  <c:v>11.208333333333332</c:v>
                </c:pt>
                <c:pt idx="13">
                  <c:v>12.208333333333332</c:v>
                </c:pt>
                <c:pt idx="14">
                  <c:v>13.208333333333332</c:v>
                </c:pt>
                <c:pt idx="15">
                  <c:v>14.208333333333332</c:v>
                </c:pt>
                <c:pt idx="16">
                  <c:v>15.208333333333332</c:v>
                </c:pt>
                <c:pt idx="17">
                  <c:v>16.208333333333332</c:v>
                </c:pt>
                <c:pt idx="18">
                  <c:v>17.208333333333332</c:v>
                </c:pt>
                <c:pt idx="19">
                  <c:v>18.208333333333332</c:v>
                </c:pt>
                <c:pt idx="20">
                  <c:v>19.208333333333332</c:v>
                </c:pt>
                <c:pt idx="21">
                  <c:v>20.208333333333332</c:v>
                </c:pt>
                <c:pt idx="22">
                  <c:v>21.208333333333332</c:v>
                </c:pt>
                <c:pt idx="23">
                  <c:v>22.208333333333332</c:v>
                </c:pt>
                <c:pt idx="24">
                  <c:v>23.208333333333332</c:v>
                </c:pt>
              </c:numCache>
            </c:numRef>
          </c:xVal>
          <c:yVal>
            <c:numRef>
              <c:f>BUDGET!$J$8:$J$69</c:f>
              <c:numCache>
                <c:formatCode>0.00%</c:formatCode>
                <c:ptCount val="62"/>
                <c:pt idx="0">
                  <c:v>0</c:v>
                </c:pt>
                <c:pt idx="1">
                  <c:v>0.16530255347008849</c:v>
                </c:pt>
                <c:pt idx="2">
                  <c:v>0.17905584221666368</c:v>
                </c:pt>
                <c:pt idx="3">
                  <c:v>0.19280913096323885</c:v>
                </c:pt>
                <c:pt idx="4">
                  <c:v>0.20656241970981404</c:v>
                </c:pt>
                <c:pt idx="5">
                  <c:v>0.22031570845638923</c:v>
                </c:pt>
                <c:pt idx="6">
                  <c:v>0.2340689972029644</c:v>
                </c:pt>
                <c:pt idx="7">
                  <c:v>0.28727386478407796</c:v>
                </c:pt>
                <c:pt idx="8">
                  <c:v>0.29759495550532006</c:v>
                </c:pt>
                <c:pt idx="9">
                  <c:v>0.3258083765080762</c:v>
                </c:pt>
                <c:pt idx="10">
                  <c:v>0.34430472585075883</c:v>
                </c:pt>
                <c:pt idx="11">
                  <c:v>0.358622468388753</c:v>
                </c:pt>
                <c:pt idx="12">
                  <c:v>0.37294021092674717</c:v>
                </c:pt>
                <c:pt idx="13">
                  <c:v>0.38725795346474134</c:v>
                </c:pt>
                <c:pt idx="14">
                  <c:v>0.40157569600273546</c:v>
                </c:pt>
                <c:pt idx="15">
                  <c:v>0.4179996843932447</c:v>
                </c:pt>
                <c:pt idx="16">
                  <c:v>0.44966958563865594</c:v>
                </c:pt>
                <c:pt idx="17">
                  <c:v>0.46398732817665006</c:v>
                </c:pt>
                <c:pt idx="18">
                  <c:v>0.47853798664634017</c:v>
                </c:pt>
                <c:pt idx="19">
                  <c:v>0.49285572918433435</c:v>
                </c:pt>
                <c:pt idx="20">
                  <c:v>0.50739227153695199</c:v>
                </c:pt>
                <c:pt idx="21">
                  <c:v>0.52248581483971368</c:v>
                </c:pt>
                <c:pt idx="22">
                  <c:v>0.59063910104363981</c:v>
                </c:pt>
                <c:pt idx="23">
                  <c:v>0.66064664805370599</c:v>
                </c:pt>
                <c:pt idx="24">
                  <c:v>0.67179620779908489</c:v>
                </c:pt>
              </c:numCache>
            </c:numRef>
          </c:yVal>
          <c:smooth val="0"/>
          <c:extLst>
            <c:ext xmlns:c16="http://schemas.microsoft.com/office/drawing/2014/chart" uri="{C3380CC4-5D6E-409C-BE32-E72D297353CC}">
              <c16:uniqueId val="{00000002-57F1-4F29-ACF5-B1A705533C16}"/>
            </c:ext>
          </c:extLst>
        </c:ser>
        <c:dLbls>
          <c:showLegendKey val="0"/>
          <c:showVal val="0"/>
          <c:showCatName val="0"/>
          <c:showSerName val="0"/>
          <c:showPercent val="0"/>
          <c:showBubbleSize val="0"/>
        </c:dLbls>
        <c:axId val="176660480"/>
        <c:axId val="176641920"/>
      </c:scatterChart>
      <c:valAx>
        <c:axId val="176621440"/>
        <c:scaling>
          <c:orientation val="minMax"/>
          <c:max val="24"/>
          <c:min val="0"/>
        </c:scaling>
        <c:delete val="0"/>
        <c:axPos val="b"/>
        <c:majorGridlines>
          <c:spPr>
            <a:ln w="9525">
              <a:solidFill>
                <a:schemeClr val="bg1">
                  <a:lumMod val="85000"/>
                </a:schemeClr>
              </a:solidFill>
            </a:ln>
          </c:spPr>
        </c:majorGridlines>
        <c:minorGridlines>
          <c:spPr>
            <a:ln w="0">
              <a:solidFill>
                <a:schemeClr val="tx1">
                  <a:tint val="75000"/>
                  <a:shade val="95000"/>
                  <a:satMod val="105000"/>
                  <a:alpha val="30000"/>
                </a:schemeClr>
              </a:solidFill>
            </a:ln>
          </c:spPr>
        </c:minorGridlines>
        <c:title>
          <c:tx>
            <c:rich>
              <a:bodyPr/>
              <a:lstStyle/>
              <a:p>
                <a:pPr algn="l">
                  <a:defRPr lang="en-US" sz="1050" b="1" i="1">
                    <a:solidFill>
                      <a:srgbClr val="FF0000"/>
                    </a:solidFill>
                    <a:latin typeface="Arial" panose="020B0604020202020204" pitchFamily="34" charset="0"/>
                    <a:cs typeface="Arial" panose="020B0604020202020204" pitchFamily="34" charset="0"/>
                  </a:defRPr>
                </a:pPr>
                <a:r>
                  <a:rPr lang="en-US" sz="1050" b="1" i="1">
                    <a:solidFill>
                      <a:srgbClr val="FF0000"/>
                    </a:solidFill>
                    <a:latin typeface="Arial" panose="020B0604020202020204" pitchFamily="34" charset="0"/>
                    <a:cs typeface="Arial" panose="020B0604020202020204" pitchFamily="34" charset="0"/>
                  </a:rPr>
                  <a:t>OPERATION DAYS &gt;&gt;&gt;&gt;</a:t>
                </a:r>
              </a:p>
            </c:rich>
          </c:tx>
          <c:layout>
            <c:manualLayout>
              <c:xMode val="edge"/>
              <c:yMode val="edge"/>
              <c:x val="0.42614390607626618"/>
              <c:y val="0.95861201591193257"/>
            </c:manualLayout>
          </c:layout>
          <c:overlay val="0"/>
          <c:spPr>
            <a:noFill/>
          </c:spPr>
        </c:title>
        <c:numFmt formatCode="0" sourceLinked="0"/>
        <c:majorTickMark val="out"/>
        <c:minorTickMark val="none"/>
        <c:tickLblPos val="nextTo"/>
        <c:spPr>
          <a:noFill/>
          <a:ln w="19050"/>
        </c:spPr>
        <c:txPr>
          <a:bodyPr/>
          <a:lstStyle/>
          <a:p>
            <a:pPr>
              <a:defRPr lang="en-US" sz="1000" b="0">
                <a:solidFill>
                  <a:schemeClr val="tx1">
                    <a:lumMod val="85000"/>
                    <a:lumOff val="15000"/>
                  </a:schemeClr>
                </a:solidFill>
                <a:latin typeface="Arial Narrow" panose="020B0606020202030204" pitchFamily="34" charset="0"/>
              </a:defRPr>
            </a:pPr>
            <a:endParaRPr lang="en-US"/>
          </a:p>
        </c:txPr>
        <c:crossAx val="176640000"/>
        <c:crosses val="max"/>
        <c:crossBetween val="midCat"/>
        <c:majorUnit val="2"/>
      </c:valAx>
      <c:valAx>
        <c:axId val="176640000"/>
        <c:scaling>
          <c:orientation val="maxMin"/>
          <c:max val="2500"/>
          <c:min val="0"/>
        </c:scaling>
        <c:delete val="0"/>
        <c:axPos val="l"/>
        <c:majorGridlines>
          <c:spPr>
            <a:ln w="9525">
              <a:solidFill>
                <a:schemeClr val="bg1">
                  <a:lumMod val="85000"/>
                </a:schemeClr>
              </a:solidFill>
            </a:ln>
          </c:spPr>
        </c:majorGridlines>
        <c:minorGridlines>
          <c:spPr>
            <a:ln w="0">
              <a:noFill/>
            </a:ln>
          </c:spPr>
        </c:minorGridlines>
        <c:title>
          <c:tx>
            <c:rich>
              <a:bodyPr rot="-5400000" vert="horz"/>
              <a:lstStyle/>
              <a:p>
                <a:pPr algn="l" rtl="0">
                  <a:defRPr lang="en-US" sz="1050" b="1" i="1" u="none" strike="noStrike" kern="1200" baseline="0">
                    <a:solidFill>
                      <a:srgbClr val="FF0000"/>
                    </a:solidFill>
                    <a:latin typeface="Arial" panose="020B0604020202020204" pitchFamily="34" charset="0"/>
                    <a:ea typeface="+mn-ea"/>
                    <a:cs typeface="Arial" panose="020B0604020202020204" pitchFamily="34" charset="0"/>
                  </a:defRPr>
                </a:pPr>
                <a:r>
                  <a:rPr lang="en-US" sz="1050" b="1" i="1" u="none" strike="noStrike" kern="1200" baseline="0">
                    <a:solidFill>
                      <a:srgbClr val="FF0000"/>
                    </a:solidFill>
                    <a:latin typeface="Arial" panose="020B0604020202020204" pitchFamily="34" charset="0"/>
                    <a:ea typeface="+mn-ea"/>
                    <a:cs typeface="Arial" panose="020B0604020202020204" pitchFamily="34" charset="0"/>
                  </a:rPr>
                  <a:t>DEPTH (mMD) &gt;&gt;&gt;&gt;</a:t>
                </a:r>
              </a:p>
            </c:rich>
          </c:tx>
          <c:layout>
            <c:manualLayout>
              <c:xMode val="edge"/>
              <c:yMode val="edge"/>
              <c:x val="3.9849536136896836E-3"/>
              <c:y val="0.27956618236901976"/>
            </c:manualLayout>
          </c:layout>
          <c:overlay val="0"/>
          <c:spPr>
            <a:noFill/>
          </c:spPr>
        </c:title>
        <c:numFmt formatCode="0" sourceLinked="0"/>
        <c:majorTickMark val="out"/>
        <c:minorTickMark val="none"/>
        <c:tickLblPos val="nextTo"/>
        <c:spPr>
          <a:noFill/>
          <a:ln w="19050">
            <a:prstDash val="solid"/>
          </a:ln>
        </c:spPr>
        <c:txPr>
          <a:bodyPr/>
          <a:lstStyle/>
          <a:p>
            <a:pPr>
              <a:defRPr lang="en-US" sz="1000" b="0" i="0" u="sng">
                <a:solidFill>
                  <a:schemeClr val="tx1">
                    <a:lumMod val="85000"/>
                    <a:lumOff val="15000"/>
                  </a:schemeClr>
                </a:solidFill>
                <a:latin typeface="Arial Narrow" panose="020B0606020202030204" pitchFamily="34" charset="0"/>
              </a:defRPr>
            </a:pPr>
            <a:endParaRPr lang="en-US"/>
          </a:p>
        </c:txPr>
        <c:crossAx val="176621440"/>
        <c:crosses val="autoZero"/>
        <c:crossBetween val="midCat"/>
        <c:majorUnit val="250"/>
        <c:minorUnit val="100"/>
      </c:valAx>
      <c:valAx>
        <c:axId val="176641920"/>
        <c:scaling>
          <c:orientation val="minMax"/>
          <c:max val="1"/>
          <c:min val="0"/>
        </c:scaling>
        <c:delete val="0"/>
        <c:axPos val="r"/>
        <c:title>
          <c:tx>
            <c:rich>
              <a:bodyPr/>
              <a:lstStyle/>
              <a:p>
                <a:pPr>
                  <a:defRPr lang="en-US"/>
                </a:pPr>
                <a:r>
                  <a:rPr lang="en-US" sz="1000" b="1" i="1" baseline="0">
                    <a:solidFill>
                      <a:srgbClr val="FF0000"/>
                    </a:solidFill>
                    <a:effectLst/>
                    <a:latin typeface="Arial Narrow" panose="020B0606020202030204" pitchFamily="34" charset="0"/>
                  </a:rPr>
                  <a:t>COST (%) &gt;&gt;&gt;&gt;</a:t>
                </a:r>
                <a:endParaRPr lang="en-ID" sz="1000">
                  <a:solidFill>
                    <a:srgbClr val="FF0000"/>
                  </a:solidFill>
                  <a:effectLst/>
                  <a:latin typeface="Arial Narrow" panose="020B0606020202030204" pitchFamily="34" charset="0"/>
                </a:endParaRPr>
              </a:p>
            </c:rich>
          </c:tx>
          <c:layout>
            <c:manualLayout>
              <c:xMode val="edge"/>
              <c:yMode val="edge"/>
              <c:x val="0.97956745780043553"/>
              <c:y val="6.6955093596889698E-2"/>
            </c:manualLayout>
          </c:layout>
          <c:overlay val="0"/>
        </c:title>
        <c:numFmt formatCode="0%" sourceLinked="0"/>
        <c:majorTickMark val="out"/>
        <c:minorTickMark val="none"/>
        <c:tickLblPos val="nextTo"/>
        <c:txPr>
          <a:bodyPr/>
          <a:lstStyle/>
          <a:p>
            <a:pPr>
              <a:defRPr lang="en-US" i="1" u="sng"/>
            </a:pPr>
            <a:endParaRPr lang="en-US"/>
          </a:p>
        </c:txPr>
        <c:crossAx val="176660480"/>
        <c:crosses val="max"/>
        <c:crossBetween val="midCat"/>
        <c:majorUnit val="0.1"/>
      </c:valAx>
      <c:valAx>
        <c:axId val="176660480"/>
        <c:scaling>
          <c:orientation val="minMax"/>
        </c:scaling>
        <c:delete val="1"/>
        <c:axPos val="b"/>
        <c:numFmt formatCode="General" sourceLinked="1"/>
        <c:majorTickMark val="out"/>
        <c:minorTickMark val="none"/>
        <c:tickLblPos val="none"/>
        <c:crossAx val="176641920"/>
        <c:crosses val="autoZero"/>
        <c:crossBetween val="midCat"/>
      </c:valAx>
      <c:spPr>
        <a:solidFill>
          <a:schemeClr val="bg1"/>
        </a:solidFill>
        <a:ln w="60325" cmpd="sng"/>
        <a:effectLst/>
        <a:scene3d>
          <a:camera prst="orthographicFront"/>
          <a:lightRig rig="threePt" dir="t"/>
        </a:scene3d>
        <a:sp3d/>
      </c:spPr>
    </c:plotArea>
    <c:legend>
      <c:legendPos val="t"/>
      <c:layout>
        <c:manualLayout>
          <c:xMode val="edge"/>
          <c:yMode val="edge"/>
          <c:x val="0.37498468336960733"/>
          <c:y val="1.0803103644624805E-3"/>
          <c:w val="0.623594156923723"/>
          <c:h val="5.2950121726132324E-2"/>
        </c:manualLayout>
      </c:layout>
      <c:overlay val="0"/>
      <c:spPr>
        <a:solidFill>
          <a:schemeClr val="bg1">
            <a:lumMod val="85000"/>
          </a:schemeClr>
        </a:solidFill>
      </c:spPr>
      <c:txPr>
        <a:bodyPr/>
        <a:lstStyle/>
        <a:p>
          <a:pPr>
            <a:defRPr lang="en-US" sz="900" b="1">
              <a:solidFill>
                <a:schemeClr val="tx1">
                  <a:lumMod val="75000"/>
                  <a:lumOff val="25000"/>
                </a:schemeClr>
              </a:solidFill>
              <a:latin typeface="Arial Narrow" panose="020B0606020202030204" pitchFamily="34" charset="0"/>
            </a:defRPr>
          </a:pPr>
          <a:endParaRPr lang="en-US"/>
        </a:p>
      </c:txPr>
    </c:legend>
    <c:plotVisOnly val="1"/>
    <c:dispBlanksAs val="gap"/>
    <c:showDLblsOverMax val="0"/>
  </c:chart>
  <c:spPr>
    <a:ln>
      <a:noFill/>
    </a:ln>
  </c:spPr>
  <c:printSettings>
    <c:headerFooter/>
    <c:pageMargins b="0.7480314960630422" l="0.7086614173228708" r="0.7086614173228708" t="0.7480314960630422" header="0.31496062992128626" footer="0.31496062992128626"/>
    <c:pageSetup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'5_PERFORM (1)_Table'!$KH$3</c:f>
          <c:strCache>
            <c:ptCount val="1"/>
            <c:pt idx="0">
              <c:v>WORKOVER SECTIONSPA-034</c:v>
            </c:pt>
          </c:strCache>
        </c:strRef>
      </c:tx>
      <c:overlay val="0"/>
      <c:spPr>
        <a:solidFill>
          <a:schemeClr val="bg1">
            <a:lumMod val="75000"/>
          </a:schemeClr>
        </a:solidFill>
      </c:spPr>
      <c:txPr>
        <a:bodyPr/>
        <a:lstStyle/>
        <a:p>
          <a:pPr>
            <a:defRPr lang="en-US" sz="2400">
              <a:latin typeface="Century Gothic" panose="020B0502020202020204" pitchFamily="34" charset="0"/>
            </a:defRPr>
          </a:pPr>
          <a:endParaRPr lang="en-US"/>
        </a:p>
      </c:txPr>
    </c:title>
    <c:autoTitleDeleted val="0"/>
    <c:view3D>
      <c:rotX val="30"/>
      <c:rotY val="100"/>
      <c:depthPercent val="100"/>
      <c:rAngAx val="0"/>
    </c:view3D>
    <c:floor>
      <c:thickness val="0"/>
    </c:floor>
    <c:sideWall>
      <c:thickness val="0"/>
    </c:sideWall>
    <c:backWall>
      <c:thickness val="0"/>
    </c:backWall>
    <c:plotArea>
      <c:layout>
        <c:manualLayout>
          <c:layoutTarget val="inner"/>
          <c:xMode val="edge"/>
          <c:yMode val="edge"/>
          <c:x val="0.22510343943377534"/>
          <c:y val="0.27877846273890688"/>
          <c:w val="0.55490496737309714"/>
          <c:h val="0.5315337321788276"/>
        </c:manualLayout>
      </c:layout>
      <c:pie3DChart>
        <c:varyColors val="1"/>
        <c:ser>
          <c:idx val="0"/>
          <c:order val="0"/>
          <c:spPr>
            <a:scene3d>
              <a:camera prst="orthographicFront"/>
              <a:lightRig rig="threePt" dir="t"/>
            </a:scene3d>
            <a:sp3d prstMaterial="metal">
              <a:bevelT w="190500" h="381000"/>
            </a:sp3d>
          </c:spPr>
          <c:dLbls>
            <c:numFmt formatCode="0.0%" sourceLinked="0"/>
            <c:spPr>
              <a:solidFill>
                <a:schemeClr val="bg1">
                  <a:lumMod val="95000"/>
                </a:schemeClr>
              </a:solidFill>
              <a:ln>
                <a:solidFill>
                  <a:schemeClr val="bg1">
                    <a:lumMod val="75000"/>
                  </a:schemeClr>
                </a:solidFill>
                <a:prstDash val="dash"/>
              </a:ln>
            </c:spPr>
            <c:txPr>
              <a:bodyPr/>
              <a:lstStyle/>
              <a:p>
                <a:pPr>
                  <a:defRPr lang="en-US" sz="1100">
                    <a:latin typeface="Arial Narrow" panose="020B0606020202030204" pitchFamily="34" charset="0"/>
                  </a:defRPr>
                </a:pPr>
                <a:endParaRPr lang="en-US"/>
              </a:p>
            </c:txPr>
            <c:dLblPos val="bestFit"/>
            <c:showLegendKey val="0"/>
            <c:showVal val="0"/>
            <c:showCatName val="1"/>
            <c:showSerName val="0"/>
            <c:showPercent val="1"/>
            <c:showBubbleSize val="0"/>
            <c:separator> </c:separator>
            <c:showLeaderLines val="1"/>
            <c:leaderLines>
              <c:spPr>
                <a:ln>
                  <a:solidFill>
                    <a:schemeClr val="bg1">
                      <a:lumMod val="65000"/>
                    </a:schemeClr>
                  </a:solidFill>
                </a:ln>
              </c:spPr>
            </c:leaderLines>
            <c:extLst>
              <c:ext xmlns:c15="http://schemas.microsoft.com/office/drawing/2012/chart" uri="{CE6537A1-D6FC-4f65-9D91-7224C49458BB}"/>
            </c:extLst>
          </c:dLbls>
          <c:val>
            <c:numRef>
              <c:f>'5_PERFORM (1)_Table'!$KK$4:$KK$100</c:f>
              <c:numCache>
                <c:formatCode>0.0</c:formatCode>
                <c:ptCount val="97"/>
                <c:pt idx="0">
                  <c:v>2.0833333333333335</c:v>
                </c:pt>
                <c:pt idx="1">
                  <c:v>2.0833333333333332E-2</c:v>
                </c:pt>
                <c:pt idx="2">
                  <c:v>8.3333333333333329E-2</c:v>
                </c:pt>
                <c:pt idx="3">
                  <c:v>0.16666666666666666</c:v>
                </c:pt>
                <c:pt idx="4">
                  <c:v>0.45833333333333331</c:v>
                </c:pt>
                <c:pt idx="5">
                  <c:v>0.77083333333333337</c:v>
                </c:pt>
                <c:pt idx="6">
                  <c:v>6.25E-2</c:v>
                </c:pt>
                <c:pt idx="7">
                  <c:v>3.375</c:v>
                </c:pt>
                <c:pt idx="8">
                  <c:v>5</c:v>
                </c:pt>
                <c:pt idx="9">
                  <c:v>4.1666666666666664E-2</c:v>
                </c:pt>
                <c:pt idx="10">
                  <c:v>0.14583333333333334</c:v>
                </c:pt>
                <c:pt idx="11">
                  <c:v>0.33333333333333331</c:v>
                </c:pt>
                <c:pt idx="12">
                  <c:v>0.60416666666666663</c:v>
                </c:pt>
                <c:pt idx="13">
                  <c:v>4.1666666666666664E-2</c:v>
                </c:pt>
                <c:pt idx="14">
                  <c:v>4.1666666666666664E-2</c:v>
                </c:pt>
                <c:pt idx="15">
                  <c:v>2.1875</c:v>
                </c:pt>
                <c:pt idx="16">
                  <c:v>0.20833333333333334</c:v>
                </c:pt>
                <c:pt idx="17">
                  <c:v>0.14583333333333334</c:v>
                </c:pt>
                <c:pt idx="18">
                  <c:v>0.16666666666666666</c:v>
                </c:pt>
                <c:pt idx="19">
                  <c:v>4.1666666666666664E-2</c:v>
                </c:pt>
                <c:pt idx="20">
                  <c:v>0.75</c:v>
                </c:pt>
                <c:pt idx="21">
                  <c:v>0.20833333333333334</c:v>
                </c:pt>
                <c:pt idx="22">
                  <c:v>1</c:v>
                </c:pt>
                <c:pt idx="23">
                  <c:v>2.25</c:v>
                </c:pt>
                <c:pt idx="24">
                  <c:v>0.83333333333333337</c:v>
                </c:pt>
                <c:pt idx="25">
                  <c:v>0.47916666666666669</c:v>
                </c:pt>
                <c:pt idx="26">
                  <c:v>1.4583333333333333</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numCache>
            </c:numRef>
          </c:val>
          <c:extLst>
            <c:ext xmlns:c15="http://schemas.microsoft.com/office/drawing/2012/chart" uri="{02D57815-91ED-43cb-92C2-25804820EDAC}">
              <c15:filteredCategoryTitle>
                <c15:cat>
                  <c:strRef>
                    <c:extLst>
                      <c:ext uri="{02D57815-91ED-43cb-92C2-25804820EDAC}">
                        <c15:formulaRef>
                          <c15:sqref>'5_PERFORM (1)_Table'!$KJ$4:$KJ$15</c15:sqref>
                        </c15:formulaRef>
                      </c:ext>
                    </c:extLst>
                    <c:strCache>
                      <c:ptCount val="12"/>
                      <c:pt idx="0">
                        <c:v>Drilling Actual : Coiled Tubing - Drilling</c:v>
                      </c:pt>
                      <c:pt idx="1">
                        <c:v>Drilling Actual : Flow Check / Monitor Well While Drilling</c:v>
                      </c:pt>
                      <c:pt idx="2">
                        <c:v>Drilling Actual : Other Drilling Activities</c:v>
                      </c:pt>
                      <c:pt idx="3">
                        <c:v>Drilling Actual : Test casing / Leak Off Test / Formation Integrity Test</c:v>
                      </c:pt>
                      <c:pt idx="4">
                        <c:v>Reaming : Wash / Reaming / Backreaming </c:v>
                      </c:pt>
                      <c:pt idx="5">
                        <c:v>Condition Mud &amp; Circulate : Circulate / Condition Mud</c:v>
                      </c:pt>
                      <c:pt idx="6">
                        <c:v>Trips : Stand Up or L/D Drill Pipe</c:v>
                      </c:pt>
                      <c:pt idx="7">
                        <c:v>Trips : Trip in / out Drilling BHA</c:v>
                      </c:pt>
                      <c:pt idx="8">
                        <c:v>Trips : Wiper / Conditioner Trip</c:v>
                      </c:pt>
                      <c:pt idx="9">
                        <c:v>Trips : Flow Check / Monitor Well </c:v>
                      </c:pt>
                      <c:pt idx="10">
                        <c:v>Repair Rig : Repair Rotating System (NPT)</c:v>
                      </c:pt>
                      <c:pt idx="11">
                        <c:v>Repair Rig : Tubular Problem (NPT)</c:v>
                      </c:pt>
                    </c:strCache>
                  </c:strRef>
                </c15:cat>
              </c15:filteredCategoryTitle>
            </c:ext>
            <c:ext xmlns:c16="http://schemas.microsoft.com/office/drawing/2014/chart" uri="{C3380CC4-5D6E-409C-BE32-E72D297353CC}">
              <c16:uniqueId val="{00000000-8384-4300-85FB-17A9FF6C6F93}"/>
            </c:ext>
          </c:extLst>
        </c:ser>
        <c:dLbls>
          <c:showLegendKey val="0"/>
          <c:showVal val="0"/>
          <c:showCatName val="0"/>
          <c:showSerName val="0"/>
          <c:showPercent val="0"/>
          <c:showBubbleSize val="0"/>
          <c:showLeaderLines val="1"/>
        </c:dLbls>
      </c:pie3DChart>
      <c:spPr>
        <a:effectLst>
          <a:glow rad="139700">
            <a:schemeClr val="accent3">
              <a:satMod val="175000"/>
              <a:alpha val="40000"/>
            </a:schemeClr>
          </a:glow>
          <a:softEdge rad="12700"/>
        </a:effectLst>
        <a:scene3d>
          <a:camera prst="orthographicFront"/>
          <a:lightRig rig="threePt" dir="t"/>
        </a:scene3d>
        <a:sp3d prstMaterial="translucentPowder"/>
      </c:spPr>
    </c:plotArea>
    <c:plotVisOnly val="1"/>
    <c:dispBlanksAs val="zero"/>
    <c:showDLblsOverMax val="0"/>
  </c:chart>
  <c:spPr>
    <a:solidFill>
      <a:schemeClr val="bg1"/>
    </a:solidFill>
    <a:ln>
      <a:solidFill>
        <a:schemeClr val="bg1">
          <a:lumMod val="65000"/>
        </a:schemeClr>
      </a:solidFill>
    </a:ln>
  </c:sp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3819063382155664E-2"/>
          <c:y val="6.9598531014318996E-2"/>
          <c:w val="0.87514625891751563"/>
          <c:h val="0.85228222407937548"/>
        </c:manualLayout>
      </c:layout>
      <c:scatterChart>
        <c:scatterStyle val="lineMarker"/>
        <c:varyColors val="0"/>
        <c:dLbls>
          <c:dLblPos val="ctr"/>
          <c:showLegendKey val="0"/>
          <c:showVal val="1"/>
          <c:showCatName val="0"/>
          <c:showSerName val="0"/>
          <c:showPercent val="0"/>
          <c:showBubbleSize val="0"/>
        </c:dLbls>
        <c:axId val="154147840"/>
        <c:axId val="154330624"/>
        <c:extLst>
          <c:ext xmlns:c15="http://schemas.microsoft.com/office/drawing/2012/chart" uri="{02D57815-91ED-43cb-92C2-25804820EDAC}">
            <c15:filteredScatterSeries>
              <c15:ser>
                <c:idx val="0"/>
                <c:order val="0"/>
                <c:tx>
                  <c:v>PLAN</c:v>
                </c:tx>
                <c:spPr>
                  <a:ln w="47625">
                    <a:solidFill>
                      <a:srgbClr val="00B050"/>
                    </a:solidFill>
                  </a:ln>
                </c:spPr>
                <c:marker>
                  <c:symbol val="none"/>
                </c:marker>
                <c:dLbls>
                  <c:spPr>
                    <a:noFill/>
                    <a:ln>
                      <a:noFill/>
                    </a:ln>
                    <a:effectLst/>
                  </c:spPr>
                  <c:dLblPos val="ctr"/>
                  <c:showLegendKey val="0"/>
                  <c:showVal val="1"/>
                  <c:showCatName val="0"/>
                  <c:showSerName val="0"/>
                  <c:showPercent val="0"/>
                  <c:showBubbleSize val="0"/>
                  <c:showLeaderLines val="0"/>
                  <c:extLst>
                    <c:ext uri="{CE6537A1-D6FC-4f65-9D91-7224C49458BB}">
                      <c15:showLeaderLines val="1"/>
                    </c:ext>
                  </c:extLst>
                </c:dLbls>
                <c:xVal>
                  <c:numRef>
                    <c:extLst>
                      <c:ext uri="{02D57815-91ED-43cb-92C2-25804820EDAC}">
                        <c15:formulaRef>
                          <c15:sqref>'[4]2_DATA'!$AD$10:$AD$720</c15:sqref>
                        </c15:formulaRef>
                      </c:ext>
                    </c:extLst>
                    <c:numCache>
                      <c:formatCode>General</c:formatCode>
                      <c:ptCount val="71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numCache>
                  </c:numRef>
                </c:xVal>
                <c:yVal>
                  <c:numRef>
                    <c:extLst>
                      <c:ext uri="{02D57815-91ED-43cb-92C2-25804820EDAC}">
                        <c15:formulaRef>
                          <c15:sqref>'[4]2_DATA'!$AE$10:$AE$720</c15:sqref>
                        </c15:formulaRef>
                      </c:ext>
                    </c:extLst>
                    <c:numCache>
                      <c:formatCode>General</c:formatCode>
                      <c:ptCount val="71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numCache>
                  </c:numRef>
                </c:yVal>
                <c:smooth val="0"/>
                <c:extLst>
                  <c:ext xmlns:c16="http://schemas.microsoft.com/office/drawing/2014/chart" uri="{C3380CC4-5D6E-409C-BE32-E72D297353CC}">
                    <c16:uniqueId val="{00000039-E509-4E73-8A3C-BB1B7E9373D4}"/>
                  </c:ext>
                </c:extLst>
              </c15:ser>
            </c15:filteredScatterSeries>
            <c15:filteredScatterSeries>
              <c15:ser>
                <c:idx val="3"/>
                <c:order val="1"/>
                <c:tx>
                  <c:v>ACTUAL</c:v>
                </c:tx>
                <c:spPr>
                  <a:ln w="44450">
                    <a:solidFill>
                      <a:srgbClr val="FF0000"/>
                    </a:solidFill>
                  </a:ln>
                </c:spPr>
                <c:marker>
                  <c:symbol val="none"/>
                </c:marker>
                <c:dLbls>
                  <c:spPr>
                    <a:noFill/>
                    <a:ln>
                      <a:noFill/>
                    </a:ln>
                    <a:effectLst/>
                  </c:sp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ext>
                  </c:extLst>
                </c:dLbls>
                <c:xVal>
                  <c:numRef>
                    <c:extLst xmlns:c15="http://schemas.microsoft.com/office/drawing/2012/chart">
                      <c:ext xmlns:c15="http://schemas.microsoft.com/office/drawing/2012/chart" uri="{02D57815-91ED-43cb-92C2-25804820EDAC}">
                        <c15:formulaRef>
                          <c15:sqref>'[4]2_DATA'!$AF$10:$AF$720</c15:sqref>
                        </c15:formulaRef>
                      </c:ext>
                    </c:extLst>
                    <c:numCache>
                      <c:formatCode>General</c:formatCode>
                      <c:ptCount val="71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numCache>
                  </c:numRef>
                </c:xVal>
                <c:yVal>
                  <c:numRef>
                    <c:extLst xmlns:c15="http://schemas.microsoft.com/office/drawing/2012/chart">
                      <c:ext xmlns:c15="http://schemas.microsoft.com/office/drawing/2012/chart" uri="{02D57815-91ED-43cb-92C2-25804820EDAC}">
                        <c15:formulaRef>
                          <c15:sqref>'[4]2_DATA'!$AG$10:$AG$720</c15:sqref>
                        </c15:formulaRef>
                      </c:ext>
                    </c:extLst>
                    <c:numCache>
                      <c:formatCode>General</c:formatCode>
                      <c:ptCount val="71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numCache>
                  </c:numRef>
                </c:yVal>
                <c:smooth val="0"/>
                <c:extLst xmlns:c15="http://schemas.microsoft.com/office/drawing/2012/chart">
                  <c:ext xmlns:c16="http://schemas.microsoft.com/office/drawing/2014/chart" uri="{C3380CC4-5D6E-409C-BE32-E72D297353CC}">
                    <c16:uniqueId val="{0000003A-E509-4E73-8A3C-BB1B7E9373D4}"/>
                  </c:ext>
                </c:extLst>
              </c15:ser>
            </c15:filteredScatterSeries>
          </c:ext>
        </c:extLst>
      </c:scatterChart>
      <c:scatterChart>
        <c:scatterStyle val="lineMarker"/>
        <c:varyColors val="0"/>
        <c:ser>
          <c:idx val="2"/>
          <c:order val="2"/>
          <c:tx>
            <c:v>Plan</c:v>
          </c:tx>
          <c:spPr>
            <a:ln w="19050">
              <a:solidFill>
                <a:srgbClr val="0070C0"/>
              </a:solidFill>
            </a:ln>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01-E509-4E73-8A3C-BB1B7E9373D4}"/>
                </c:ext>
              </c:extLst>
            </c:dLbl>
            <c:dLbl>
              <c:idx val="2"/>
              <c:delete val="1"/>
              <c:extLst>
                <c:ext xmlns:c15="http://schemas.microsoft.com/office/drawing/2012/chart" uri="{CE6537A1-D6FC-4f65-9D91-7224C49458BB}"/>
                <c:ext xmlns:c16="http://schemas.microsoft.com/office/drawing/2014/chart" uri="{C3380CC4-5D6E-409C-BE32-E72D297353CC}">
                  <c16:uniqueId val="{00000002-E509-4E73-8A3C-BB1B7E9373D4}"/>
                </c:ext>
              </c:extLst>
            </c:dLbl>
            <c:dLbl>
              <c:idx val="3"/>
              <c:layout>
                <c:manualLayout>
                  <c:x val="-7.8174288585097854E-2"/>
                  <c:y val="-4.1493024152385434E-2"/>
                </c:manualLayout>
              </c:layout>
              <c:spPr>
                <a:noFill/>
                <a:ln>
                  <a:solidFill>
                    <a:schemeClr val="accent1"/>
                  </a:solidFill>
                </a:ln>
                <a:effectLst/>
              </c:spPr>
              <c:txPr>
                <a:bodyPr wrap="square" lIns="38100" tIns="19050" rIns="38100" bIns="19050" anchor="ctr">
                  <a:spAutoFit/>
                </a:bodyPr>
                <a:lstStyle/>
                <a:p>
                  <a:pPr>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509-4E73-8A3C-BB1B7E9373D4}"/>
                </c:ext>
              </c:extLst>
            </c:dLbl>
            <c:dLbl>
              <c:idx val="4"/>
              <c:layout>
                <c:manualLayout>
                  <c:x val="-9.5734967413648467E-2"/>
                  <c:y val="-9.4302327619057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509-4E73-8A3C-BB1B7E9373D4}"/>
                </c:ext>
              </c:extLst>
            </c:dLbl>
            <c:dLbl>
              <c:idx val="5"/>
              <c:delete val="1"/>
              <c:extLst>
                <c:ext xmlns:c15="http://schemas.microsoft.com/office/drawing/2012/chart" uri="{CE6537A1-D6FC-4f65-9D91-7224C49458BB}"/>
                <c:ext xmlns:c16="http://schemas.microsoft.com/office/drawing/2014/chart" uri="{C3380CC4-5D6E-409C-BE32-E72D297353CC}">
                  <c16:uniqueId val="{00000005-E509-4E73-8A3C-BB1B7E9373D4}"/>
                </c:ext>
              </c:extLst>
            </c:dLbl>
            <c:dLbl>
              <c:idx val="6"/>
              <c:layout>
                <c:manualLayout>
                  <c:x val="-0.10529827803947235"/>
                  <c:y val="-7.544186209524623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509-4E73-8A3C-BB1B7E9373D4}"/>
                </c:ext>
              </c:extLst>
            </c:dLbl>
            <c:dLbl>
              <c:idx val="7"/>
              <c:delete val="1"/>
              <c:extLst>
                <c:ext xmlns:c15="http://schemas.microsoft.com/office/drawing/2012/chart" uri="{CE6537A1-D6FC-4f65-9D91-7224C49458BB}"/>
                <c:ext xmlns:c16="http://schemas.microsoft.com/office/drawing/2014/chart" uri="{C3380CC4-5D6E-409C-BE32-E72D297353CC}">
                  <c16:uniqueId val="{00000007-E509-4E73-8A3C-BB1B7E9373D4}"/>
                </c:ext>
              </c:extLst>
            </c:dLbl>
            <c:dLbl>
              <c:idx val="8"/>
              <c:layout>
                <c:manualLayout>
                  <c:x val="-0.12139556696564378"/>
                  <c:y val="-9.430232761905918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509-4E73-8A3C-BB1B7E9373D4}"/>
                </c:ext>
              </c:extLst>
            </c:dLbl>
            <c:dLbl>
              <c:idx val="9"/>
              <c:layout>
                <c:manualLayout>
                  <c:x val="-0.10529827803947238"/>
                  <c:y val="-1.69744189714304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509-4E73-8A3C-BB1B7E9373D4}"/>
                </c:ext>
              </c:extLst>
            </c:dLbl>
            <c:dLbl>
              <c:idx val="10"/>
              <c:delete val="1"/>
              <c:extLst>
                <c:ext xmlns:c15="http://schemas.microsoft.com/office/drawing/2012/chart" uri="{CE6537A1-D6FC-4f65-9D91-7224C49458BB}"/>
                <c:ext xmlns:c16="http://schemas.microsoft.com/office/drawing/2014/chart" uri="{C3380CC4-5D6E-409C-BE32-E72D297353CC}">
                  <c16:uniqueId val="{0000000A-E509-4E73-8A3C-BB1B7E9373D4}"/>
                </c:ext>
              </c:extLst>
            </c:dLbl>
            <c:dLbl>
              <c:idx val="11"/>
              <c:layout>
                <c:manualLayout>
                  <c:x val="-0.10822505784423078"/>
                  <c:y val="-2.07465120761927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509-4E73-8A3C-BB1B7E9373D4}"/>
                </c:ext>
              </c:extLst>
            </c:dLbl>
            <c:dLbl>
              <c:idx val="12"/>
              <c:delete val="1"/>
              <c:extLst>
                <c:ext xmlns:c15="http://schemas.microsoft.com/office/drawing/2012/chart" uri="{CE6537A1-D6FC-4f65-9D91-7224C49458BB}"/>
                <c:ext xmlns:c16="http://schemas.microsoft.com/office/drawing/2014/chart" uri="{C3380CC4-5D6E-409C-BE32-E72D297353CC}">
                  <c16:uniqueId val="{0000000C-E509-4E73-8A3C-BB1B7E9373D4}"/>
                </c:ext>
              </c:extLst>
            </c:dLbl>
            <c:dLbl>
              <c:idx val="13"/>
              <c:layout>
                <c:manualLayout>
                  <c:x val="-0.10676166794185157"/>
                  <c:y val="-3.58348844952420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509-4E73-8A3C-BB1B7E9373D4}"/>
                </c:ext>
              </c:extLst>
            </c:dLbl>
            <c:dLbl>
              <c:idx val="14"/>
              <c:layout>
                <c:manualLayout>
                  <c:x val="-0.10529827803947235"/>
                  <c:y val="-1.320232586666816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509-4E73-8A3C-BB1B7E9373D4}"/>
                </c:ext>
              </c:extLst>
            </c:dLbl>
            <c:dLbl>
              <c:idx val="15"/>
              <c:delete val="1"/>
              <c:extLst>
                <c:ext xmlns:c15="http://schemas.microsoft.com/office/drawing/2012/chart" uri="{CE6537A1-D6FC-4f65-9D91-7224C49458BB}"/>
                <c:ext xmlns:c16="http://schemas.microsoft.com/office/drawing/2014/chart" uri="{C3380CC4-5D6E-409C-BE32-E72D297353CC}">
                  <c16:uniqueId val="{0000000F-E509-4E73-8A3C-BB1B7E9373D4}"/>
                </c:ext>
              </c:extLst>
            </c:dLbl>
            <c:dLbl>
              <c:idx val="16"/>
              <c:delete val="1"/>
              <c:extLst>
                <c:ext xmlns:c15="http://schemas.microsoft.com/office/drawing/2012/chart" uri="{CE6537A1-D6FC-4f65-9D91-7224C49458BB}"/>
                <c:ext xmlns:c16="http://schemas.microsoft.com/office/drawing/2014/chart" uri="{C3380CC4-5D6E-409C-BE32-E72D297353CC}">
                  <c16:uniqueId val="{00000010-E509-4E73-8A3C-BB1B7E9373D4}"/>
                </c:ext>
              </c:extLst>
            </c:dLbl>
            <c:dLbl>
              <c:idx val="17"/>
              <c:delete val="1"/>
              <c:extLst>
                <c:ext xmlns:c15="http://schemas.microsoft.com/office/drawing/2012/chart" uri="{CE6537A1-D6FC-4f65-9D91-7224C49458BB}"/>
                <c:ext xmlns:c16="http://schemas.microsoft.com/office/drawing/2014/chart" uri="{C3380CC4-5D6E-409C-BE32-E72D297353CC}">
                  <c16:uniqueId val="{00000011-E509-4E73-8A3C-BB1B7E9373D4}"/>
                </c:ext>
              </c:extLst>
            </c:dLbl>
            <c:dLbl>
              <c:idx val="18"/>
              <c:layout>
                <c:manualLayout>
                  <c:x val="-0.10676166794185157"/>
                  <c:y val="-1.8860465523811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509-4E73-8A3C-BB1B7E9373D4}"/>
                </c:ext>
              </c:extLst>
            </c:dLbl>
            <c:dLbl>
              <c:idx val="19"/>
              <c:layout>
                <c:manualLayout>
                  <c:x val="-0.10822505784423078"/>
                  <c:y val="-9.4302327619057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509-4E73-8A3C-BB1B7E9373D4}"/>
                </c:ext>
              </c:extLst>
            </c:dLbl>
            <c:dLbl>
              <c:idx val="20"/>
              <c:delete val="1"/>
              <c:extLst>
                <c:ext xmlns:c15="http://schemas.microsoft.com/office/drawing/2012/chart" uri="{CE6537A1-D6FC-4f65-9D91-7224C49458BB}"/>
                <c:ext xmlns:c16="http://schemas.microsoft.com/office/drawing/2014/chart" uri="{C3380CC4-5D6E-409C-BE32-E72D297353CC}">
                  <c16:uniqueId val="{00000014-E509-4E73-8A3C-BB1B7E9373D4}"/>
                </c:ext>
              </c:extLst>
            </c:dLbl>
            <c:dLbl>
              <c:idx val="21"/>
              <c:layout>
                <c:manualLayout>
                  <c:x val="-0.10676166794185157"/>
                  <c:y val="-2.07465120761927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509-4E73-8A3C-BB1B7E9373D4}"/>
                </c:ext>
              </c:extLst>
            </c:dLbl>
            <c:dLbl>
              <c:idx val="22"/>
              <c:layout>
                <c:manualLayout>
                  <c:x val="-0.11115183764898923"/>
                  <c:y val="-1.13162793142869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E509-4E73-8A3C-BB1B7E9373D4}"/>
                </c:ext>
              </c:extLst>
            </c:dLbl>
            <c:dLbl>
              <c:idx val="23"/>
              <c:layout>
                <c:manualLayout>
                  <c:x val="-5.5543021358579026E-2"/>
                  <c:y val="-3.5834884495241963E-2"/>
                </c:manualLayout>
              </c:layout>
              <c:spPr>
                <a:noFill/>
                <a:ln>
                  <a:solidFill>
                    <a:schemeClr val="accent1"/>
                  </a:solidFill>
                </a:ln>
                <a:effectLst/>
              </c:spPr>
              <c:txPr>
                <a:bodyPr wrap="square" lIns="38100" tIns="19050" rIns="38100" bIns="19050" anchor="ctr">
                  <a:spAutoFit/>
                </a:bodyPr>
                <a:lstStyle/>
                <a:p>
                  <a:pPr>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509-4E73-8A3C-BB1B7E9373D4}"/>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xVal>
            <c:numRef>
              <c:f>'BUDGET PPP)'!$B$8:$B$31</c:f>
              <c:numCache>
                <c:formatCode>0</c:formatCode>
                <c:ptCount val="24"/>
                <c:pt idx="0" formatCode="General">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formatCode="0.0">
                  <c:v>21.7</c:v>
                </c:pt>
                <c:pt idx="23" formatCode="0.0">
                  <c:v>22.7</c:v>
                </c:pt>
              </c:numCache>
            </c:numRef>
          </c:xVal>
          <c:yVal>
            <c:numRef>
              <c:f>'BUDGET PPP)'!$F$8:$F$31</c:f>
              <c:numCache>
                <c:formatCode>_(\$* #,##0.00_);_(\$* \(#,##0.00\);_(\$* \-??_);_(@_)</c:formatCode>
                <c:ptCount val="24"/>
                <c:pt idx="0">
                  <c:v>0</c:v>
                </c:pt>
                <c:pt idx="1">
                  <c:v>5272.33</c:v>
                </c:pt>
                <c:pt idx="2">
                  <c:v>10544.66</c:v>
                </c:pt>
                <c:pt idx="3">
                  <c:v>15816.99</c:v>
                </c:pt>
                <c:pt idx="4">
                  <c:v>86406.080000000002</c:v>
                </c:pt>
                <c:pt idx="5">
                  <c:v>97946.49</c:v>
                </c:pt>
                <c:pt idx="6">
                  <c:v>117136.81</c:v>
                </c:pt>
                <c:pt idx="7">
                  <c:v>124327.13</c:v>
                </c:pt>
                <c:pt idx="8">
                  <c:v>142135.02000000002</c:v>
                </c:pt>
                <c:pt idx="9">
                  <c:v>180293.25000000003</c:v>
                </c:pt>
                <c:pt idx="10">
                  <c:v>187483.57000000004</c:v>
                </c:pt>
                <c:pt idx="11">
                  <c:v>204673.89000000004</c:v>
                </c:pt>
                <c:pt idx="12">
                  <c:v>211864.21000000005</c:v>
                </c:pt>
                <c:pt idx="13">
                  <c:v>219054.53000000006</c:v>
                </c:pt>
                <c:pt idx="14">
                  <c:v>288925.95000000007</c:v>
                </c:pt>
                <c:pt idx="15">
                  <c:v>296116.27000000008</c:v>
                </c:pt>
                <c:pt idx="16">
                  <c:v>303709.3000000001</c:v>
                </c:pt>
                <c:pt idx="17">
                  <c:v>310899.62000000011</c:v>
                </c:pt>
                <c:pt idx="18">
                  <c:v>318089.94000000012</c:v>
                </c:pt>
                <c:pt idx="19">
                  <c:v>379280.26000000013</c:v>
                </c:pt>
                <c:pt idx="20">
                  <c:v>386470.58000000013</c:v>
                </c:pt>
                <c:pt idx="21">
                  <c:v>393660.90000000014</c:v>
                </c:pt>
                <c:pt idx="22">
                  <c:v>466250.88000000012</c:v>
                </c:pt>
                <c:pt idx="23">
                  <c:v>470258.44000000012</c:v>
                </c:pt>
              </c:numCache>
            </c:numRef>
          </c:yVal>
          <c:smooth val="0"/>
          <c:extLst>
            <c:ext xmlns:c16="http://schemas.microsoft.com/office/drawing/2014/chart" uri="{C3380CC4-5D6E-409C-BE32-E72D297353CC}">
              <c16:uniqueId val="{00000018-E509-4E73-8A3C-BB1B7E9373D4}"/>
            </c:ext>
          </c:extLst>
        </c:ser>
        <c:ser>
          <c:idx val="4"/>
          <c:order val="3"/>
          <c:tx>
            <c:v>Actual</c:v>
          </c:tx>
          <c:spPr>
            <a:ln w="22225">
              <a:solidFill>
                <a:srgbClr val="00B050"/>
              </a:solidFill>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9-E509-4E73-8A3C-BB1B7E9373D4}"/>
                </c:ext>
              </c:extLst>
            </c:dLbl>
            <c:dLbl>
              <c:idx val="1"/>
              <c:layout>
                <c:manualLayout>
                  <c:x val="1.1875351444031648E-2"/>
                  <c:y val="-1.3202325866668092E-2"/>
                </c:manualLayout>
              </c:layout>
              <c:spPr>
                <a:noFill/>
                <a:ln>
                  <a:solidFill>
                    <a:srgbClr val="00B050"/>
                  </a:solidFill>
                </a:ln>
                <a:effectLst/>
              </c:spPr>
              <c:txPr>
                <a:bodyPr wrap="square" lIns="38100" tIns="19050" rIns="38100" bIns="19050" anchor="ctr">
                  <a:spAutoFit/>
                </a:bodyPr>
                <a:lstStyle/>
                <a:p>
                  <a:pPr>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509-4E73-8A3C-BB1B7E9373D4}"/>
                </c:ext>
              </c:extLst>
            </c:dLbl>
            <c:dLbl>
              <c:idx val="2"/>
              <c:layout>
                <c:manualLayout>
                  <c:x val="-1.3785132880412264E-2"/>
                  <c:y val="2.64046517333361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509-4E73-8A3C-BB1B7E9373D4}"/>
                </c:ext>
              </c:extLst>
            </c:dLbl>
            <c:dLbl>
              <c:idx val="3"/>
              <c:delete val="1"/>
              <c:extLst>
                <c:ext xmlns:c15="http://schemas.microsoft.com/office/drawing/2012/chart" uri="{CE6537A1-D6FC-4f65-9D91-7224C49458BB}"/>
                <c:ext xmlns:c16="http://schemas.microsoft.com/office/drawing/2014/chart" uri="{C3380CC4-5D6E-409C-BE32-E72D297353CC}">
                  <c16:uniqueId val="{0000001C-E509-4E73-8A3C-BB1B7E9373D4}"/>
                </c:ext>
              </c:extLst>
            </c:dLbl>
            <c:dLbl>
              <c:idx val="4"/>
              <c:layout>
                <c:manualLayout>
                  <c:x val="3.7755459481383837E-3"/>
                  <c:y val="2.26325586285738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509-4E73-8A3C-BB1B7E9373D4}"/>
                </c:ext>
              </c:extLst>
            </c:dLbl>
            <c:dLbl>
              <c:idx val="5"/>
              <c:delete val="1"/>
              <c:extLst>
                <c:ext xmlns:c15="http://schemas.microsoft.com/office/drawing/2012/chart" uri="{CE6537A1-D6FC-4f65-9D91-7224C49458BB}"/>
                <c:ext xmlns:c16="http://schemas.microsoft.com/office/drawing/2014/chart" uri="{C3380CC4-5D6E-409C-BE32-E72D297353CC}">
                  <c16:uniqueId val="{0000001E-E509-4E73-8A3C-BB1B7E9373D4}"/>
                </c:ext>
              </c:extLst>
            </c:dLbl>
            <c:dLbl>
              <c:idx val="6"/>
              <c:delete val="1"/>
              <c:extLst>
                <c:ext xmlns:c15="http://schemas.microsoft.com/office/drawing/2012/chart" uri="{CE6537A1-D6FC-4f65-9D91-7224C49458BB}"/>
                <c:ext xmlns:c16="http://schemas.microsoft.com/office/drawing/2014/chart" uri="{C3380CC4-5D6E-409C-BE32-E72D297353CC}">
                  <c16:uniqueId val="{0000001F-E509-4E73-8A3C-BB1B7E9373D4}"/>
                </c:ext>
              </c:extLst>
            </c:dLbl>
            <c:dLbl>
              <c:idx val="7"/>
              <c:layout>
                <c:manualLayout>
                  <c:x val="-2.0421663701477678E-2"/>
                  <c:y val="2.829069828571734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509-4E73-8A3C-BB1B7E9373D4}"/>
                </c:ext>
              </c:extLst>
            </c:dLbl>
            <c:dLbl>
              <c:idx val="8"/>
              <c:delete val="1"/>
              <c:extLst>
                <c:ext xmlns:c15="http://schemas.microsoft.com/office/drawing/2012/chart" uri="{CE6537A1-D6FC-4f65-9D91-7224C49458BB}"/>
                <c:ext xmlns:c16="http://schemas.microsoft.com/office/drawing/2014/chart" uri="{C3380CC4-5D6E-409C-BE32-E72D297353CC}">
                  <c16:uniqueId val="{00000021-E509-4E73-8A3C-BB1B7E9373D4}"/>
                </c:ext>
              </c:extLst>
            </c:dLbl>
            <c:dLbl>
              <c:idx val="9"/>
              <c:layout>
                <c:manualLayout>
                  <c:x val="-2.9202003115753043E-2"/>
                  <c:y val="2.64046517333360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509-4E73-8A3C-BB1B7E9373D4}"/>
                </c:ext>
              </c:extLst>
            </c:dLbl>
            <c:dLbl>
              <c:idx val="10"/>
              <c:delete val="1"/>
              <c:extLst>
                <c:ext xmlns:c15="http://schemas.microsoft.com/office/drawing/2012/chart" uri="{CE6537A1-D6FC-4f65-9D91-7224C49458BB}"/>
                <c:ext xmlns:c16="http://schemas.microsoft.com/office/drawing/2014/chart" uri="{C3380CC4-5D6E-409C-BE32-E72D297353CC}">
                  <c16:uniqueId val="{00000023-E509-4E73-8A3C-BB1B7E9373D4}"/>
                </c:ext>
              </c:extLst>
            </c:dLbl>
            <c:dLbl>
              <c:idx val="11"/>
              <c:layout>
                <c:manualLayout>
                  <c:x val="-2.6275223310994605E-2"/>
                  <c:y val="2.45186051809548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509-4E73-8A3C-BB1B7E9373D4}"/>
                </c:ext>
              </c:extLst>
            </c:dLbl>
            <c:dLbl>
              <c:idx val="12"/>
              <c:delete val="1"/>
              <c:extLst>
                <c:ext xmlns:c15="http://schemas.microsoft.com/office/drawing/2012/chart" uri="{CE6537A1-D6FC-4f65-9D91-7224C49458BB}"/>
                <c:ext xmlns:c16="http://schemas.microsoft.com/office/drawing/2014/chart" uri="{C3380CC4-5D6E-409C-BE32-E72D297353CC}">
                  <c16:uniqueId val="{00000025-E509-4E73-8A3C-BB1B7E9373D4}"/>
                </c:ext>
              </c:extLst>
            </c:dLbl>
            <c:dLbl>
              <c:idx val="13"/>
              <c:layout>
                <c:manualLayout>
                  <c:x val="4.4559646389690363E-3"/>
                  <c:y val="2.26325586285737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509-4E73-8A3C-BB1B7E9373D4}"/>
                </c:ext>
              </c:extLst>
            </c:dLbl>
            <c:dLbl>
              <c:idx val="14"/>
              <c:delete val="1"/>
              <c:extLst>
                <c:ext xmlns:c15="http://schemas.microsoft.com/office/drawing/2012/chart" uri="{CE6537A1-D6FC-4f65-9D91-7224C49458BB}"/>
                <c:ext xmlns:c16="http://schemas.microsoft.com/office/drawing/2014/chart" uri="{C3380CC4-5D6E-409C-BE32-E72D297353CC}">
                  <c16:uniqueId val="{00000027-E509-4E73-8A3C-BB1B7E9373D4}"/>
                </c:ext>
              </c:extLst>
            </c:dLbl>
            <c:dLbl>
              <c:idx val="15"/>
              <c:delete val="1"/>
              <c:extLst>
                <c:ext xmlns:c15="http://schemas.microsoft.com/office/drawing/2012/chart" uri="{CE6537A1-D6FC-4f65-9D91-7224C49458BB}"/>
                <c:ext xmlns:c16="http://schemas.microsoft.com/office/drawing/2014/chart" uri="{C3380CC4-5D6E-409C-BE32-E72D297353CC}">
                  <c16:uniqueId val="{00000028-E509-4E73-8A3C-BB1B7E9373D4}"/>
                </c:ext>
              </c:extLst>
            </c:dLbl>
            <c:dLbl>
              <c:idx val="16"/>
              <c:layout>
                <c:manualLayout>
                  <c:x val="-3.5050148585411063E-2"/>
                  <c:y val="3.38510665157614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509-4E73-8A3C-BB1B7E9373D4}"/>
                </c:ext>
              </c:extLst>
            </c:dLbl>
            <c:dLbl>
              <c:idx val="17"/>
              <c:layout>
                <c:manualLayout>
                  <c:x val="1.0309524248485909E-2"/>
                  <c:y val="1.8860465523811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509-4E73-8A3C-BB1B7E9373D4}"/>
                </c:ext>
              </c:extLst>
            </c:dLbl>
            <c:dLbl>
              <c:idx val="18"/>
              <c:delete val="1"/>
              <c:extLst>
                <c:ext xmlns:c15="http://schemas.microsoft.com/office/drawing/2012/chart" uri="{CE6537A1-D6FC-4f65-9D91-7224C49458BB}"/>
                <c:ext xmlns:c16="http://schemas.microsoft.com/office/drawing/2014/chart" uri="{C3380CC4-5D6E-409C-BE32-E72D297353CC}">
                  <c16:uniqueId val="{0000002B-E509-4E73-8A3C-BB1B7E9373D4}"/>
                </c:ext>
              </c:extLst>
            </c:dLbl>
            <c:dLbl>
              <c:idx val="19"/>
              <c:delete val="1"/>
              <c:extLst>
                <c:ext xmlns:c15="http://schemas.microsoft.com/office/drawing/2012/chart" uri="{CE6537A1-D6FC-4f65-9D91-7224C49458BB}"/>
                <c:ext xmlns:c16="http://schemas.microsoft.com/office/drawing/2014/chart" uri="{C3380CC4-5D6E-409C-BE32-E72D297353CC}">
                  <c16:uniqueId val="{0000002C-E509-4E73-8A3C-BB1B7E9373D4}"/>
                </c:ext>
              </c:extLst>
            </c:dLbl>
            <c:dLbl>
              <c:idx val="20"/>
              <c:layout>
                <c:manualLayout>
                  <c:x val="-1.3104714189581586E-2"/>
                  <c:y val="2.45186051809550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E509-4E73-8A3C-BB1B7E9373D4}"/>
                </c:ext>
              </c:extLst>
            </c:dLbl>
            <c:dLbl>
              <c:idx val="21"/>
              <c:delete val="1"/>
              <c:extLst>
                <c:ext xmlns:c15="http://schemas.microsoft.com/office/drawing/2012/chart" uri="{CE6537A1-D6FC-4f65-9D91-7224C49458BB}"/>
                <c:ext xmlns:c16="http://schemas.microsoft.com/office/drawing/2014/chart" uri="{C3380CC4-5D6E-409C-BE32-E72D297353CC}">
                  <c16:uniqueId val="{0000002E-E509-4E73-8A3C-BB1B7E9373D4}"/>
                </c:ext>
              </c:extLst>
            </c:dLbl>
            <c:dLbl>
              <c:idx val="22"/>
              <c:layout>
                <c:manualLayout>
                  <c:x val="1.1772914150865021E-2"/>
                  <c:y val="3.77209310476217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509-4E73-8A3C-BB1B7E9373D4}"/>
                </c:ext>
              </c:extLst>
            </c:dLbl>
            <c:dLbl>
              <c:idx val="23"/>
              <c:delete val="1"/>
              <c:extLst>
                <c:ext xmlns:c15="http://schemas.microsoft.com/office/drawing/2012/chart" uri="{CE6537A1-D6FC-4f65-9D91-7224C49458BB}"/>
                <c:ext xmlns:c16="http://schemas.microsoft.com/office/drawing/2014/chart" uri="{C3380CC4-5D6E-409C-BE32-E72D297353CC}">
                  <c16:uniqueId val="{00000030-E509-4E73-8A3C-BB1B7E9373D4}"/>
                </c:ext>
              </c:extLst>
            </c:dLbl>
            <c:dLbl>
              <c:idx val="24"/>
              <c:layout>
                <c:manualLayout>
                  <c:x val="-4.8367830749166785E-2"/>
                  <c:y val="-2.944421507115691E-2"/>
                </c:manualLayout>
              </c:layout>
              <c:spPr>
                <a:noFill/>
                <a:ln>
                  <a:solidFill>
                    <a:srgbClr val="00B050"/>
                  </a:solidFill>
                </a:ln>
                <a:effectLst/>
              </c:spPr>
              <c:txPr>
                <a:bodyPr wrap="square" lIns="38100" tIns="19050" rIns="38100" bIns="19050" anchor="ctr">
                  <a:spAutoFit/>
                </a:bodyPr>
                <a:lstStyle/>
                <a:p>
                  <a:pPr>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509-4E73-8A3C-BB1B7E9373D4}"/>
                </c:ext>
              </c:extLst>
            </c:dLbl>
            <c:dLbl>
              <c:idx val="25"/>
              <c:layout>
                <c:manualLayout>
                  <c:x val="-5.5543021358579026E-2"/>
                  <c:y val="-3.0176744838098495E-2"/>
                </c:manualLayout>
              </c:layout>
              <c:spPr>
                <a:noFill/>
                <a:ln>
                  <a:solidFill>
                    <a:srgbClr val="00B050"/>
                  </a:solidFill>
                </a:ln>
                <a:effectLst/>
              </c:spPr>
              <c:txPr>
                <a:bodyPr wrap="square" lIns="38100" tIns="19050" rIns="38100" bIns="19050" anchor="ctr">
                  <a:spAutoFit/>
                </a:bodyPr>
                <a:lstStyle/>
                <a:p>
                  <a:pPr>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509-4E73-8A3C-BB1B7E9373D4}"/>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xVal>
            <c:numRef>
              <c:f>'BUDGET PPP)'!$C$8:$C$33</c:f>
              <c:numCache>
                <c:formatCode>0.00</c:formatCode>
                <c:ptCount val="26"/>
                <c:pt idx="0" formatCode="General">
                  <c:v>0</c:v>
                </c:pt>
                <c:pt idx="1">
                  <c:v>4.4999999999999982</c:v>
                </c:pt>
                <c:pt idx="2">
                  <c:v>5.4982638888888866</c:v>
                </c:pt>
                <c:pt idx="3">
                  <c:v>6.496527777777775</c:v>
                </c:pt>
                <c:pt idx="4">
                  <c:v>7.4947916666666643</c:v>
                </c:pt>
                <c:pt idx="5">
                  <c:v>8.4930555555555536</c:v>
                </c:pt>
                <c:pt idx="6">
                  <c:v>9.4913194444444429</c:v>
                </c:pt>
                <c:pt idx="7">
                  <c:v>10.48958333333333</c:v>
                </c:pt>
                <c:pt idx="8">
                  <c:v>11.48784722222222</c:v>
                </c:pt>
                <c:pt idx="9">
                  <c:v>12.486111111111109</c:v>
                </c:pt>
                <c:pt idx="10">
                  <c:v>13.484374999999998</c:v>
                </c:pt>
                <c:pt idx="11">
                  <c:v>14.482638888888886</c:v>
                </c:pt>
                <c:pt idx="12">
                  <c:v>15.480902777777775</c:v>
                </c:pt>
                <c:pt idx="13">
                  <c:v>16.479166666666664</c:v>
                </c:pt>
                <c:pt idx="14">
                  <c:v>17.47743055555555</c:v>
                </c:pt>
                <c:pt idx="15">
                  <c:v>18.475694444444443</c:v>
                </c:pt>
                <c:pt idx="16">
                  <c:v>19.473958333333329</c:v>
                </c:pt>
                <c:pt idx="17">
                  <c:v>20.472222222222221</c:v>
                </c:pt>
                <c:pt idx="18">
                  <c:v>21.470486111111107</c:v>
                </c:pt>
                <c:pt idx="19">
                  <c:v>22.46875</c:v>
                </c:pt>
                <c:pt idx="20">
                  <c:v>23.467013888888886</c:v>
                </c:pt>
                <c:pt idx="21">
                  <c:v>24.465277777777771</c:v>
                </c:pt>
                <c:pt idx="22">
                  <c:v>25.463541666666664</c:v>
                </c:pt>
                <c:pt idx="23">
                  <c:v>26.46180555555555</c:v>
                </c:pt>
                <c:pt idx="24">
                  <c:v>27.460069444444443</c:v>
                </c:pt>
              </c:numCache>
            </c:numRef>
          </c:xVal>
          <c:yVal>
            <c:numRef>
              <c:f>'BUDGET PPP)'!$I$8:$I$34</c:f>
              <c:numCache>
                <c:formatCode>_(\$* #,##0.00_);_(\$* \(#,##0.00\);_(\$* \-??_);_(@_)</c:formatCode>
                <c:ptCount val="27"/>
                <c:pt idx="0">
                  <c:v>0</c:v>
                </c:pt>
                <c:pt idx="1">
                  <c:v>9198.5168918918989</c:v>
                </c:pt>
                <c:pt idx="2">
                  <c:v>84202.530481895548</c:v>
                </c:pt>
                <c:pt idx="3">
                  <c:v>90670.13131844638</c:v>
                </c:pt>
                <c:pt idx="4">
                  <c:v>97137.732154997211</c:v>
                </c:pt>
                <c:pt idx="5">
                  <c:v>103605.33299154804</c:v>
                </c:pt>
                <c:pt idx="6">
                  <c:v>110072.93382809887</c:v>
                </c:pt>
                <c:pt idx="7">
                  <c:v>135092.97466464972</c:v>
                </c:pt>
                <c:pt idx="8">
                  <c:v>139946.5552309303</c:v>
                </c:pt>
                <c:pt idx="9">
                  <c:v>153214.15606748115</c:v>
                </c:pt>
                <c:pt idx="10">
                  <c:v>162688.0312283563</c:v>
                </c:pt>
                <c:pt idx="11">
                  <c:v>169421.07125409631</c:v>
                </c:pt>
                <c:pt idx="12">
                  <c:v>176154.11127983633</c:v>
                </c:pt>
                <c:pt idx="13">
                  <c:v>182887.15130557635</c:v>
                </c:pt>
                <c:pt idx="14">
                  <c:v>189620.19133131637</c:v>
                </c:pt>
                <c:pt idx="15">
                  <c:v>197343.7113570564</c:v>
                </c:pt>
                <c:pt idx="16">
                  <c:v>212236.75138279641</c:v>
                </c:pt>
                <c:pt idx="17">
                  <c:v>218969.79140853643</c:v>
                </c:pt>
                <c:pt idx="18">
                  <c:v>225812.36212925715</c:v>
                </c:pt>
                <c:pt idx="19">
                  <c:v>232545.40215499717</c:v>
                </c:pt>
                <c:pt idx="20">
                  <c:v>239381.33465177967</c:v>
                </c:pt>
                <c:pt idx="21">
                  <c:v>246479.20157584659</c:v>
                </c:pt>
                <c:pt idx="22">
                  <c:v>278528.86322320823</c:v>
                </c:pt>
                <c:pt idx="23">
                  <c:v>311496.95324894827</c:v>
                </c:pt>
                <c:pt idx="24">
                  <c:v>316740.1284098234</c:v>
                </c:pt>
              </c:numCache>
            </c:numRef>
          </c:yVal>
          <c:smooth val="0"/>
          <c:extLst>
            <c:ext xmlns:c16="http://schemas.microsoft.com/office/drawing/2014/chart" uri="{C3380CC4-5D6E-409C-BE32-E72D297353CC}">
              <c16:uniqueId val="{00000038-E509-4E73-8A3C-BB1B7E9373D4}"/>
            </c:ext>
          </c:extLst>
        </c:ser>
        <c:dLbls>
          <c:dLblPos val="ctr"/>
          <c:showLegendKey val="0"/>
          <c:showVal val="1"/>
          <c:showCatName val="0"/>
          <c:showSerName val="0"/>
          <c:showPercent val="0"/>
          <c:showBubbleSize val="0"/>
        </c:dLbls>
        <c:axId val="159188864"/>
        <c:axId val="154332544"/>
      </c:scatterChart>
      <c:valAx>
        <c:axId val="154147840"/>
        <c:scaling>
          <c:orientation val="minMax"/>
          <c:max val="30"/>
        </c:scaling>
        <c:delete val="0"/>
        <c:axPos val="b"/>
        <c:majorGridlines>
          <c:spPr>
            <a:ln w="9525">
              <a:solidFill>
                <a:schemeClr val="bg1">
                  <a:lumMod val="85000"/>
                </a:schemeClr>
              </a:solidFill>
            </a:ln>
          </c:spPr>
        </c:majorGridlines>
        <c:minorGridlines>
          <c:spPr>
            <a:ln w="0">
              <a:solidFill>
                <a:schemeClr val="tx1">
                  <a:tint val="75000"/>
                  <a:shade val="95000"/>
                  <a:satMod val="105000"/>
                  <a:alpha val="30000"/>
                </a:schemeClr>
              </a:solidFill>
            </a:ln>
          </c:spPr>
        </c:minorGridlines>
        <c:title>
          <c:tx>
            <c:rich>
              <a:bodyPr/>
              <a:lstStyle/>
              <a:p>
                <a:pPr algn="l">
                  <a:defRPr lang="en-US" sz="1050" b="1" i="1">
                    <a:solidFill>
                      <a:srgbClr val="FF0000"/>
                    </a:solidFill>
                    <a:latin typeface="Arial" panose="020B0604020202020204" pitchFamily="34" charset="0"/>
                    <a:cs typeface="Arial" panose="020B0604020202020204" pitchFamily="34" charset="0"/>
                  </a:defRPr>
                </a:pPr>
                <a:r>
                  <a:rPr lang="en-US" sz="1050" b="1" i="1">
                    <a:solidFill>
                      <a:srgbClr val="FF0000"/>
                    </a:solidFill>
                    <a:latin typeface="Arial" panose="020B0604020202020204" pitchFamily="34" charset="0"/>
                    <a:cs typeface="Arial" panose="020B0604020202020204" pitchFamily="34" charset="0"/>
                  </a:rPr>
                  <a:t>OPERATION DAYS &gt;&gt;&gt;&gt;</a:t>
                </a:r>
              </a:p>
            </c:rich>
          </c:tx>
          <c:layout>
            <c:manualLayout>
              <c:xMode val="edge"/>
              <c:yMode val="edge"/>
              <c:x val="0.42614390607626618"/>
              <c:y val="0.95861201591193257"/>
            </c:manualLayout>
          </c:layout>
          <c:overlay val="0"/>
          <c:spPr>
            <a:noFill/>
          </c:spPr>
        </c:title>
        <c:numFmt formatCode="0" sourceLinked="0"/>
        <c:majorTickMark val="out"/>
        <c:minorTickMark val="none"/>
        <c:tickLblPos val="nextTo"/>
        <c:spPr>
          <a:noFill/>
          <a:ln w="19050"/>
        </c:spPr>
        <c:txPr>
          <a:bodyPr/>
          <a:lstStyle/>
          <a:p>
            <a:pPr>
              <a:defRPr lang="en-US" sz="1000" b="0">
                <a:solidFill>
                  <a:schemeClr val="tx1">
                    <a:lumMod val="85000"/>
                    <a:lumOff val="15000"/>
                  </a:schemeClr>
                </a:solidFill>
                <a:latin typeface="Arial Narrow" panose="020B0606020202030204" pitchFamily="34" charset="0"/>
              </a:defRPr>
            </a:pPr>
            <a:endParaRPr lang="en-US"/>
          </a:p>
        </c:txPr>
        <c:crossAx val="154330624"/>
        <c:crosses val="max"/>
        <c:crossBetween val="midCat"/>
        <c:majorUnit val="1"/>
      </c:valAx>
      <c:valAx>
        <c:axId val="154330624"/>
        <c:scaling>
          <c:orientation val="maxMin"/>
          <c:max val="1200"/>
          <c:min val="0"/>
        </c:scaling>
        <c:delete val="0"/>
        <c:axPos val="l"/>
        <c:majorGridlines>
          <c:spPr>
            <a:ln w="9525">
              <a:solidFill>
                <a:schemeClr val="bg1">
                  <a:lumMod val="85000"/>
                </a:schemeClr>
              </a:solidFill>
            </a:ln>
          </c:spPr>
        </c:majorGridlines>
        <c:minorGridlines>
          <c:spPr>
            <a:ln w="0">
              <a:noFill/>
            </a:ln>
          </c:spPr>
        </c:minorGridlines>
        <c:title>
          <c:tx>
            <c:rich>
              <a:bodyPr rot="-5400000" vert="horz"/>
              <a:lstStyle/>
              <a:p>
                <a:pPr algn="l" rtl="0">
                  <a:defRPr lang="en-US" sz="1050" b="1" i="1" u="none" strike="noStrike" kern="1200" baseline="0">
                    <a:solidFill>
                      <a:srgbClr val="FF0000"/>
                    </a:solidFill>
                    <a:latin typeface="Arial" panose="020B0604020202020204" pitchFamily="34" charset="0"/>
                    <a:ea typeface="+mn-ea"/>
                    <a:cs typeface="Arial" panose="020B0604020202020204" pitchFamily="34" charset="0"/>
                  </a:defRPr>
                </a:pPr>
                <a:r>
                  <a:rPr lang="en-US" sz="1050" b="1" i="1" u="none" strike="noStrike" kern="1200" baseline="0">
                    <a:solidFill>
                      <a:srgbClr val="FF0000"/>
                    </a:solidFill>
                    <a:latin typeface="Arial" panose="020B0604020202020204" pitchFamily="34" charset="0"/>
                    <a:ea typeface="+mn-ea"/>
                    <a:cs typeface="Arial" panose="020B0604020202020204" pitchFamily="34" charset="0"/>
                  </a:rPr>
                  <a:t>DEPTH (mMD) &gt;&gt;&gt;&gt;</a:t>
                </a:r>
              </a:p>
            </c:rich>
          </c:tx>
          <c:layout>
            <c:manualLayout>
              <c:xMode val="edge"/>
              <c:yMode val="edge"/>
              <c:x val="3.9849536136896836E-3"/>
              <c:y val="0.27956618236901964"/>
            </c:manualLayout>
          </c:layout>
          <c:overlay val="0"/>
          <c:spPr>
            <a:noFill/>
          </c:spPr>
        </c:title>
        <c:numFmt formatCode="0" sourceLinked="0"/>
        <c:majorTickMark val="out"/>
        <c:minorTickMark val="none"/>
        <c:tickLblPos val="nextTo"/>
        <c:spPr>
          <a:noFill/>
          <a:ln w="19050">
            <a:prstDash val="solid"/>
          </a:ln>
        </c:spPr>
        <c:txPr>
          <a:bodyPr/>
          <a:lstStyle/>
          <a:p>
            <a:pPr>
              <a:defRPr lang="en-US" sz="1000" b="0" i="0" u="sng">
                <a:solidFill>
                  <a:schemeClr val="tx1">
                    <a:lumMod val="85000"/>
                    <a:lumOff val="15000"/>
                  </a:schemeClr>
                </a:solidFill>
                <a:latin typeface="Arial Narrow" panose="020B0606020202030204" pitchFamily="34" charset="0"/>
              </a:defRPr>
            </a:pPr>
            <a:endParaRPr lang="en-US"/>
          </a:p>
        </c:txPr>
        <c:crossAx val="154147840"/>
        <c:crosses val="autoZero"/>
        <c:crossBetween val="midCat"/>
        <c:majorUnit val="120"/>
        <c:minorUnit val="80"/>
      </c:valAx>
      <c:valAx>
        <c:axId val="154332544"/>
        <c:scaling>
          <c:orientation val="minMax"/>
          <c:max val="600000"/>
          <c:min val="0"/>
        </c:scaling>
        <c:delete val="0"/>
        <c:axPos val="r"/>
        <c:title>
          <c:tx>
            <c:rich>
              <a:bodyPr/>
              <a:lstStyle/>
              <a:p>
                <a:pPr>
                  <a:defRPr lang="en-US"/>
                </a:pPr>
                <a:r>
                  <a:rPr lang="en-US" sz="1000" b="1" i="1" baseline="0">
                    <a:solidFill>
                      <a:srgbClr val="FF0000"/>
                    </a:solidFill>
                    <a:effectLst/>
                    <a:latin typeface="Arial Narrow" panose="020B0606020202030204" pitchFamily="34" charset="0"/>
                  </a:rPr>
                  <a:t>COST (%) &gt;&gt;&gt;&gt;</a:t>
                </a:r>
                <a:endParaRPr lang="en-ID" sz="1000">
                  <a:solidFill>
                    <a:srgbClr val="FF0000"/>
                  </a:solidFill>
                  <a:effectLst/>
                  <a:latin typeface="Arial Narrow" panose="020B0606020202030204" pitchFamily="34" charset="0"/>
                </a:endParaRPr>
              </a:p>
            </c:rich>
          </c:tx>
          <c:layout>
            <c:manualLayout>
              <c:xMode val="edge"/>
              <c:yMode val="edge"/>
              <c:x val="0.97956745780043553"/>
              <c:y val="6.6955093596889698E-2"/>
            </c:manualLayout>
          </c:layout>
          <c:overlay val="0"/>
        </c:title>
        <c:numFmt formatCode="[$USD]\ #,##0" sourceLinked="0"/>
        <c:majorTickMark val="out"/>
        <c:minorTickMark val="none"/>
        <c:tickLblPos val="nextTo"/>
        <c:txPr>
          <a:bodyPr/>
          <a:lstStyle/>
          <a:p>
            <a:pPr>
              <a:defRPr lang="en-US" i="1" u="sng"/>
            </a:pPr>
            <a:endParaRPr lang="en-US"/>
          </a:p>
        </c:txPr>
        <c:crossAx val="159188864"/>
        <c:crosses val="max"/>
        <c:crossBetween val="midCat"/>
        <c:majorUnit val="100000"/>
      </c:valAx>
      <c:valAx>
        <c:axId val="159188864"/>
        <c:scaling>
          <c:orientation val="minMax"/>
        </c:scaling>
        <c:delete val="1"/>
        <c:axPos val="b"/>
        <c:numFmt formatCode="General" sourceLinked="1"/>
        <c:majorTickMark val="out"/>
        <c:minorTickMark val="none"/>
        <c:tickLblPos val="none"/>
        <c:crossAx val="154332544"/>
        <c:crosses val="autoZero"/>
        <c:crossBetween val="midCat"/>
      </c:valAx>
      <c:spPr>
        <a:solidFill>
          <a:schemeClr val="bg1"/>
        </a:solidFill>
        <a:ln w="60325" cmpd="sng"/>
        <a:effectLst/>
        <a:scene3d>
          <a:camera prst="orthographicFront"/>
          <a:lightRig rig="threePt" dir="t"/>
        </a:scene3d>
        <a:sp3d/>
      </c:spPr>
    </c:plotArea>
    <c:legend>
      <c:legendPos val="t"/>
      <c:layout>
        <c:manualLayout>
          <c:xMode val="edge"/>
          <c:yMode val="edge"/>
          <c:x val="0.37498468336960711"/>
          <c:y val="1.0803103644624803E-3"/>
          <c:w val="0.62359415692372289"/>
          <c:h val="5.2950121726132324E-2"/>
        </c:manualLayout>
      </c:layout>
      <c:overlay val="0"/>
      <c:spPr>
        <a:solidFill>
          <a:schemeClr val="bg1">
            <a:lumMod val="85000"/>
          </a:schemeClr>
        </a:solidFill>
      </c:spPr>
      <c:txPr>
        <a:bodyPr/>
        <a:lstStyle/>
        <a:p>
          <a:pPr>
            <a:defRPr lang="en-US" sz="900" b="1">
              <a:solidFill>
                <a:schemeClr val="tx1">
                  <a:lumMod val="75000"/>
                  <a:lumOff val="25000"/>
                </a:schemeClr>
              </a:solidFill>
              <a:latin typeface="Arial Narrow" panose="020B0606020202030204" pitchFamily="34" charset="0"/>
            </a:defRPr>
          </a:pPr>
          <a:endParaRPr lang="en-US"/>
        </a:p>
      </c:txPr>
    </c:legend>
    <c:plotVisOnly val="1"/>
    <c:dispBlanksAs val="gap"/>
    <c:showDLblsOverMax val="0"/>
  </c:chart>
  <c:spPr>
    <a:ln>
      <a:noFill/>
    </a:ln>
  </c:spPr>
  <c:printSettings>
    <c:headerFooter/>
    <c:pageMargins b="0.74803149606304198" l="0.70866141732287047" r="0.70866141732287047" t="0.74803149606304198" header="0.31496062992128615" footer="0.31496062992128615"/>
    <c:pageSetup orientation="landscape"/>
  </c:printSettings>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600-000000000000}">
  <sheetPr>
    <tabColor rgb="FFCCFFFF"/>
  </sheetPr>
  <sheetViews>
    <sheetView zoomScale="70" workbookViewId="0"/>
  </sheetViews>
  <pageMargins left="0.7" right="0.7" top="0.75" bottom="0.75" header="0.3" footer="0.3"/>
  <pageSetup paperSize="9" orientation="landscape" r:id="rId1"/>
  <drawing r:id="rId2"/>
</chartsheet>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jpe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6.wmf"/><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38</xdr:col>
      <xdr:colOff>119268</xdr:colOff>
      <xdr:row>4</xdr:row>
      <xdr:rowOff>113590</xdr:rowOff>
    </xdr:from>
    <xdr:to>
      <xdr:col>63</xdr:col>
      <xdr:colOff>195168</xdr:colOff>
      <xdr:row>44</xdr:row>
      <xdr:rowOff>173483</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64</xdr:col>
      <xdr:colOff>96551</xdr:colOff>
      <xdr:row>4</xdr:row>
      <xdr:rowOff>146025</xdr:rowOff>
    </xdr:from>
    <xdr:to>
      <xdr:col>71</xdr:col>
      <xdr:colOff>234974</xdr:colOff>
      <xdr:row>9</xdr:row>
      <xdr:rowOff>136306</xdr:rowOff>
    </xdr:to>
    <xdr:grpSp>
      <xdr:nvGrpSpPr>
        <xdr:cNvPr id="13" name="Group 12">
          <a:extLst>
            <a:ext uri="{FF2B5EF4-FFF2-40B4-BE49-F238E27FC236}">
              <a16:creationId xmlns:a16="http://schemas.microsoft.com/office/drawing/2014/main" id="{00000000-0008-0000-0300-00000D000000}"/>
            </a:ext>
          </a:extLst>
        </xdr:cNvPr>
        <xdr:cNvGrpSpPr/>
      </xdr:nvGrpSpPr>
      <xdr:grpSpPr>
        <a:xfrm>
          <a:off x="14139122" y="1060425"/>
          <a:ext cx="2282909" cy="686967"/>
          <a:chOff x="0" y="0"/>
          <a:chExt cx="2199735" cy="704438"/>
        </a:xfrm>
      </xdr:grpSpPr>
      <xdr:sp macro="" textlink="">
        <xdr:nvSpPr>
          <xdr:cNvPr id="14" name="Rounded Rectangle 21">
            <a:extLst>
              <a:ext uri="{FF2B5EF4-FFF2-40B4-BE49-F238E27FC236}">
                <a16:creationId xmlns:a16="http://schemas.microsoft.com/office/drawing/2014/main" id="{00000000-0008-0000-0300-00000E000000}"/>
              </a:ext>
            </a:extLst>
          </xdr:cNvPr>
          <xdr:cNvSpPr/>
        </xdr:nvSpPr>
        <xdr:spPr bwMode="auto">
          <a:xfrm>
            <a:off x="557240" y="0"/>
            <a:ext cx="1642495" cy="317548"/>
          </a:xfrm>
          <a:prstGeom prst="roundRect">
            <a:avLst/>
          </a:prstGeom>
          <a:solidFill>
            <a:schemeClr val="bg1"/>
          </a:solidFill>
          <a:ln>
            <a:solidFill>
              <a:schemeClr val="bg1">
                <a:lumMod val="50000"/>
              </a:schemeClr>
            </a:solidFill>
          </a:ln>
        </xdr:spPr>
        <xdr:txBody>
          <a:bodyPr wrap="square" lIns="18288" tIns="0" rIns="0" bIns="0" anchor="ctr" anchorCtr="1"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r>
              <a:rPr lang="en-US" sz="900" b="0" i="0" baseline="0">
                <a:solidFill>
                  <a:srgbClr val="FF0000"/>
                </a:solidFill>
                <a:effectLst/>
                <a:latin typeface="+mn-lt"/>
                <a:ea typeface="+mn-ea"/>
                <a:cs typeface="+mn-cs"/>
              </a:rPr>
              <a:t>Keterangan Marker (Call Out) dibuat secara manual, pakai contoh ini</a:t>
            </a:r>
            <a:endParaRPr lang="en-US" sz="900" b="0">
              <a:solidFill>
                <a:srgbClr val="FF0000"/>
              </a:solidFill>
              <a:effectLst/>
            </a:endParaRPr>
          </a:p>
        </xdr:txBody>
      </xdr:sp>
      <xdr:sp macro="" textlink="">
        <xdr:nvSpPr>
          <xdr:cNvPr id="15" name="Oval 14">
            <a:extLst>
              <a:ext uri="{FF2B5EF4-FFF2-40B4-BE49-F238E27FC236}">
                <a16:creationId xmlns:a16="http://schemas.microsoft.com/office/drawing/2014/main" id="{00000000-0008-0000-0300-00000F000000}"/>
              </a:ext>
            </a:extLst>
          </xdr:cNvPr>
          <xdr:cNvSpPr/>
        </xdr:nvSpPr>
        <xdr:spPr bwMode="auto">
          <a:xfrm>
            <a:off x="0" y="517832"/>
            <a:ext cx="202544" cy="186606"/>
          </a:xfrm>
          <a:prstGeom prst="ellipse">
            <a:avLst/>
          </a:prstGeom>
          <a:ln>
            <a:solidFill>
              <a:schemeClr val="bg1">
                <a:lumMod val="50000"/>
              </a:schemeClr>
            </a:solidFill>
          </a:ln>
        </xdr:spPr>
        <xdr:txBody>
          <a:bodyPr wrap="square" lIns="18288" tIns="0" rIns="0" bIns="0"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US"/>
          </a:p>
        </xdr:txBody>
      </xdr:sp>
      <xdr:cxnSp macro="">
        <xdr:nvCxnSpPr>
          <xdr:cNvPr id="16" name="Elbow Connector 23">
            <a:extLst>
              <a:ext uri="{FF2B5EF4-FFF2-40B4-BE49-F238E27FC236}">
                <a16:creationId xmlns:a16="http://schemas.microsoft.com/office/drawing/2014/main" id="{00000000-0008-0000-0300-000010000000}"/>
              </a:ext>
            </a:extLst>
          </xdr:cNvPr>
          <xdr:cNvCxnSpPr>
            <a:stCxn id="15" idx="0"/>
            <a:endCxn id="14" idx="1"/>
          </xdr:cNvCxnSpPr>
        </xdr:nvCxnSpPr>
        <xdr:spPr bwMode="auto">
          <a:xfrm rot="5400000" flipH="1" flipV="1">
            <a:off x="149727" y="110319"/>
            <a:ext cx="359058" cy="455968"/>
          </a:xfrm>
          <a:prstGeom prst="bentConnector2">
            <a:avLst/>
          </a:prstGeom>
          <a:ln>
            <a:solidFill>
              <a:schemeClr val="bg1">
                <a:lumMod val="50000"/>
              </a:schemeClr>
            </a:solidFill>
          </a:ln>
        </xdr:spPr>
      </xdr:cxnSp>
    </xdr:grpSp>
    <xdr:clientData/>
  </xdr:twoCellAnchor>
  <xdr:twoCellAnchor editAs="oneCell">
    <xdr:from>
      <xdr:col>32</xdr:col>
      <xdr:colOff>11207</xdr:colOff>
      <xdr:row>5</xdr:row>
      <xdr:rowOff>56029</xdr:rowOff>
    </xdr:from>
    <xdr:to>
      <xdr:col>35</xdr:col>
      <xdr:colOff>150603</xdr:colOff>
      <xdr:row>41</xdr:row>
      <xdr:rowOff>78440</xdr:rowOff>
    </xdr:to>
    <xdr:pic>
      <xdr:nvPicPr>
        <xdr:cNvPr id="10" name="Picture 9">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18648" y="1176617"/>
          <a:ext cx="744515" cy="55693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45</xdr:col>
      <xdr:colOff>66514</xdr:colOff>
      <xdr:row>36</xdr:row>
      <xdr:rowOff>63740</xdr:rowOff>
    </xdr:from>
    <xdr:to>
      <xdr:col>48</xdr:col>
      <xdr:colOff>170436</xdr:colOff>
      <xdr:row>38</xdr:row>
      <xdr:rowOff>37975</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bwMode="auto">
        <a:xfrm>
          <a:off x="6934039" y="5807315"/>
          <a:ext cx="1294547" cy="279035"/>
        </a:xfrm>
        <a:prstGeom prst="rect">
          <a:avLst/>
        </a:prstGeom>
        <a:noFill/>
        <a:ln w="12700">
          <a:solidFill>
            <a:srgbClr val="FF0000"/>
          </a:solidFill>
          <a:miter lim="800000"/>
          <a:headEnd/>
          <a:tailEnd/>
        </a:ln>
      </xdr:spPr>
      <xdr:txBody>
        <a:bodyPr vertOverflow="clip" horzOverflow="clip" wrap="square" lIns="27432" tIns="22860" rIns="27432" bIns="0" rtlCol="0" anchor="ctr" upright="1"/>
        <a:lstStyle/>
        <a:p>
          <a:pPr algn="ctr" rtl="1"/>
          <a:r>
            <a:rPr lang="en-US" sz="800" b="1" i="0" strike="noStrike">
              <a:solidFill>
                <a:srgbClr val="FF0000"/>
              </a:solidFill>
              <a:latin typeface="Arial"/>
              <a:cs typeface="Arial"/>
            </a:rPr>
            <a:t>NPT Rig GJE #11</a:t>
          </a:r>
        </a:p>
        <a:p>
          <a:pPr algn="ctr" rtl="1"/>
          <a:r>
            <a:rPr lang="en-US" sz="800" b="1" i="0" strike="noStrike">
              <a:solidFill>
                <a:srgbClr val="FF0000"/>
              </a:solidFill>
              <a:latin typeface="Arial"/>
              <a:cs typeface="Arial"/>
            </a:rPr>
            <a:t>(Tubular problem) : 8 jam</a:t>
          </a:r>
        </a:p>
      </xdr:txBody>
    </xdr:sp>
    <xdr:clientData/>
  </xdr:twoCellAnchor>
  <xdr:twoCellAnchor>
    <xdr:from>
      <xdr:col>46</xdr:col>
      <xdr:colOff>238763</xdr:colOff>
      <xdr:row>38</xdr:row>
      <xdr:rowOff>41062</xdr:rowOff>
    </xdr:from>
    <xdr:to>
      <xdr:col>46</xdr:col>
      <xdr:colOff>344657</xdr:colOff>
      <xdr:row>40</xdr:row>
      <xdr:rowOff>79722</xdr:rowOff>
    </xdr:to>
    <xdr:cxnSp macro="">
      <xdr:nvCxnSpPr>
        <xdr:cNvPr id="12" name="Straight Arrow Connector 11">
          <a:extLst>
            <a:ext uri="{FF2B5EF4-FFF2-40B4-BE49-F238E27FC236}">
              <a16:creationId xmlns:a16="http://schemas.microsoft.com/office/drawing/2014/main" id="{00000000-0008-0000-0300-00000C000000}"/>
            </a:ext>
          </a:extLst>
        </xdr:cNvPr>
        <xdr:cNvCxnSpPr/>
      </xdr:nvCxnSpPr>
      <xdr:spPr bwMode="auto">
        <a:xfrm flipH="1">
          <a:off x="7477763" y="6089437"/>
          <a:ext cx="105894" cy="343460"/>
        </a:xfrm>
        <a:prstGeom prst="straightConnector1">
          <a:avLst/>
        </a:prstGeom>
        <a:solidFill>
          <a:srgbClr val="FFFFFF"/>
        </a:solidFill>
        <a:ln w="12700" cap="flat" cmpd="sng" algn="ctr">
          <a:solidFill>
            <a:srgbClr val="FF0000"/>
          </a:solidFill>
          <a:prstDash val="solid"/>
          <a:round/>
          <a:headEnd type="none" w="med" len="med"/>
          <a:tailEnd type="triangle"/>
        </a:ln>
        <a:effectLst/>
      </xdr:spPr>
    </xdr:cxnSp>
    <xdr:clientData/>
  </xdr:twoCellAnchor>
  <xdr:twoCellAnchor>
    <xdr:from>
      <xdr:col>48</xdr:col>
      <xdr:colOff>195875</xdr:colOff>
      <xdr:row>36</xdr:row>
      <xdr:rowOff>63607</xdr:rowOff>
    </xdr:from>
    <xdr:to>
      <xdr:col>52</xdr:col>
      <xdr:colOff>247637</xdr:colOff>
      <xdr:row>38</xdr:row>
      <xdr:rowOff>37842</xdr:rowOff>
    </xdr:to>
    <xdr:sp macro="" textlink="">
      <xdr:nvSpPr>
        <xdr:cNvPr id="17" name="TextBox 16">
          <a:extLst>
            <a:ext uri="{FF2B5EF4-FFF2-40B4-BE49-F238E27FC236}">
              <a16:creationId xmlns:a16="http://schemas.microsoft.com/office/drawing/2014/main" id="{00000000-0008-0000-0300-000011000000}"/>
            </a:ext>
          </a:extLst>
        </xdr:cNvPr>
        <xdr:cNvSpPr txBox="1"/>
      </xdr:nvSpPr>
      <xdr:spPr bwMode="auto">
        <a:xfrm>
          <a:off x="8254025" y="5807182"/>
          <a:ext cx="1690062" cy="279035"/>
        </a:xfrm>
        <a:prstGeom prst="rect">
          <a:avLst/>
        </a:prstGeom>
        <a:noFill/>
        <a:ln w="12700">
          <a:solidFill>
            <a:srgbClr val="FF0000"/>
          </a:solidFill>
          <a:miter lim="800000"/>
          <a:headEnd/>
          <a:tailEnd/>
        </a:ln>
      </xdr:spPr>
      <xdr:txBody>
        <a:bodyPr vertOverflow="clip" horzOverflow="clip" wrap="square" lIns="27432" tIns="22860" rIns="27432" bIns="0" rtlCol="0" anchor="ctr" upright="1"/>
        <a:lstStyle/>
        <a:p>
          <a:pPr algn="ctr" rtl="1"/>
          <a:r>
            <a:rPr lang="en-US" sz="800" b="1" i="0" strike="noStrike">
              <a:solidFill>
                <a:srgbClr val="FF0000"/>
              </a:solidFill>
              <a:latin typeface="Arial"/>
              <a:cs typeface="Arial"/>
            </a:rPr>
            <a:t>NPT Rig GJE #11</a:t>
          </a:r>
        </a:p>
        <a:p>
          <a:pPr algn="ctr" rtl="1"/>
          <a:r>
            <a:rPr lang="en-US" sz="800" b="1" i="0" strike="noStrike">
              <a:solidFill>
                <a:srgbClr val="FF0000"/>
              </a:solidFill>
              <a:latin typeface="Arial"/>
              <a:cs typeface="Arial"/>
            </a:rPr>
            <a:t>(Repair rotating system) : 3,5 jam</a:t>
          </a:r>
        </a:p>
      </xdr:txBody>
    </xdr:sp>
    <xdr:clientData/>
  </xdr:twoCellAnchor>
  <xdr:twoCellAnchor>
    <xdr:from>
      <xdr:col>49</xdr:col>
      <xdr:colOff>404894</xdr:colOff>
      <xdr:row>38</xdr:row>
      <xdr:rowOff>41329</xdr:rowOff>
    </xdr:from>
    <xdr:to>
      <xdr:col>50</xdr:col>
      <xdr:colOff>100729</xdr:colOff>
      <xdr:row>40</xdr:row>
      <xdr:rowOff>79989</xdr:rowOff>
    </xdr:to>
    <xdr:cxnSp macro="">
      <xdr:nvCxnSpPr>
        <xdr:cNvPr id="19" name="Straight Arrow Connector 18">
          <a:extLst>
            <a:ext uri="{FF2B5EF4-FFF2-40B4-BE49-F238E27FC236}">
              <a16:creationId xmlns:a16="http://schemas.microsoft.com/office/drawing/2014/main" id="{00000000-0008-0000-0300-000013000000}"/>
            </a:ext>
          </a:extLst>
        </xdr:cNvPr>
        <xdr:cNvCxnSpPr/>
      </xdr:nvCxnSpPr>
      <xdr:spPr bwMode="auto">
        <a:xfrm flipH="1">
          <a:off x="8872619" y="6089704"/>
          <a:ext cx="105410" cy="343460"/>
        </a:xfrm>
        <a:prstGeom prst="straightConnector1">
          <a:avLst/>
        </a:prstGeom>
        <a:solidFill>
          <a:srgbClr val="FFFFFF"/>
        </a:solidFill>
        <a:ln w="12700" cap="flat" cmpd="sng" algn="ctr">
          <a:solidFill>
            <a:srgbClr val="FF0000"/>
          </a:solidFill>
          <a:prstDash val="solid"/>
          <a:round/>
          <a:headEnd type="none" w="med" len="med"/>
          <a:tailEnd type="triangle"/>
        </a:ln>
        <a:effectLst/>
      </xdr:spPr>
    </xdr:cxnSp>
    <xdr:clientData/>
  </xdr:twoCellAnchor>
  <xdr:twoCellAnchor>
    <xdr:from>
      <xdr:col>73</xdr:col>
      <xdr:colOff>441798</xdr:colOff>
      <xdr:row>48</xdr:row>
      <xdr:rowOff>41949</xdr:rowOff>
    </xdr:from>
    <xdr:to>
      <xdr:col>78</xdr:col>
      <xdr:colOff>46004</xdr:colOff>
      <xdr:row>48</xdr:row>
      <xdr:rowOff>41949</xdr:rowOff>
    </xdr:to>
    <xdr:cxnSp macro="">
      <xdr:nvCxnSpPr>
        <xdr:cNvPr id="3" name="Straight Connector 2">
          <a:extLst>
            <a:ext uri="{FF2B5EF4-FFF2-40B4-BE49-F238E27FC236}">
              <a16:creationId xmlns:a16="http://schemas.microsoft.com/office/drawing/2014/main" id="{F537ED72-406B-DC16-44B1-9ECE18234BD1}"/>
            </a:ext>
          </a:extLst>
        </xdr:cNvPr>
        <xdr:cNvCxnSpPr/>
      </xdr:nvCxnSpPr>
      <xdr:spPr bwMode="auto">
        <a:xfrm>
          <a:off x="17415348" y="7861974"/>
          <a:ext cx="2890331"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c:userShapes xmlns:c="http://schemas.openxmlformats.org/drawingml/2006/chart">
  <cdr:relSizeAnchor xmlns:cdr="http://schemas.openxmlformats.org/drawingml/2006/chartDrawing">
    <cdr:from>
      <cdr:x>0.02058</cdr:x>
      <cdr:y>0.03994</cdr:y>
    </cdr:from>
    <cdr:to>
      <cdr:x>0.08886</cdr:x>
      <cdr:y>0.07335</cdr:y>
    </cdr:to>
    <cdr:sp macro="" textlink="">
      <cdr:nvSpPr>
        <cdr:cNvPr id="3" name="TextBox 1">
          <a:extLst xmlns:a="http://schemas.openxmlformats.org/drawingml/2006/main">
            <a:ext uri="{FF2B5EF4-FFF2-40B4-BE49-F238E27FC236}">
              <a16:creationId xmlns:a16="http://schemas.microsoft.com/office/drawing/2014/main" id="{77869792-9598-4FA1-B2EE-A3323F678747}"/>
            </a:ext>
          </a:extLst>
        </cdr:cNvPr>
        <cdr:cNvSpPr txBox="1"/>
      </cdr:nvSpPr>
      <cdr:spPr bwMode="auto">
        <a:xfrm xmlns:a="http://schemas.openxmlformats.org/drawingml/2006/main">
          <a:off x="184397" y="254364"/>
          <a:ext cx="612000" cy="212782"/>
        </a:xfrm>
        <a:prstGeom xmlns:a="http://schemas.openxmlformats.org/drawingml/2006/main" prst="rect">
          <a:avLst/>
        </a:prstGeom>
        <a:noFill xmlns:a="http://schemas.openxmlformats.org/drawingml/2006/main"/>
        <a:ln xmlns:a="http://schemas.openxmlformats.org/drawingml/2006/main" w="9525">
          <a:noFill/>
          <a:miter lim="800000"/>
        </a:ln>
      </cdr:spPr>
      <cdr:txBody>
        <a:bodyPr xmlns:a="http://schemas.openxmlformats.org/drawingml/2006/main" wrap="square" lIns="27432" tIns="22860" rIns="27432" bIns="0" rtlCol="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1"/>
          <a:r>
            <a:rPr lang="en-ID" sz="800" b="1" i="0" strike="noStrike">
              <a:solidFill>
                <a:srgbClr val="FF0000"/>
              </a:solidFill>
              <a:latin typeface="Arial" panose="020B0604020202020204"/>
              <a:cs typeface="Arial" panose="020B0604020202020204"/>
            </a:rPr>
            <a:t>A  B</a:t>
          </a:r>
        </a:p>
      </cdr:txBody>
    </cdr:sp>
  </cdr:relSizeAnchor>
  <cdr:relSizeAnchor xmlns:cdr="http://schemas.openxmlformats.org/drawingml/2006/chartDrawing">
    <cdr:from>
      <cdr:x>0.1054</cdr:x>
      <cdr:y>0.69287</cdr:y>
    </cdr:from>
    <cdr:to>
      <cdr:x>0.12545</cdr:x>
      <cdr:y>0.72648</cdr:y>
    </cdr:to>
    <cdr:sp macro="" textlink="">
      <cdr:nvSpPr>
        <cdr:cNvPr id="4" name="TextBox 1">
          <a:extLst xmlns:a="http://schemas.openxmlformats.org/drawingml/2006/main">
            <a:ext uri="{FF2B5EF4-FFF2-40B4-BE49-F238E27FC236}">
              <a16:creationId xmlns:a16="http://schemas.microsoft.com/office/drawing/2014/main" id="{E357EB0B-00E9-A608-B104-E23B084B7299}"/>
            </a:ext>
          </a:extLst>
        </cdr:cNvPr>
        <cdr:cNvSpPr txBox="1"/>
      </cdr:nvSpPr>
      <cdr:spPr bwMode="auto">
        <a:xfrm xmlns:a="http://schemas.openxmlformats.org/drawingml/2006/main">
          <a:off x="946503" y="4304855"/>
          <a:ext cx="180000" cy="208800"/>
        </a:xfrm>
        <a:prstGeom xmlns:a="http://schemas.openxmlformats.org/drawingml/2006/main" prst="rect">
          <a:avLst/>
        </a:prstGeom>
        <a:noFill xmlns:a="http://schemas.openxmlformats.org/drawingml/2006/main"/>
        <a:ln xmlns:a="http://schemas.openxmlformats.org/drawingml/2006/main" w="9525">
          <a:noFill/>
          <a:miter lim="800000"/>
        </a:ln>
      </cdr:spPr>
      <cdr:txBody>
        <a:bodyPr xmlns:a="http://schemas.openxmlformats.org/drawingml/2006/main" wrap="square" lIns="27432" tIns="22860" rIns="27432" bIns="0" rtlCol="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1"/>
          <a:r>
            <a:rPr lang="en-ID" sz="800" b="1" i="0" strike="noStrike">
              <a:solidFill>
                <a:srgbClr val="FF0000"/>
              </a:solidFill>
              <a:latin typeface="Arial" panose="020B0604020202020204"/>
              <a:cs typeface="Arial" panose="020B0604020202020204"/>
            </a:rPr>
            <a:t>C</a:t>
          </a:r>
          <a:r>
            <a:rPr lang="en-ID" sz="800" b="1" i="0" strike="noStrike" baseline="0">
              <a:solidFill>
                <a:srgbClr val="FF0000"/>
              </a:solidFill>
              <a:latin typeface="Arial" panose="020B0604020202020204"/>
              <a:cs typeface="Arial" panose="020B0604020202020204"/>
            </a:rPr>
            <a:t> </a:t>
          </a:r>
          <a:endParaRPr lang="en-ID" sz="800" b="1" i="0" strike="noStrike">
            <a:solidFill>
              <a:srgbClr val="FF0000"/>
            </a:solidFill>
            <a:latin typeface="Arial" panose="020B0604020202020204"/>
            <a:cs typeface="Arial" panose="020B0604020202020204"/>
          </a:endParaRPr>
        </a:p>
      </cdr:txBody>
    </cdr:sp>
  </cdr:relSizeAnchor>
  <cdr:relSizeAnchor xmlns:cdr="http://schemas.openxmlformats.org/drawingml/2006/chartDrawing">
    <cdr:from>
      <cdr:x>0.1007</cdr:x>
      <cdr:y>0.45281</cdr:y>
    </cdr:from>
    <cdr:to>
      <cdr:x>0.12085</cdr:x>
      <cdr:y>0.48622</cdr:y>
    </cdr:to>
    <cdr:sp macro="" textlink="">
      <cdr:nvSpPr>
        <cdr:cNvPr id="5" name="TextBox 1">
          <a:extLst xmlns:a="http://schemas.openxmlformats.org/drawingml/2006/main">
            <a:ext uri="{FF2B5EF4-FFF2-40B4-BE49-F238E27FC236}">
              <a16:creationId xmlns:a16="http://schemas.microsoft.com/office/drawing/2014/main" id="{C683119E-4901-FE20-A22C-981332BAD5E1}"/>
            </a:ext>
          </a:extLst>
        </cdr:cNvPr>
        <cdr:cNvSpPr txBox="1"/>
      </cdr:nvSpPr>
      <cdr:spPr bwMode="auto">
        <a:xfrm xmlns:a="http://schemas.openxmlformats.org/drawingml/2006/main">
          <a:off x="903157" y="2799195"/>
          <a:ext cx="180698" cy="206536"/>
        </a:xfrm>
        <a:prstGeom xmlns:a="http://schemas.openxmlformats.org/drawingml/2006/main" prst="rect">
          <a:avLst/>
        </a:prstGeom>
        <a:noFill xmlns:a="http://schemas.openxmlformats.org/drawingml/2006/main"/>
        <a:ln xmlns:a="http://schemas.openxmlformats.org/drawingml/2006/main" w="9525">
          <a:noFill/>
          <a:miter lim="800000"/>
        </a:ln>
      </cdr:spPr>
      <cdr:txBody>
        <a:bodyPr xmlns:a="http://schemas.openxmlformats.org/drawingml/2006/main" wrap="square" lIns="27432" tIns="22860" rIns="27432" bIns="0" rtlCol="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1"/>
          <a:r>
            <a:rPr lang="en-ID" sz="800" b="1" i="0" strike="noStrike">
              <a:solidFill>
                <a:srgbClr val="006600"/>
              </a:solidFill>
              <a:latin typeface="Arial" panose="020B0604020202020204"/>
              <a:cs typeface="Arial" panose="020B0604020202020204"/>
            </a:rPr>
            <a:t>C</a:t>
          </a:r>
        </a:p>
      </cdr:txBody>
    </cdr:sp>
  </cdr:relSizeAnchor>
  <cdr:relSizeAnchor xmlns:cdr="http://schemas.openxmlformats.org/drawingml/2006/chartDrawing">
    <cdr:from>
      <cdr:x>0.01692</cdr:x>
      <cdr:y>0.01853</cdr:y>
    </cdr:from>
    <cdr:to>
      <cdr:x>0.09324</cdr:x>
      <cdr:y>0.05245</cdr:y>
    </cdr:to>
    <cdr:sp macro="" textlink="">
      <cdr:nvSpPr>
        <cdr:cNvPr id="6" name="TextBox 1">
          <a:extLst xmlns:a="http://schemas.openxmlformats.org/drawingml/2006/main">
            <a:ext uri="{FF2B5EF4-FFF2-40B4-BE49-F238E27FC236}">
              <a16:creationId xmlns:a16="http://schemas.microsoft.com/office/drawing/2014/main" id="{90382FE7-D0D5-9D30-4145-31CD38E55E18}"/>
            </a:ext>
          </a:extLst>
        </cdr:cNvPr>
        <cdr:cNvSpPr txBox="1"/>
      </cdr:nvSpPr>
      <cdr:spPr bwMode="auto">
        <a:xfrm xmlns:a="http://schemas.openxmlformats.org/drawingml/2006/main">
          <a:off x="151653" y="118036"/>
          <a:ext cx="684000" cy="216000"/>
        </a:xfrm>
        <a:prstGeom xmlns:a="http://schemas.openxmlformats.org/drawingml/2006/main" prst="rect">
          <a:avLst/>
        </a:prstGeom>
        <a:noFill xmlns:a="http://schemas.openxmlformats.org/drawingml/2006/main"/>
        <a:ln xmlns:a="http://schemas.openxmlformats.org/drawingml/2006/main" w="9525">
          <a:noFill/>
          <a:miter lim="800000"/>
        </a:ln>
      </cdr:spPr>
      <cdr:txBody>
        <a:bodyPr xmlns:a="http://schemas.openxmlformats.org/drawingml/2006/main" wrap="square" lIns="27432" tIns="22860" rIns="27432" bIns="0" rtlCol="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1"/>
          <a:r>
            <a:rPr lang="en-ID" sz="800" b="1" i="0" strike="noStrike">
              <a:solidFill>
                <a:srgbClr val="006600"/>
              </a:solidFill>
              <a:latin typeface="Arial" panose="020B0604020202020204"/>
              <a:cs typeface="Arial" panose="020B0604020202020204"/>
            </a:rPr>
            <a:t>A</a:t>
          </a:r>
          <a:r>
            <a:rPr lang="en-ID" sz="800" b="1" i="0" strike="noStrike" baseline="0">
              <a:solidFill>
                <a:srgbClr val="006600"/>
              </a:solidFill>
              <a:latin typeface="Arial" panose="020B0604020202020204"/>
              <a:cs typeface="Arial" panose="020B0604020202020204"/>
            </a:rPr>
            <a:t>  B</a:t>
          </a:r>
          <a:endParaRPr lang="en-ID" sz="800" b="1" i="0" strike="noStrike">
            <a:solidFill>
              <a:srgbClr val="006600"/>
            </a:solidFill>
            <a:latin typeface="Arial" panose="020B0604020202020204"/>
            <a:cs typeface="Arial" panose="020B0604020202020204"/>
          </a:endParaRPr>
        </a:p>
      </cdr:txBody>
    </cdr:sp>
  </cdr:relSizeAnchor>
  <cdr:relSizeAnchor xmlns:cdr="http://schemas.openxmlformats.org/drawingml/2006/chartDrawing">
    <cdr:from>
      <cdr:x>0.82643</cdr:x>
      <cdr:y>0.8862</cdr:y>
    </cdr:from>
    <cdr:to>
      <cdr:x>0.84647</cdr:x>
      <cdr:y>0.91961</cdr:y>
    </cdr:to>
    <cdr:sp macro="" textlink="">
      <cdr:nvSpPr>
        <cdr:cNvPr id="7" name="TextBox 1">
          <a:extLst xmlns:a="http://schemas.openxmlformats.org/drawingml/2006/main">
            <a:ext uri="{FF2B5EF4-FFF2-40B4-BE49-F238E27FC236}">
              <a16:creationId xmlns:a16="http://schemas.microsoft.com/office/drawing/2014/main" id="{E4C184A9-665B-C9AB-64B9-8DDD691C0FBD}"/>
            </a:ext>
          </a:extLst>
        </cdr:cNvPr>
        <cdr:cNvSpPr txBox="1"/>
      </cdr:nvSpPr>
      <cdr:spPr bwMode="auto">
        <a:xfrm xmlns:a="http://schemas.openxmlformats.org/drawingml/2006/main">
          <a:off x="7383467" y="5506019"/>
          <a:ext cx="179040" cy="207578"/>
        </a:xfrm>
        <a:prstGeom xmlns:a="http://schemas.openxmlformats.org/drawingml/2006/main" prst="rect">
          <a:avLst/>
        </a:prstGeom>
        <a:noFill xmlns:a="http://schemas.openxmlformats.org/drawingml/2006/main"/>
        <a:ln xmlns:a="http://schemas.openxmlformats.org/drawingml/2006/main" w="9525">
          <a:noFill/>
          <a:miter lim="800000"/>
        </a:ln>
      </cdr:spPr>
      <cdr:txBody>
        <a:bodyPr xmlns:a="http://schemas.openxmlformats.org/drawingml/2006/main" wrap="square" lIns="27432" tIns="22860" rIns="27432" bIns="0" rtlCol="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1"/>
          <a:r>
            <a:rPr lang="en-ID" sz="800" b="1" i="0" strike="noStrike">
              <a:solidFill>
                <a:srgbClr val="FF0000"/>
              </a:solidFill>
              <a:latin typeface="Arial" panose="020B0604020202020204"/>
              <a:cs typeface="Arial" panose="020B0604020202020204"/>
            </a:rPr>
            <a:t>D</a:t>
          </a:r>
        </a:p>
      </cdr:txBody>
    </cdr:sp>
  </cdr:relSizeAnchor>
  <cdr:relSizeAnchor xmlns:cdr="http://schemas.openxmlformats.org/drawingml/2006/chartDrawing">
    <cdr:from>
      <cdr:x>0.87352</cdr:x>
      <cdr:y>0.45176</cdr:y>
    </cdr:from>
    <cdr:to>
      <cdr:x>0.90978</cdr:x>
      <cdr:y>0.48517</cdr:y>
    </cdr:to>
    <cdr:sp macro="" textlink="">
      <cdr:nvSpPr>
        <cdr:cNvPr id="12" name="TextBox 1">
          <a:extLst xmlns:a="http://schemas.openxmlformats.org/drawingml/2006/main">
            <a:ext uri="{FF2B5EF4-FFF2-40B4-BE49-F238E27FC236}">
              <a16:creationId xmlns:a16="http://schemas.microsoft.com/office/drawing/2014/main" id="{C683119E-4901-FE20-A22C-981332BAD5E1}"/>
            </a:ext>
          </a:extLst>
        </cdr:cNvPr>
        <cdr:cNvSpPr txBox="1"/>
      </cdr:nvSpPr>
      <cdr:spPr bwMode="auto">
        <a:xfrm xmlns:a="http://schemas.openxmlformats.org/drawingml/2006/main">
          <a:off x="7780378" y="2817879"/>
          <a:ext cx="323013" cy="208396"/>
        </a:xfrm>
        <a:prstGeom xmlns:a="http://schemas.openxmlformats.org/drawingml/2006/main" prst="rect">
          <a:avLst/>
        </a:prstGeom>
        <a:noFill xmlns:a="http://schemas.openxmlformats.org/drawingml/2006/main"/>
        <a:ln xmlns:a="http://schemas.openxmlformats.org/drawingml/2006/main" w="9525">
          <a:noFill/>
          <a:miter lim="800000"/>
        </a:ln>
      </cdr:spPr>
      <cdr:txBody>
        <a:bodyPr xmlns:a="http://schemas.openxmlformats.org/drawingml/2006/main" wrap="square" lIns="27432" tIns="22860" rIns="27432" bIns="0" rtlCol="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1"/>
          <a:r>
            <a:rPr lang="en-ID" sz="800" b="1" i="0" strike="noStrike">
              <a:solidFill>
                <a:srgbClr val="006600"/>
              </a:solidFill>
              <a:latin typeface="Arial" panose="020B0604020202020204"/>
              <a:cs typeface="Arial" panose="020B0604020202020204"/>
            </a:rPr>
            <a:t>G</a:t>
          </a:r>
          <a:r>
            <a:rPr lang="en-ID" sz="800" b="1" i="0" strike="noStrike" baseline="0">
              <a:solidFill>
                <a:srgbClr val="006600"/>
              </a:solidFill>
              <a:latin typeface="Arial" panose="020B0604020202020204"/>
              <a:cs typeface="Arial" panose="020B0604020202020204"/>
            </a:rPr>
            <a:t> H</a:t>
          </a:r>
          <a:endParaRPr lang="en-ID" sz="800" b="1" i="0" strike="noStrike">
            <a:solidFill>
              <a:srgbClr val="006600"/>
            </a:solidFill>
            <a:latin typeface="Arial" panose="020B0604020202020204"/>
            <a:cs typeface="Arial" panose="020B0604020202020204"/>
          </a:endParaRPr>
        </a:p>
      </cdr:txBody>
    </cdr:sp>
  </cdr:relSizeAnchor>
  <cdr:relSizeAnchor xmlns:cdr="http://schemas.openxmlformats.org/drawingml/2006/chartDrawing">
    <cdr:from>
      <cdr:x>0.26871</cdr:x>
      <cdr:y>0.45256</cdr:y>
    </cdr:from>
    <cdr:to>
      <cdr:x>0.28886</cdr:x>
      <cdr:y>0.48597</cdr:y>
    </cdr:to>
    <cdr:sp macro="" textlink="">
      <cdr:nvSpPr>
        <cdr:cNvPr id="13" name="TextBox 1">
          <a:extLst xmlns:a="http://schemas.openxmlformats.org/drawingml/2006/main">
            <a:ext uri="{FF2B5EF4-FFF2-40B4-BE49-F238E27FC236}">
              <a16:creationId xmlns:a16="http://schemas.microsoft.com/office/drawing/2014/main" id="{C683119E-4901-FE20-A22C-981332BAD5E1}"/>
            </a:ext>
          </a:extLst>
        </cdr:cNvPr>
        <cdr:cNvSpPr txBox="1"/>
      </cdr:nvSpPr>
      <cdr:spPr bwMode="auto">
        <a:xfrm xmlns:a="http://schemas.openxmlformats.org/drawingml/2006/main">
          <a:off x="2410044" y="2797640"/>
          <a:ext cx="180697" cy="206536"/>
        </a:xfrm>
        <a:prstGeom xmlns:a="http://schemas.openxmlformats.org/drawingml/2006/main" prst="rect">
          <a:avLst/>
        </a:prstGeom>
        <a:noFill xmlns:a="http://schemas.openxmlformats.org/drawingml/2006/main"/>
        <a:ln xmlns:a="http://schemas.openxmlformats.org/drawingml/2006/main" w="9525">
          <a:noFill/>
          <a:miter lim="800000"/>
        </a:ln>
      </cdr:spPr>
      <cdr:txBody>
        <a:bodyPr xmlns:a="http://schemas.openxmlformats.org/drawingml/2006/main" wrap="square" lIns="27432" tIns="22860" rIns="27432" bIns="0" rtlCol="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1"/>
          <a:r>
            <a:rPr lang="en-ID" sz="800" b="1" i="0" strike="noStrike">
              <a:solidFill>
                <a:srgbClr val="006600"/>
              </a:solidFill>
              <a:latin typeface="Arial" panose="020B0604020202020204"/>
              <a:cs typeface="Arial" panose="020B0604020202020204"/>
            </a:rPr>
            <a:t>D</a:t>
          </a:r>
        </a:p>
      </cdr:txBody>
    </cdr:sp>
  </cdr:relSizeAnchor>
  <cdr:relSizeAnchor xmlns:cdr="http://schemas.openxmlformats.org/drawingml/2006/chartDrawing">
    <cdr:from>
      <cdr:x>0.50631</cdr:x>
      <cdr:y>0.45129</cdr:y>
    </cdr:from>
    <cdr:to>
      <cdr:x>0.52645</cdr:x>
      <cdr:y>0.4847</cdr:y>
    </cdr:to>
    <cdr:sp macro="" textlink="">
      <cdr:nvSpPr>
        <cdr:cNvPr id="14" name="TextBox 1">
          <a:extLst xmlns:a="http://schemas.openxmlformats.org/drawingml/2006/main">
            <a:ext uri="{FF2B5EF4-FFF2-40B4-BE49-F238E27FC236}">
              <a16:creationId xmlns:a16="http://schemas.microsoft.com/office/drawing/2014/main" id="{C683119E-4901-FE20-A22C-981332BAD5E1}"/>
            </a:ext>
          </a:extLst>
        </cdr:cNvPr>
        <cdr:cNvSpPr txBox="1"/>
      </cdr:nvSpPr>
      <cdr:spPr bwMode="auto">
        <a:xfrm xmlns:a="http://schemas.openxmlformats.org/drawingml/2006/main">
          <a:off x="4540959" y="2789799"/>
          <a:ext cx="180697" cy="206537"/>
        </a:xfrm>
        <a:prstGeom xmlns:a="http://schemas.openxmlformats.org/drawingml/2006/main" prst="rect">
          <a:avLst/>
        </a:prstGeom>
        <a:noFill xmlns:a="http://schemas.openxmlformats.org/drawingml/2006/main"/>
        <a:ln xmlns:a="http://schemas.openxmlformats.org/drawingml/2006/main" w="9525">
          <a:noFill/>
          <a:miter lim="800000"/>
        </a:ln>
      </cdr:spPr>
      <cdr:txBody>
        <a:bodyPr xmlns:a="http://schemas.openxmlformats.org/drawingml/2006/main" wrap="square" lIns="27432" tIns="22860" rIns="27432" bIns="0" rtlCol="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1"/>
          <a:r>
            <a:rPr lang="en-ID" sz="800" b="1" i="0" strike="noStrike">
              <a:solidFill>
                <a:srgbClr val="006600"/>
              </a:solidFill>
              <a:latin typeface="Arial" panose="020B0604020202020204"/>
              <a:cs typeface="Arial" panose="020B0604020202020204"/>
            </a:rPr>
            <a:t>E</a:t>
          </a:r>
        </a:p>
      </cdr:txBody>
    </cdr:sp>
  </cdr:relSizeAnchor>
  <cdr:relSizeAnchor xmlns:cdr="http://schemas.openxmlformats.org/drawingml/2006/chartDrawing">
    <cdr:from>
      <cdr:x>0.77641</cdr:x>
      <cdr:y>0.45329</cdr:y>
    </cdr:from>
    <cdr:to>
      <cdr:x>0.79655</cdr:x>
      <cdr:y>0.4867</cdr:y>
    </cdr:to>
    <cdr:sp macro="" textlink="">
      <cdr:nvSpPr>
        <cdr:cNvPr id="15" name="TextBox 1">
          <a:extLst xmlns:a="http://schemas.openxmlformats.org/drawingml/2006/main">
            <a:ext uri="{FF2B5EF4-FFF2-40B4-BE49-F238E27FC236}">
              <a16:creationId xmlns:a16="http://schemas.microsoft.com/office/drawing/2014/main" id="{C683119E-4901-FE20-A22C-981332BAD5E1}"/>
            </a:ext>
          </a:extLst>
        </cdr:cNvPr>
        <cdr:cNvSpPr txBox="1"/>
      </cdr:nvSpPr>
      <cdr:spPr bwMode="auto">
        <a:xfrm xmlns:a="http://schemas.openxmlformats.org/drawingml/2006/main">
          <a:off x="6963411" y="2802209"/>
          <a:ext cx="180698" cy="206536"/>
        </a:xfrm>
        <a:prstGeom xmlns:a="http://schemas.openxmlformats.org/drawingml/2006/main" prst="rect">
          <a:avLst/>
        </a:prstGeom>
        <a:noFill xmlns:a="http://schemas.openxmlformats.org/drawingml/2006/main"/>
        <a:ln xmlns:a="http://schemas.openxmlformats.org/drawingml/2006/main" w="9525">
          <a:noFill/>
          <a:miter lim="800000"/>
        </a:ln>
      </cdr:spPr>
      <cdr:txBody>
        <a:bodyPr xmlns:a="http://schemas.openxmlformats.org/drawingml/2006/main" wrap="square" lIns="27432" tIns="22860" rIns="27432" bIns="0" rtlCol="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1"/>
          <a:r>
            <a:rPr lang="en-ID" sz="800" b="1" i="0" strike="noStrike">
              <a:solidFill>
                <a:srgbClr val="006600"/>
              </a:solidFill>
              <a:latin typeface="Arial" panose="020B0604020202020204"/>
              <a:cs typeface="Arial" panose="020B0604020202020204"/>
            </a:rPr>
            <a:t>F</a:t>
          </a:r>
        </a:p>
      </cdr:txBody>
    </cdr:sp>
  </cdr:relSizeAnchor>
  <cdr:relSizeAnchor xmlns:cdr="http://schemas.openxmlformats.org/drawingml/2006/chartDrawing">
    <cdr:from>
      <cdr:x>0.83534</cdr:x>
      <cdr:y>0.8863</cdr:y>
    </cdr:from>
    <cdr:to>
      <cdr:x>0.85538</cdr:x>
      <cdr:y>0.91971</cdr:y>
    </cdr:to>
    <cdr:sp macro="" textlink="">
      <cdr:nvSpPr>
        <cdr:cNvPr id="2" name="TextBox 1">
          <a:extLst xmlns:a="http://schemas.openxmlformats.org/drawingml/2006/main">
            <a:ext uri="{FF2B5EF4-FFF2-40B4-BE49-F238E27FC236}">
              <a16:creationId xmlns:a16="http://schemas.microsoft.com/office/drawing/2014/main" id="{E2193168-6EB5-DB8A-855E-7872344ACF34}"/>
            </a:ext>
          </a:extLst>
        </cdr:cNvPr>
        <cdr:cNvSpPr txBox="1"/>
      </cdr:nvSpPr>
      <cdr:spPr bwMode="auto">
        <a:xfrm xmlns:a="http://schemas.openxmlformats.org/drawingml/2006/main">
          <a:off x="7463015" y="5506640"/>
          <a:ext cx="179040" cy="207578"/>
        </a:xfrm>
        <a:prstGeom xmlns:a="http://schemas.openxmlformats.org/drawingml/2006/main" prst="rect">
          <a:avLst/>
        </a:prstGeom>
        <a:noFill xmlns:a="http://schemas.openxmlformats.org/drawingml/2006/main"/>
        <a:ln xmlns:a="http://schemas.openxmlformats.org/drawingml/2006/main" w="9525">
          <a:noFill/>
          <a:miter lim="800000"/>
        </a:ln>
      </cdr:spPr>
      <cdr:txBody>
        <a:bodyPr xmlns:a="http://schemas.openxmlformats.org/drawingml/2006/main" wrap="square" lIns="27432" tIns="22860" rIns="27432" bIns="0" rtlCol="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1"/>
          <a:r>
            <a:rPr lang="en-ID" sz="800" b="1" i="0" strike="noStrike">
              <a:solidFill>
                <a:srgbClr val="FF0000"/>
              </a:solidFill>
              <a:latin typeface="Arial" panose="020B0604020202020204"/>
              <a:cs typeface="Arial" panose="020B0604020202020204"/>
            </a:rPr>
            <a:t>E</a:t>
          </a:r>
        </a:p>
      </cdr:txBody>
    </cdr:sp>
  </cdr:relSizeAnchor>
  <cdr:relSizeAnchor xmlns:cdr="http://schemas.openxmlformats.org/drawingml/2006/chartDrawing">
    <cdr:from>
      <cdr:x>0.89485</cdr:x>
      <cdr:y>0.88624</cdr:y>
    </cdr:from>
    <cdr:to>
      <cdr:x>0.91489</cdr:x>
      <cdr:y>0.91965</cdr:y>
    </cdr:to>
    <cdr:sp macro="" textlink="">
      <cdr:nvSpPr>
        <cdr:cNvPr id="8" name="TextBox 1">
          <a:extLst xmlns:a="http://schemas.openxmlformats.org/drawingml/2006/main">
            <a:ext uri="{FF2B5EF4-FFF2-40B4-BE49-F238E27FC236}">
              <a16:creationId xmlns:a16="http://schemas.microsoft.com/office/drawing/2014/main" id="{8F44D830-7B96-7ADD-3AC1-D9A7F70739AF}"/>
            </a:ext>
          </a:extLst>
        </cdr:cNvPr>
        <cdr:cNvSpPr txBox="1"/>
      </cdr:nvSpPr>
      <cdr:spPr bwMode="auto">
        <a:xfrm xmlns:a="http://schemas.openxmlformats.org/drawingml/2006/main">
          <a:off x="7994717" y="5506247"/>
          <a:ext cx="179041" cy="207578"/>
        </a:xfrm>
        <a:prstGeom xmlns:a="http://schemas.openxmlformats.org/drawingml/2006/main" prst="rect">
          <a:avLst/>
        </a:prstGeom>
        <a:noFill xmlns:a="http://schemas.openxmlformats.org/drawingml/2006/main"/>
        <a:ln xmlns:a="http://schemas.openxmlformats.org/drawingml/2006/main" w="9525">
          <a:noFill/>
          <a:miter lim="800000"/>
        </a:ln>
      </cdr:spPr>
      <cdr:txBody>
        <a:bodyPr xmlns:a="http://schemas.openxmlformats.org/drawingml/2006/main" wrap="square" lIns="27432" tIns="22860" rIns="27432" bIns="0" rtlCol="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1"/>
          <a:r>
            <a:rPr lang="en-ID" sz="800" b="1" i="0" strike="noStrike">
              <a:solidFill>
                <a:srgbClr val="FF0000"/>
              </a:solidFill>
              <a:latin typeface="Arial" panose="020B0604020202020204"/>
              <a:cs typeface="Arial" panose="020B0604020202020204"/>
            </a:rPr>
            <a:t>F</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171450</xdr:colOff>
      <xdr:row>1</xdr:row>
      <xdr:rowOff>142875</xdr:rowOff>
    </xdr:to>
    <xdr:pic>
      <xdr:nvPicPr>
        <xdr:cNvPr id="6159102" name="Picture 2">
          <a:extLst>
            <a:ext uri="{FF2B5EF4-FFF2-40B4-BE49-F238E27FC236}">
              <a16:creationId xmlns:a16="http://schemas.microsoft.com/office/drawing/2014/main" id="{00000000-0008-0000-0400-0000FEFA5D00}"/>
            </a:ext>
          </a:extLst>
        </xdr:cNvPr>
        <xdr:cNvPicPr>
          <a:picLocks noChangeAspect="1" noChangeArrowheads="1"/>
        </xdr:cNvPicPr>
      </xdr:nvPicPr>
      <xdr:blipFill>
        <a:blip xmlns:r="http://schemas.openxmlformats.org/officeDocument/2006/relationships" r:embed="rId1" cstate="print"/>
        <a:srcRect l="1190"/>
        <a:stretch>
          <a:fillRect/>
        </a:stretch>
      </xdr:blipFill>
      <xdr:spPr bwMode="auto">
        <a:xfrm>
          <a:off x="0" y="0"/>
          <a:ext cx="590550" cy="571500"/>
        </a:xfrm>
        <a:prstGeom prst="rect">
          <a:avLst/>
        </a:prstGeom>
        <a:noFill/>
        <a:ln w="9525">
          <a:noFill/>
          <a:round/>
          <a:headEnd/>
          <a:tailEnd/>
        </a:ln>
      </xdr:spPr>
    </xdr:pic>
    <xdr:clientData/>
  </xdr:twoCellAnchor>
  <xdr:twoCellAnchor>
    <xdr:from>
      <xdr:col>0</xdr:col>
      <xdr:colOff>0</xdr:colOff>
      <xdr:row>0</xdr:row>
      <xdr:rowOff>0</xdr:rowOff>
    </xdr:from>
    <xdr:to>
      <xdr:col>1</xdr:col>
      <xdr:colOff>476250</xdr:colOff>
      <xdr:row>1</xdr:row>
      <xdr:rowOff>180975</xdr:rowOff>
    </xdr:to>
    <xdr:pic>
      <xdr:nvPicPr>
        <xdr:cNvPr id="6159104" name="Picture 1">
          <a:extLst>
            <a:ext uri="{FF2B5EF4-FFF2-40B4-BE49-F238E27FC236}">
              <a16:creationId xmlns:a16="http://schemas.microsoft.com/office/drawing/2014/main" id="{00000000-0008-0000-0400-000000FB5D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895350" cy="609600"/>
        </a:xfrm>
        <a:prstGeom prst="rect">
          <a:avLst/>
        </a:prstGeom>
        <a:noFill/>
        <a:ln w="9525">
          <a:noFill/>
          <a:miter lim="800000"/>
          <a:headEnd/>
          <a:tailEnd/>
        </a:ln>
      </xdr:spPr>
    </xdr:pic>
    <xdr:clientData/>
  </xdr:twoCellAnchor>
  <xdr:twoCellAnchor editAs="oneCell">
    <xdr:from>
      <xdr:col>10</xdr:col>
      <xdr:colOff>53662</xdr:colOff>
      <xdr:row>0</xdr:row>
      <xdr:rowOff>187812</xdr:rowOff>
    </xdr:from>
    <xdr:to>
      <xdr:col>10</xdr:col>
      <xdr:colOff>927980</xdr:colOff>
      <xdr:row>1</xdr:row>
      <xdr:rowOff>120733</xdr:rowOff>
    </xdr:to>
    <xdr:pic>
      <xdr:nvPicPr>
        <xdr:cNvPr id="5" name="Picture 4">
          <a:extLst>
            <a:ext uri="{FF2B5EF4-FFF2-40B4-BE49-F238E27FC236}">
              <a16:creationId xmlns:a16="http://schemas.microsoft.com/office/drawing/2014/main" id="{00000000-0008-0000-0400-000005000000}"/>
            </a:ext>
          </a:extLst>
        </xdr:cNvPr>
        <xdr:cNvPicPr>
          <a:picLocks noChangeAspect="1" noChangeArrowheads="1"/>
        </xdr:cNvPicPr>
      </xdr:nvPicPr>
      <xdr:blipFill rotWithShape="1">
        <a:blip xmlns:r="http://schemas.openxmlformats.org/officeDocument/2006/relationships" r:embed="rId3"/>
        <a:srcRect l="4374" t="-4700" r="19086" b="11565"/>
        <a:stretch/>
      </xdr:blipFill>
      <xdr:spPr bwMode="auto">
        <a:xfrm>
          <a:off x="16179085" y="187812"/>
          <a:ext cx="874318" cy="362217"/>
        </a:xfrm>
        <a:prstGeom prst="rect">
          <a:avLst/>
        </a:prstGeom>
        <a:noFill/>
        <a:ln w="1">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21</xdr:col>
      <xdr:colOff>50987</xdr:colOff>
      <xdr:row>1</xdr:row>
      <xdr:rowOff>180975</xdr:rowOff>
    </xdr:from>
    <xdr:to>
      <xdr:col>21</xdr:col>
      <xdr:colOff>717737</xdr:colOff>
      <xdr:row>2</xdr:row>
      <xdr:rowOff>142875</xdr:rowOff>
    </xdr:to>
    <xdr:pic>
      <xdr:nvPicPr>
        <xdr:cNvPr id="4" name="Picture 1">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840" y="371475"/>
          <a:ext cx="666750" cy="4437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27</xdr:col>
      <xdr:colOff>38100</xdr:colOff>
      <xdr:row>1</xdr:row>
      <xdr:rowOff>171451</xdr:rowOff>
    </xdr:from>
    <xdr:to>
      <xdr:col>27</xdr:col>
      <xdr:colOff>714375</xdr:colOff>
      <xdr:row>2</xdr:row>
      <xdr:rowOff>149672</xdr:rowOff>
    </xdr:to>
    <xdr:pic>
      <xdr:nvPicPr>
        <xdr:cNvPr id="3" name="Picture 3">
          <a:extLst>
            <a:ext uri="{FF2B5EF4-FFF2-40B4-BE49-F238E27FC236}">
              <a16:creationId xmlns:a16="http://schemas.microsoft.com/office/drawing/2014/main" id="{00000000-0008-0000-0500-000003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12884"/>
        <a:stretch/>
      </xdr:blipFill>
      <xdr:spPr bwMode="auto">
        <a:xfrm>
          <a:off x="6951058" y="363218"/>
          <a:ext cx="676275" cy="4506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absoluteAnchor>
    <xdr:pos x="0" y="0"/>
    <xdr:ext cx="9285514" cy="6063343"/>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twoCellAnchor editAs="oneCell">
    <xdr:from>
      <xdr:col>12</xdr:col>
      <xdr:colOff>496785</xdr:colOff>
      <xdr:row>2</xdr:row>
      <xdr:rowOff>163286</xdr:rowOff>
    </xdr:from>
    <xdr:to>
      <xdr:col>26</xdr:col>
      <xdr:colOff>18272</xdr:colOff>
      <xdr:row>37</xdr:row>
      <xdr:rowOff>48413</xdr:rowOff>
    </xdr:to>
    <xdr:graphicFrame macro="">
      <xdr:nvGraphicFramePr>
        <xdr:cNvPr id="2" name="Chart 1">
          <a:extLst>
            <a:ext uri="{FF2B5EF4-FFF2-40B4-BE49-F238E27FC236}">
              <a16:creationId xmlns:a16="http://schemas.microsoft.com/office/drawing/2014/main" id="{C356F0F6-0DCE-4B57-8966-E623A62FB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0.0893</cdr:x>
      <cdr:y>0.70786</cdr:y>
    </cdr:from>
    <cdr:to>
      <cdr:x>0.11397</cdr:x>
      <cdr:y>0.73812</cdr:y>
    </cdr:to>
    <cdr:sp macro="" textlink="">
      <cdr:nvSpPr>
        <cdr:cNvPr id="2" name="Text Box 2">
          <a:extLst xmlns:a="http://schemas.openxmlformats.org/drawingml/2006/main">
            <a:ext uri="{FF2B5EF4-FFF2-40B4-BE49-F238E27FC236}">
              <a16:creationId xmlns:a16="http://schemas.microsoft.com/office/drawing/2014/main" id="{8449839A-1D1D-DCC9-02BC-94B487A1C35E}"/>
            </a:ext>
          </a:extLst>
        </cdr:cNvPr>
        <cdr:cNvSpPr txBox="1">
          <a:spLocks xmlns:a="http://schemas.openxmlformats.org/drawingml/2006/main" noChangeArrowheads="1"/>
        </cdr:cNvSpPr>
      </cdr:nvSpPr>
      <cdr:spPr bwMode="auto">
        <a:xfrm xmlns:a="http://schemas.openxmlformats.org/drawingml/2006/main">
          <a:off x="800334" y="4508251"/>
          <a:ext cx="221096" cy="19272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txBody>
        <a:bodyPr xmlns:a="http://schemas.openxmlformats.org/drawingml/2006/main" wrap="square" lIns="27432" tIns="22860" rIns="27432" bIns="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endParaRPr lang="id-ID" sz="800" b="1" i="0" u="none" strike="noStrike" baseline="0">
            <a:solidFill>
              <a:srgbClr val="FF0000"/>
            </a:solidFill>
            <a:latin typeface="Arial"/>
            <a:cs typeface="Arial"/>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J:\D-A-T-A\Abk-2005\BOD-25\TLJ-INF.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MB-34%20(PMB-P22)\D.%20Well%20Program\Budget\AFE%20PMB-P22_010920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ABKJKT9900\ABI%2099-00%20JKT%2018089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onton%20PPP\PPP%202023\TAP-471\FINAL%20SHOW\15.%20(EP1012-Form-DSpv-05)%20Workover%20Time_TAP-471_10-08-2023.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7"/>
      <sheetName val="Sheet6"/>
      <sheetName val="Sheet5"/>
      <sheetName val="Sheet4"/>
      <sheetName val="Sheet3"/>
      <sheetName val="Sheet2"/>
      <sheetName val="PERHITUNGAN  KEEKONOMIAN"/>
      <sheetName val="SENSITIVITAS"/>
      <sheetName val="Sheet1"/>
      <sheetName val="R-1"/>
      <sheetName val="R-14.OIL"/>
      <sheetName val="ABK.04.AWALR+CO+TAB.RUPS"/>
      <sheetName val="data"/>
      <sheetName val="AKTIVA"/>
      <sheetName val="TLJ-INF.12"/>
      <sheetName val="Chemreq"/>
      <sheetName val="BOPD"/>
      <sheetName val="WP&amp;B_Revisi"/>
      <sheetName val="cms-28"/>
      <sheetName val="BC RK 2011"/>
      <sheetName val="BC RK 2012"/>
      <sheetName val="BC RK 2013"/>
      <sheetName val="BC RK 2014 "/>
      <sheetName val="BC RK 2014  REV"/>
      <sheetName val="Estimasi Smt-II Tahun 2013"/>
      <sheetName val="REKAP"/>
      <sheetName val="Rekapitulasi"/>
      <sheetName val="Lamp-A5. Daftar Perangkat "/>
      <sheetName val="1. Moving Darat"/>
      <sheetName val="1_INPUT"/>
      <sheetName val="CONTROL (2)"/>
      <sheetName val="Well Plan 1"/>
      <sheetName val="A"/>
      <sheetName val="CF 2011 - 2016"/>
      <sheetName val="LOKASI"/>
      <sheetName val="Database"/>
      <sheetName val="Master"/>
      <sheetName val="lk"/>
      <sheetName val="B-1001_19 "/>
      <sheetName val="B-1001_20G"/>
      <sheetName val="MATFWD"/>
      <sheetName val="LIST"/>
      <sheetName val="TABULASI"/>
      <sheetName val="2004"/>
      <sheetName val="Defined Name"/>
      <sheetName val="KONS BID P&amp;N"/>
      <sheetName val="UP II DUMAI"/>
      <sheetName val="KP.DIT.HULU"/>
      <sheetName val="UP VI BALONGAN"/>
      <sheetName val="KPC"/>
      <sheetName val="PRABUMULIH"/>
      <sheetName val="UP 1 BRANDAN"/>
      <sheetName val="UP V BALIKPAPAN"/>
      <sheetName val="OPSEN"/>
      <sheetName val="SIBAYAK"/>
      <sheetName val="DIT HILIR"/>
      <sheetName val="KAMOJANG"/>
      <sheetName val="UP IV CILACAP"/>
      <sheetName val="UP III PLAJU"/>
      <sheetName val="SORONG"/>
      <sheetName val="KONS DIT HULU"/>
      <sheetName val="RANTAU"/>
      <sheetName val="JAMBI"/>
      <sheetName val="KR.AMPEL"/>
      <sheetName val="CEPU"/>
      <sheetName val="SANGATA-BUNYU"/>
      <sheetName val="UP VII KASIM"/>
      <sheetName val="KONS BID P"/>
      <sheetName val="Detail Breakdown"/>
      <sheetName val="UPAH"/>
      <sheetName val="ALAT"/>
      <sheetName val="LOCAL -  S702"/>
      <sheetName val="RINCIAN"/>
      <sheetName val="Source"/>
      <sheetName val="Sheet1 (2)"/>
      <sheetName val="SENS"/>
      <sheetName val="19. drill CD6"/>
      <sheetName val="DIV.1"/>
      <sheetName val="rms mek"/>
      <sheetName val="V-1-1002bid"/>
      <sheetName val="Well-20"/>
      <sheetName val="Well-7"/>
      <sheetName val="ChemCost-Lab"/>
      <sheetName val="Well-13"/>
      <sheetName val="Well-9"/>
      <sheetName val="Rekap per-JB"/>
      <sheetName val="Analisa"/>
      <sheetName val="Daf-Harga"/>
      <sheetName val="Vol."/>
      <sheetName val="AFE"/>
      <sheetName val="Reff Haraga"/>
      <sheetName val="Harga Pasar"/>
      <sheetName val="Rinc Sewa A2B"/>
      <sheetName val="9 58&quot;_single"/>
      <sheetName val="PT"/>
      <sheetName val="EXIST"/>
      <sheetName val="Struktur Gas"/>
      <sheetName val="Rekap Gaji"/>
      <sheetName val="Drop Down List"/>
      <sheetName val="CAP"/>
      <sheetName val="LAPORAN"/>
      <sheetName val="Std Upah"/>
      <sheetName val="Pg2"/>
      <sheetName val="TBLSKILL"/>
      <sheetName val="rekap1"/>
      <sheetName val="Peralatan"/>
      <sheetName val="MATERIAL"/>
      <sheetName val="rekap abi"/>
      <sheetName val="Database.2"/>
    </sheetNames>
    <sheetDataSet>
      <sheetData sheetId="0">
        <row r="7">
          <cell r="C7" t="str">
            <v>(MBBL)</v>
          </cell>
        </row>
      </sheetData>
      <sheetData sheetId="1">
        <row r="7">
          <cell r="C7" t="str">
            <v>(MBBL)</v>
          </cell>
        </row>
      </sheetData>
      <sheetData sheetId="2">
        <row r="7">
          <cell r="C7" t="str">
            <v>(MBBL)</v>
          </cell>
        </row>
      </sheetData>
      <sheetData sheetId="3">
        <row r="7">
          <cell r="C7" t="str">
            <v>(MBBL)</v>
          </cell>
        </row>
      </sheetData>
      <sheetData sheetId="4">
        <row r="7">
          <cell r="C7" t="str">
            <v>(MBBL)</v>
          </cell>
        </row>
      </sheetData>
      <sheetData sheetId="5">
        <row r="7">
          <cell r="C7" t="str">
            <v>(MBBL)</v>
          </cell>
        </row>
      </sheetData>
      <sheetData sheetId="6">
        <row r="7">
          <cell r="C7" t="str">
            <v>(MBBL)</v>
          </cell>
          <cell r="D7" t="str">
            <v>(MMSCF)</v>
          </cell>
          <cell r="E7" t="str">
            <v>( MUS$ )</v>
          </cell>
          <cell r="H7" t="str">
            <v>( MUS$ )</v>
          </cell>
        </row>
        <row r="8">
          <cell r="C8">
            <v>2</v>
          </cell>
          <cell r="D8" t="str">
            <v>3</v>
          </cell>
          <cell r="E8">
            <v>3</v>
          </cell>
          <cell r="H8">
            <v>6</v>
          </cell>
        </row>
        <row r="11">
          <cell r="C11">
            <v>54.75</v>
          </cell>
          <cell r="D11">
            <v>0</v>
          </cell>
          <cell r="E11">
            <v>1204.5</v>
          </cell>
          <cell r="H11">
            <v>315.36</v>
          </cell>
        </row>
        <row r="12">
          <cell r="C12">
            <v>48.326369723988435</v>
          </cell>
          <cell r="D12">
            <v>0</v>
          </cell>
          <cell r="E12">
            <v>1063.1801339277456</v>
          </cell>
          <cell r="H12">
            <v>278.35988961017335</v>
          </cell>
        </row>
        <row r="13">
          <cell r="C13">
            <v>42.656402021910978</v>
          </cell>
          <cell r="D13">
            <v>0</v>
          </cell>
          <cell r="E13">
            <v>938.44084448204148</v>
          </cell>
          <cell r="H13">
            <v>245.70087564620724</v>
          </cell>
        </row>
        <row r="14">
          <cell r="C14">
            <v>37.651672241204707</v>
          </cell>
          <cell r="D14">
            <v>0</v>
          </cell>
          <cell r="E14">
            <v>828.33678930650353</v>
          </cell>
          <cell r="H14">
            <v>216.8736321093391</v>
          </cell>
        </row>
        <row r="15">
          <cell r="C15">
            <v>33.234130291413528</v>
          </cell>
          <cell r="D15">
            <v>0</v>
          </cell>
          <cell r="E15">
            <v>731.15086641109758</v>
          </cell>
          <cell r="H15">
            <v>191.42859047854191</v>
          </cell>
        </row>
        <row r="16">
          <cell r="C16">
            <v>29.334883432293218</v>
          </cell>
          <cell r="D16">
            <v>0</v>
          </cell>
          <cell r="E16">
            <v>645.36743551045083</v>
          </cell>
          <cell r="H16">
            <v>168.96892857000893</v>
          </cell>
        </row>
      </sheetData>
      <sheetData sheetId="7" refreshError="1"/>
      <sheetData sheetId="8">
        <row r="7">
          <cell r="C7" t="str">
            <v>(MBBL)</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Harga Mat"/>
      <sheetName val="well"/>
      <sheetName val="Detail AFE"/>
      <sheetName val="Time Distribution"/>
      <sheetName val="SCHL19"/>
      <sheetName val="SCHL20"/>
      <sheetName val="SCHL23"/>
      <sheetName val="SCHL24"/>
      <sheetName val="BS19-New"/>
      <sheetName val="BS20-New"/>
      <sheetName val="input sederhana"/>
      <sheetName val="worksheet"/>
      <sheetName val="Sensitifitas"/>
      <sheetName val="Lumpur"/>
      <sheetName val="Hit.Lumpur"/>
      <sheetName val="Sheet1"/>
      <sheetName val="Cementing"/>
      <sheetName val="1.Proposal"/>
      <sheetName val="2.Well Profile (Auto)"/>
      <sheetName val="3.Drilling Time"/>
      <sheetName val="4.Chart"/>
      <sheetName val="5.Plan Cost"/>
      <sheetName val="Database"/>
      <sheetName val="the CODE "/>
      <sheetName val="Prognosis"/>
    </sheetNames>
    <sheetDataSet>
      <sheetData sheetId="0">
        <row r="5">
          <cell r="B5" t="str">
            <v>----------------------------- RIP UP/DOWN --------------------------</v>
          </cell>
        </row>
      </sheetData>
      <sheetData sheetId="1">
        <row r="5">
          <cell r="D5" t="str">
            <v>5,362.00</v>
          </cell>
        </row>
      </sheetData>
      <sheetData sheetId="2">
        <row r="279">
          <cell r="N279">
            <v>904196.22761194035</v>
          </cell>
        </row>
      </sheetData>
      <sheetData sheetId="3"/>
      <sheetData sheetId="4">
        <row r="25">
          <cell r="J25">
            <v>536.20000000000005</v>
          </cell>
        </row>
      </sheetData>
      <sheetData sheetId="5">
        <row r="25">
          <cell r="J25">
            <v>536.20000000000005</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5">
          <cell r="B5" t="str">
            <v>----------------------------- RIP UP/DOWN --------------------------</v>
          </cell>
        </row>
      </sheetData>
      <sheetData sheetId="22">
        <row r="5">
          <cell r="B5" t="str">
            <v>----------------------------- RIP UP/DOWN --------------------------</v>
          </cell>
        </row>
        <row r="6">
          <cell r="B6" t="str">
            <v>Moving, Rig Up, including Stand-up 5" DP and 8" DC.</v>
          </cell>
        </row>
        <row r="7">
          <cell r="B7" t="str">
            <v>Rig Up Top Drive  M/U BHA dan Bit 26".</v>
          </cell>
        </row>
        <row r="9">
          <cell r="B9" t="str">
            <v>--------------- DRILLING FORMATION &amp; CEMENT -------------</v>
          </cell>
        </row>
        <row r="10">
          <cell r="B10" t="str">
            <v>Drilling Formation 36" to Csg Point at 0 m, ROP 0 m/days</v>
          </cell>
        </row>
        <row r="11">
          <cell r="B11" t="str">
            <v>Drilling Formation 26" to Csg Point at 120 m, ROP 120 m/days</v>
          </cell>
        </row>
        <row r="13">
          <cell r="B13" t="str">
            <v>No KOP at 17.5"in</v>
          </cell>
        </row>
        <row r="14">
          <cell r="B14" t="str">
            <v>Drilling Formation 17 1/2" to Csg Point at 750 m, ROP 225 m/days</v>
          </cell>
        </row>
        <row r="16">
          <cell r="B16" t="str">
            <v>Drilling Formation 12.25in to KOP at 780 m, ROP 225 m/days</v>
          </cell>
        </row>
        <row r="17">
          <cell r="B17" t="str">
            <v>Drilling Formation 12.25" to Csg Point at 1800 m, ROP 225 m/days</v>
          </cell>
        </row>
        <row r="19">
          <cell r="B19" t="str">
            <v>Drilling Formation 8.5in to KOP at 780 m, ROP 150 m/days</v>
          </cell>
        </row>
        <row r="20">
          <cell r="B20" t="str">
            <v>Drilling Formation 8.5" to Csg Point at 2900 m, ROP 150 m/days</v>
          </cell>
        </row>
        <row r="21">
          <cell r="B21" t="str">
            <v>Drilling Formation 8.5" to Csg Point at 2900 m, ROP 150 m/days</v>
          </cell>
        </row>
        <row r="22">
          <cell r="B22" t="str">
            <v>Drilling Formation 8.5" to Corring Point at 1679 m, ROP 150 m/days</v>
          </cell>
        </row>
        <row r="23">
          <cell r="B23" t="str">
            <v>Drilling Formation 8.5" to Corring Point at 2265 m, ROP 150 m/days</v>
          </cell>
        </row>
        <row r="24">
          <cell r="B24" t="str">
            <v>Corring Formation 8.5" to 1679 m, ROP 75 m/days</v>
          </cell>
        </row>
        <row r="25">
          <cell r="B25" t="str">
            <v>Corring Formation 8.5" to 2265 m, ROP 75 m/days</v>
          </cell>
        </row>
        <row r="26">
          <cell r="B26" t="str">
            <v>Drilling Formation 8.5" to Csg Point after corring at 2850 m, ROP 150 m/days</v>
          </cell>
        </row>
        <row r="27">
          <cell r="B27" t="str">
            <v>Drilling Formation 8.5" to Csg Point at 2900 m, ROP 150 m/days</v>
          </cell>
        </row>
        <row r="28">
          <cell r="B28" t="str">
            <v>Drilling Formation  by GVR to Csg Point at  m, ROP  m/days</v>
          </cell>
        </row>
        <row r="30">
          <cell r="B30" t="str">
            <v>Drilling Formation 6" to Csg Point at 0 m, ROP 0 m/days</v>
          </cell>
        </row>
        <row r="31">
          <cell r="B31" t="str">
            <v xml:space="preserve">Drill Out cement to top liner 7" </v>
          </cell>
        </row>
        <row r="32">
          <cell r="B32" t="str">
            <v xml:space="preserve">Drill Out cement to top liner 6" </v>
          </cell>
        </row>
        <row r="33">
          <cell r="B33" t="str">
            <v>Drill out Closed Bomb &amp; Opened Bomb DSCC.</v>
          </cell>
        </row>
        <row r="34">
          <cell r="B34" t="str">
            <v>Drill out Plug, collar, cement, shoe and 5 mtrs of new formation.</v>
          </cell>
        </row>
        <row r="35">
          <cell r="B35" t="str">
            <v>---------------------------- CIRCULATING -----------------------------</v>
          </cell>
        </row>
        <row r="36">
          <cell r="B36" t="str">
            <v>Circulate conditioning mud</v>
          </cell>
        </row>
        <row r="37">
          <cell r="B37" t="str">
            <v>Circulate conditioning mud Sg in=out</v>
          </cell>
        </row>
        <row r="38">
          <cell r="B38" t="str">
            <v>Circulate hole clean</v>
          </cell>
        </row>
        <row r="39">
          <cell r="B39" t="str">
            <v>Circulate hole clean at bottom</v>
          </cell>
        </row>
        <row r="40">
          <cell r="B40" t="str">
            <v>Circulate hole clean and drop Survey.</v>
          </cell>
        </row>
        <row r="41">
          <cell r="B41" t="str">
            <v>Circulate and change over to Completion Fluid</v>
          </cell>
        </row>
        <row r="42">
          <cell r="B42" t="str">
            <v>------------------------ BOP EQUIPMENT ---------------------------</v>
          </cell>
        </row>
        <row r="43">
          <cell r="B43" t="str">
            <v>Cut 30" casing and N/D Diverter 30"</v>
          </cell>
        </row>
        <row r="44">
          <cell r="B44" t="str">
            <v>Cut 20" casing and N/D Diverter 20"</v>
          </cell>
        </row>
        <row r="45">
          <cell r="B45" t="str">
            <v>Cut 20" casing.</v>
          </cell>
        </row>
        <row r="46">
          <cell r="B46" t="str">
            <v>Nipple Down BOP 13 5/8" x 5.000 psi</v>
          </cell>
        </row>
        <row r="47">
          <cell r="B47" t="str">
            <v>Nipple Down BOP 7-1/16" x 5.000 psi</v>
          </cell>
        </row>
        <row r="48">
          <cell r="B48" t="str">
            <v>Nipple Up Diverter 30"</v>
          </cell>
        </row>
        <row r="49">
          <cell r="B49" t="str">
            <v xml:space="preserve">Nipple Up Diverter 20". </v>
          </cell>
        </row>
        <row r="50">
          <cell r="B50" t="str">
            <v>Nipple Up BOP 13.5/8" x 5.000 psi</v>
          </cell>
        </row>
        <row r="51">
          <cell r="B51" t="str">
            <v>Nipple Up BOP 7-1/16" x 5.000 psi</v>
          </cell>
        </row>
        <row r="52">
          <cell r="B52" t="str">
            <v>Pressure Test Diverter 30"</v>
          </cell>
        </row>
        <row r="53">
          <cell r="B53" t="str">
            <v xml:space="preserve">Pressure Test Diverter 20" (INC : </v>
          </cell>
        </row>
        <row r="54">
          <cell r="B54" t="str">
            <v>Pressure Test BOP 13.5/8" x 5.000 psi</v>
          </cell>
        </row>
        <row r="55">
          <cell r="B55" t="str">
            <v>Pressure Test BOP 7-1/16" x 5.000 psi</v>
          </cell>
        </row>
        <row r="56">
          <cell r="B56" t="str">
            <v>Pressure Test X-mast tree</v>
          </cell>
        </row>
        <row r="57">
          <cell r="B57" t="str">
            <v xml:space="preserve">Function Test Diverter 20" </v>
          </cell>
        </row>
        <row r="58">
          <cell r="B58" t="str">
            <v>------------------ WELLHEAD &amp; X-MASSTREE-------------------</v>
          </cell>
        </row>
        <row r="59">
          <cell r="B59" t="str">
            <v>Nipple Up Bottom Flange 20", (incl welded &amp; inspection)</v>
          </cell>
        </row>
        <row r="60">
          <cell r="B60" t="str">
            <v>Nipple Up Bottom Flange 13-5/8" (incl : Welded &amp; inspection, pendinginan)</v>
          </cell>
        </row>
        <row r="61">
          <cell r="B61" t="str">
            <v>Nipple Up Casing Head Spool 11"</v>
          </cell>
        </row>
        <row r="62">
          <cell r="B62" t="str">
            <v>Nipple Up Tubing Head Spool 11" x 7-1/16"</v>
          </cell>
        </row>
        <row r="63">
          <cell r="B63" t="str">
            <v xml:space="preserve">Nipple Up X-masstree </v>
          </cell>
        </row>
        <row r="64">
          <cell r="B64" t="str">
            <v>---------------------------PULL OUT of HOLE  -------------------------</v>
          </cell>
        </row>
        <row r="65">
          <cell r="B65" t="str">
            <v>POOH 36" Bit from Csg Point &amp; L/D BHA</v>
          </cell>
        </row>
        <row r="66">
          <cell r="B66" t="str">
            <v>POOH 26" Bit from Csg Point &amp; L/D BHA</v>
          </cell>
        </row>
        <row r="67">
          <cell r="B67" t="str">
            <v>POOH 17 1/2" Bit from Csg Point &amp; L/D BHA</v>
          </cell>
        </row>
        <row r="68">
          <cell r="B68" t="str">
            <v>POOH 12 1/4" Bit from Csg Point &amp; L/D BHA</v>
          </cell>
        </row>
        <row r="69">
          <cell r="B69" t="str">
            <v>POOH 12 1/4" Bit from Csg Point &amp; L/D BHA</v>
          </cell>
        </row>
        <row r="70">
          <cell r="B70" t="str">
            <v>POOH 12 1/4" Bit to change BHA</v>
          </cell>
        </row>
        <row r="71">
          <cell r="B71" t="str">
            <v>POOH 8 1/2" Bit from Csg Point &amp; L/D BHA</v>
          </cell>
        </row>
        <row r="72">
          <cell r="B72" t="str">
            <v>POOH 8 1/2" Bit from Corring Point &amp; L/D BHA</v>
          </cell>
        </row>
        <row r="73">
          <cell r="B73" t="str">
            <v>POOH 8 1/2" Core Bit &amp; L/D BHA</v>
          </cell>
        </row>
        <row r="74">
          <cell r="B74" t="str">
            <v>POOH 8 1/2" after mud of test</v>
          </cell>
        </row>
        <row r="75">
          <cell r="B75" t="str">
            <v>POOH 8.5" Bit from TD &amp; L/D BHA</v>
          </cell>
        </row>
        <row r="76">
          <cell r="B76" t="str">
            <v>POOH 9 5/8" Scrapper from TOL 7"  &amp; L/D BHA</v>
          </cell>
        </row>
        <row r="77">
          <cell r="B77" t="str">
            <v>POOH Prod String 2.7/8 Tubing to 7 Prod Csg, not joint/joint, incl. unset packer</v>
          </cell>
        </row>
        <row r="78">
          <cell r="B78" t="str">
            <v>POOH 7" Scrapper from Landing Collar 7" &amp; L/D BHA</v>
          </cell>
        </row>
        <row r="79">
          <cell r="B79" t="str">
            <v>POOH 4 1/2" Scrapper from Landing Collar 4.5" &amp; L/D BHA</v>
          </cell>
        </row>
        <row r="80">
          <cell r="B80" t="str">
            <v>POOH 8 1/2" Bit from TOL 7" &amp; L/D BHA</v>
          </cell>
        </row>
        <row r="81">
          <cell r="B81" t="str">
            <v>POOH 6" Bit from TOL 4.5" &amp; L/D BHA</v>
          </cell>
        </row>
        <row r="82">
          <cell r="B82" t="str">
            <v>POOH 6" Bit from Landing Collar 7" &amp; L/D BHA</v>
          </cell>
        </row>
        <row r="83">
          <cell r="B83" t="str">
            <v>POOH 3.3/4" Bit from Landing Collar 4.5" &amp; L/D BHA</v>
          </cell>
        </row>
        <row r="84">
          <cell r="B84" t="str">
            <v>POOH and L/D 7" Liner setting tool</v>
          </cell>
        </row>
        <row r="85">
          <cell r="B85" t="str">
            <v>POOH and L/D 4.1/2" Liner setting tool</v>
          </cell>
        </row>
        <row r="86">
          <cell r="B86" t="str">
            <v>-------------------------------- PREPARE  -----------------------------</v>
          </cell>
        </row>
        <row r="87">
          <cell r="B87" t="str">
            <v>Prepare casing handling tools to run 30" Stove Pipe</v>
          </cell>
        </row>
        <row r="88">
          <cell r="B88" t="str">
            <v xml:space="preserve">Prepare casing handling tools to run 20" Conductor Casing </v>
          </cell>
        </row>
        <row r="89">
          <cell r="B89" t="str">
            <v xml:space="preserve">Prepare casing handling tools to run 13 3/8" Casing  </v>
          </cell>
        </row>
        <row r="90">
          <cell r="B90" t="str">
            <v xml:space="preserve">Prepare casing handling tools to run 9 5/8" Casing  </v>
          </cell>
        </row>
        <row r="91">
          <cell r="B91" t="str">
            <v>Prepare casing handling tools to run 7" Casing/Liner</v>
          </cell>
        </row>
        <row r="92">
          <cell r="B92" t="str">
            <v>Prepare Non Directional BHA + 26" Bit</v>
          </cell>
        </row>
        <row r="93">
          <cell r="B93" t="str">
            <v>Prepare Non Directional BHA + 17 1/2" Bit</v>
          </cell>
        </row>
        <row r="94">
          <cell r="B94" t="str">
            <v>Prepare Non Directional BHA + 12 1/4" Bit</v>
          </cell>
        </row>
        <row r="95">
          <cell r="B95" t="str">
            <v>Prepare Non Directional BHA + 8 1/2" Bit</v>
          </cell>
        </row>
        <row r="96">
          <cell r="B96" t="str">
            <v>Prepare Non Directional BHA + 6" Bit</v>
          </cell>
        </row>
        <row r="97">
          <cell r="B97" t="str">
            <v>Prepare Directional BHA + 17 1/2" Bit</v>
          </cell>
        </row>
        <row r="98">
          <cell r="B98" t="str">
            <v>Prepare Directional BHA + 12 1/4" Bit</v>
          </cell>
        </row>
        <row r="99">
          <cell r="B99" t="str">
            <v>Prepare Directional BHA + 8 1/2" Bit</v>
          </cell>
        </row>
        <row r="100">
          <cell r="B100" t="str">
            <v>Prepare Corring BHA + 8 1/2" Core Bit</v>
          </cell>
        </row>
        <row r="101">
          <cell r="B101" t="str">
            <v xml:space="preserve">Prepare Directional BHA + 6" Bit </v>
          </cell>
        </row>
        <row r="102">
          <cell r="B102" t="str">
            <v>Prepare logging tools</v>
          </cell>
        </row>
        <row r="103">
          <cell r="B103" t="str">
            <v>Prepare Perforation Tools</v>
          </cell>
        </row>
        <row r="104">
          <cell r="B104" t="str">
            <v>------------------------- RIH BIT &amp; SCRAPPER  --------------------</v>
          </cell>
        </row>
        <row r="105">
          <cell r="B105" t="str">
            <v>RIH Bit 36" to tag TOC at ± 0 m, rate 7 mnt/std</v>
          </cell>
        </row>
        <row r="106">
          <cell r="B106" t="str">
            <v>RIH Bit 26" to tag TOC, rate 7 mnt/std</v>
          </cell>
        </row>
        <row r="107">
          <cell r="B107" t="str">
            <v>RIH Bit 17 1/2" to tag TOC, rate 7 mnt/std</v>
          </cell>
        </row>
        <row r="108">
          <cell r="B108" t="str">
            <v>RIH Bit 17 1/2" to cont'd drill formation, rate 7 mnt/std</v>
          </cell>
        </row>
        <row r="109">
          <cell r="B109" t="str">
            <v>RIH Bit 17 1/2" to bottom, rate 7 mnt/std</v>
          </cell>
        </row>
        <row r="110">
          <cell r="B110" t="str">
            <v>RIH Bit 12 1/4" to tag TOC, rate 7 mnt/std</v>
          </cell>
        </row>
        <row r="111">
          <cell r="B111" t="str">
            <v>RIH Bit 12 1/4" to continue drilling, rate 7 mnt/std</v>
          </cell>
        </row>
        <row r="112">
          <cell r="B112" t="str">
            <v>RIH Bit 12 1/4" to trip, rate 7 mnt/std</v>
          </cell>
        </row>
        <row r="113">
          <cell r="B113" t="str">
            <v>RIH Bit 8 1/2" to tag TOC @ 60m, rate 7 mnt/std</v>
          </cell>
        </row>
        <row r="114">
          <cell r="B114" t="str">
            <v>RIH Bit 8 1/2" to continue drilling, rate 7 mnt/std</v>
          </cell>
        </row>
        <row r="115">
          <cell r="B115" t="str">
            <v>RIH Bit 8 1/2" to tag TOC @1500 m, rate 7 mnt/std</v>
          </cell>
        </row>
        <row r="116">
          <cell r="B116" t="str">
            <v>RIH Bit 8 1/2" to continue drilling, rate 7 mnt/std</v>
          </cell>
        </row>
        <row r="117">
          <cell r="B117" t="str">
            <v>RIH Bit 6" to tag TOC, rate 7 mnt/std</v>
          </cell>
        </row>
        <row r="118">
          <cell r="B118" t="str">
            <v>RIH Bit 8 1/2" to tag Top Liner 7", rate 7 mnt/std</v>
          </cell>
        </row>
        <row r="119">
          <cell r="B119" t="str">
            <v>RIH Bit 6" to tag Top Liner 4.1/2", rate 7 mnt/std</v>
          </cell>
        </row>
        <row r="120">
          <cell r="B120" t="str">
            <v>RIH Bit 6" + DP 3.1/2" to tag Landing Collar 7", rate 7 mnt/jts</v>
          </cell>
        </row>
        <row r="121">
          <cell r="B121" t="str">
            <v>RIH Core Bit 8 1/2" to coring point 1679", rate 7 mnt/joint</v>
          </cell>
        </row>
        <row r="122">
          <cell r="B122" t="str">
            <v>RIH Core Bit 8 1/2" to coring point 2265", rate 7 mnt/joint</v>
          </cell>
        </row>
        <row r="123">
          <cell r="B123" t="str">
            <v>RIH Bit 8 1/2" to condition hole to Bottom, rate 7 mnt/std</v>
          </cell>
        </row>
        <row r="124">
          <cell r="B124" t="str">
            <v>RIH Bit 6" to condition hole to Bottom, rate 7 mnt/std</v>
          </cell>
        </row>
        <row r="126">
          <cell r="B126" t="str">
            <v>RIH 9-5/8" Scrapper"</v>
          </cell>
        </row>
        <row r="127">
          <cell r="B127" t="str">
            <v>RIH 7" Scrapper to tag TOL 4.1/2"</v>
          </cell>
        </row>
        <row r="128">
          <cell r="B128" t="str">
            <v>RIH 7" Scrapper to tag Landing Collar</v>
          </cell>
        </row>
        <row r="129">
          <cell r="B129" t="str">
            <v>RIH 4-1/2" Scrapper to tag Landing Collar</v>
          </cell>
        </row>
        <row r="130">
          <cell r="B130" t="str">
            <v>RIH 9-5/8" Scrapper w/ Tubing jts/jts to tag TOL 7", Rate 10 min/jt</v>
          </cell>
        </row>
        <row r="131">
          <cell r="B131" t="str">
            <v>RIH 7" Scrapper w/ Tubing jts/jts to tag TOL 4.1/2", Rate 10 min/jt</v>
          </cell>
        </row>
        <row r="132">
          <cell r="B132" t="str">
            <v>RIH 7" Scrapper w/ Tubing jts/jts to tag Landing Collar, Rate 10 min/jt</v>
          </cell>
        </row>
        <row r="133">
          <cell r="B133" t="str">
            <v>RIH 4.1/2" Scrapper w/ Tubing jts/jts to tag Landing Collar, Rate 10 min/jt</v>
          </cell>
        </row>
        <row r="134">
          <cell r="B134" t="str">
            <v>RIH 7" &amp; 4.1/2" Scrapper Tandem w/ Tubing jts/jts</v>
          </cell>
        </row>
        <row r="135">
          <cell r="B135" t="str">
            <v>RIH Prod String 2.7/8" Tubing to 7" Prod Csg, not joint/joint, incl. set packer</v>
          </cell>
        </row>
        <row r="136">
          <cell r="B136" t="str">
            <v>RIH Production String Tubing 2.7/8" joint/joint, incl. set packer, rate 10 min/std</v>
          </cell>
        </row>
        <row r="137">
          <cell r="B137" t="str">
            <v>RIH Prod String 2.7/8" &amp; 2.3/8" Tubing to 4.1/2" Prod Csg, not joint/joint, incl. set packer</v>
          </cell>
        </row>
        <row r="138">
          <cell r="B138" t="str">
            <v>RIH Production String Tubing 2.7/8" &amp; 2.3/8" joint/joint, incl. set packer, rate 10 min/std</v>
          </cell>
        </row>
        <row r="139">
          <cell r="B139" t="str">
            <v>-------------------------------- RIH CASING  ---------------------------</v>
          </cell>
        </row>
        <row r="140">
          <cell r="B140" t="str">
            <v>RIH Casing 30", rate 12 mnt/std</v>
          </cell>
        </row>
        <row r="141">
          <cell r="B141" t="str">
            <v>RIH Casing 20", rate 12 mnt/std</v>
          </cell>
        </row>
        <row r="142">
          <cell r="B142" t="str">
            <v>RIH Casing 20", incl. RIH Tubing, rate 12 mnt/std</v>
          </cell>
        </row>
        <row r="143">
          <cell r="B143" t="str">
            <v>RIH Casing 13 3/8", rate 12 mnt/std</v>
          </cell>
        </row>
        <row r="144">
          <cell r="B144" t="str">
            <v>RIH Casing 9 5/8", rate 12 mnt/std</v>
          </cell>
        </row>
        <row r="145">
          <cell r="B145" t="str">
            <v>RIH Casing 7", rate 12 mnt/std</v>
          </cell>
        </row>
        <row r="146">
          <cell r="B146" t="str">
            <v>RIH Liner 7" with DP, rate 12 mnt/std</v>
          </cell>
        </row>
        <row r="147">
          <cell r="B147" t="str">
            <v>RIH Liner 4 1/2 with DP, rate 12 mnt/std</v>
          </cell>
        </row>
        <row r="148">
          <cell r="B148" t="str">
            <v>-------------------------- CEMENTING JOB --------------------------</v>
          </cell>
        </row>
        <row r="149">
          <cell r="B149" t="str">
            <v>Cement 30" casing / Stove Pipe</v>
          </cell>
        </row>
        <row r="150">
          <cell r="B150" t="str">
            <v>Cement 20" casing</v>
          </cell>
        </row>
        <row r="151">
          <cell r="B151" t="str">
            <v>Cement 20" casing (include POOH Tubing 2 7/8")</v>
          </cell>
        </row>
        <row r="152">
          <cell r="B152" t="str">
            <v>Cement 13.3/8" Casing</v>
          </cell>
        </row>
        <row r="153">
          <cell r="B153" t="str">
            <v xml:space="preserve">Cement 9.5/8" Casing </v>
          </cell>
        </row>
        <row r="154">
          <cell r="B154" t="str">
            <v xml:space="preserve">Cement 7" Casing. </v>
          </cell>
        </row>
        <row r="155">
          <cell r="B155" t="str">
            <v xml:space="preserve">Cement 7" Liner &amp; Set Liner. </v>
          </cell>
        </row>
        <row r="156">
          <cell r="B156" t="str">
            <v>--------------------- RUN LOGGING &amp; SURVEY -------------------</v>
          </cell>
        </row>
        <row r="157">
          <cell r="B157" t="str">
            <v>Run Logs : PEX-HALS-BHC-GR-SP</v>
          </cell>
        </row>
        <row r="158">
          <cell r="B158" t="str">
            <v>Run Logs : LFA 3 TITIK</v>
          </cell>
        </row>
        <row r="159">
          <cell r="B159" t="str">
            <v xml:space="preserve">Run Logs : GR-FMI </v>
          </cell>
        </row>
        <row r="160">
          <cell r="B160" t="str">
            <v>Run Logs : BP TOOLS</v>
          </cell>
        </row>
        <row r="161">
          <cell r="B161" t="str">
            <v>Run Logs : CBL-VDL-CCL-GR-USIT</v>
          </cell>
        </row>
        <row r="162">
          <cell r="B162" t="str">
            <v>Run Logs : VSP</v>
          </cell>
        </row>
        <row r="163">
          <cell r="B163" t="str">
            <v>Run Logs : XPT</v>
          </cell>
        </row>
        <row r="164">
          <cell r="B164" t="str">
            <v>Run GYRO Survey</v>
          </cell>
        </row>
        <row r="165">
          <cell r="B165" t="str">
            <v>----------------------------------- TRIP ------------------------------------</v>
          </cell>
        </row>
        <row r="166">
          <cell r="B166" t="str">
            <v xml:space="preserve">Round Trip and clean the bit </v>
          </cell>
        </row>
        <row r="167">
          <cell r="B167" t="str">
            <v>Short Trip condition hole for 26" Drilling</v>
          </cell>
        </row>
        <row r="168">
          <cell r="B168" t="str">
            <v>Short Trip condition hole for 17.5" Drilling</v>
          </cell>
        </row>
        <row r="169">
          <cell r="B169" t="str">
            <v>Short Trip condition hole for 12.25" Drilling</v>
          </cell>
        </row>
        <row r="170">
          <cell r="B170" t="str">
            <v>Short Trip condition hole for 8.5" Drilling</v>
          </cell>
        </row>
        <row r="171">
          <cell r="B171" t="str">
            <v>Short Trip condition hole for 8.5" Drilling after logging</v>
          </cell>
        </row>
        <row r="172">
          <cell r="B172" t="str">
            <v>Short Trip condition hole</v>
          </cell>
        </row>
        <row r="173">
          <cell r="B173" t="str">
            <v>Wiper Trip condition hole</v>
          </cell>
        </row>
        <row r="174">
          <cell r="B174" t="str">
            <v>------------------------------- STAND UP -------------------------------</v>
          </cell>
        </row>
        <row r="175">
          <cell r="B175" t="str">
            <v>Stand up 23 stands DP ( ± 630 m), Prepare for RIH 17.1/2", Rate 10 mnt/std</v>
          </cell>
        </row>
        <row r="176">
          <cell r="B176" t="str">
            <v>Stand up 38 stands DP ( ± 1050 m), Prepare for RIH 12.1/4", Rate 10 mnt/std</v>
          </cell>
        </row>
        <row r="177">
          <cell r="B177" t="str">
            <v>Stand up 40 stands DP ( ± 1100 m), Prepare for RIH 8.1/2", Rate 10 mnt/std</v>
          </cell>
        </row>
        <row r="178">
          <cell r="B178" t="str">
            <v>Stand up 104 stands DP 3.1/2 ( ± 2900 m), Prepare for RIH 6", Rate 10 mnt/std</v>
          </cell>
        </row>
        <row r="179">
          <cell r="B179" t="str">
            <v>--------------------------- DAN LAIN-LAIN ----------------------------</v>
          </cell>
        </row>
        <row r="180">
          <cell r="B180" t="str">
            <v>Wait On Cement</v>
          </cell>
        </row>
        <row r="181">
          <cell r="B181" t="str">
            <v>Wait On Cement (incl : L/D over flow dan flow line)</v>
          </cell>
        </row>
        <row r="182">
          <cell r="B182" t="str">
            <v>M/U Cementing Head. Circulate Condition Mud using Rig Pump</v>
          </cell>
        </row>
        <row r="183">
          <cell r="B183" t="str">
            <v>M/U Cementing Line. Continue mixing cement additives</v>
          </cell>
        </row>
        <row r="184">
          <cell r="B184" t="str">
            <v xml:space="preserve">Mud Off Test </v>
          </cell>
        </row>
        <row r="185">
          <cell r="B185" t="str">
            <v>Production Test</v>
          </cell>
        </row>
        <row r="186">
          <cell r="B186" t="str">
            <v>Perforation</v>
          </cell>
        </row>
        <row r="187">
          <cell r="B187" t="str">
            <v>Rig Down Top Drive</v>
          </cell>
        </row>
        <row r="188">
          <cell r="B188" t="str">
            <v>Rig Release &amp; R/D Rig</v>
          </cell>
        </row>
        <row r="190">
          <cell r="B190" t="str">
            <v>Coring Job</v>
          </cell>
        </row>
        <row r="191">
          <cell r="B191" t="str">
            <v>Fishing Job</v>
          </cell>
        </row>
        <row r="192">
          <cell r="B192" t="str">
            <v>Prepared &amp; Gyro Survey Job</v>
          </cell>
        </row>
        <row r="193">
          <cell r="B193" t="str">
            <v>Killing well</v>
          </cell>
        </row>
        <row r="194">
          <cell r="B194" t="str">
            <v>Observasi Well</v>
          </cell>
        </row>
        <row r="195">
          <cell r="B195" t="str">
            <v xml:space="preserve">Nipple Down X-masstree </v>
          </cell>
        </row>
      </sheetData>
      <sheetData sheetId="23"/>
      <sheetData sheetId="2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I '98-'00"/>
      <sheetName val="ABK PER MA"/>
      <sheetName val="REKAP DIPP"/>
      <sheetName val="RAB MA-0"/>
      <sheetName val="REKAP"/>
      <sheetName val="RKAP-11A"/>
      <sheetName val="RKAP-11B"/>
      <sheetName val="CASHFLOW"/>
      <sheetName val="FAI-5"/>
      <sheetName val="STRUKTUR"/>
      <sheetName val="Input"/>
      <sheetName val="DOH"/>
      <sheetName val="Prod"/>
      <sheetName val="BRF OIL"/>
      <sheetName val="Z-16"/>
      <sheetName val="BRF GAS"/>
      <sheetName val="Base"/>
      <sheetName val="SHIP"/>
      <sheetName val="tkpp"/>
      <sheetName val="Master062004"/>
      <sheetName val="Actual Oil"/>
      <sheetName val="TBM"/>
      <sheetName val="OPEX"/>
      <sheetName val="NABG"/>
      <sheetName val="CEB 2000 - 2021"/>
      <sheetName val="List_Opex_Prj (2004 LRP)"/>
      <sheetName val="2004"/>
      <sheetName val="Revenue"/>
      <sheetName val="HYP_DATA"/>
      <sheetName val="WELL"/>
      <sheetName val="WELL (2)"/>
      <sheetName val="WELL (3)"/>
      <sheetName val="Data"/>
      <sheetName val="General"/>
      <sheetName val="Realisasi Oil (Operasi)"/>
      <sheetName val="cms-28"/>
      <sheetName val="Macro5"/>
      <sheetName val="ABI_'98-'001"/>
      <sheetName val="ABK_PER_MA1"/>
      <sheetName val="REKAP_DIPP1"/>
      <sheetName val="RAB_MA-01"/>
      <sheetName val="BRF_OIL1"/>
      <sheetName val="BRF_GAS1"/>
      <sheetName val="ABI_'98-'00"/>
      <sheetName val="ABK_PER_MA"/>
      <sheetName val="REKAP_DIPP"/>
      <sheetName val="RAB_MA-0"/>
      <sheetName val="BRF_OIL"/>
      <sheetName val="BRF_GAS"/>
      <sheetName val="Parameter"/>
      <sheetName val="#REF"/>
      <sheetName val="NP"/>
      <sheetName val="Total Option 1"/>
      <sheetName val="Cover"/>
      <sheetName val="17"/>
      <sheetName val="Labor Rate"/>
      <sheetName val="ABI 99-00 JKT 180898"/>
      <sheetName val="WELLTEST"/>
      <sheetName val="Work Notes"/>
      <sheetName val="REKAPITULASI FINAL"/>
      <sheetName val="rms listr."/>
      <sheetName val="PP-8000AB"/>
      <sheetName val="MOBDEMOB"/>
      <sheetName val="TBLSKILL"/>
      <sheetName val="DESBT"/>
      <sheetName val="OH Call Sheet"/>
      <sheetName val="rek.PUS oe"/>
      <sheetName val="Scenario"/>
      <sheetName val="DropdownLists"/>
      <sheetName val="ABI_'98-'002"/>
      <sheetName val="ABK_PER_MA2"/>
      <sheetName val="REKAP_DIPP2"/>
      <sheetName val="RAB_MA-02"/>
      <sheetName val="BRF_OIL2"/>
      <sheetName val="BRF_GAS2"/>
      <sheetName val="CEB_2000_-_2021"/>
      <sheetName val="List_Opex_Prj_(2004_LRP)"/>
      <sheetName val="Actual_Oil"/>
      <sheetName val="WELL_(2)"/>
      <sheetName val="WELL_(3)"/>
      <sheetName val="Realisasi_Oil_(Operasi)"/>
      <sheetName val="Total_Option_1"/>
      <sheetName val="Labor_Rate"/>
      <sheetName val="ABI_99-00_JKT_180898"/>
      <sheetName val="Work_Notes"/>
      <sheetName val="REKAPITULASI_FINAL"/>
      <sheetName val="rms_listr_"/>
      <sheetName val="OH_Call_Sheet"/>
      <sheetName val="rek_PUS_oe"/>
      <sheetName val="MING"/>
      <sheetName val="HB me"/>
      <sheetName val="HB"/>
      <sheetName val="DetailedHelp"/>
      <sheetName val="Reff Haraga"/>
      <sheetName val="Harga Pasar"/>
      <sheetName val="Rinc Sewa A2B"/>
      <sheetName val="Est-Mat"/>
      <sheetName val="rms mek"/>
      <sheetName val="Hyperion "/>
      <sheetName val="ABI_'98-'003"/>
      <sheetName val="ABK_PER_MA3"/>
      <sheetName val="REKAP_DIPP3"/>
      <sheetName val="RAB_MA-03"/>
      <sheetName val="BRF_OIL3"/>
      <sheetName val="BRF_GAS3"/>
      <sheetName val="CEB_2000_-_20211"/>
      <sheetName val="List_Opex_Prj_(2004_LRP)1"/>
      <sheetName val="Actual_Oil1"/>
      <sheetName val="WELL_(2)1"/>
      <sheetName val="WELL_(3)1"/>
      <sheetName val="Realisasi_Oil_(Operasi)1"/>
      <sheetName val="Total_Option_11"/>
      <sheetName val="Labor_Rate1"/>
      <sheetName val="ABI_99-00_JKT_1808981"/>
      <sheetName val="Work_Notes1"/>
      <sheetName val="REKAPITULASI_FINAL1"/>
      <sheetName val="rms_listr_1"/>
      <sheetName val="OH_Call_Sheet1"/>
      <sheetName val="rek_PUS_oe1"/>
      <sheetName val="HB_me"/>
      <sheetName val="ABI_'98-'004"/>
      <sheetName val="ABK_PER_MA4"/>
      <sheetName val="REKAP_DIPP4"/>
      <sheetName val="RAB_MA-04"/>
      <sheetName val="BRF_OIL4"/>
      <sheetName val="BRF_GAS4"/>
      <sheetName val="CEB_2000_-_20212"/>
      <sheetName val="List_Opex_Prj_(2004_LRP)2"/>
      <sheetName val="Actual_Oil2"/>
      <sheetName val="WELL_(2)2"/>
      <sheetName val="WELL_(3)2"/>
      <sheetName val="Realisasi_Oil_(Operasi)2"/>
      <sheetName val="Total_Option_12"/>
      <sheetName val="Labor_Rate2"/>
      <sheetName val="ABI_99-00_JKT_1808982"/>
      <sheetName val="Work_Notes2"/>
      <sheetName val="REKAPITULASI_FINAL2"/>
      <sheetName val="rms_listr_2"/>
      <sheetName val="OH_Call_Sheet2"/>
      <sheetName val="rek_PUS_oe2"/>
      <sheetName val="HB_me1"/>
      <sheetName val="Volumes"/>
      <sheetName val="23 06-9885"/>
      <sheetName val="Pg2"/>
      <sheetName val="12CGOU"/>
      <sheetName val="MATERIAL"/>
      <sheetName val="DUTCH CONE"/>
      <sheetName val="BQ-E20-02(Rp)"/>
      <sheetName val="Harga"/>
      <sheetName val="FAI4"/>
      <sheetName val="Kwit"/>
      <sheetName val="Page 1"/>
      <sheetName val="slab"/>
      <sheetName val="Price list"/>
      <sheetName val="BID CALCULATION"/>
      <sheetName val="Casing Accessories"/>
      <sheetName val="Annex B"/>
      <sheetName val="Struktur Gas"/>
      <sheetName val="DIV.1"/>
      <sheetName val="REKAP ABI"/>
      <sheetName val="Est Mat"/>
      <sheetName val="Unit-P"/>
      <sheetName val="61004"/>
      <sheetName val="61005"/>
      <sheetName val="61006"/>
      <sheetName val="61007"/>
      <sheetName val="61008"/>
      <sheetName val="BoQ-Gen"/>
      <sheetName val="Dash"/>
      <sheetName val="Own"/>
      <sheetName val="PT."/>
      <sheetName val="Huruf"/>
      <sheetName val="CSG Shoes &amp; Mud WT"/>
      <sheetName val="geo-A1"/>
      <sheetName val="geo-A2"/>
      <sheetName val="geo-B"/>
      <sheetName val="JIB (REAL INVEST) October"/>
      <sheetName val="ABI_'98-'005"/>
      <sheetName val="ABK_PER_MA5"/>
      <sheetName val="REKAP_DIPP5"/>
      <sheetName val="RAB_MA-05"/>
      <sheetName val="BRF_OIL5"/>
      <sheetName val="BRF_GAS5"/>
      <sheetName val="CEB_2000_-_20213"/>
      <sheetName val="List_Opex_Prj_(2004_LRP)3"/>
      <sheetName val="Actual_Oil3"/>
      <sheetName val="WELL_(2)3"/>
      <sheetName val="WELL_(3)3"/>
      <sheetName val="Realisasi_Oil_(Operasi)3"/>
      <sheetName val="Total_Option_13"/>
      <sheetName val="Labor_Rate3"/>
      <sheetName val="ABI_99-00_JKT_1808983"/>
      <sheetName val="Work_Notes3"/>
      <sheetName val="REKAPITULASI_FINAL3"/>
      <sheetName val="rms_listr_3"/>
      <sheetName val="OH_Call_Sheet3"/>
      <sheetName val="rek_PUS_oe3"/>
      <sheetName val="HB_me2"/>
      <sheetName val="Hyperion_"/>
      <sheetName val="Reff_Haraga"/>
      <sheetName val="Harga_Pasar"/>
      <sheetName val="Rinc_Sewa_A2B"/>
      <sheetName val="rms_mek"/>
      <sheetName val="ABI_'98-'006"/>
      <sheetName val="ABK_PER_MA6"/>
      <sheetName val="REKAP_DIPP6"/>
      <sheetName val="RAB_MA-06"/>
      <sheetName val="BRF_OIL6"/>
      <sheetName val="BRF_GAS6"/>
      <sheetName val="CEB_2000_-_20214"/>
      <sheetName val="List_Opex_Prj_(2004_LRP)4"/>
      <sheetName val="Actual_Oil4"/>
      <sheetName val="WELL_(2)4"/>
      <sheetName val="WELL_(3)4"/>
      <sheetName val="Realisasi_Oil_(Operasi)4"/>
      <sheetName val="Total_Option_14"/>
      <sheetName val="Labor_Rate4"/>
      <sheetName val="ABI_99-00_JKT_1808984"/>
      <sheetName val="Work_Notes4"/>
      <sheetName val="REKAPITULASI_FINAL4"/>
      <sheetName val="rms_listr_4"/>
      <sheetName val="OH_Call_Sheet4"/>
      <sheetName val="rek_PUS_oe4"/>
      <sheetName val="HB_me3"/>
      <sheetName val="Hyperion_1"/>
      <sheetName val="Tubing"/>
      <sheetName val="003"/>
      <sheetName val="Rekap per-JB"/>
      <sheetName val="Well Plan 1"/>
      <sheetName val="SUMMARY"/>
      <sheetName val="Analisa"/>
      <sheetName val="AHSP (2)"/>
      <sheetName val="HS 2014"/>
      <sheetName val="SENSITIVITAS"/>
      <sheetName val="Models"/>
      <sheetName val="ABI_'98-'007"/>
      <sheetName val="ABK_PER_MA7"/>
      <sheetName val="REKAP_DIPP7"/>
      <sheetName val="RAB_MA-07"/>
      <sheetName val="BRF_OIL7"/>
      <sheetName val="BRF_GAS7"/>
      <sheetName val="CEB_2000_-_20215"/>
      <sheetName val="List_Opex_Prj_(2004_LRP)5"/>
      <sheetName val="Actual_Oil5"/>
      <sheetName val="WELL_(2)5"/>
      <sheetName val="WELL_(3)5"/>
      <sheetName val="Realisasi_Oil_(Operasi)5"/>
      <sheetName val="Total_Option_15"/>
      <sheetName val="Labor_Rate5"/>
      <sheetName val="ABI_99-00_JKT_1808985"/>
      <sheetName val="Work_Notes5"/>
      <sheetName val="REKAPITULASI_FINAL5"/>
      <sheetName val="rms_listr_5"/>
      <sheetName val="OH_Call_Sheet5"/>
      <sheetName val="rek_PUS_oe5"/>
      <sheetName val="HB_me4"/>
      <sheetName val="Hyperion_2"/>
      <sheetName val="Source"/>
      <sheetName val="Sheet1"/>
      <sheetName val="ABI_'98-'008"/>
      <sheetName val="ABK_PER_MA8"/>
      <sheetName val="REKAP_DIPP8"/>
      <sheetName val="RAB_MA-08"/>
      <sheetName val="BRF_OIL8"/>
      <sheetName val="BRF_GAS8"/>
      <sheetName val="CEB_2000_-_20216"/>
      <sheetName val="List_Opex_Prj_(2004_LRP)6"/>
      <sheetName val="Actual_Oil6"/>
      <sheetName val="WELL_(2)6"/>
      <sheetName val="WELL_(3)6"/>
      <sheetName val="Realisasi_Oil_(Operasi)6"/>
      <sheetName val="Total_Option_16"/>
      <sheetName val="Labor_Rate6"/>
      <sheetName val="ABI_99-00_JKT_1808986"/>
      <sheetName val="Work_Notes6"/>
      <sheetName val="REKAPITULASI_FINAL6"/>
      <sheetName val="rms_listr_6"/>
      <sheetName val="OH_Call_Sheet6"/>
      <sheetName val="rek_PUS_oe6"/>
      <sheetName val="HB_me5"/>
      <sheetName val="Reff_Haraga1"/>
      <sheetName val="Harga_Pasar1"/>
      <sheetName val="Rinc_Sewa_A2B1"/>
      <sheetName val="rms_mek1"/>
      <sheetName val="Hyperion_3"/>
      <sheetName val="23_06-9885"/>
      <sheetName val="DUTCH_CONE"/>
      <sheetName val="Page_1"/>
      <sheetName val="Price_list"/>
      <sheetName val="BID_CALCULATION"/>
      <sheetName val="Casing_Accessories"/>
      <sheetName val="Annex_B"/>
      <sheetName val="Struktur_Gas"/>
      <sheetName val="DIV_1"/>
      <sheetName val="REKAP_ABI"/>
      <sheetName val="Est_Mat"/>
      <sheetName val="PT_"/>
      <sheetName val="CSG_Shoes_&amp;_Mud_WT"/>
      <sheetName val="JIB_(REAL_INVEST)_October"/>
      <sheetName val="Rekap_per-JB"/>
      <sheetName val="Well_Plan_1"/>
      <sheetName val="AHSP_(2)"/>
      <sheetName val="HS_2014"/>
      <sheetName val="BILAL2"/>
      <sheetName val="BANK TANSFER"/>
      <sheetName val="EXT.BANK TRANSFER"/>
      <sheetName val="TUNDA"/>
      <sheetName val="Daf-Harga"/>
      <sheetName val="AC"/>
      <sheetName val="HDPE"/>
      <sheetName val="INSENTIF"/>
      <sheetName val="Daily"/>
      <sheetName val="Reff_Haraga2"/>
      <sheetName val="Harga_Pasar2"/>
      <sheetName val="Rinc_Sewa_A2B2"/>
      <sheetName val="rms_mek2"/>
      <sheetName val="CSG_Shoes_&amp;_Mud_WT1"/>
      <sheetName val="23_06-98851"/>
      <sheetName val="DUTCH_CONE1"/>
      <sheetName val="Page_11"/>
      <sheetName val="Price_list1"/>
      <sheetName val="BID_CALCULATION1"/>
      <sheetName val="Casing_Accessories1"/>
      <sheetName val="Annex_B1"/>
      <sheetName val="Struktur_Gas1"/>
      <sheetName val="DIV_11"/>
      <sheetName val="REKAP_ABI1"/>
      <sheetName val="Est_Mat1"/>
      <sheetName val="PT_1"/>
      <sheetName val="ABI_'98-'009"/>
      <sheetName val="ABK_PER_MA9"/>
      <sheetName val="REKAP_DIPP9"/>
      <sheetName val="RAB_MA-09"/>
      <sheetName val="BRF_OIL9"/>
      <sheetName val="BRF_GAS9"/>
      <sheetName val="CEB_2000_-_20217"/>
      <sheetName val="List_Opex_Prj_(2004_LRP)7"/>
      <sheetName val="Actual_Oil7"/>
      <sheetName val="WELL_(2)7"/>
      <sheetName val="WELL_(3)7"/>
      <sheetName val="Realisasi_Oil_(Operasi)7"/>
      <sheetName val="Total_Option_17"/>
      <sheetName val="Labor_Rate7"/>
      <sheetName val="ABI_99-00_JKT_1808987"/>
      <sheetName val="Work_Notes7"/>
      <sheetName val="rms_listr_7"/>
      <sheetName val="REKAPITULASI_FINAL7"/>
      <sheetName val="OH_Call_Sheet7"/>
      <sheetName val="rek_PUS_oe7"/>
      <sheetName val="HB_me6"/>
      <sheetName val="Reff_Haraga3"/>
      <sheetName val="Harga_Pasar3"/>
      <sheetName val="Rinc_Sewa_A2B3"/>
      <sheetName val="rms_mek3"/>
      <sheetName val="CSG_Shoes_&amp;_Mud_WT2"/>
      <sheetName val="Hyperion_4"/>
      <sheetName val="23_06-98852"/>
      <sheetName val="DUTCH_CONE2"/>
      <sheetName val="Page_12"/>
      <sheetName val="Price_list2"/>
      <sheetName val="BID_CALCULATION2"/>
      <sheetName val="Casing_Accessories2"/>
      <sheetName val="Annex_B2"/>
      <sheetName val="Struktur_Gas2"/>
      <sheetName val="DIV_12"/>
      <sheetName val="REKAP_ABI2"/>
      <sheetName val="Est_Mat2"/>
      <sheetName val="PT_2"/>
      <sheetName val="EmpCodes"/>
      <sheetName val="FORM-1A"/>
      <sheetName val="INVESTASI"/>
      <sheetName val="Cost Input Sheet"/>
      <sheetName val="abk.04.awalr+co+tab.rups"/>
      <sheetName val="Cashflow Analysis"/>
      <sheetName val="BESI CANAL"/>
      <sheetName val="An"/>
      <sheetName val="HB "/>
      <sheetName val="SHELL_BOTTOM"/>
      <sheetName val="An_Roof_Top Ag_Int-WG"/>
      <sheetName val="Plate Mat'l"/>
      <sheetName val="Kuantitas &amp; Harga"/>
      <sheetName val="LOKASI"/>
      <sheetName val="UPAH"/>
      <sheetName val="ALAT"/>
      <sheetName val="Std Upah"/>
      <sheetName val="JEMBATAN"/>
      <sheetName val="bahan"/>
      <sheetName val="Assump"/>
      <sheetName val="TENAGA"/>
      <sheetName val="Sheet2"/>
      <sheetName val="Sheet3"/>
      <sheetName val="CAP"/>
      <sheetName val="XLR_NoRangeSheet"/>
      <sheetName val="PROGRESS"/>
      <sheetName val="LHV"/>
      <sheetName val="TABULASI"/>
      <sheetName val="ExcRate"/>
      <sheetName val="HSD"/>
      <sheetName val="AN PL_ROOF_CRING_WGD"/>
      <sheetName val="Mapping by Cost Center"/>
      <sheetName val="Data Base"/>
      <sheetName val="DATA INPUT"/>
      <sheetName val="PipeTable"/>
      <sheetName val="Daf 1"/>
      <sheetName val="Bill.2. PL - SUPPLY A"/>
      <sheetName val="Gross Capex"/>
      <sheetName val="Working Interest"/>
      <sheetName val="Sheet5"/>
      <sheetName val="Proposed WBD"/>
      <sheetName val="FctGas(1)"/>
      <sheetName val="eni-domestic gas"/>
      <sheetName val="ProjectTimeline"/>
      <sheetName val="Legend"/>
      <sheetName val="eqp-rek"/>
      <sheetName val="ExchRate"/>
      <sheetName val="ABI.a"/>
      <sheetName val="Investasi PEPC Dit.Hulu&amp;RBTK"/>
      <sheetName val="prog"/>
      <sheetName val="#REF!"/>
      <sheetName val="ACTIVITY"/>
      <sheetName val="Sheet12"/>
    </sheetNames>
    <sheetDataSet>
      <sheetData sheetId="0">
        <row r="1">
          <cell r="B1" t="str">
            <v>REKAPITULASI  ANGGARAN  BIAYA  INVESTASI  TF  1999 / 2000</v>
          </cell>
        </row>
      </sheetData>
      <sheetData sheetId="1">
        <row r="1">
          <cell r="B1" t="str">
            <v>REKAPITULASI  ANGGARAN  BIAYA  INVESTASI  TF  1999 / 2000</v>
          </cell>
        </row>
      </sheetData>
      <sheetData sheetId="2" refreshError="1"/>
      <sheetData sheetId="3">
        <row r="1">
          <cell r="B1" t="str">
            <v>REKAPITULASI  ANGGARAN  BIAYA  INVESTASI  TF  1999 / 2000</v>
          </cell>
        </row>
      </sheetData>
      <sheetData sheetId="4" refreshError="1">
        <row r="1">
          <cell r="B1" t="str">
            <v>REKAPITULASI  ANGGARAN  BIAYA  INVESTASI  TF  1999 / 2000</v>
          </cell>
        </row>
        <row r="2">
          <cell r="B2" t="str">
            <v>PERTAMINA OPERASI PRODUKSI  EP  BUNYU</v>
          </cell>
        </row>
        <row r="3">
          <cell r="B3" t="str">
            <v>STATUS   18  AGUSTUS 1998</v>
          </cell>
        </row>
        <row r="4">
          <cell r="B4" t="str">
            <v>KURS  US $ =</v>
          </cell>
          <cell r="D4">
            <v>10</v>
          </cell>
        </row>
        <row r="5">
          <cell r="C5" t="str">
            <v>P</v>
          </cell>
          <cell r="I5" t="str">
            <v>ANGGARAN  TF   1999 / 2000</v>
          </cell>
          <cell r="L5" t="str">
            <v xml:space="preserve"> PHASING OUT KE  TF  2000 / 2001</v>
          </cell>
        </row>
        <row r="6">
          <cell r="B6" t="str">
            <v>ASSET</v>
          </cell>
          <cell r="C6" t="str">
            <v>R</v>
          </cell>
          <cell r="D6" t="str">
            <v>MA</v>
          </cell>
          <cell r="E6" t="str">
            <v>Ex.  MA</v>
          </cell>
          <cell r="F6" t="str">
            <v xml:space="preserve">     STATUS</v>
          </cell>
          <cell r="I6" t="str">
            <v>Rp. (000)</v>
          </cell>
          <cell r="J6" t="str">
            <v>US  $</v>
          </cell>
          <cell r="K6" t="str">
            <v>Eq.Rp. (000)</v>
          </cell>
          <cell r="L6" t="str">
            <v>Rp. (000)</v>
          </cell>
          <cell r="M6" t="str">
            <v>US  $</v>
          </cell>
          <cell r="N6" t="str">
            <v>Eq.Rp. (000)</v>
          </cell>
          <cell r="O6" t="str">
            <v>URAIAN  KEGIATAN</v>
          </cell>
          <cell r="P6" t="str">
            <v>USER</v>
          </cell>
        </row>
        <row r="7">
          <cell r="C7" t="str">
            <v>D</v>
          </cell>
        </row>
        <row r="8">
          <cell r="C8" t="str">
            <v>D</v>
          </cell>
        </row>
        <row r="9">
          <cell r="B9">
            <v>0</v>
          </cell>
          <cell r="C9" t="str">
            <v>G</v>
          </cell>
          <cell r="D9" t="str">
            <v>9D90.01</v>
          </cell>
          <cell r="F9" t="str">
            <v>UB</v>
          </cell>
          <cell r="G9" t="str">
            <v>RT</v>
          </cell>
          <cell r="H9" t="str">
            <v>TA</v>
          </cell>
          <cell r="I9">
            <v>1105559.294</v>
          </cell>
          <cell r="J9">
            <v>258254</v>
          </cell>
          <cell r="K9">
            <v>3688099.2939999998</v>
          </cell>
          <cell r="L9">
            <v>0</v>
          </cell>
          <cell r="M9">
            <v>0</v>
          </cell>
          <cell r="N9">
            <v>0</v>
          </cell>
          <cell r="O9" t="str">
            <v xml:space="preserve">  3 KUPL SUMUR GAS BUNYU,  RIG  OW-700.</v>
          </cell>
          <cell r="P9" t="str">
            <v>T-OPS</v>
          </cell>
        </row>
        <row r="10">
          <cell r="C10" t="str">
            <v>M</v>
          </cell>
          <cell r="D10" t="str">
            <v>9D90.02</v>
          </cell>
          <cell r="F10" t="str">
            <v>UB</v>
          </cell>
          <cell r="G10" t="str">
            <v>RT</v>
          </cell>
          <cell r="H10" t="str">
            <v>TA</v>
          </cell>
          <cell r="I10">
            <v>617112.08399999992</v>
          </cell>
          <cell r="J10">
            <v>154914</v>
          </cell>
          <cell r="K10">
            <v>2166252.0839999998</v>
          </cell>
          <cell r="L10">
            <v>0</v>
          </cell>
          <cell r="M10">
            <v>0</v>
          </cell>
          <cell r="N10">
            <v>0</v>
          </cell>
          <cell r="O10" t="str">
            <v xml:space="preserve">  2  KUPL MINYAK BUNYU  RIG  OW-700.</v>
          </cell>
          <cell r="P10" t="str">
            <v>T-OPS</v>
          </cell>
        </row>
        <row r="11">
          <cell r="C11" t="str">
            <v>M</v>
          </cell>
          <cell r="D11" t="str">
            <v>9D90.03</v>
          </cell>
          <cell r="F11" t="str">
            <v>UB</v>
          </cell>
          <cell r="G11" t="str">
            <v>RT</v>
          </cell>
          <cell r="H11" t="str">
            <v>TA</v>
          </cell>
          <cell r="I11">
            <v>1726205.4279999998</v>
          </cell>
          <cell r="J11">
            <v>774570</v>
          </cell>
          <cell r="K11">
            <v>9471905.4279999994</v>
          </cell>
          <cell r="L11">
            <v>0</v>
          </cell>
          <cell r="M11">
            <v>0</v>
          </cell>
          <cell r="N11">
            <v>0</v>
          </cell>
          <cell r="O11" t="str">
            <v xml:space="preserve">  10  KUPL MINYAK BUNYU  RIG  LTO-350.</v>
          </cell>
          <cell r="P11" t="str">
            <v>T-OPS</v>
          </cell>
        </row>
        <row r="12">
          <cell r="C12" t="str">
            <v>M</v>
          </cell>
          <cell r="D12" t="str">
            <v>9D90.04</v>
          </cell>
          <cell r="F12" t="str">
            <v>UB</v>
          </cell>
          <cell r="G12" t="str">
            <v>RT</v>
          </cell>
          <cell r="H12" t="str">
            <v>TA</v>
          </cell>
          <cell r="I12">
            <v>1253372.6359999999</v>
          </cell>
          <cell r="J12">
            <v>619656</v>
          </cell>
          <cell r="K12">
            <v>7449932.6359999999</v>
          </cell>
          <cell r="L12">
            <v>0</v>
          </cell>
          <cell r="M12">
            <v>0</v>
          </cell>
          <cell r="N12">
            <v>0</v>
          </cell>
          <cell r="O12" t="str">
            <v xml:space="preserve">  8  KUPL MINYAK BUNYU  RIG  L-350.</v>
          </cell>
          <cell r="P12" t="str">
            <v>T-OPS</v>
          </cell>
        </row>
        <row r="13">
          <cell r="F13" t="str">
            <v>UB</v>
          </cell>
          <cell r="G13" t="str">
            <v>RT</v>
          </cell>
          <cell r="H13" t="str">
            <v>TA</v>
          </cell>
          <cell r="I13">
            <v>1253372.6359999999</v>
          </cell>
          <cell r="J13">
            <v>619656</v>
          </cell>
          <cell r="K13">
            <v>7449932.6359999999</v>
          </cell>
          <cell r="L13">
            <v>0</v>
          </cell>
          <cell r="M13">
            <v>0</v>
          </cell>
          <cell r="N13">
            <v>0</v>
          </cell>
          <cell r="O13" t="str">
            <v xml:space="preserve">  8  KUPL MINYAK BUNYU  RIG  L-350.</v>
          </cell>
          <cell r="P13" t="str">
            <v>T-OPS</v>
          </cell>
        </row>
        <row r="14">
          <cell r="B14" t="str">
            <v>SUB</v>
          </cell>
          <cell r="C14" t="str">
            <v>M</v>
          </cell>
          <cell r="D14">
            <v>3</v>
          </cell>
          <cell r="I14">
            <v>3596690.1479999996</v>
          </cell>
          <cell r="J14">
            <v>1549140</v>
          </cell>
          <cell r="K14">
            <v>19088090.147999998</v>
          </cell>
          <cell r="L14">
            <v>0</v>
          </cell>
          <cell r="M14">
            <v>0</v>
          </cell>
          <cell r="N14">
            <v>0</v>
          </cell>
        </row>
        <row r="15">
          <cell r="B15" t="str">
            <v>TOTAL</v>
          </cell>
          <cell r="C15" t="str">
            <v>G</v>
          </cell>
          <cell r="D15">
            <v>1</v>
          </cell>
          <cell r="I15">
            <v>1105559.294</v>
          </cell>
          <cell r="J15">
            <v>258254</v>
          </cell>
          <cell r="K15">
            <v>3688099.2939999998</v>
          </cell>
          <cell r="L15">
            <v>0</v>
          </cell>
          <cell r="M15">
            <v>0</v>
          </cell>
          <cell r="N15">
            <v>0</v>
          </cell>
        </row>
        <row r="16">
          <cell r="B16" t="str">
            <v>AST-0</v>
          </cell>
          <cell r="C16" t="str">
            <v>M+G</v>
          </cell>
          <cell r="D16">
            <v>4</v>
          </cell>
          <cell r="I16">
            <v>4702249.4419999998</v>
          </cell>
          <cell r="J16">
            <v>1807394</v>
          </cell>
          <cell r="K16">
            <v>22776189.441999998</v>
          </cell>
          <cell r="L16">
            <v>0</v>
          </cell>
          <cell r="M16">
            <v>0</v>
          </cell>
          <cell r="N16">
            <v>0</v>
          </cell>
        </row>
        <row r="17">
          <cell r="I17">
            <v>4702249.4419999998</v>
          </cell>
          <cell r="J17">
            <v>1807394</v>
          </cell>
          <cell r="K17">
            <v>22776189.441999998</v>
          </cell>
          <cell r="L17">
            <v>0</v>
          </cell>
          <cell r="M17">
            <v>0</v>
          </cell>
          <cell r="N17">
            <v>0</v>
          </cell>
        </row>
        <row r="18">
          <cell r="B18">
            <v>3</v>
          </cell>
          <cell r="C18" t="str">
            <v>G</v>
          </cell>
          <cell r="D18" t="str">
            <v>9D93.01</v>
          </cell>
          <cell r="E18" t="str">
            <v>8D93.01</v>
          </cell>
          <cell r="F18" t="str">
            <v>EPO</v>
          </cell>
          <cell r="G18" t="str">
            <v>RTT</v>
          </cell>
          <cell r="H18" t="str">
            <v>TA</v>
          </cell>
          <cell r="I18">
            <v>175950</v>
          </cell>
          <cell r="J18">
            <v>0</v>
          </cell>
          <cell r="K18">
            <v>175950</v>
          </cell>
          <cell r="L18">
            <v>0</v>
          </cell>
          <cell r="M18">
            <v>0</v>
          </cell>
          <cell r="N18">
            <v>0</v>
          </cell>
          <cell r="O18" t="str">
            <v xml:space="preserve">  BELI &amp; PASANG  1 UNIT  VERTICAL HP  SCRUBBER.</v>
          </cell>
          <cell r="P18" t="str">
            <v>PROD</v>
          </cell>
        </row>
        <row r="19">
          <cell r="B19">
            <v>3</v>
          </cell>
          <cell r="C19" t="str">
            <v>G</v>
          </cell>
          <cell r="D19" t="str">
            <v>9D93.01</v>
          </cell>
          <cell r="E19" t="str">
            <v>8D93.01</v>
          </cell>
          <cell r="F19" t="str">
            <v>EPO</v>
          </cell>
          <cell r="G19" t="str">
            <v>RTT</v>
          </cell>
          <cell r="H19" t="str">
            <v>TA</v>
          </cell>
          <cell r="I19">
            <v>175950</v>
          </cell>
          <cell r="J19">
            <v>0</v>
          </cell>
          <cell r="K19">
            <v>175950</v>
          </cell>
          <cell r="L19">
            <v>0</v>
          </cell>
          <cell r="M19">
            <v>0</v>
          </cell>
          <cell r="N19">
            <v>0</v>
          </cell>
          <cell r="O19" t="str">
            <v xml:space="preserve">  BELI &amp; PASANG  1 UNIT  VERTICAL HP  SCRUBBER.</v>
          </cell>
          <cell r="P19" t="str">
            <v>PROD</v>
          </cell>
        </row>
        <row r="20">
          <cell r="B20" t="str">
            <v>SUB</v>
          </cell>
          <cell r="C20" t="str">
            <v>M</v>
          </cell>
          <cell r="D20">
            <v>0</v>
          </cell>
          <cell r="I20">
            <v>0</v>
          </cell>
          <cell r="J20">
            <v>0</v>
          </cell>
          <cell r="K20">
            <v>0</v>
          </cell>
          <cell r="L20">
            <v>0</v>
          </cell>
          <cell r="M20">
            <v>0</v>
          </cell>
          <cell r="N20">
            <v>0</v>
          </cell>
        </row>
        <row r="21">
          <cell r="B21" t="str">
            <v>TOTAL</v>
          </cell>
          <cell r="C21" t="str">
            <v>G</v>
          </cell>
          <cell r="D21">
            <v>1</v>
          </cell>
          <cell r="I21">
            <v>175950</v>
          </cell>
          <cell r="J21">
            <v>0</v>
          </cell>
          <cell r="K21">
            <v>175950</v>
          </cell>
          <cell r="L21">
            <v>0</v>
          </cell>
          <cell r="M21">
            <v>0</v>
          </cell>
          <cell r="N21">
            <v>0</v>
          </cell>
        </row>
        <row r="22">
          <cell r="B22" t="str">
            <v>AST-3</v>
          </cell>
          <cell r="C22" t="str">
            <v>M+G</v>
          </cell>
          <cell r="D22">
            <v>1</v>
          </cell>
          <cell r="I22">
            <v>175950</v>
          </cell>
          <cell r="J22">
            <v>0</v>
          </cell>
          <cell r="K22">
            <v>175950</v>
          </cell>
          <cell r="L22">
            <v>0</v>
          </cell>
          <cell r="M22">
            <v>0</v>
          </cell>
          <cell r="N22">
            <v>0</v>
          </cell>
        </row>
        <row r="23">
          <cell r="I23">
            <v>175950</v>
          </cell>
          <cell r="J23">
            <v>0</v>
          </cell>
          <cell r="K23">
            <v>175950</v>
          </cell>
          <cell r="L23">
            <v>0</v>
          </cell>
          <cell r="M23">
            <v>0</v>
          </cell>
          <cell r="N23">
            <v>0</v>
          </cell>
        </row>
        <row r="24">
          <cell r="B24">
            <v>4</v>
          </cell>
          <cell r="C24" t="str">
            <v>M</v>
          </cell>
          <cell r="D24" t="str">
            <v>9D94.01</v>
          </cell>
          <cell r="E24" t="str">
            <v>6D94.01</v>
          </cell>
          <cell r="F24" t="str">
            <v>EPO</v>
          </cell>
          <cell r="G24" t="str">
            <v>RTT</v>
          </cell>
          <cell r="H24" t="str">
            <v>TA</v>
          </cell>
          <cell r="I24">
            <v>35000</v>
          </cell>
          <cell r="J24">
            <v>0</v>
          </cell>
          <cell r="K24">
            <v>35000</v>
          </cell>
          <cell r="L24">
            <v>0</v>
          </cell>
          <cell r="M24">
            <v>0</v>
          </cell>
          <cell r="N24">
            <v>0</v>
          </cell>
          <cell r="O24" t="str">
            <v xml:space="preserve">  BELI  PERALATAN ANALISA LABORATORIUM.</v>
          </cell>
          <cell r="P24" t="str">
            <v>T-PROD</v>
          </cell>
        </row>
        <row r="25">
          <cell r="E25" t="str">
            <v>8D94.01</v>
          </cell>
        </row>
        <row r="26">
          <cell r="C26" t="str">
            <v>M</v>
          </cell>
          <cell r="D26" t="str">
            <v>9D94.02</v>
          </cell>
          <cell r="E26" t="str">
            <v>8D94.06</v>
          </cell>
          <cell r="F26" t="str">
            <v>DUB</v>
          </cell>
          <cell r="G26" t="str">
            <v>RTT</v>
          </cell>
          <cell r="H26" t="str">
            <v>TA</v>
          </cell>
          <cell r="I26">
            <v>400000</v>
          </cell>
          <cell r="J26">
            <v>0</v>
          </cell>
          <cell r="K26">
            <v>400000</v>
          </cell>
          <cell r="L26">
            <v>0</v>
          </cell>
          <cell r="M26">
            <v>0</v>
          </cell>
          <cell r="N26">
            <v>0</v>
          </cell>
          <cell r="O26" t="str">
            <v xml:space="preserve">  BELI 1 UNIT  COMPUTERIZED  AMERADA  BOTTOM</v>
          </cell>
          <cell r="P26" t="str">
            <v>T-RES</v>
          </cell>
        </row>
        <row r="27">
          <cell r="O27" t="str">
            <v xml:space="preserve">  HOLE TOOL</v>
          </cell>
        </row>
        <row r="28">
          <cell r="B28" t="str">
            <v>SUB</v>
          </cell>
          <cell r="C28" t="str">
            <v>M</v>
          </cell>
          <cell r="D28">
            <v>2</v>
          </cell>
          <cell r="I28">
            <v>435000</v>
          </cell>
          <cell r="J28">
            <v>0</v>
          </cell>
          <cell r="K28">
            <v>435000</v>
          </cell>
          <cell r="L28">
            <v>0</v>
          </cell>
          <cell r="M28">
            <v>0</v>
          </cell>
          <cell r="N28">
            <v>0</v>
          </cell>
        </row>
        <row r="29">
          <cell r="B29" t="str">
            <v>TOTAL</v>
          </cell>
          <cell r="C29" t="str">
            <v>G</v>
          </cell>
          <cell r="D29">
            <v>0</v>
          </cell>
          <cell r="I29">
            <v>0</v>
          </cell>
          <cell r="J29">
            <v>0</v>
          </cell>
          <cell r="K29">
            <v>0</v>
          </cell>
          <cell r="L29">
            <v>0</v>
          </cell>
          <cell r="M29">
            <v>0</v>
          </cell>
          <cell r="N29">
            <v>0</v>
          </cell>
        </row>
        <row r="30">
          <cell r="B30" t="str">
            <v>AST-4</v>
          </cell>
          <cell r="C30" t="str">
            <v>M+G</v>
          </cell>
          <cell r="D30">
            <v>2</v>
          </cell>
          <cell r="I30">
            <v>435000</v>
          </cell>
          <cell r="J30">
            <v>0</v>
          </cell>
          <cell r="K30">
            <v>435000</v>
          </cell>
          <cell r="L30">
            <v>0</v>
          </cell>
          <cell r="M30">
            <v>0</v>
          </cell>
          <cell r="N30">
            <v>0</v>
          </cell>
        </row>
        <row r="31">
          <cell r="I31">
            <v>435000</v>
          </cell>
          <cell r="J31">
            <v>0</v>
          </cell>
          <cell r="K31">
            <v>435000</v>
          </cell>
          <cell r="L31">
            <v>0</v>
          </cell>
          <cell r="M31">
            <v>0</v>
          </cell>
          <cell r="N31">
            <v>0</v>
          </cell>
        </row>
        <row r="32">
          <cell r="B32">
            <v>5</v>
          </cell>
          <cell r="C32" t="str">
            <v>G</v>
          </cell>
          <cell r="D32" t="str">
            <v>9D95.01</v>
          </cell>
          <cell r="E32" t="str">
            <v>8D95.06</v>
          </cell>
          <cell r="F32" t="str">
            <v>EPO</v>
          </cell>
          <cell r="G32" t="str">
            <v>RTT</v>
          </cell>
          <cell r="H32" t="str">
            <v>TA</v>
          </cell>
          <cell r="I32">
            <v>3900000</v>
          </cell>
          <cell r="J32">
            <v>0</v>
          </cell>
          <cell r="K32">
            <v>3900000</v>
          </cell>
          <cell r="L32">
            <v>0</v>
          </cell>
          <cell r="M32">
            <v>0</v>
          </cell>
          <cell r="N32">
            <v>0</v>
          </cell>
          <cell r="O32" t="str">
            <v xml:space="preserve">  BELI  200  JTS  DP 3.1/2" OD  13.30  LB/FT</v>
          </cell>
          <cell r="P32" t="str">
            <v>BOR</v>
          </cell>
        </row>
        <row r="33">
          <cell r="E33" t="str">
            <v>8D95.08</v>
          </cell>
        </row>
        <row r="34">
          <cell r="C34" t="str">
            <v>M</v>
          </cell>
          <cell r="D34" t="str">
            <v>9D95.02</v>
          </cell>
          <cell r="E34" t="str">
            <v>8D95.07</v>
          </cell>
          <cell r="F34" t="str">
            <v>EPO</v>
          </cell>
          <cell r="G34" t="str">
            <v>RTT</v>
          </cell>
          <cell r="H34" t="str">
            <v>GT</v>
          </cell>
          <cell r="I34">
            <v>200200</v>
          </cell>
          <cell r="J34">
            <v>0</v>
          </cell>
          <cell r="K34">
            <v>200200</v>
          </cell>
          <cell r="L34">
            <v>0</v>
          </cell>
          <cell r="M34">
            <v>0</v>
          </cell>
          <cell r="N34">
            <v>0</v>
          </cell>
          <cell r="O34" t="str">
            <v xml:space="preserve">  BELI 2 SET UPPER  &amp;  KELLY LOWER COCK 5.1/4" OD x</v>
          </cell>
          <cell r="P34" t="str">
            <v>BOR</v>
          </cell>
        </row>
        <row r="35">
          <cell r="O35" t="str">
            <v xml:space="preserve">  10.000 TEST PRESSURE UNTUK N-110 &amp; OW-700</v>
          </cell>
        </row>
        <row r="37">
          <cell r="O37" t="str">
            <v xml:space="preserve">  10.000 TEST PRESSURE UNTUK N-110 &amp; OW-700</v>
          </cell>
        </row>
        <row r="38">
          <cell r="C38" t="str">
            <v>M</v>
          </cell>
          <cell r="D38" t="str">
            <v>9D95.03</v>
          </cell>
          <cell r="E38" t="str">
            <v>8D95.10</v>
          </cell>
          <cell r="F38" t="str">
            <v>EPO</v>
          </cell>
          <cell r="G38" t="str">
            <v>RTT</v>
          </cell>
          <cell r="H38" t="str">
            <v>GT</v>
          </cell>
          <cell r="I38">
            <v>52500</v>
          </cell>
          <cell r="J38">
            <v>0</v>
          </cell>
          <cell r="K38">
            <v>52500</v>
          </cell>
          <cell r="L38">
            <v>0</v>
          </cell>
          <cell r="M38">
            <v>0</v>
          </cell>
          <cell r="N38">
            <v>0</v>
          </cell>
          <cell r="O38" t="str">
            <v xml:space="preserve">  BELI 1 UNIT WIRE LINE STRIPPER 3 AR 5/8"</v>
          </cell>
          <cell r="P38" t="str">
            <v>PROD</v>
          </cell>
        </row>
        <row r="39">
          <cell r="C39" t="str">
            <v>G</v>
          </cell>
          <cell r="D39" t="str">
            <v>9D95.04</v>
          </cell>
          <cell r="E39" t="str">
            <v>8D95.11</v>
          </cell>
          <cell r="F39" t="str">
            <v>EPO</v>
          </cell>
          <cell r="G39" t="str">
            <v>RTT</v>
          </cell>
          <cell r="H39" t="str">
            <v>GT</v>
          </cell>
          <cell r="I39">
            <v>421500</v>
          </cell>
          <cell r="J39">
            <v>0</v>
          </cell>
          <cell r="K39">
            <v>421500</v>
          </cell>
          <cell r="L39">
            <v>0</v>
          </cell>
          <cell r="M39">
            <v>0</v>
          </cell>
          <cell r="N39">
            <v>0</v>
          </cell>
          <cell r="O39" t="str">
            <v xml:space="preserve">  BELI 1 UNIT ROTARY SWIVEL TL 120 CS, IDECO</v>
          </cell>
          <cell r="P39" t="str">
            <v>PROD</v>
          </cell>
        </row>
        <row r="40">
          <cell r="C40" t="str">
            <v>M</v>
          </cell>
          <cell r="D40" t="str">
            <v>9D95.05</v>
          </cell>
          <cell r="E40" t="str">
            <v>8D95.12</v>
          </cell>
          <cell r="F40" t="str">
            <v>EPO</v>
          </cell>
          <cell r="G40" t="str">
            <v>RTT</v>
          </cell>
          <cell r="H40" t="str">
            <v>TA</v>
          </cell>
          <cell r="I40">
            <v>175000</v>
          </cell>
          <cell r="J40">
            <v>0</v>
          </cell>
          <cell r="K40">
            <v>175000</v>
          </cell>
          <cell r="L40">
            <v>0</v>
          </cell>
          <cell r="M40">
            <v>0</v>
          </cell>
          <cell r="N40">
            <v>0</v>
          </cell>
          <cell r="O40" t="str">
            <v xml:space="preserve">  BELI 1 UNIT SITE SAND PUMP 3.3/4"</v>
          </cell>
          <cell r="P40" t="str">
            <v>PROD</v>
          </cell>
        </row>
        <row r="41">
          <cell r="C41" t="str">
            <v>M</v>
          </cell>
          <cell r="D41" t="str">
            <v>9D95.05</v>
          </cell>
          <cell r="E41" t="str">
            <v>8D95.12</v>
          </cell>
          <cell r="F41" t="str">
            <v>EPO</v>
          </cell>
          <cell r="G41" t="str">
            <v>RTT</v>
          </cell>
          <cell r="H41" t="str">
            <v>TA</v>
          </cell>
          <cell r="I41">
            <v>175000</v>
          </cell>
          <cell r="J41">
            <v>0</v>
          </cell>
          <cell r="K41">
            <v>175000</v>
          </cell>
          <cell r="L41">
            <v>0</v>
          </cell>
          <cell r="M41">
            <v>0</v>
          </cell>
          <cell r="N41">
            <v>0</v>
          </cell>
          <cell r="O41" t="str">
            <v xml:space="preserve">  BELI 1 UNIT SITE SAND PUMP 3.3/4"</v>
          </cell>
          <cell r="P41" t="str">
            <v>PROD</v>
          </cell>
        </row>
        <row r="42">
          <cell r="B42" t="str">
            <v>SUB</v>
          </cell>
          <cell r="C42" t="str">
            <v>M</v>
          </cell>
          <cell r="D42">
            <v>3</v>
          </cell>
          <cell r="I42">
            <v>427700</v>
          </cell>
          <cell r="J42">
            <v>0</v>
          </cell>
          <cell r="K42">
            <v>427700</v>
          </cell>
          <cell r="L42">
            <v>0</v>
          </cell>
          <cell r="M42">
            <v>0</v>
          </cell>
          <cell r="N42">
            <v>0</v>
          </cell>
        </row>
        <row r="43">
          <cell r="B43" t="str">
            <v>TOTAL</v>
          </cell>
          <cell r="C43" t="str">
            <v>G</v>
          </cell>
          <cell r="D43">
            <v>2</v>
          </cell>
          <cell r="I43">
            <v>4321500</v>
          </cell>
          <cell r="J43">
            <v>0</v>
          </cell>
          <cell r="K43">
            <v>4321500</v>
          </cell>
          <cell r="L43">
            <v>0</v>
          </cell>
          <cell r="M43">
            <v>0</v>
          </cell>
          <cell r="N43">
            <v>0</v>
          </cell>
        </row>
        <row r="44">
          <cell r="B44" t="str">
            <v>AST-5</v>
          </cell>
          <cell r="C44" t="str">
            <v>M+G</v>
          </cell>
          <cell r="D44">
            <v>5</v>
          </cell>
          <cell r="I44">
            <v>4749200</v>
          </cell>
          <cell r="J44">
            <v>0</v>
          </cell>
          <cell r="K44">
            <v>4749200</v>
          </cell>
          <cell r="L44">
            <v>0</v>
          </cell>
          <cell r="M44">
            <v>0</v>
          </cell>
          <cell r="N44">
            <v>0</v>
          </cell>
        </row>
        <row r="47">
          <cell r="I47">
            <v>4749200</v>
          </cell>
          <cell r="J47">
            <v>0</v>
          </cell>
          <cell r="K47">
            <v>4749200</v>
          </cell>
          <cell r="L47">
            <v>0</v>
          </cell>
          <cell r="M47">
            <v>0</v>
          </cell>
          <cell r="N47">
            <v>0</v>
          </cell>
        </row>
        <row r="48">
          <cell r="B48">
            <v>8</v>
          </cell>
          <cell r="C48" t="str">
            <v>G</v>
          </cell>
          <cell r="D48" t="str">
            <v>9D98.01</v>
          </cell>
          <cell r="E48" t="str">
            <v>8D98.01</v>
          </cell>
          <cell r="F48" t="str">
            <v>EPO</v>
          </cell>
          <cell r="G48" t="str">
            <v>RTT</v>
          </cell>
          <cell r="H48" t="str">
            <v>GT</v>
          </cell>
          <cell r="I48">
            <v>2500000</v>
          </cell>
          <cell r="J48">
            <v>0</v>
          </cell>
          <cell r="K48">
            <v>2500000</v>
          </cell>
          <cell r="L48">
            <v>0</v>
          </cell>
          <cell r="M48">
            <v>0</v>
          </cell>
          <cell r="N48">
            <v>0</v>
          </cell>
          <cell r="O48" t="str">
            <v xml:space="preserve">  BELI 1 UNIT MOBIL PEMADAM ( CRASH TENDER)</v>
          </cell>
          <cell r="P48" t="str">
            <v>LK-3</v>
          </cell>
        </row>
        <row r="49">
          <cell r="B49">
            <v>8</v>
          </cell>
          <cell r="C49" t="str">
            <v>G</v>
          </cell>
          <cell r="D49" t="str">
            <v>9D98.01</v>
          </cell>
          <cell r="E49" t="str">
            <v>8D98.01</v>
          </cell>
          <cell r="F49" t="str">
            <v>EPO</v>
          </cell>
          <cell r="G49" t="str">
            <v>RTT</v>
          </cell>
          <cell r="H49" t="str">
            <v>GT</v>
          </cell>
          <cell r="I49">
            <v>2500000</v>
          </cell>
          <cell r="J49">
            <v>0</v>
          </cell>
          <cell r="K49">
            <v>2500000</v>
          </cell>
          <cell r="L49">
            <v>0</v>
          </cell>
          <cell r="M49">
            <v>0</v>
          </cell>
          <cell r="N49">
            <v>0</v>
          </cell>
          <cell r="O49" t="str">
            <v xml:space="preserve">  BELI 1 UNIT MOBIL PEMADAM ( CRASH TENDER)</v>
          </cell>
          <cell r="P49" t="str">
            <v>LK-3</v>
          </cell>
        </row>
        <row r="50">
          <cell r="B50" t="str">
            <v>SUB</v>
          </cell>
          <cell r="C50" t="str">
            <v>M</v>
          </cell>
          <cell r="D50">
            <v>0</v>
          </cell>
          <cell r="I50">
            <v>0</v>
          </cell>
          <cell r="J50">
            <v>0</v>
          </cell>
          <cell r="K50">
            <v>0</v>
          </cell>
          <cell r="L50">
            <v>0</v>
          </cell>
          <cell r="M50">
            <v>0</v>
          </cell>
          <cell r="N50">
            <v>0</v>
          </cell>
        </row>
        <row r="51">
          <cell r="B51" t="str">
            <v>TOTAL</v>
          </cell>
          <cell r="C51" t="str">
            <v>G</v>
          </cell>
          <cell r="D51">
            <v>1</v>
          </cell>
          <cell r="I51">
            <v>2500000</v>
          </cell>
          <cell r="J51">
            <v>0</v>
          </cell>
          <cell r="K51">
            <v>2500000</v>
          </cell>
          <cell r="L51">
            <v>0</v>
          </cell>
          <cell r="M51">
            <v>0</v>
          </cell>
          <cell r="N51">
            <v>0</v>
          </cell>
        </row>
        <row r="52">
          <cell r="B52" t="str">
            <v>AST-8</v>
          </cell>
          <cell r="C52" t="str">
            <v>M+G</v>
          </cell>
          <cell r="D52">
            <v>1</v>
          </cell>
          <cell r="I52">
            <v>2500000</v>
          </cell>
          <cell r="J52">
            <v>0</v>
          </cell>
          <cell r="K52">
            <v>2500000</v>
          </cell>
          <cell r="L52">
            <v>0</v>
          </cell>
          <cell r="M52">
            <v>0</v>
          </cell>
          <cell r="N52">
            <v>0</v>
          </cell>
        </row>
        <row r="53">
          <cell r="I53">
            <v>2500000</v>
          </cell>
          <cell r="J53">
            <v>0</v>
          </cell>
          <cell r="K53">
            <v>2500000</v>
          </cell>
          <cell r="L53">
            <v>0</v>
          </cell>
          <cell r="M53">
            <v>0</v>
          </cell>
          <cell r="N53">
            <v>0</v>
          </cell>
        </row>
        <row r="54">
          <cell r="B54">
            <v>9</v>
          </cell>
          <cell r="C54" t="str">
            <v>G</v>
          </cell>
          <cell r="D54" t="str">
            <v>9D99.01</v>
          </cell>
          <cell r="F54" t="str">
            <v>UB</v>
          </cell>
          <cell r="G54" t="str">
            <v>RTT</v>
          </cell>
          <cell r="H54" t="str">
            <v>GT</v>
          </cell>
          <cell r="I54">
            <v>12000</v>
          </cell>
          <cell r="J54">
            <v>0</v>
          </cell>
          <cell r="K54">
            <v>12000</v>
          </cell>
          <cell r="L54">
            <v>0</v>
          </cell>
          <cell r="M54">
            <v>0</v>
          </cell>
          <cell r="N54">
            <v>0</v>
          </cell>
          <cell r="O54" t="str">
            <v xml:space="preserve">  BELI  1  UNIT  ELECTRIC PORTABLE GRINDER</v>
          </cell>
          <cell r="P54" t="str">
            <v>LOG</v>
          </cell>
        </row>
        <row r="55">
          <cell r="C55" t="str">
            <v>G</v>
          </cell>
          <cell r="D55" t="str">
            <v>9D99.02</v>
          </cell>
          <cell r="F55" t="str">
            <v>UB</v>
          </cell>
          <cell r="G55" t="str">
            <v>RTT</v>
          </cell>
          <cell r="H55" t="str">
            <v>GT</v>
          </cell>
          <cell r="I55">
            <v>6325</v>
          </cell>
          <cell r="J55">
            <v>0</v>
          </cell>
          <cell r="K55">
            <v>6325</v>
          </cell>
          <cell r="L55">
            <v>0</v>
          </cell>
          <cell r="M55">
            <v>0</v>
          </cell>
          <cell r="N55">
            <v>0</v>
          </cell>
          <cell r="O55" t="str">
            <v xml:space="preserve">  BELI  1   UNIT  HYDRAULIC JACK   CAP. 5 TON</v>
          </cell>
          <cell r="P55" t="str">
            <v>LOG</v>
          </cell>
        </row>
        <row r="56">
          <cell r="C56" t="str">
            <v>G</v>
          </cell>
          <cell r="D56" t="str">
            <v>9D99.03</v>
          </cell>
          <cell r="F56" t="str">
            <v>UB</v>
          </cell>
          <cell r="G56" t="str">
            <v>RTT</v>
          </cell>
          <cell r="H56" t="str">
            <v>GT</v>
          </cell>
          <cell r="I56">
            <v>7500</v>
          </cell>
          <cell r="J56">
            <v>0</v>
          </cell>
          <cell r="K56">
            <v>7500</v>
          </cell>
          <cell r="L56">
            <v>0</v>
          </cell>
          <cell r="M56">
            <v>0</v>
          </cell>
          <cell r="N56">
            <v>0</v>
          </cell>
          <cell r="O56" t="str">
            <v xml:space="preserve">  BELI   1  UNIT  WIRE ROPE CUTTER</v>
          </cell>
          <cell r="P56" t="str">
            <v>LOG</v>
          </cell>
        </row>
        <row r="57">
          <cell r="C57" t="str">
            <v>G</v>
          </cell>
          <cell r="D57" t="str">
            <v>9D99.04</v>
          </cell>
          <cell r="E57" t="str">
            <v>8D99.06</v>
          </cell>
          <cell r="F57" t="str">
            <v>EPO</v>
          </cell>
          <cell r="G57" t="str">
            <v>RTT</v>
          </cell>
          <cell r="H57" t="str">
            <v>GT</v>
          </cell>
          <cell r="I57">
            <v>1050000</v>
          </cell>
          <cell r="J57">
            <v>0</v>
          </cell>
          <cell r="K57">
            <v>1050000</v>
          </cell>
          <cell r="L57">
            <v>0</v>
          </cell>
          <cell r="M57">
            <v>0</v>
          </cell>
          <cell r="N57">
            <v>0</v>
          </cell>
          <cell r="O57" t="str">
            <v xml:space="preserve">  BELI 1 SET DENTAL UNIT LENGKAP DENTA CHAIR </v>
          </cell>
          <cell r="P57" t="str">
            <v>KES</v>
          </cell>
        </row>
        <row r="58">
          <cell r="O58" t="str">
            <v xml:space="preserve">  DAN ASSESORI</v>
          </cell>
        </row>
        <row r="59">
          <cell r="C59" t="str">
            <v>M</v>
          </cell>
          <cell r="D59" t="str">
            <v>9D99.05</v>
          </cell>
          <cell r="F59" t="str">
            <v>UB</v>
          </cell>
          <cell r="G59" t="str">
            <v>RTT</v>
          </cell>
          <cell r="H59" t="str">
            <v>GT</v>
          </cell>
          <cell r="I59">
            <v>9000</v>
          </cell>
          <cell r="J59">
            <v>0</v>
          </cell>
          <cell r="K59">
            <v>9000</v>
          </cell>
          <cell r="L59">
            <v>0</v>
          </cell>
          <cell r="M59">
            <v>0</v>
          </cell>
          <cell r="N59">
            <v>0</v>
          </cell>
          <cell r="O59" t="str">
            <v xml:space="preserve">  BELI 1 BH WALL THICKNESS METER COMPL. WITH</v>
          </cell>
          <cell r="P59" t="str">
            <v>LK-3</v>
          </cell>
        </row>
        <row r="60">
          <cell r="O60" t="str">
            <v xml:space="preserve">  PROBE TYPE DM-3</v>
          </cell>
        </row>
        <row r="61">
          <cell r="C61" t="str">
            <v>M</v>
          </cell>
          <cell r="D61" t="str">
            <v>9D99.06</v>
          </cell>
          <cell r="F61" t="str">
            <v>UB</v>
          </cell>
          <cell r="G61" t="str">
            <v>RTT</v>
          </cell>
          <cell r="H61" t="str">
            <v>GT</v>
          </cell>
          <cell r="I61">
            <v>16000</v>
          </cell>
          <cell r="J61">
            <v>0</v>
          </cell>
          <cell r="K61">
            <v>16000</v>
          </cell>
          <cell r="L61">
            <v>0</v>
          </cell>
          <cell r="M61">
            <v>0</v>
          </cell>
          <cell r="N61">
            <v>0</v>
          </cell>
          <cell r="O61" t="str">
            <v xml:space="preserve">  BELI 1 UNIT HARDNESS TESTER</v>
          </cell>
          <cell r="P61" t="str">
            <v>LK-3</v>
          </cell>
        </row>
        <row r="62">
          <cell r="C62" t="str">
            <v>M</v>
          </cell>
          <cell r="D62" t="str">
            <v>9D99.07</v>
          </cell>
          <cell r="E62" t="str">
            <v>8D99.08</v>
          </cell>
          <cell r="F62" t="str">
            <v>EPO</v>
          </cell>
          <cell r="G62" t="str">
            <v>RTT</v>
          </cell>
          <cell r="H62" t="str">
            <v>GT</v>
          </cell>
          <cell r="I62">
            <v>100000</v>
          </cell>
          <cell r="J62">
            <v>0</v>
          </cell>
          <cell r="K62">
            <v>100000</v>
          </cell>
          <cell r="L62">
            <v>0</v>
          </cell>
          <cell r="M62">
            <v>0</v>
          </cell>
          <cell r="N62">
            <v>0</v>
          </cell>
          <cell r="O62" t="str">
            <v xml:space="preserve">  BELI 1 UNIT FIRE PUMP</v>
          </cell>
          <cell r="P62" t="str">
            <v>LK-3</v>
          </cell>
        </row>
        <row r="63">
          <cell r="C63" t="str">
            <v>M</v>
          </cell>
          <cell r="D63" t="str">
            <v>9D99.07</v>
          </cell>
          <cell r="E63" t="str">
            <v>8D99.08</v>
          </cell>
          <cell r="F63" t="str">
            <v>EPO</v>
          </cell>
          <cell r="G63" t="str">
            <v>RTT</v>
          </cell>
          <cell r="H63" t="str">
            <v>GT</v>
          </cell>
          <cell r="I63">
            <v>100000</v>
          </cell>
          <cell r="J63">
            <v>0</v>
          </cell>
          <cell r="K63">
            <v>100000</v>
          </cell>
          <cell r="L63">
            <v>0</v>
          </cell>
          <cell r="M63">
            <v>0</v>
          </cell>
          <cell r="N63">
            <v>0</v>
          </cell>
          <cell r="O63" t="str">
            <v xml:space="preserve">  BELI 1 UNIT FIRE PUMP</v>
          </cell>
          <cell r="P63" t="str">
            <v>LK-3</v>
          </cell>
        </row>
        <row r="64">
          <cell r="B64" t="str">
            <v>SUB</v>
          </cell>
          <cell r="C64" t="str">
            <v>M</v>
          </cell>
          <cell r="D64">
            <v>3</v>
          </cell>
          <cell r="I64">
            <v>125000</v>
          </cell>
          <cell r="J64">
            <v>0</v>
          </cell>
          <cell r="K64">
            <v>125000</v>
          </cell>
          <cell r="L64">
            <v>0</v>
          </cell>
          <cell r="M64">
            <v>0</v>
          </cell>
          <cell r="N64">
            <v>0</v>
          </cell>
        </row>
        <row r="65">
          <cell r="B65" t="str">
            <v>TOTAL</v>
          </cell>
          <cell r="C65" t="str">
            <v>G</v>
          </cell>
          <cell r="D65">
            <v>4</v>
          </cell>
          <cell r="I65">
            <v>1075825</v>
          </cell>
          <cell r="J65">
            <v>0</v>
          </cell>
          <cell r="K65">
            <v>1075825</v>
          </cell>
          <cell r="L65">
            <v>0</v>
          </cell>
          <cell r="M65">
            <v>0</v>
          </cell>
          <cell r="N65">
            <v>0</v>
          </cell>
        </row>
        <row r="66">
          <cell r="B66" t="str">
            <v>AST-9</v>
          </cell>
          <cell r="C66" t="str">
            <v>M+G</v>
          </cell>
          <cell r="D66">
            <v>7</v>
          </cell>
          <cell r="I66">
            <v>1200825</v>
          </cell>
          <cell r="J66">
            <v>0</v>
          </cell>
          <cell r="K66">
            <v>1200825</v>
          </cell>
          <cell r="L66">
            <v>0</v>
          </cell>
          <cell r="M66">
            <v>0</v>
          </cell>
          <cell r="N66">
            <v>0</v>
          </cell>
        </row>
        <row r="67">
          <cell r="B67" t="str">
            <v>TOTAL</v>
          </cell>
          <cell r="C67" t="str">
            <v>M</v>
          </cell>
          <cell r="D67">
            <v>11</v>
          </cell>
          <cell r="I67">
            <v>4584390.148</v>
          </cell>
          <cell r="J67">
            <v>1549140</v>
          </cell>
          <cell r="K67">
            <v>20075790.148000002</v>
          </cell>
          <cell r="L67">
            <v>0</v>
          </cell>
          <cell r="M67">
            <v>0</v>
          </cell>
          <cell r="N67">
            <v>0</v>
          </cell>
        </row>
        <row r="68">
          <cell r="B68" t="str">
            <v>AST 0-9</v>
          </cell>
          <cell r="C68" t="str">
            <v>G</v>
          </cell>
          <cell r="D68">
            <v>9</v>
          </cell>
          <cell r="I68">
            <v>9178834.2939999998</v>
          </cell>
          <cell r="J68">
            <v>258254</v>
          </cell>
          <cell r="K68">
            <v>11761374.294</v>
          </cell>
          <cell r="L68">
            <v>0</v>
          </cell>
          <cell r="M68">
            <v>0</v>
          </cell>
          <cell r="N68">
            <v>0</v>
          </cell>
        </row>
        <row r="69">
          <cell r="B69" t="str">
            <v>TOTAL</v>
          </cell>
          <cell r="C69" t="str">
            <v>M+G</v>
          </cell>
          <cell r="D69">
            <v>20</v>
          </cell>
          <cell r="I69">
            <v>13763224.442</v>
          </cell>
          <cell r="J69">
            <v>1807394</v>
          </cell>
          <cell r="K69">
            <v>31837164.442000002</v>
          </cell>
          <cell r="L69">
            <v>0</v>
          </cell>
          <cell r="M69">
            <v>0</v>
          </cell>
          <cell r="N69">
            <v>0</v>
          </cell>
        </row>
        <row r="70">
          <cell r="I70">
            <v>13763224.442</v>
          </cell>
          <cell r="J70">
            <v>1807394</v>
          </cell>
          <cell r="K70">
            <v>31837164.442000002</v>
          </cell>
          <cell r="L70">
            <v>0</v>
          </cell>
          <cell r="M70">
            <v>0</v>
          </cell>
          <cell r="N70">
            <v>0</v>
          </cell>
        </row>
        <row r="71">
          <cell r="D71" t="str">
            <v>KETERANGAN  :</v>
          </cell>
          <cell r="G71" t="str">
            <v>UB</v>
          </cell>
          <cell r="H71" t="str">
            <v>=</v>
          </cell>
          <cell r="I71" t="str">
            <v>USUL BARU</v>
          </cell>
          <cell r="K71" t="str">
            <v>EPO</v>
          </cell>
          <cell r="L71" t="str">
            <v>=</v>
          </cell>
          <cell r="M71" t="str">
            <v>Ex. PHASING-OUT</v>
          </cell>
        </row>
        <row r="72">
          <cell r="G72" t="str">
            <v>CO</v>
          </cell>
          <cell r="H72" t="str">
            <v>=</v>
          </cell>
          <cell r="I72" t="str">
            <v>CARRY-OVER</v>
          </cell>
          <cell r="K72" t="str">
            <v>RT</v>
          </cell>
          <cell r="L72" t="str">
            <v>=</v>
          </cell>
          <cell r="M72" t="str">
            <v>RUTIN TAHUNAN</v>
          </cell>
        </row>
        <row r="73">
          <cell r="C73" t="str">
            <v>M</v>
          </cell>
          <cell r="D73">
            <v>11</v>
          </cell>
          <cell r="E73" t="str">
            <v>asset</v>
          </cell>
          <cell r="G73" t="str">
            <v>GT</v>
          </cell>
          <cell r="H73" t="str">
            <v>=</v>
          </cell>
          <cell r="I73" t="str">
            <v>PENGGANTIAN</v>
          </cell>
          <cell r="K73" t="str">
            <v>RTT</v>
          </cell>
          <cell r="L73" t="str">
            <v>=</v>
          </cell>
          <cell r="M73" t="str">
            <v>RUTIN TDK TAHUNAN</v>
          </cell>
        </row>
        <row r="74">
          <cell r="C74" t="str">
            <v>G</v>
          </cell>
          <cell r="D74">
            <v>9</v>
          </cell>
          <cell r="E74" t="str">
            <v>asset</v>
          </cell>
          <cell r="G74" t="str">
            <v>TA</v>
          </cell>
          <cell r="H74" t="str">
            <v>=</v>
          </cell>
          <cell r="I74" t="str">
            <v>PENAMBAHAN</v>
          </cell>
          <cell r="K74" t="str">
            <v>DUB</v>
          </cell>
          <cell r="L74" t="str">
            <v>=</v>
          </cell>
          <cell r="M74" t="str">
            <v>DIUSUL BARUKAN</v>
          </cell>
        </row>
        <row r="75">
          <cell r="C75" t="str">
            <v>Total</v>
          </cell>
          <cell r="D75">
            <v>20</v>
          </cell>
          <cell r="E75" t="str">
            <v>asset</v>
          </cell>
          <cell r="G75" t="str">
            <v xml:space="preserve">   PADA TOTAL ASSET  TERMASUK  M.A.  YANG  DI  PHASING OUT.</v>
          </cell>
        </row>
      </sheetData>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refreshError="1"/>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ow r="1">
          <cell r="B1" t="str">
            <v>REKAPITULASI  ANGGARAN  BIAYA  INVESTASI  TF  1999 / 2000</v>
          </cell>
        </row>
      </sheetData>
      <sheetData sheetId="70" refreshError="1"/>
      <sheetData sheetId="71">
        <row r="1">
          <cell r="B1" t="str">
            <v>REKAPITULASI  ANGGARAN  BIAYA  INVESTASI  TF  1999 / 2000</v>
          </cell>
        </row>
      </sheetData>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sheetData sheetId="100">
        <row r="1">
          <cell r="B1" t="str">
            <v>REKAPITULASI  ANGGARAN  BIAYA  INVESTASI  TF  1999 / 2000</v>
          </cell>
        </row>
      </sheetData>
      <sheetData sheetId="101"/>
      <sheetData sheetId="102">
        <row r="1">
          <cell r="B1" t="str">
            <v>REKAPITULASI  ANGGARAN  BIAYA  INVESTASI  TF  1999 / 2000</v>
          </cell>
        </row>
      </sheetData>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sheetData sheetId="131"/>
      <sheetData sheetId="132"/>
      <sheetData sheetId="133"/>
      <sheetData sheetId="134"/>
      <sheetData sheetId="135"/>
      <sheetData sheetId="136"/>
      <sheetData sheetId="137"/>
      <sheetData sheetId="138"/>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ow r="1">
          <cell r="B1" t="str">
            <v>REKAPITULASI  ANGGARAN  BIAYA  INVESTASI  TF  1999 / 2000</v>
          </cell>
        </row>
      </sheetData>
      <sheetData sheetId="198">
        <row r="1">
          <cell r="B1" t="str">
            <v>REKAPITULASI  ANGGARAN  BIAYA  INVESTASI  TF  1999 / 2000</v>
          </cell>
        </row>
      </sheetData>
      <sheetData sheetId="199">
        <row r="1">
          <cell r="B1" t="str">
            <v>REKAPITULASI  ANGGARAN  BIAYA  INVESTASI  TF  1999 / 2000</v>
          </cell>
        </row>
      </sheetData>
      <sheetData sheetId="200">
        <row r="1">
          <cell r="B1" t="str">
            <v>REKAPITULASI  ANGGARAN  BIAYA  INVESTASI  TF  1999 / 2000</v>
          </cell>
        </row>
      </sheetData>
      <sheetData sheetId="201">
        <row r="1">
          <cell r="B1" t="str">
            <v>REKAPITULASI  ANGGARAN  BIAYA  INVESTASI  TF  1999 / 2000</v>
          </cell>
        </row>
      </sheetData>
      <sheetData sheetId="202">
        <row r="1">
          <cell r="B1" t="str">
            <v>REKAPITULASI  ANGGARAN  BIAYA  INVESTASI  TF  1999 / 2000</v>
          </cell>
        </row>
      </sheetData>
      <sheetData sheetId="203">
        <row r="1">
          <cell r="B1" t="str">
            <v>REKAPITULASI  ANGGARAN  BIAYA  INVESTASI  TF  1999 / 2000</v>
          </cell>
        </row>
      </sheetData>
      <sheetData sheetId="204">
        <row r="1">
          <cell r="B1" t="str">
            <v>REKAPITULASI  ANGGARAN  BIAYA  INVESTASI  TF  1999 / 2000</v>
          </cell>
        </row>
      </sheetData>
      <sheetData sheetId="205">
        <row r="1">
          <cell r="B1" t="str">
            <v>REKAPITULASI  ANGGARAN  BIAYA  INVESTASI  TF  1999 / 2000</v>
          </cell>
        </row>
      </sheetData>
      <sheetData sheetId="206">
        <row r="1">
          <cell r="B1" t="str">
            <v>REKAPITULASI  ANGGARAN  BIAYA  INVESTASI  TF  1999 / 2000</v>
          </cell>
        </row>
      </sheetData>
      <sheetData sheetId="207">
        <row r="1">
          <cell r="B1" t="str">
            <v>REKAPITULASI  ANGGARAN  BIAYA  INVESTASI  TF  1999 / 2000</v>
          </cell>
        </row>
      </sheetData>
      <sheetData sheetId="208">
        <row r="1">
          <cell r="B1" t="str">
            <v>REKAPITULASI  ANGGARAN  BIAYA  INVESTASI  TF  1999 / 2000</v>
          </cell>
        </row>
      </sheetData>
      <sheetData sheetId="209">
        <row r="1">
          <cell r="B1" t="str">
            <v>REKAPITULASI  ANGGARAN  BIAYA  INVESTASI  TF  1999 / 2000</v>
          </cell>
        </row>
      </sheetData>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sheetData sheetId="236">
        <row r="1">
          <cell r="B1" t="str">
            <v>REKAPITULASI  ANGGARAN  BIAYA  INVESTASI  TF  1999 / 2000</v>
          </cell>
        </row>
      </sheetData>
      <sheetData sheetId="237">
        <row r="1">
          <cell r="B1" t="str">
            <v>REKAPITULASI  ANGGARAN  BIAYA  INVESTASI  TF  1999 / 2000</v>
          </cell>
        </row>
      </sheetData>
      <sheetData sheetId="238">
        <row r="1">
          <cell r="B1" t="str">
            <v>REKAPITULASI  ANGGARAN  BIAYA  INVESTASI  TF  1999 / 2000</v>
          </cell>
        </row>
      </sheetData>
      <sheetData sheetId="239">
        <row r="1">
          <cell r="B1" t="str">
            <v>REKAPITULASI  ANGGARAN  BIAYA  INVESTASI  TF  1999 / 2000</v>
          </cell>
        </row>
      </sheetData>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ow r="1">
          <cell r="B1" t="str">
            <v>REKAPITULASI  ANGGARAN  BIAYA  INVESTASI  TF  1999 / 2000</v>
          </cell>
        </row>
      </sheetData>
      <sheetData sheetId="256">
        <row r="1">
          <cell r="B1" t="str">
            <v>REKAPITULASI  ANGGARAN  BIAYA  INVESTASI  TF  1999 / 2000</v>
          </cell>
        </row>
      </sheetData>
      <sheetData sheetId="257" refreshError="1"/>
      <sheetData sheetId="258" refreshError="1"/>
      <sheetData sheetId="259">
        <row r="1">
          <cell r="B1" t="str">
            <v>REKAPITULASI  ANGGARAN  BIAYA  INVESTASI  TF  1999 / 2000</v>
          </cell>
        </row>
      </sheetData>
      <sheetData sheetId="260">
        <row r="1">
          <cell r="B1" t="str">
            <v>REKAPITULASI  ANGGARAN  BIAYA  INVESTASI  TF  1999 / 2000</v>
          </cell>
        </row>
      </sheetData>
      <sheetData sheetId="261"/>
      <sheetData sheetId="262">
        <row r="1">
          <cell r="B1" t="str">
            <v>REKAPITULASI  ANGGARAN  BIAYA  INVESTASI  TF  1999 / 2000</v>
          </cell>
        </row>
      </sheetData>
      <sheetData sheetId="263">
        <row r="1">
          <cell r="B1" t="str">
            <v>REKAPITULASI  ANGGARAN  BIAYA  INVESTASI  TF  1999 / 2000</v>
          </cell>
        </row>
      </sheetData>
      <sheetData sheetId="264">
        <row r="1">
          <cell r="B1" t="str">
            <v>REKAPITULASI  ANGGARAN  BIAYA  INVESTASI  TF  1999 / 2000</v>
          </cell>
        </row>
      </sheetData>
      <sheetData sheetId="265">
        <row r="1">
          <cell r="B1" t="str">
            <v>REKAPITULASI  ANGGARAN  BIAYA  INVESTASI  TF  1999 / 2000</v>
          </cell>
        </row>
      </sheetData>
      <sheetData sheetId="266">
        <row r="1">
          <cell r="B1" t="str">
            <v>REKAPITULASI  ANGGARAN  BIAYA  INVESTASI  TF  1999 / 2000</v>
          </cell>
        </row>
      </sheetData>
      <sheetData sheetId="267">
        <row r="1">
          <cell r="B1" t="str">
            <v>REKAPITULASI  ANGGARAN  BIAYA  INVESTASI  TF  1999 / 2000</v>
          </cell>
        </row>
      </sheetData>
      <sheetData sheetId="268">
        <row r="1">
          <cell r="B1" t="str">
            <v>REKAPITULASI  ANGGARAN  BIAYA  INVESTASI  TF  1999 / 2000</v>
          </cell>
        </row>
      </sheetData>
      <sheetData sheetId="269">
        <row r="1">
          <cell r="B1" t="str">
            <v>REKAPITULASI  ANGGARAN  BIAYA  INVESTASI  TF  1999 / 2000</v>
          </cell>
        </row>
      </sheetData>
      <sheetData sheetId="270"/>
      <sheetData sheetId="271">
        <row r="1">
          <cell r="B1" t="str">
            <v>REKAPITULASI  ANGGARAN  BIAYA  INVESTASI  TF  1999 / 2000</v>
          </cell>
        </row>
      </sheetData>
      <sheetData sheetId="272">
        <row r="1">
          <cell r="B1" t="str">
            <v>REKAPITULASI  ANGGARAN  BIAYA  INVESTASI  TF  1999 / 2000</v>
          </cell>
        </row>
      </sheetData>
      <sheetData sheetId="273">
        <row r="1">
          <cell r="B1" t="str">
            <v>REKAPITULASI  ANGGARAN  BIAYA  INVESTASI  TF  1999 / 2000</v>
          </cell>
        </row>
      </sheetData>
      <sheetData sheetId="274">
        <row r="1">
          <cell r="B1" t="str">
            <v>REKAPITULASI  ANGGARAN  BIAYA  INVESTASI  TF  1999 / 2000</v>
          </cell>
        </row>
      </sheetData>
      <sheetData sheetId="275">
        <row r="1">
          <cell r="B1" t="str">
            <v>REKAPITULASI  ANGGARAN  BIAYA  INVESTASI  TF  1999 / 2000</v>
          </cell>
        </row>
      </sheetData>
      <sheetData sheetId="276">
        <row r="1">
          <cell r="B1" t="str">
            <v>REKAPITULASI  ANGGARAN  BIAYA  INVESTASI  TF  1999 / 2000</v>
          </cell>
        </row>
      </sheetData>
      <sheetData sheetId="277">
        <row r="1">
          <cell r="B1" t="str">
            <v>REKAPITULASI  ANGGARAN  BIAYA  INVESTASI  TF  1999 / 2000</v>
          </cell>
        </row>
      </sheetData>
      <sheetData sheetId="278">
        <row r="1">
          <cell r="B1" t="str">
            <v>REKAPITULASI  ANGGARAN  BIAYA  INVESTASI  TF  1999 / 2000</v>
          </cell>
        </row>
      </sheetData>
      <sheetData sheetId="279"/>
      <sheetData sheetId="280">
        <row r="1">
          <cell r="B1" t="str">
            <v>REKAPITULASI  ANGGARAN  BIAYA  INVESTASI  TF  1999 / 2000</v>
          </cell>
        </row>
      </sheetData>
      <sheetData sheetId="281"/>
      <sheetData sheetId="282">
        <row r="1">
          <cell r="B1" t="str">
            <v>REKAPITULASI  ANGGARAN  BIAYA  INVESTASI  TF  1999 / 2000</v>
          </cell>
        </row>
      </sheetData>
      <sheetData sheetId="283">
        <row r="1">
          <cell r="B1" t="str">
            <v>REKAPITULASI  ANGGARAN  BIAYA  INVESTASI  TF  1999 / 2000</v>
          </cell>
        </row>
      </sheetData>
      <sheetData sheetId="284">
        <row r="1">
          <cell r="B1" t="str">
            <v>REKAPITULASI  ANGGARAN  BIAYA  INVESTASI  TF  1999 / 2000</v>
          </cell>
        </row>
      </sheetData>
      <sheetData sheetId="285">
        <row r="1">
          <cell r="B1" t="str">
            <v>REKAPITULASI  ANGGARAN  BIAYA  INVESTASI  TF  1999 / 2000</v>
          </cell>
        </row>
      </sheetData>
      <sheetData sheetId="286">
        <row r="1">
          <cell r="B1" t="str">
            <v>REKAPITULASI  ANGGARAN  BIAYA  INVESTASI  TF  1999 / 2000</v>
          </cell>
        </row>
      </sheetData>
      <sheetData sheetId="287">
        <row r="1">
          <cell r="B1" t="str">
            <v>REKAPITULASI  ANGGARAN  BIAYA  INVESTASI  TF  1999 / 2000</v>
          </cell>
        </row>
      </sheetData>
      <sheetData sheetId="288">
        <row r="1">
          <cell r="B1" t="str">
            <v>REKAPITULASI  ANGGARAN  BIAYA  INVESTASI  TF  1999 / 2000</v>
          </cell>
        </row>
      </sheetData>
      <sheetData sheetId="289">
        <row r="1">
          <cell r="B1" t="str">
            <v>REKAPITULASI  ANGGARAN  BIAYA  INVESTASI  TF  1999 / 2000</v>
          </cell>
        </row>
      </sheetData>
      <sheetData sheetId="290"/>
      <sheetData sheetId="291">
        <row r="1">
          <cell r="B1" t="str">
            <v>REKAPITULASI  ANGGARAN  BIAYA  INVESTASI  TF  1999 / 2000</v>
          </cell>
        </row>
      </sheetData>
      <sheetData sheetId="292">
        <row r="1">
          <cell r="B1" t="str">
            <v>REKAPITULASI  ANGGARAN  BIAYA  INVESTASI  TF  1999 / 2000</v>
          </cell>
        </row>
      </sheetData>
      <sheetData sheetId="293">
        <row r="1">
          <cell r="B1" t="str">
            <v>REKAPITULASI  ANGGARAN  BIAYA  INVESTASI  TF  1999 / 2000</v>
          </cell>
        </row>
      </sheetData>
      <sheetData sheetId="294">
        <row r="1">
          <cell r="B1" t="str">
            <v>REKAPITULASI  ANGGARAN  BIAYA  INVESTASI  TF  1999 / 2000</v>
          </cell>
        </row>
      </sheetData>
      <sheetData sheetId="295"/>
      <sheetData sheetId="296">
        <row r="1">
          <cell r="B1" t="str">
            <v>REKAPITULASI  ANGGARAN  BIAYA  INVESTASI  TF  1999 / 2000</v>
          </cell>
        </row>
      </sheetData>
      <sheetData sheetId="297">
        <row r="1">
          <cell r="B1" t="str">
            <v>REKAPITULASI  ANGGARAN  BIAYA  INVESTASI  TF  1999 / 2000</v>
          </cell>
        </row>
      </sheetData>
      <sheetData sheetId="298"/>
      <sheetData sheetId="299"/>
      <sheetData sheetId="300">
        <row r="1">
          <cell r="B1" t="str">
            <v>REKAPITULASI  ANGGARAN  BIAYA  INVESTASI  TF  1999 / 2000</v>
          </cell>
        </row>
      </sheetData>
      <sheetData sheetId="301">
        <row r="1">
          <cell r="B1" t="str">
            <v>REKAPITULASI  ANGGARAN  BIAYA  INVESTASI  TF  1999 / 2000</v>
          </cell>
        </row>
      </sheetData>
      <sheetData sheetId="302"/>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ow r="1">
          <cell r="B1" t="str">
            <v>REKAPITULASI  ANGGARAN  BIAYA  INVESTASI  TF  1999 / 2000</v>
          </cell>
        </row>
      </sheetData>
      <sheetData sheetId="313">
        <row r="1">
          <cell r="B1" t="str">
            <v>REKAPITULASI  ANGGARAN  BIAYA  INVESTASI  TF  1999 / 2000</v>
          </cell>
        </row>
      </sheetData>
      <sheetData sheetId="314">
        <row r="1">
          <cell r="B1" t="str">
            <v>REKAPITULASI  ANGGARAN  BIAYA  INVESTASI  TF  1999 / 2000</v>
          </cell>
        </row>
      </sheetData>
      <sheetData sheetId="315">
        <row r="1">
          <cell r="B1" t="str">
            <v>REKAPITULASI  ANGGARAN  BIAYA  INVESTASI  TF  1999 / 2000</v>
          </cell>
        </row>
      </sheetData>
      <sheetData sheetId="316">
        <row r="1">
          <cell r="B1" t="str">
            <v>REKAPITULASI  ANGGARAN  BIAYA  INVESTASI  TF  1999 / 2000</v>
          </cell>
        </row>
      </sheetData>
      <sheetData sheetId="317">
        <row r="1">
          <cell r="B1" t="str">
            <v>REKAPITULASI  ANGGARAN  BIAYA  INVESTASI  TF  1999 / 2000</v>
          </cell>
        </row>
      </sheetData>
      <sheetData sheetId="318">
        <row r="1">
          <cell r="B1" t="str">
            <v>REKAPITULASI  ANGGARAN  BIAYA  INVESTASI  TF  1999 / 2000</v>
          </cell>
        </row>
      </sheetData>
      <sheetData sheetId="319"/>
      <sheetData sheetId="320">
        <row r="1">
          <cell r="B1" t="str">
            <v>REKAPITULASI  ANGGARAN  BIAYA  INVESTASI  TF  1999 / 2000</v>
          </cell>
        </row>
      </sheetData>
      <sheetData sheetId="321">
        <row r="1">
          <cell r="B1" t="str">
            <v>REKAPITULASI  ANGGARAN  BIAYA  INVESTASI  TF  1999 / 2000</v>
          </cell>
        </row>
      </sheetData>
      <sheetData sheetId="322"/>
      <sheetData sheetId="323">
        <row r="1">
          <cell r="B1" t="str">
            <v>REKAPITULASI  ANGGARAN  BIAYA  INVESTASI  TF  1999 / 2000</v>
          </cell>
        </row>
      </sheetData>
      <sheetData sheetId="324"/>
      <sheetData sheetId="325"/>
      <sheetData sheetId="326"/>
      <sheetData sheetId="327"/>
      <sheetData sheetId="328"/>
      <sheetData sheetId="329">
        <row r="1">
          <cell r="B1" t="str">
            <v>REKAPITULASI  ANGGARAN  BIAYA  INVESTASI  TF  1999 / 2000</v>
          </cell>
        </row>
      </sheetData>
      <sheetData sheetId="330">
        <row r="1">
          <cell r="B1" t="str">
            <v>REKAPITULASI  ANGGARAN  BIAYA  INVESTASI  TF  1999 / 2000</v>
          </cell>
        </row>
      </sheetData>
      <sheetData sheetId="331">
        <row r="1">
          <cell r="B1" t="str">
            <v>REKAPITULASI  ANGGARAN  BIAYA  INVESTASI  TF  1999 / 2000</v>
          </cell>
        </row>
      </sheetData>
      <sheetData sheetId="332">
        <row r="1">
          <cell r="B1" t="str">
            <v>REKAPITULASI  ANGGARAN  BIAYA  INVESTASI  TF  1999 / 2000</v>
          </cell>
        </row>
      </sheetData>
      <sheetData sheetId="333">
        <row r="1">
          <cell r="B1" t="str">
            <v>REKAPITULASI  ANGGARAN  BIAYA  INVESTASI  TF  1999 / 2000</v>
          </cell>
        </row>
      </sheetData>
      <sheetData sheetId="334">
        <row r="1">
          <cell r="B1" t="str">
            <v>REKAPITULASI  ANGGARAN  BIAYA  INVESTASI  TF  1999 / 2000</v>
          </cell>
        </row>
      </sheetData>
      <sheetData sheetId="335">
        <row r="1">
          <cell r="B1" t="str">
            <v>REKAPITULASI  ANGGARAN  BIAYA  INVESTASI  TF  1999 / 2000</v>
          </cell>
        </row>
      </sheetData>
      <sheetData sheetId="336">
        <row r="1">
          <cell r="B1" t="str">
            <v>REKAPITULASI  ANGGARAN  BIAYA  INVESTASI  TF  1999 / 2000</v>
          </cell>
        </row>
      </sheetData>
      <sheetData sheetId="337"/>
      <sheetData sheetId="338">
        <row r="1">
          <cell r="B1" t="str">
            <v>REKAPITULASI  ANGGARAN  BIAYA  INVESTASI  TF  1999 / 2000</v>
          </cell>
        </row>
      </sheetData>
      <sheetData sheetId="339">
        <row r="1">
          <cell r="B1" t="str">
            <v>REKAPITULASI  ANGGARAN  BIAYA  INVESTASI  TF  1999 / 2000</v>
          </cell>
        </row>
      </sheetData>
      <sheetData sheetId="340"/>
      <sheetData sheetId="341">
        <row r="1">
          <cell r="B1" t="str">
            <v>REKAPITULASI  ANGGARAN  BIAYA  INVESTASI  TF  1999 / 2000</v>
          </cell>
        </row>
      </sheetData>
      <sheetData sheetId="342"/>
      <sheetData sheetId="343"/>
      <sheetData sheetId="344"/>
      <sheetData sheetId="345"/>
      <sheetData sheetId="346"/>
      <sheetData sheetId="347">
        <row r="1">
          <cell r="B1" t="str">
            <v>REKAPITULASI  ANGGARAN  BIAYA  INVESTASI  TF  1999 / 2000</v>
          </cell>
        </row>
      </sheetData>
      <sheetData sheetId="348">
        <row r="1">
          <cell r="B1" t="str">
            <v>REKAPITULASI  ANGGARAN  BIAYA  INVESTASI  TF  1999 / 2000</v>
          </cell>
        </row>
      </sheetData>
      <sheetData sheetId="349"/>
      <sheetData sheetId="350">
        <row r="1">
          <cell r="B1" t="str">
            <v>REKAPITULASI  ANGGARAN  BIAYA  INVESTASI  TF  1999 / 2000</v>
          </cell>
        </row>
      </sheetData>
      <sheetData sheetId="351"/>
      <sheetData sheetId="352"/>
      <sheetData sheetId="353"/>
      <sheetData sheetId="354"/>
      <sheetData sheetId="355"/>
      <sheetData sheetId="356">
        <row r="1">
          <cell r="B1" t="str">
            <v>REKAPITULASI  ANGGARAN  BIAYA  INVESTASI  TF  1999 / 2000</v>
          </cell>
        </row>
      </sheetData>
      <sheetData sheetId="357">
        <row r="1">
          <cell r="B1" t="str">
            <v>REKAPITULASI  ANGGARAN  BIAYA  INVESTASI  TF  1999 / 2000</v>
          </cell>
        </row>
      </sheetData>
      <sheetData sheetId="358"/>
      <sheetData sheetId="359">
        <row r="1">
          <cell r="B1" t="str">
            <v>REKAPITULASI  ANGGARAN  BIAYA  INVESTASI  TF  1999 / 2000</v>
          </cell>
        </row>
      </sheetData>
      <sheetData sheetId="360"/>
      <sheetData sheetId="361"/>
      <sheetData sheetId="362"/>
      <sheetData sheetId="363"/>
      <sheetData sheetId="364"/>
      <sheetData sheetId="365"/>
      <sheetData sheetId="366"/>
      <sheetData sheetId="367"/>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sheetData sheetId="390"/>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_DATA"/>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_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txDef>
      <a:spPr bwMode="auto">
        <a:noFill/>
        <a:ln w="9525">
          <a:noFill/>
          <a:miter lim="800000"/>
          <a:headEnd/>
          <a:tailEnd/>
        </a:ln>
      </a:spPr>
      <a:bodyPr vertOverflow="clip" wrap="square" lIns="27432" tIns="22860" rIns="27432" bIns="0" anchor="t" upright="1"/>
      <a:lstStyle>
        <a:defPPr algn="ctr" rtl="1">
          <a:defRPr sz="800" b="1" i="0" strike="noStrike">
            <a:solidFill>
              <a:srgbClr val="FF0000"/>
            </a:solidFill>
            <a:latin typeface="Arial"/>
            <a:cs typeface="Arial"/>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CFFFF"/>
  </sheetPr>
  <dimension ref="A1:AK236"/>
  <sheetViews>
    <sheetView topLeftCell="A55" workbookViewId="0">
      <selection activeCell="J71" sqref="J71"/>
    </sheetView>
  </sheetViews>
  <sheetFormatPr defaultColWidth="8.88671875" defaultRowHeight="13.2" outlineLevelRow="2" outlineLevelCol="1"/>
  <cols>
    <col min="1" max="1" width="5.5546875" customWidth="1"/>
    <col min="2" max="2" width="8.6640625" style="8" customWidth="1"/>
    <col min="3" max="20" width="8.6640625" customWidth="1"/>
    <col min="21" max="23" width="8.6640625" customWidth="1" outlineLevel="1"/>
    <col min="24" max="24" width="33.88671875" customWidth="1" outlineLevel="1"/>
    <col min="25" max="25" width="14.6640625" customWidth="1" outlineLevel="1"/>
    <col min="26" max="32" width="8.6640625" customWidth="1" outlineLevel="1"/>
    <col min="33" max="33" width="29.33203125" customWidth="1" outlineLevel="1"/>
    <col min="34" max="35" width="8.6640625" customWidth="1" outlineLevel="1"/>
    <col min="36" max="36" width="8.6640625" customWidth="1" outlineLevel="1" collapsed="1"/>
    <col min="37" max="37" width="8.6640625" customWidth="1" outlineLevel="1"/>
    <col min="38" max="38" width="8.6640625" customWidth="1"/>
  </cols>
  <sheetData>
    <row r="1" spans="1:35" ht="31.2">
      <c r="A1" s="331"/>
      <c r="B1" s="332" t="s">
        <v>556</v>
      </c>
      <c r="C1" s="199"/>
      <c r="D1" s="199"/>
      <c r="E1" s="199"/>
      <c r="F1" s="199"/>
      <c r="G1" s="199"/>
      <c r="H1" s="199"/>
      <c r="I1" s="199"/>
      <c r="J1" s="199"/>
      <c r="K1" s="199"/>
      <c r="L1" s="199"/>
      <c r="M1" s="199"/>
      <c r="N1" s="199"/>
      <c r="O1" s="199"/>
      <c r="P1" s="199"/>
      <c r="Q1" s="199"/>
      <c r="R1" s="333"/>
    </row>
    <row r="2" spans="1:35">
      <c r="A2" s="130"/>
      <c r="B2" s="133"/>
      <c r="C2" s="90"/>
      <c r="D2" s="90"/>
      <c r="E2" s="90"/>
      <c r="F2" s="90"/>
      <c r="G2" s="90"/>
      <c r="H2" s="90"/>
      <c r="I2" s="90"/>
      <c r="J2" s="90"/>
      <c r="K2" s="90"/>
      <c r="L2" s="90"/>
      <c r="M2" s="90"/>
      <c r="N2" s="90"/>
      <c r="O2" s="90"/>
      <c r="P2" s="90"/>
      <c r="Q2" s="90"/>
      <c r="R2" s="126"/>
      <c r="U2" s="288" t="s">
        <v>402</v>
      </c>
      <c r="V2" s="288" t="s">
        <v>402</v>
      </c>
      <c r="W2" s="288" t="s">
        <v>402</v>
      </c>
      <c r="X2" s="288" t="s">
        <v>402</v>
      </c>
      <c r="Y2" s="288" t="s">
        <v>402</v>
      </c>
      <c r="Z2" s="288" t="s">
        <v>402</v>
      </c>
      <c r="AA2" s="288" t="s">
        <v>402</v>
      </c>
      <c r="AB2" s="288" t="s">
        <v>402</v>
      </c>
      <c r="AC2" s="288" t="s">
        <v>402</v>
      </c>
      <c r="AD2" s="288" t="s">
        <v>402</v>
      </c>
      <c r="AE2" s="288" t="s">
        <v>402</v>
      </c>
      <c r="AF2" s="288" t="s">
        <v>402</v>
      </c>
      <c r="AG2" s="288" t="s">
        <v>402</v>
      </c>
      <c r="AH2" s="288" t="s">
        <v>402</v>
      </c>
      <c r="AI2" s="288" t="s">
        <v>402</v>
      </c>
    </row>
    <row r="3" spans="1:35" ht="17.399999999999999">
      <c r="A3" s="130"/>
      <c r="B3" s="179" t="s">
        <v>423</v>
      </c>
      <c r="C3" s="129"/>
      <c r="D3" s="129"/>
      <c r="E3" s="129"/>
      <c r="F3" s="129"/>
      <c r="G3" s="129"/>
      <c r="H3" s="90"/>
      <c r="I3" s="90"/>
      <c r="J3" s="90"/>
      <c r="K3" s="90"/>
      <c r="L3" s="90"/>
      <c r="M3" s="90"/>
      <c r="N3" s="90"/>
      <c r="O3" s="90"/>
      <c r="P3" s="90"/>
      <c r="Q3" s="90"/>
      <c r="R3" s="126"/>
    </row>
    <row r="4" spans="1:35" ht="13.8" outlineLevel="1">
      <c r="A4" s="91"/>
      <c r="B4" s="629" t="s">
        <v>418</v>
      </c>
      <c r="C4" s="632" t="s">
        <v>269</v>
      </c>
      <c r="D4" s="632"/>
      <c r="E4" s="632"/>
      <c r="F4" s="632"/>
      <c r="G4" s="632"/>
      <c r="H4" s="130"/>
      <c r="I4" s="90"/>
      <c r="J4" s="90"/>
      <c r="K4" s="90"/>
      <c r="L4" s="90"/>
      <c r="M4" s="90"/>
      <c r="N4" s="90"/>
      <c r="O4" s="90"/>
      <c r="P4" s="90"/>
      <c r="Q4" s="90"/>
      <c r="R4" s="126"/>
    </row>
    <row r="5" spans="1:35" ht="13.8" outlineLevel="1">
      <c r="A5" s="91"/>
      <c r="B5" s="629"/>
      <c r="C5" s="631" t="s">
        <v>270</v>
      </c>
      <c r="D5" s="631"/>
      <c r="E5" s="631"/>
      <c r="F5" s="631"/>
      <c r="G5" s="631"/>
      <c r="H5" s="130"/>
      <c r="I5" s="90"/>
      <c r="J5" s="90"/>
      <c r="K5" s="90"/>
      <c r="L5" s="90"/>
      <c r="M5" s="90"/>
      <c r="N5" s="90"/>
      <c r="O5" s="90"/>
      <c r="P5" s="90"/>
      <c r="Q5" s="90"/>
      <c r="R5" s="126"/>
    </row>
    <row r="6" spans="1:35" ht="13.8" outlineLevel="1">
      <c r="A6" s="91"/>
      <c r="B6" s="629"/>
      <c r="C6" s="633" t="s">
        <v>268</v>
      </c>
      <c r="D6" s="633"/>
      <c r="E6" s="633"/>
      <c r="F6" s="633"/>
      <c r="G6" s="633"/>
      <c r="H6" s="130"/>
      <c r="I6" s="90"/>
      <c r="J6" s="90"/>
      <c r="K6" s="90"/>
      <c r="L6" s="90"/>
      <c r="M6" s="90"/>
      <c r="N6" s="90"/>
      <c r="O6" s="90"/>
      <c r="P6" s="90"/>
      <c r="Q6" s="90"/>
      <c r="R6" s="126"/>
    </row>
    <row r="7" spans="1:35" ht="13.8" outlineLevel="1">
      <c r="A7" s="91"/>
      <c r="B7" s="629"/>
      <c r="C7" s="607" t="s">
        <v>373</v>
      </c>
      <c r="D7" s="607"/>
      <c r="E7" s="607"/>
      <c r="F7" s="607"/>
      <c r="G7" s="607"/>
      <c r="H7" s="130"/>
      <c r="I7" s="90"/>
      <c r="J7" s="90"/>
      <c r="K7" s="90"/>
      <c r="L7" s="90"/>
      <c r="M7" s="90"/>
      <c r="N7" s="90"/>
      <c r="O7" s="90"/>
      <c r="P7" s="90"/>
      <c r="Q7" s="90"/>
      <c r="R7" s="126"/>
    </row>
    <row r="8" spans="1:35" ht="13.8" outlineLevel="1">
      <c r="A8" s="91"/>
      <c r="B8" s="629"/>
      <c r="C8" s="630" t="s">
        <v>400</v>
      </c>
      <c r="D8" s="630"/>
      <c r="E8" s="630"/>
      <c r="F8" s="630"/>
      <c r="G8" s="630"/>
      <c r="H8" s="130"/>
      <c r="I8" s="90"/>
      <c r="J8" s="90"/>
      <c r="K8" s="90"/>
      <c r="L8" s="90"/>
      <c r="M8" s="90"/>
      <c r="N8" s="90"/>
      <c r="O8" s="90"/>
      <c r="P8" s="90"/>
      <c r="Q8" s="90"/>
      <c r="R8" s="126"/>
    </row>
    <row r="9" spans="1:35" ht="13.8" outlineLevel="1">
      <c r="A9" s="91"/>
      <c r="B9" s="629"/>
      <c r="C9" s="631"/>
      <c r="D9" s="631"/>
      <c r="E9" s="631"/>
      <c r="F9" s="631"/>
      <c r="G9" s="631"/>
      <c r="H9" s="130"/>
      <c r="I9" s="90"/>
      <c r="J9" s="90"/>
      <c r="K9" s="90"/>
      <c r="L9" s="90"/>
      <c r="M9" s="90"/>
      <c r="N9" s="90"/>
      <c r="O9" s="90"/>
      <c r="P9" s="90"/>
      <c r="Q9" s="90"/>
      <c r="R9" s="126"/>
    </row>
    <row r="10" spans="1:35" outlineLevel="1">
      <c r="A10" s="130"/>
      <c r="B10" s="201"/>
      <c r="C10" s="199"/>
      <c r="D10" s="199"/>
      <c r="E10" s="199"/>
      <c r="F10" s="199"/>
      <c r="G10" s="199"/>
      <c r="H10" s="90"/>
      <c r="I10" s="90"/>
      <c r="J10" s="90"/>
      <c r="K10" s="90"/>
      <c r="L10" s="90"/>
      <c r="M10" s="90"/>
      <c r="N10" s="90"/>
      <c r="O10" s="90"/>
      <c r="P10" s="90"/>
      <c r="Q10" s="90"/>
      <c r="R10" s="126"/>
    </row>
    <row r="11" spans="1:35">
      <c r="A11" s="130"/>
      <c r="B11" s="133"/>
      <c r="C11" s="90"/>
      <c r="D11" s="90"/>
      <c r="E11" s="90"/>
      <c r="F11" s="90"/>
      <c r="G11" s="90"/>
      <c r="H11" s="90"/>
      <c r="I11" s="90"/>
      <c r="J11" s="90"/>
      <c r="K11" s="90"/>
      <c r="L11" s="90"/>
      <c r="M11" s="90"/>
      <c r="N11" s="90"/>
      <c r="O11" s="90"/>
      <c r="P11" s="90"/>
      <c r="Q11" s="90"/>
      <c r="R11" s="126"/>
    </row>
    <row r="12" spans="1:35" s="182" customFormat="1" ht="18.600000000000001" customHeight="1">
      <c r="A12" s="178"/>
      <c r="B12" s="179" t="s">
        <v>425</v>
      </c>
      <c r="C12" s="179"/>
      <c r="D12" s="179"/>
      <c r="E12" s="180"/>
      <c r="F12" s="181"/>
      <c r="G12" s="181"/>
      <c r="H12" s="181"/>
      <c r="I12" s="179"/>
      <c r="K12" s="179"/>
      <c r="L12" s="179"/>
      <c r="M12" s="180"/>
      <c r="N12" s="181"/>
      <c r="O12" s="181"/>
      <c r="P12" s="178"/>
      <c r="Q12" s="178"/>
      <c r="R12" s="183"/>
    </row>
    <row r="13" spans="1:35" ht="14.1" customHeight="1" outlineLevel="1">
      <c r="A13" s="91"/>
      <c r="B13" s="580" t="s">
        <v>80</v>
      </c>
      <c r="C13" s="581"/>
      <c r="D13" s="582"/>
      <c r="E13" s="634" t="s">
        <v>601</v>
      </c>
      <c r="F13" s="635"/>
      <c r="G13" s="636"/>
      <c r="H13" s="125"/>
      <c r="I13" s="580" t="s">
        <v>323</v>
      </c>
      <c r="J13" s="581"/>
      <c r="K13" s="582"/>
      <c r="L13" s="608">
        <v>330343.4411</v>
      </c>
      <c r="M13" s="609"/>
      <c r="N13" s="610"/>
      <c r="O13" s="125"/>
      <c r="P13" s="125"/>
      <c r="Q13" s="90"/>
      <c r="R13" s="126"/>
    </row>
    <row r="14" spans="1:35" ht="14.1" customHeight="1" outlineLevel="1">
      <c r="A14" s="91"/>
      <c r="B14" s="580" t="s">
        <v>60</v>
      </c>
      <c r="C14" s="581"/>
      <c r="D14" s="582"/>
      <c r="E14" s="614" t="s">
        <v>602</v>
      </c>
      <c r="F14" s="615"/>
      <c r="G14" s="616"/>
      <c r="H14" s="125"/>
      <c r="I14" s="580" t="s">
        <v>324</v>
      </c>
      <c r="J14" s="581"/>
      <c r="K14" s="582"/>
      <c r="L14" s="608">
        <v>9639877.6688000001</v>
      </c>
      <c r="M14" s="609"/>
      <c r="N14" s="610"/>
      <c r="O14" s="125"/>
      <c r="P14" s="125"/>
      <c r="Q14" s="90"/>
      <c r="R14" s="126"/>
    </row>
    <row r="15" spans="1:35" ht="14.1" customHeight="1" outlineLevel="1">
      <c r="A15" s="91"/>
      <c r="B15" s="580" t="s">
        <v>61</v>
      </c>
      <c r="C15" s="581"/>
      <c r="D15" s="582"/>
      <c r="E15" s="614" t="s">
        <v>641</v>
      </c>
      <c r="F15" s="615"/>
      <c r="G15" s="616"/>
      <c r="H15" s="125"/>
      <c r="I15" s="580" t="s">
        <v>325</v>
      </c>
      <c r="J15" s="581"/>
      <c r="K15" s="582"/>
      <c r="L15" s="608" t="s">
        <v>303</v>
      </c>
      <c r="M15" s="609"/>
      <c r="N15" s="610"/>
      <c r="O15" s="125"/>
      <c r="P15" s="125"/>
      <c r="Q15" s="90"/>
      <c r="R15" s="126"/>
    </row>
    <row r="16" spans="1:35" ht="14.1" customHeight="1" outlineLevel="1">
      <c r="A16" s="91"/>
      <c r="B16" s="580" t="s">
        <v>322</v>
      </c>
      <c r="C16" s="581"/>
      <c r="D16" s="582"/>
      <c r="E16" s="619" t="s">
        <v>642</v>
      </c>
      <c r="F16" s="620"/>
      <c r="G16" s="621"/>
      <c r="H16" s="125"/>
      <c r="I16" s="580" t="s">
        <v>326</v>
      </c>
      <c r="J16" s="581"/>
      <c r="K16" s="582"/>
      <c r="L16" s="608" t="s">
        <v>303</v>
      </c>
      <c r="M16" s="609"/>
      <c r="N16" s="610"/>
      <c r="O16" s="125"/>
      <c r="P16" s="125"/>
      <c r="Q16" s="90"/>
      <c r="R16" s="126"/>
    </row>
    <row r="17" spans="1:35" ht="14.1" customHeight="1" outlineLevel="1">
      <c r="A17" s="91"/>
      <c r="B17" s="587"/>
      <c r="C17" s="587"/>
      <c r="D17" s="587"/>
      <c r="E17" s="420"/>
      <c r="F17" s="420"/>
      <c r="G17" s="176"/>
      <c r="H17" s="125"/>
      <c r="I17" s="580" t="s">
        <v>327</v>
      </c>
      <c r="J17" s="581"/>
      <c r="K17" s="582"/>
      <c r="L17" s="608">
        <f>(6.4+0.53)-E25</f>
        <v>1.4300000000000006</v>
      </c>
      <c r="M17" s="609"/>
      <c r="N17" s="610"/>
      <c r="O17" s="125"/>
      <c r="P17" s="125"/>
      <c r="Q17" s="90"/>
      <c r="R17" s="126"/>
    </row>
    <row r="18" spans="1:35" ht="14.1" customHeight="1" outlineLevel="1">
      <c r="A18" s="91"/>
      <c r="B18" s="580" t="s">
        <v>82</v>
      </c>
      <c r="C18" s="581"/>
      <c r="D18" s="582"/>
      <c r="E18" s="611">
        <v>44943.791666666664</v>
      </c>
      <c r="F18" s="612"/>
      <c r="G18" s="613"/>
      <c r="H18" s="125"/>
      <c r="I18" s="125"/>
      <c r="J18" s="125"/>
      <c r="K18" s="125"/>
      <c r="L18" s="125"/>
      <c r="M18" s="125"/>
      <c r="N18" s="125"/>
      <c r="O18" s="125"/>
      <c r="P18" s="125"/>
      <c r="Q18" s="90"/>
      <c r="R18" s="126"/>
    </row>
    <row r="19" spans="1:35" ht="14.1" customHeight="1" outlineLevel="1">
      <c r="A19" s="91"/>
      <c r="B19" s="580" t="s">
        <v>315</v>
      </c>
      <c r="C19" s="581"/>
      <c r="D19" s="582"/>
      <c r="E19" s="611"/>
      <c r="F19" s="612"/>
      <c r="G19" s="613"/>
      <c r="H19" s="125"/>
      <c r="I19" s="125"/>
      <c r="J19" s="125"/>
      <c r="K19" s="125"/>
      <c r="L19" s="125"/>
      <c r="M19" s="125"/>
      <c r="N19" s="125"/>
      <c r="O19" s="125"/>
      <c r="P19" s="125"/>
      <c r="Q19" s="125"/>
      <c r="R19" s="125"/>
    </row>
    <row r="20" spans="1:35" ht="14.1" customHeight="1" outlineLevel="1">
      <c r="A20" s="124"/>
      <c r="B20" s="124"/>
      <c r="C20" s="124"/>
      <c r="D20" s="124"/>
      <c r="E20" s="124"/>
      <c r="F20" s="124"/>
      <c r="G20" s="124"/>
      <c r="H20" s="124"/>
      <c r="I20" s="125"/>
      <c r="J20" s="125"/>
      <c r="K20" s="125"/>
      <c r="L20" s="125"/>
      <c r="M20" s="125"/>
      <c r="N20" s="125"/>
      <c r="O20" s="125"/>
      <c r="P20" s="125"/>
      <c r="Q20" s="125"/>
      <c r="R20" s="125"/>
    </row>
    <row r="21" spans="1:35" ht="14.1" customHeight="1" outlineLevel="1">
      <c r="A21" s="91"/>
      <c r="B21" s="580" t="s">
        <v>328</v>
      </c>
      <c r="C21" s="581"/>
      <c r="D21" s="582"/>
      <c r="E21" s="588" t="s">
        <v>603</v>
      </c>
      <c r="F21" s="589" t="s">
        <v>428</v>
      </c>
      <c r="G21" s="598" t="s">
        <v>428</v>
      </c>
      <c r="H21" s="323" t="s">
        <v>163</v>
      </c>
      <c r="I21" s="125"/>
      <c r="J21" s="125"/>
      <c r="K21" s="125"/>
      <c r="L21" s="125"/>
      <c r="M21" s="125"/>
      <c r="N21" s="125"/>
      <c r="O21" s="125"/>
      <c r="P21" s="125"/>
      <c r="Q21" s="125"/>
      <c r="R21" s="125"/>
    </row>
    <row r="22" spans="1:35" ht="14.1" customHeight="1" outlineLevel="1">
      <c r="A22" s="91"/>
      <c r="B22" s="580" t="s">
        <v>329</v>
      </c>
      <c r="C22" s="581"/>
      <c r="D22" s="582"/>
      <c r="E22" s="588" t="s">
        <v>344</v>
      </c>
      <c r="F22" s="589" t="s">
        <v>428</v>
      </c>
      <c r="G22" s="598" t="s">
        <v>428</v>
      </c>
      <c r="H22" s="323" t="s">
        <v>163</v>
      </c>
      <c r="I22" s="125"/>
      <c r="J22" s="125"/>
      <c r="K22" s="125"/>
      <c r="L22" s="125"/>
      <c r="M22" s="125"/>
      <c r="N22" s="125"/>
      <c r="O22" s="125"/>
      <c r="P22" s="125"/>
      <c r="Q22" s="125"/>
      <c r="R22" s="125"/>
    </row>
    <row r="23" spans="1:35" ht="14.1" customHeight="1" outlineLevel="1">
      <c r="A23" s="91"/>
      <c r="B23" s="580" t="s">
        <v>429</v>
      </c>
      <c r="C23" s="581"/>
      <c r="D23" s="582"/>
      <c r="E23" s="640">
        <v>1112</v>
      </c>
      <c r="F23" s="640"/>
      <c r="G23" s="640"/>
      <c r="H23" s="128"/>
      <c r="I23" s="125"/>
      <c r="J23" s="125"/>
      <c r="K23" s="125"/>
      <c r="L23" s="125"/>
      <c r="M23" s="125"/>
      <c r="N23" s="125"/>
      <c r="O23" s="125"/>
      <c r="P23" s="125"/>
      <c r="Q23" s="125"/>
      <c r="R23" s="125"/>
    </row>
    <row r="24" spans="1:35" ht="14.1" customHeight="1" outlineLevel="1">
      <c r="A24" s="91"/>
      <c r="B24" s="580" t="s">
        <v>330</v>
      </c>
      <c r="C24" s="581"/>
      <c r="D24" s="582"/>
      <c r="E24" s="641" t="s">
        <v>632</v>
      </c>
      <c r="F24" s="615"/>
      <c r="G24" s="616"/>
      <c r="H24" s="128"/>
      <c r="I24" s="125"/>
      <c r="J24" s="125"/>
      <c r="K24" s="125"/>
      <c r="L24" s="125"/>
      <c r="M24" s="125"/>
      <c r="N24" s="125"/>
      <c r="O24" s="125"/>
      <c r="P24" s="125"/>
      <c r="Q24" s="125"/>
      <c r="R24" s="125"/>
    </row>
    <row r="25" spans="1:35" ht="14.1" customHeight="1" outlineLevel="1">
      <c r="A25" s="91"/>
      <c r="B25" s="580" t="s">
        <v>331</v>
      </c>
      <c r="C25" s="581"/>
      <c r="D25" s="582"/>
      <c r="E25" s="586">
        <v>5.5</v>
      </c>
      <c r="F25" s="586"/>
      <c r="G25" s="586"/>
      <c r="H25" s="128"/>
      <c r="I25" s="125"/>
      <c r="J25" s="125"/>
      <c r="K25" s="125"/>
      <c r="L25" s="125"/>
      <c r="M25" s="125"/>
      <c r="N25" s="125"/>
      <c r="O25" s="125"/>
      <c r="P25" s="125"/>
      <c r="Q25" s="125"/>
      <c r="R25" s="125"/>
    </row>
    <row r="26" spans="1:35" ht="14.1" customHeight="1" outlineLevel="1">
      <c r="A26" s="91"/>
      <c r="B26" s="587"/>
      <c r="C26" s="587"/>
      <c r="D26" s="587"/>
      <c r="E26" s="420"/>
      <c r="F26" s="420"/>
      <c r="G26" s="176"/>
      <c r="H26" s="128"/>
      <c r="I26" s="125"/>
      <c r="J26" s="125"/>
      <c r="K26" s="125"/>
      <c r="L26" s="125"/>
      <c r="M26" s="125"/>
      <c r="N26" s="125"/>
      <c r="O26" s="125"/>
      <c r="P26" s="125"/>
      <c r="Q26" s="125"/>
      <c r="R26" s="125"/>
    </row>
    <row r="27" spans="1:35" ht="14.1" customHeight="1" outlineLevel="1">
      <c r="A27" s="91"/>
      <c r="B27" s="580" t="s">
        <v>320</v>
      </c>
      <c r="C27" s="581"/>
      <c r="D27" s="582"/>
      <c r="E27" s="583">
        <v>470258.49276678503</v>
      </c>
      <c r="F27" s="584"/>
      <c r="G27" s="585"/>
      <c r="H27" s="128"/>
      <c r="I27" s="128"/>
      <c r="J27" s="125"/>
      <c r="K27" s="125"/>
      <c r="L27" s="125"/>
      <c r="M27" s="125"/>
      <c r="N27" s="125"/>
      <c r="O27" s="125"/>
      <c r="P27" s="125"/>
      <c r="Q27" s="125"/>
      <c r="R27" s="125"/>
    </row>
    <row r="28" spans="1:35" ht="14.1" customHeight="1" outlineLevel="1">
      <c r="A28" s="91"/>
      <c r="B28" s="125"/>
      <c r="C28" s="125"/>
      <c r="D28" s="125"/>
      <c r="E28" s="127"/>
      <c r="F28" s="128"/>
      <c r="G28" s="128"/>
      <c r="H28" s="128"/>
      <c r="I28" s="128"/>
      <c r="J28" s="128"/>
      <c r="K28" s="128"/>
      <c r="L28" s="125"/>
      <c r="M28" s="125"/>
      <c r="N28" s="125"/>
      <c r="O28" s="125"/>
      <c r="P28" s="125"/>
      <c r="Q28" s="125"/>
      <c r="R28" s="125"/>
    </row>
    <row r="29" spans="1:35" ht="14.1" customHeight="1">
      <c r="A29" s="130"/>
      <c r="B29" s="90"/>
      <c r="C29" s="90"/>
      <c r="D29" s="90"/>
      <c r="E29" s="90"/>
      <c r="F29" s="90"/>
      <c r="G29" s="90"/>
      <c r="H29" s="90"/>
      <c r="I29" s="90"/>
      <c r="J29" s="90"/>
      <c r="K29" s="130"/>
      <c r="L29" s="90"/>
      <c r="M29" s="90"/>
      <c r="N29" s="90"/>
      <c r="O29" s="90"/>
      <c r="P29" s="90"/>
      <c r="Q29" s="90"/>
      <c r="R29" s="90"/>
    </row>
    <row r="30" spans="1:35" ht="17.399999999999999">
      <c r="A30" s="130"/>
      <c r="B30" s="298" t="s">
        <v>424</v>
      </c>
      <c r="C30" s="132"/>
      <c r="D30" s="132"/>
      <c r="E30" s="132"/>
      <c r="F30" s="132"/>
      <c r="G30" s="132"/>
      <c r="H30" s="90"/>
      <c r="I30" s="90"/>
      <c r="J30" s="90"/>
      <c r="K30" s="90"/>
      <c r="L30" s="90"/>
      <c r="M30" s="90"/>
      <c r="N30" s="90"/>
      <c r="O30" s="90"/>
      <c r="P30" s="90"/>
      <c r="Q30" s="90"/>
      <c r="R30" s="126"/>
    </row>
    <row r="31" spans="1:35" ht="60" customHeight="1" outlineLevel="1">
      <c r="A31" s="91"/>
      <c r="B31" s="617" t="s">
        <v>388</v>
      </c>
      <c r="C31" s="617"/>
      <c r="D31" s="618" t="s">
        <v>389</v>
      </c>
      <c r="E31" s="618"/>
      <c r="F31" s="592" t="s">
        <v>390</v>
      </c>
      <c r="G31" s="592"/>
      <c r="H31" s="592"/>
      <c r="I31" s="592"/>
      <c r="J31" s="592"/>
      <c r="K31" s="596" t="s">
        <v>417</v>
      </c>
      <c r="L31" s="90"/>
      <c r="M31" s="658" t="s">
        <v>446</v>
      </c>
      <c r="N31" s="659"/>
      <c r="O31" s="659"/>
      <c r="P31" s="660"/>
      <c r="Q31" s="90"/>
      <c r="R31" s="126"/>
      <c r="AE31" s="215"/>
    </row>
    <row r="32" spans="1:35" ht="60" customHeight="1" outlineLevel="1">
      <c r="A32" s="91"/>
      <c r="B32" s="617"/>
      <c r="C32" s="617"/>
      <c r="D32" s="618"/>
      <c r="E32" s="618"/>
      <c r="F32" s="593"/>
      <c r="G32" s="593"/>
      <c r="H32" s="593"/>
      <c r="I32" s="593"/>
      <c r="J32" s="593"/>
      <c r="K32" s="597"/>
      <c r="L32" s="90"/>
      <c r="M32" s="661"/>
      <c r="N32" s="662"/>
      <c r="O32" s="662"/>
      <c r="P32" s="663"/>
      <c r="Q32" s="90"/>
      <c r="R32" s="126"/>
      <c r="T32" s="215"/>
      <c r="U32" s="289"/>
      <c r="V32" s="289"/>
      <c r="W32" s="289"/>
      <c r="X32" s="289"/>
      <c r="Y32" s="289"/>
      <c r="Z32" s="289"/>
      <c r="AA32" s="289"/>
      <c r="AB32" s="605" t="str">
        <f>"UNTUK TABEL ''"&amp;$B$120&amp;"''"</f>
        <v>UNTUK TABEL ''STEP 7). EVALUATE YOUR DRILLING TIME''</v>
      </c>
      <c r="AC32" s="606"/>
      <c r="AD32" s="606"/>
      <c r="AE32" s="289"/>
      <c r="AF32" s="289"/>
      <c r="AG32" s="289"/>
      <c r="AH32" s="289"/>
      <c r="AI32" s="289"/>
    </row>
    <row r="33" spans="1:35" ht="13.8" outlineLevel="1">
      <c r="A33" s="91"/>
      <c r="B33" s="627"/>
      <c r="C33" s="628"/>
      <c r="D33" s="627"/>
      <c r="E33" s="628"/>
      <c r="F33" s="637"/>
      <c r="G33" s="638"/>
      <c r="H33" s="638"/>
      <c r="I33" s="638"/>
      <c r="J33" s="639"/>
      <c r="K33" s="297"/>
      <c r="L33" s="249"/>
      <c r="M33" s="661"/>
      <c r="N33" s="662"/>
      <c r="O33" s="662"/>
      <c r="P33" s="663"/>
      <c r="Q33" s="90"/>
      <c r="R33" s="126"/>
      <c r="U33" s="289"/>
      <c r="V33" s="289"/>
      <c r="W33" s="289"/>
      <c r="X33" s="289"/>
      <c r="Y33" s="289"/>
      <c r="Z33" s="289"/>
      <c r="AA33" s="289"/>
      <c r="AB33" s="605"/>
      <c r="AC33" s="606"/>
      <c r="AD33" s="606"/>
      <c r="AE33" s="289"/>
      <c r="AF33" s="289"/>
      <c r="AG33" s="289"/>
      <c r="AH33" s="289"/>
      <c r="AI33" s="289"/>
    </row>
    <row r="34" spans="1:35" ht="13.8" hidden="1" outlineLevel="2">
      <c r="A34" s="91"/>
      <c r="B34" s="594"/>
      <c r="C34" s="595"/>
      <c r="D34" s="594"/>
      <c r="E34" s="595"/>
      <c r="F34" s="594"/>
      <c r="G34" s="595"/>
      <c r="H34" s="243"/>
      <c r="I34" s="130"/>
      <c r="J34" s="249"/>
      <c r="K34" s="249"/>
      <c r="L34" s="249"/>
      <c r="M34" s="661"/>
      <c r="N34" s="662"/>
      <c r="O34" s="662"/>
      <c r="P34" s="663"/>
      <c r="Q34" s="90"/>
      <c r="R34" s="126"/>
      <c r="U34" s="289"/>
      <c r="V34" s="289"/>
      <c r="W34" s="289"/>
      <c r="X34" s="289"/>
      <c r="Y34" s="289"/>
      <c r="Z34" s="289"/>
      <c r="AA34" s="289"/>
      <c r="AB34" s="289"/>
      <c r="AC34" s="289"/>
      <c r="AD34" s="289"/>
      <c r="AE34" s="289"/>
      <c r="AF34" s="289"/>
      <c r="AG34" s="289"/>
      <c r="AH34" s="289"/>
      <c r="AI34" s="289"/>
    </row>
    <row r="35" spans="1:35" ht="13.8" hidden="1" outlineLevel="2">
      <c r="A35" s="91"/>
      <c r="B35" s="594"/>
      <c r="C35" s="595"/>
      <c r="D35" s="594"/>
      <c r="E35" s="595"/>
      <c r="F35" s="594"/>
      <c r="G35" s="595"/>
      <c r="H35" s="243"/>
      <c r="I35" s="130"/>
      <c r="J35" s="249"/>
      <c r="K35" s="249"/>
      <c r="L35" s="249"/>
      <c r="M35" s="661"/>
      <c r="N35" s="662"/>
      <c r="O35" s="662"/>
      <c r="P35" s="663"/>
      <c r="Q35" s="90"/>
      <c r="R35" s="126"/>
      <c r="U35" s="289"/>
      <c r="V35" s="289"/>
      <c r="W35" s="289"/>
      <c r="X35" s="289"/>
      <c r="Y35" s="289"/>
      <c r="Z35" s="289"/>
      <c r="AA35" s="289"/>
      <c r="AB35" s="289"/>
      <c r="AC35" s="289"/>
      <c r="AD35" s="289"/>
      <c r="AE35" s="289"/>
      <c r="AF35" s="289"/>
      <c r="AG35" s="289"/>
      <c r="AH35" s="289"/>
      <c r="AI35" s="289"/>
    </row>
    <row r="36" spans="1:35" ht="13.8" hidden="1" outlineLevel="2">
      <c r="A36" s="91"/>
      <c r="B36" s="594"/>
      <c r="C36" s="595"/>
      <c r="D36" s="594"/>
      <c r="E36" s="595"/>
      <c r="F36" s="594"/>
      <c r="G36" s="595"/>
      <c r="H36" s="243"/>
      <c r="I36" s="130"/>
      <c r="J36" s="249"/>
      <c r="K36" s="249"/>
      <c r="L36" s="249"/>
      <c r="M36" s="661"/>
      <c r="N36" s="662"/>
      <c r="O36" s="662"/>
      <c r="P36" s="663"/>
      <c r="Q36" s="90"/>
      <c r="R36" s="126"/>
      <c r="U36" s="289"/>
      <c r="V36" s="289"/>
      <c r="W36" s="289"/>
      <c r="X36" s="289"/>
      <c r="Y36" s="289"/>
      <c r="Z36" s="289"/>
      <c r="AA36" s="289"/>
      <c r="AB36" s="289"/>
      <c r="AC36" s="289"/>
      <c r="AD36" s="289"/>
      <c r="AE36" s="289"/>
      <c r="AF36" s="289"/>
      <c r="AG36" s="289"/>
      <c r="AH36" s="289"/>
      <c r="AI36" s="289"/>
    </row>
    <row r="37" spans="1:35" ht="13.8" hidden="1" outlineLevel="2">
      <c r="A37" s="91"/>
      <c r="B37" s="594"/>
      <c r="C37" s="595"/>
      <c r="D37" s="594"/>
      <c r="E37" s="595"/>
      <c r="F37" s="594"/>
      <c r="G37" s="595"/>
      <c r="H37" s="243"/>
      <c r="I37" s="130"/>
      <c r="J37" s="249"/>
      <c r="K37" s="249"/>
      <c r="L37" s="249"/>
      <c r="M37" s="661"/>
      <c r="N37" s="662"/>
      <c r="O37" s="662"/>
      <c r="P37" s="663"/>
      <c r="Q37" s="90"/>
      <c r="R37" s="126"/>
      <c r="U37" s="289"/>
      <c r="V37" s="289"/>
      <c r="W37" s="289"/>
      <c r="X37" s="289"/>
      <c r="Y37" s="289"/>
      <c r="Z37" s="289"/>
      <c r="AA37" s="289"/>
      <c r="AB37" s="289"/>
      <c r="AC37" s="289"/>
      <c r="AD37" s="289"/>
      <c r="AE37" s="289"/>
      <c r="AF37" s="289"/>
      <c r="AG37" s="289"/>
      <c r="AH37" s="289"/>
      <c r="AI37" s="289"/>
    </row>
    <row r="38" spans="1:35" ht="13.8" hidden="1" outlineLevel="2">
      <c r="A38" s="91"/>
      <c r="B38" s="594"/>
      <c r="C38" s="595"/>
      <c r="D38" s="594"/>
      <c r="E38" s="595"/>
      <c r="F38" s="594"/>
      <c r="G38" s="595"/>
      <c r="H38" s="243"/>
      <c r="I38" s="130"/>
      <c r="J38" s="249"/>
      <c r="K38" s="249"/>
      <c r="L38" s="249"/>
      <c r="M38" s="661"/>
      <c r="N38" s="662"/>
      <c r="O38" s="662"/>
      <c r="P38" s="663"/>
      <c r="Q38" s="90"/>
      <c r="R38" s="126"/>
      <c r="U38" s="289"/>
      <c r="V38" s="289"/>
      <c r="W38" s="289"/>
      <c r="X38" s="289"/>
      <c r="Y38" s="289"/>
      <c r="Z38" s="289"/>
      <c r="AA38" s="289"/>
      <c r="AB38" s="289"/>
      <c r="AC38" s="289"/>
      <c r="AD38" s="289"/>
      <c r="AE38" s="289"/>
      <c r="AF38" s="289"/>
      <c r="AG38" s="289"/>
      <c r="AH38" s="289"/>
      <c r="AI38" s="289"/>
    </row>
    <row r="39" spans="1:35" ht="13.8" hidden="1" outlineLevel="2">
      <c r="A39" s="91"/>
      <c r="B39" s="594"/>
      <c r="C39" s="595"/>
      <c r="D39" s="594"/>
      <c r="E39" s="595"/>
      <c r="F39" s="594"/>
      <c r="G39" s="595"/>
      <c r="H39" s="243"/>
      <c r="I39" s="130"/>
      <c r="J39" s="249"/>
      <c r="K39" s="249"/>
      <c r="L39" s="249"/>
      <c r="M39" s="661"/>
      <c r="N39" s="662"/>
      <c r="O39" s="662"/>
      <c r="P39" s="663"/>
      <c r="Q39" s="90"/>
      <c r="R39" s="126"/>
      <c r="U39" s="289"/>
      <c r="V39" s="289"/>
      <c r="W39" s="289"/>
      <c r="X39" s="289"/>
      <c r="Y39" s="289"/>
      <c r="Z39" s="289"/>
      <c r="AA39" s="289"/>
      <c r="AB39" s="289"/>
      <c r="AC39" s="289"/>
      <c r="AD39" s="289"/>
      <c r="AE39" s="289"/>
      <c r="AF39" s="289"/>
      <c r="AG39" s="289"/>
      <c r="AH39" s="289"/>
      <c r="AI39" s="289"/>
    </row>
    <row r="40" spans="1:35" ht="13.8" hidden="1" outlineLevel="2">
      <c r="A40" s="91"/>
      <c r="B40" s="594"/>
      <c r="C40" s="595"/>
      <c r="D40" s="594"/>
      <c r="E40" s="595"/>
      <c r="F40" s="594"/>
      <c r="G40" s="595"/>
      <c r="H40" s="243"/>
      <c r="I40" s="130"/>
      <c r="J40" s="249"/>
      <c r="K40" s="249"/>
      <c r="L40" s="249"/>
      <c r="M40" s="661"/>
      <c r="N40" s="662"/>
      <c r="O40" s="662"/>
      <c r="P40" s="663"/>
      <c r="Q40" s="90"/>
      <c r="R40" s="126"/>
      <c r="U40" s="289"/>
      <c r="V40" s="289"/>
      <c r="W40" s="289"/>
      <c r="X40" s="289"/>
      <c r="Y40" s="289"/>
      <c r="Z40" s="289"/>
      <c r="AA40" s="289"/>
      <c r="AB40" s="289"/>
      <c r="AC40" s="289"/>
      <c r="AD40" s="289"/>
      <c r="AE40" s="289"/>
      <c r="AF40" s="289"/>
      <c r="AG40" s="289"/>
      <c r="AH40" s="289"/>
      <c r="AI40" s="289"/>
    </row>
    <row r="41" spans="1:35" ht="13.8" hidden="1" outlineLevel="2">
      <c r="A41" s="91"/>
      <c r="B41" s="594"/>
      <c r="C41" s="595"/>
      <c r="D41" s="594"/>
      <c r="E41" s="595"/>
      <c r="F41" s="594"/>
      <c r="G41" s="595"/>
      <c r="H41" s="243"/>
      <c r="I41" s="130"/>
      <c r="J41" s="249"/>
      <c r="K41" s="249"/>
      <c r="L41" s="249"/>
      <c r="M41" s="661"/>
      <c r="N41" s="662"/>
      <c r="O41" s="662"/>
      <c r="P41" s="663"/>
      <c r="Q41" s="90"/>
      <c r="R41" s="126"/>
      <c r="U41" s="289"/>
      <c r="V41" s="289"/>
      <c r="W41" s="289"/>
      <c r="X41" s="289"/>
      <c r="Y41" s="289"/>
      <c r="Z41" s="289"/>
      <c r="AA41" s="289"/>
      <c r="AB41" s="289"/>
      <c r="AC41" s="289"/>
      <c r="AD41" s="289"/>
      <c r="AE41" s="289"/>
      <c r="AF41" s="289"/>
      <c r="AG41" s="289"/>
      <c r="AH41" s="289"/>
      <c r="AI41" s="289"/>
    </row>
    <row r="42" spans="1:35" ht="13.8" hidden="1" outlineLevel="2">
      <c r="A42" s="91"/>
      <c r="B42" s="594"/>
      <c r="C42" s="595"/>
      <c r="D42" s="594"/>
      <c r="E42" s="595"/>
      <c r="F42" s="594"/>
      <c r="G42" s="595"/>
      <c r="H42" s="243"/>
      <c r="I42" s="130"/>
      <c r="J42" s="249"/>
      <c r="K42" s="249"/>
      <c r="L42" s="249"/>
      <c r="M42" s="661"/>
      <c r="N42" s="662"/>
      <c r="O42" s="662"/>
      <c r="P42" s="663"/>
      <c r="Q42" s="90"/>
      <c r="R42" s="126"/>
      <c r="U42" s="294"/>
      <c r="V42" s="295"/>
      <c r="W42" s="294"/>
      <c r="X42" s="294"/>
      <c r="Y42" s="622" t="s">
        <v>416</v>
      </c>
      <c r="Z42" s="623"/>
      <c r="AA42" s="289"/>
      <c r="AB42" s="289"/>
      <c r="AC42" s="289"/>
      <c r="AD42" s="289"/>
      <c r="AE42" s="289"/>
      <c r="AF42" s="289"/>
      <c r="AG42" s="289"/>
      <c r="AH42" s="289"/>
      <c r="AI42" s="289"/>
    </row>
    <row r="43" spans="1:35" ht="13.8" outlineLevel="1" collapsed="1">
      <c r="A43" s="91"/>
      <c r="B43" s="244">
        <f ca="1">IF(INDIRECT(ADDRESS(ROW(),COLUMN($C$33),,,))&lt;&gt;"",MAX(INDIRECT(ADDRESS(ROW($B$33),COLUMN($B$33),,,)):INDIRECT(ADDRESS(ROW()-1,COLUMN($B$33),,,)))+1,"")</f>
        <v>1</v>
      </c>
      <c r="C43" s="645" t="s">
        <v>401</v>
      </c>
      <c r="D43" s="646"/>
      <c r="E43" s="646"/>
      <c r="F43" s="646"/>
      <c r="G43" s="646"/>
      <c r="H43" s="646"/>
      <c r="I43" s="646"/>
      <c r="J43" s="647"/>
      <c r="K43" s="248"/>
      <c r="L43" s="249"/>
      <c r="M43" s="661"/>
      <c r="N43" s="662"/>
      <c r="O43" s="662"/>
      <c r="P43" s="663"/>
      <c r="Q43" s="90"/>
      <c r="R43" s="126"/>
      <c r="U43" s="299">
        <f t="shared" ref="U43:U61" si="0">IF(D43="",F43,D43*1000)</f>
        <v>0</v>
      </c>
      <c r="V43" s="300">
        <f t="shared" ref="V43:V61" si="1">IF(E43="",G43,E43)</f>
        <v>0</v>
      </c>
      <c r="W43" s="301">
        <f t="shared" ref="W43:W61" si="2">IFERROR(ROUND(U43/1000,0),"")</f>
        <v>0</v>
      </c>
      <c r="X43" s="300" t="e">
        <f ca="1">""&amp;VLOOKUP(W43,INDIRECT(ADDRESS(42,4,,,)):INDIRECT(ADDRESS(ROW($H$64),8,,,)),2,FALSE)&amp;"-"&amp;V43&amp;""</f>
        <v>#N/A</v>
      </c>
      <c r="Y43" s="302" t="str">
        <f ca="1">IFERROR(MATCH(X43,INDIRECT(ADDRESS(9,COLUMN('2_DATA'!$AX$9),,,"2_DATA")):INDIRECT(ADDRESS(1000,COLUMN('2_DATA'!$AX$9),,,"2_DATA")),0),"")</f>
        <v/>
      </c>
      <c r="Z43" s="302" t="str">
        <f t="shared" ref="Z43:Z61" si="3">IFERROR(IF(U43-ROUNDDOWN(U43/1000,0)*1000=0,"","V"),"")</f>
        <v/>
      </c>
      <c r="AA43" s="289"/>
      <c r="AB43" s="324" t="s">
        <v>430</v>
      </c>
      <c r="AC43" s="302" t="str">
        <f ca="1">IFERROR(RANK(AB43,INDIRECT(ADDRESS(43,COLUMN($AB$43),,,)):INDIRECT(ADDRESS(ROW($AB$64),COLUMN($AB$43),,,)),1),"")</f>
        <v/>
      </c>
      <c r="AD43" s="302">
        <f ca="1">ROWS(INDIRECT(ADDRESS(42,COLUMN($AD$42),,,)):INDIRECT(ADDRESS(ROW()-1,COLUMN($AD$42),,,)))</f>
        <v>1</v>
      </c>
      <c r="AE43" s="303" t="str">
        <f ca="1">IFERROR(INDEX($E$42:$AC$64,MATCH(ROWS(INDIRECT(ADDRESS(42,COLUMN($AE$42),,,)):INDIRECT(ADDRESS(ROW()-1,COLUMN($AE$42),,,))),$AC$42:$AC$64,0),1),"")</f>
        <v>PREPARATION</v>
      </c>
      <c r="AF43" s="289"/>
      <c r="AG43" s="289"/>
      <c r="AH43" s="289"/>
      <c r="AI43" s="289"/>
    </row>
    <row r="44" spans="1:35" ht="13.8" outlineLevel="1">
      <c r="A44" s="91"/>
      <c r="B44" s="244" t="str">
        <f ca="1">IF(INDIRECT(ADDRESS(ROW(),COLUMN($C$33),,,))&lt;&gt;"",MAX(INDIRECT(ADDRESS(ROW($B$33),COLUMN($B$33),,,)):INDIRECT(ADDRESS(ROW()-1,COLUMN($B$33),,,)))+1,"")</f>
        <v/>
      </c>
      <c r="C44" s="245"/>
      <c r="D44" s="246">
        <f ca="1">IF(INDIRECT(ADDRESS(ROW()-1,COLUMN($B$34),,,))=MAX(INDIRECT(ADDRESS(ROW($B$34),COLUMN($B$34),,,)):INDIRECT(ADDRESS(ROW(),COLUMN($B$34),,,))),MAX(INDIRECT(ADDRESS(ROW($B$34),COLUMN($B$34),,,)):INDIRECT(ADDRESS(ROW(),COLUMN($B$34),,,)))*10+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IF(INDIRECT(ADDRESS(ROW(),COLUMN($E$33),,,))="","",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f>
        <v>11</v>
      </c>
      <c r="E44" s="664" t="s">
        <v>231</v>
      </c>
      <c r="F44" s="665"/>
      <c r="G44" s="665"/>
      <c r="H44" s="665"/>
      <c r="I44" s="665"/>
      <c r="J44" s="665"/>
      <c r="K44" s="666"/>
      <c r="L44" s="249"/>
      <c r="M44" s="661"/>
      <c r="N44" s="662"/>
      <c r="O44" s="662"/>
      <c r="P44" s="663"/>
      <c r="Q44" s="90"/>
      <c r="R44" s="126"/>
      <c r="U44" s="299">
        <f t="shared" ca="1" si="0"/>
        <v>11000</v>
      </c>
      <c r="V44" s="300" t="str">
        <f t="shared" si="1"/>
        <v>PREPARATION</v>
      </c>
      <c r="W44" s="301">
        <f t="shared" ca="1" si="2"/>
        <v>11</v>
      </c>
      <c r="X44" s="300" t="str">
        <f ca="1">""&amp;VLOOKUP(W44,INDIRECT(ADDRESS(42,4,,,)):INDIRECT(ADDRESS(ROW($H$64),8,,,)),2,FALSE)&amp;"-"&amp;V44&amp;""</f>
        <v>PREPARATION-PREPARATION</v>
      </c>
      <c r="Y44" s="302">
        <f ca="1">IFERROR(MATCH(X44,INDIRECT(ADDRESS(9,COLUMN('2_DATA'!$AX$9),,,"2_DATA")):INDIRECT(ADDRESS(1000,COLUMN('2_DATA'!$AX$9),,,"2_DATA")),0),"")</f>
        <v>3</v>
      </c>
      <c r="Z44" s="302" t="str">
        <f t="shared" ca="1" si="3"/>
        <v/>
      </c>
      <c r="AA44" s="289"/>
      <c r="AB44" s="302">
        <f t="shared" ref="AB44:AB61" ca="1" si="4">D44</f>
        <v>11</v>
      </c>
      <c r="AC44" s="302">
        <f ca="1">IFERROR(RANK(AB44,INDIRECT(ADDRESS(43,COLUMN($AB$43),,,)):INDIRECT(ADDRESS(ROW($AB$64),COLUMN($AB$43),,,)),1),"")</f>
        <v>1</v>
      </c>
      <c r="AD44" s="302">
        <f ca="1">ROWS(INDIRECT(ADDRESS(42,COLUMN($AD$42),,,)):INDIRECT(ADDRESS(ROW()-1,COLUMN($AD$42),,,)))</f>
        <v>2</v>
      </c>
      <c r="AE44" s="303" t="str">
        <f ca="1">IFERROR(INDEX($E$42:$AC$64,MATCH(ROWS(INDIRECT(ADDRESS(42,COLUMN($AE$42),,,)):INDIRECT(ADDRESS(ROW()-1,COLUMN($AE$42),,,))),$AC$42:$AC$64,0),1),"")</f>
        <v>WORKOVER SECTION</v>
      </c>
      <c r="AF44" s="289"/>
      <c r="AG44" s="289"/>
      <c r="AH44" s="289"/>
      <c r="AI44" s="289"/>
    </row>
    <row r="45" spans="1:35" ht="13.8" outlineLevel="1">
      <c r="A45" s="91"/>
      <c r="B45" s="244" t="str">
        <f ca="1">IF(INDIRECT(ADDRESS(ROW(),COLUMN($C$33),,,))&lt;&gt;"",MAX(INDIRECT(ADDRESS(ROW($B$33),COLUMN($B$33),,,)):INDIRECT(ADDRESS(ROW()-1,COLUMN($B$33),,,)))+1,"")</f>
        <v/>
      </c>
      <c r="C45" s="245"/>
      <c r="D45" s="246" t="str">
        <f ca="1">IF(INDIRECT(ADDRESS(ROW()-1,COLUMN($B$34),,,))=MAX(INDIRECT(ADDRESS(ROW($B$34),COLUMN($B$34),,,)):INDIRECT(ADDRESS(ROW(),COLUMN($B$34),,,))),MAX(INDIRECT(ADDRESS(ROW($B$34),COLUMN($B$34),,,)):INDIRECT(ADDRESS(ROW(),COLUMN($B$34),,,)))*10+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IF(INDIRECT(ADDRESS(ROW(),COLUMN($E$33),,,))="","",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f>
        <v/>
      </c>
      <c r="E45" s="245"/>
      <c r="F45" s="247">
        <f ca="1">IF(AND(INDIRECT(ADDRESS(ROW()-1,COLUMN($D$33),,,))=MAX(INDIRECT(ADDRESS(ROW($D$33),COLUMN($D$33),,,)):INDIRECT(ADDRESS(ROW(),COLUMN($D$33),,,))),INDIRECT(ADDRESS(ROW(),COLUMN($G$33),,,))&lt;&gt;""),(MAX(INDIRECT(ADDRESS(ROW($D$33),COLUMN($D$33),,,)):INDIRECT(ADDRESS(ROW(),COLUMN($D$33),,,)))*1000)+MAX(OFFSET($D$33,MATCH(MAX(INDIRECT(ADDRESS(ROW($D$33),COLUMN($D$33),,,)):INDIRECT(ADDRESS(ROW(),COLUMN($D$33),,,))),INDIRECT(ADDRESS(ROW($D$34),COLUMN($D$34),,,)):INDIRECT(ADDRESS(ROW(),COLUMN($D$33),,,)),0),2,ROWS(INDIRECT(ADDRESS(ROW($F$33),COLUMN($F$33),,,)):INDIRECT(ADDRESS(ROW()-1,COLUMN($F$33),,,)))-MATCH(MAX(INDIRECT(ADDRESS(ROW($D$34),COLUMN($D$34),,,)):INDIRECT(ADDRESS(ROW(),COLUMN($D$33),,,))),INDIRECT(ADDRESS(ROW($D$34),COLUMN($D$34),,,)):INDIRECT(ADDRESS(ROW(),COLUMN($D$33),,,)),0),))+1,IF(INDIRECT(ADDRESS(ROW(),COLUMN($G$33),,,))="","",MAX(OFFSET($D$33,MATCH(MAX(INDIRECT(ADDRESS(ROW($D$34),COLUMN($D$34),,,)):INDIRECT(ADDRESS(ROW(),COLUMN($D$33),,,))),INDIRECT(ADDRESS(ROW($D$34),COLUMN($D$34),,,)):INDIRECT(ADDRESS(ROW(),COLUMN($D$33),,,)),0),2,ROWS(INDIRECT(ADDRESS(ROW($F$33),COLUMN($F$33),,,)):INDIRECT(ADDRESS(ROW()-1,COLUMN($F$33),,,)))-MATCH(MAX(INDIRECT(ADDRESS(ROW($D$34),COLUMN($D$34),,,)):INDIRECT(ADDRESS(ROW(),COLUMN($D$33),,,))),INDIRECT(ADDRESS(ROW($D$34),COLUMN($D$34),,,)):INDIRECT(ADDRESS(ROW(),COLUMN($D$33),,,)),0),))+1))</f>
        <v>11001</v>
      </c>
      <c r="G45" s="624" t="s">
        <v>56</v>
      </c>
      <c r="H45" s="625"/>
      <c r="I45" s="625"/>
      <c r="J45" s="626"/>
      <c r="K45" s="296" t="str">
        <f ca="1">IF(AND(ISNUMBER(Y45),Z45="V"),"USED",IF(AND(Y45="",Z45="V"),"NOT YET",""))</f>
        <v>USED</v>
      </c>
      <c r="L45" s="249"/>
      <c r="M45" s="661"/>
      <c r="N45" s="662"/>
      <c r="O45" s="662"/>
      <c r="P45" s="663"/>
      <c r="Q45" s="90"/>
      <c r="R45" s="126"/>
      <c r="U45" s="299">
        <f t="shared" ca="1" si="0"/>
        <v>11001</v>
      </c>
      <c r="V45" s="300" t="str">
        <f t="shared" si="1"/>
        <v>Preparation</v>
      </c>
      <c r="W45" s="301">
        <f t="shared" ca="1" si="2"/>
        <v>11</v>
      </c>
      <c r="X45" s="300" t="str">
        <f ca="1">""&amp;VLOOKUP(W45,INDIRECT(ADDRESS(42,4,,,)):INDIRECT(ADDRESS(ROW($H$64),8,,,)),2,FALSE)&amp;"-"&amp;V45&amp;""</f>
        <v>PREPARATION-Preparation</v>
      </c>
      <c r="Y45" s="302">
        <f ca="1">IFERROR(MATCH(X45,INDIRECT(ADDRESS(9,COLUMN('2_DATA'!$AX$9),,,"2_DATA")):INDIRECT(ADDRESS(1000,COLUMN('2_DATA'!$AX$9),,,"2_DATA")),0),"")</f>
        <v>3</v>
      </c>
      <c r="Z45" s="302" t="str">
        <f t="shared" ca="1" si="3"/>
        <v>V</v>
      </c>
      <c r="AA45" s="289"/>
      <c r="AB45" s="302" t="str">
        <f t="shared" ca="1" si="4"/>
        <v/>
      </c>
      <c r="AC45" s="302" t="str">
        <f ca="1">IFERROR(RANK(AB45,INDIRECT(ADDRESS(43,COLUMN($AB$43),,,)):INDIRECT(ADDRESS(ROW($AB$64),COLUMN($AB$43),,,)),1),"")</f>
        <v/>
      </c>
      <c r="AD45" s="302">
        <f ca="1">ROWS(INDIRECT(ADDRESS(42,COLUMN($AD$42),,,)):INDIRECT(ADDRESS(ROW()-1,COLUMN($AD$42),,,)))</f>
        <v>3</v>
      </c>
      <c r="AE45" s="303" t="str">
        <f ca="1">IFERROR(INDEX($E$42:$AC$64,MATCH(ROWS(INDIRECT(ADDRESS(42,COLUMN($AE$42),,,)):INDIRECT(ADDRESS(ROW()-1,COLUMN($AE$42),,,))),$AC$42:$AC$64,0),1),"")</f>
        <v>RELEASE</v>
      </c>
      <c r="AF45" s="289"/>
      <c r="AG45" s="289"/>
      <c r="AH45" s="289"/>
      <c r="AI45" s="289"/>
    </row>
    <row r="46" spans="1:35" ht="13.8" outlineLevel="1" collapsed="1">
      <c r="A46" s="91"/>
      <c r="B46" s="244">
        <f ca="1">IF(INDIRECT(ADDRESS(ROW(),COLUMN($C$33),,,))&lt;&gt;"",MAX(INDIRECT(ADDRESS(ROW($B$33),COLUMN($B$33),,,)):INDIRECT(ADDRESS(ROW()-1,COLUMN($B$33),,,)))+1,"")</f>
        <v>2</v>
      </c>
      <c r="C46" s="645" t="s">
        <v>344</v>
      </c>
      <c r="D46" s="646"/>
      <c r="E46" s="646"/>
      <c r="F46" s="646"/>
      <c r="G46" s="646"/>
      <c r="H46" s="646"/>
      <c r="I46" s="646"/>
      <c r="J46" s="647"/>
      <c r="K46" s="248"/>
      <c r="L46" s="249"/>
      <c r="M46" s="661"/>
      <c r="N46" s="662"/>
      <c r="O46" s="662"/>
      <c r="P46" s="663"/>
      <c r="Q46" s="90"/>
      <c r="R46" s="126"/>
      <c r="U46" s="299">
        <f t="shared" ref="U46:U52" si="5">IF(D46="",F46,D46*1000)</f>
        <v>0</v>
      </c>
      <c r="V46" s="300">
        <f t="shared" ref="V46:V52" si="6">IF(E46="",G46,E46)</f>
        <v>0</v>
      </c>
      <c r="W46" s="301">
        <f t="shared" ref="W46:W52" si="7">IFERROR(ROUND(U46/1000,0),"")</f>
        <v>0</v>
      </c>
      <c r="X46" s="300" t="e">
        <f ca="1">""&amp;VLOOKUP(W46,INDIRECT(ADDRESS(42,4,,,)):INDIRECT(ADDRESS(ROW($H$64),8,,,)),2,FALSE)&amp;"-"&amp;V46&amp;""</f>
        <v>#N/A</v>
      </c>
      <c r="Y46" s="302" t="str">
        <f ca="1">IFERROR(MATCH(X46,INDIRECT(ADDRESS(9,COLUMN('2_DATA'!$AX$9),,,"2_DATA")):INDIRECT(ADDRESS(1000,COLUMN('2_DATA'!$AX$9),,,"2_DATA")),0),"")</f>
        <v/>
      </c>
      <c r="Z46" s="302" t="str">
        <f t="shared" ref="Z46:Z52" si="8">IFERROR(IF(U46-ROUNDDOWN(U46/1000,0)*1000=0,"","V"),"")</f>
        <v/>
      </c>
      <c r="AA46" s="289"/>
      <c r="AB46" s="324" t="s">
        <v>430</v>
      </c>
      <c r="AC46" s="302" t="str">
        <f ca="1">IFERROR(RANK(AB46,INDIRECT(ADDRESS(43,COLUMN($AB$43),,,)):INDIRECT(ADDRESS(ROW($AB$64),COLUMN($AB$43),,,)),1),"")</f>
        <v/>
      </c>
      <c r="AD46" s="302">
        <f ca="1">ROWS(INDIRECT(ADDRESS(42,COLUMN($AD$42),,,)):INDIRECT(ADDRESS(ROW()-1,COLUMN($AD$42),,,)))</f>
        <v>4</v>
      </c>
      <c r="AE46" s="303" t="str">
        <f ca="1">IFERROR(INDEX($E$42:$AC$64,MATCH(ROWS(INDIRECT(ADDRESS(42,COLUMN($AE$42),,,)):INDIRECT(ADDRESS(ROW()-1,COLUMN($AE$42),,,))),$AC$42:$AC$64,0),1),"")</f>
        <v/>
      </c>
      <c r="AF46" s="289"/>
      <c r="AG46" s="289"/>
      <c r="AH46" s="289"/>
      <c r="AI46" s="289"/>
    </row>
    <row r="47" spans="1:35" ht="13.8" outlineLevel="1">
      <c r="A47" s="91"/>
      <c r="B47" s="244" t="str">
        <f ca="1">IF(INDIRECT(ADDRESS(ROW(),COLUMN($C$33),,,))&lt;&gt;"",MAX(INDIRECT(ADDRESS(ROW($B$33),COLUMN($B$33),,,)):INDIRECT(ADDRESS(ROW()-1,COLUMN($B$33),,,)))+1,"")</f>
        <v/>
      </c>
      <c r="C47" s="245"/>
      <c r="D47" s="246">
        <f ca="1">IF(INDIRECT(ADDRESS(ROW()-1,COLUMN($B$34),,,))=MAX(INDIRECT(ADDRESS(ROW($B$34),COLUMN($B$34),,,)):INDIRECT(ADDRESS(ROW(),COLUMN($B$34),,,))),MAX(INDIRECT(ADDRESS(ROW($B$34),COLUMN($B$34),,,)):INDIRECT(ADDRESS(ROW(),COLUMN($B$34),,,)))*10+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IF(INDIRECT(ADDRESS(ROW(),COLUMN($E$33),,,))="","",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f>
        <v>21</v>
      </c>
      <c r="E47" s="664" t="s">
        <v>447</v>
      </c>
      <c r="F47" s="665"/>
      <c r="G47" s="665"/>
      <c r="H47" s="665"/>
      <c r="I47" s="665"/>
      <c r="J47" s="665"/>
      <c r="K47" s="666"/>
      <c r="L47" s="249"/>
      <c r="M47" s="661"/>
      <c r="N47" s="662"/>
      <c r="O47" s="662"/>
      <c r="P47" s="663"/>
      <c r="Q47" s="90"/>
      <c r="R47" s="126"/>
      <c r="U47" s="299">
        <f t="shared" ca="1" si="5"/>
        <v>21000</v>
      </c>
      <c r="V47" s="300" t="str">
        <f t="shared" si="6"/>
        <v>WORKOVER SECTION</v>
      </c>
      <c r="W47" s="301">
        <f t="shared" ca="1" si="7"/>
        <v>21</v>
      </c>
      <c r="X47" s="300" t="str">
        <f ca="1">""&amp;VLOOKUP(W47,INDIRECT(ADDRESS(42,4,,,)):INDIRECT(ADDRESS(ROW($H$64),8,,,)),2,FALSE)&amp;"-"&amp;V47&amp;""</f>
        <v>WORKOVER SECTION-WORKOVER SECTION</v>
      </c>
      <c r="Y47" s="536" t="str">
        <f ca="1">IFERROR(MATCH(X47,INDIRECT(ADDRESS(9,COLUMN('2_DATA'!$AX$9),,,"2_DATA")):INDIRECT(ADDRESS(1000,COLUMN('2_DATA'!$AX$9),,,"2_DATA")),0),"")</f>
        <v/>
      </c>
      <c r="Z47" s="302" t="str">
        <f t="shared" ca="1" si="8"/>
        <v/>
      </c>
      <c r="AA47" s="289"/>
      <c r="AB47" s="302">
        <f t="shared" ref="AB47:AB52" ca="1" si="9">D47</f>
        <v>21</v>
      </c>
      <c r="AC47" s="302">
        <f ca="1">IFERROR(RANK(AB47,INDIRECT(ADDRESS(43,COLUMN($AB$43),,,)):INDIRECT(ADDRESS(ROW($AB$64),COLUMN($AB$43),,,)),1),"")</f>
        <v>2</v>
      </c>
      <c r="AD47" s="302">
        <f ca="1">ROWS(INDIRECT(ADDRESS(42,COLUMN($AD$42),,,)):INDIRECT(ADDRESS(ROW()-1,COLUMN($AD$42),,,)))</f>
        <v>5</v>
      </c>
      <c r="AE47" s="303" t="str">
        <f ca="1">IFERROR(INDEX($E$42:$AC$64,MATCH(ROWS(INDIRECT(ADDRESS(42,COLUMN($AE$42),,,)):INDIRECT(ADDRESS(ROW()-1,COLUMN($AE$42),,,))),$AC$42:$AC$64,0),1),"")</f>
        <v/>
      </c>
      <c r="AF47" s="289"/>
      <c r="AG47" s="289"/>
      <c r="AH47" s="289"/>
      <c r="AI47" s="289"/>
    </row>
    <row r="48" spans="1:35" ht="13.8" outlineLevel="1">
      <c r="A48" s="91"/>
      <c r="B48" s="244" t="str">
        <f ca="1">IF(INDIRECT(ADDRESS(ROW(),COLUMN($C$33),,,))&lt;&gt;"",MAX(INDIRECT(ADDRESS(ROW($B$33),COLUMN($B$33),,,)):INDIRECT(ADDRESS(ROW()-1,COLUMN($B$33),,,)))+1,"")</f>
        <v/>
      </c>
      <c r="C48" s="245"/>
      <c r="D48" s="246" t="str">
        <f ca="1">IF(INDIRECT(ADDRESS(ROW()-1,COLUMN($B$34),,,))=MAX(INDIRECT(ADDRESS(ROW($B$34),COLUMN($B$34),,,)):INDIRECT(ADDRESS(ROW(),COLUMN($B$34),,,))),MAX(INDIRECT(ADDRESS(ROW($B$34),COLUMN($B$34),,,)):INDIRECT(ADDRESS(ROW(),COLUMN($B$34),,,)))*10+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IF(INDIRECT(ADDRESS(ROW(),COLUMN($E$33),,,))="","",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f>
        <v/>
      </c>
      <c r="E48" s="245"/>
      <c r="F48" s="247">
        <f ca="1">IF(AND(INDIRECT(ADDRESS(ROW()-1,COLUMN($D$33),,,))=MAX(INDIRECT(ADDRESS(ROW($D$33),COLUMN($D$33),,,)):INDIRECT(ADDRESS(ROW(),COLUMN($D$33),,,))),INDIRECT(ADDRESS(ROW(),COLUMN($G$33),,,))&lt;&gt;""),(MAX(INDIRECT(ADDRESS(ROW($D$33),COLUMN($D$33),,,)):INDIRECT(ADDRESS(ROW(),COLUMN($D$33),,,)))*1000)+MAX(OFFSET($D$33,MATCH(MAX(INDIRECT(ADDRESS(ROW($D$33),COLUMN($D$33),,,)):INDIRECT(ADDRESS(ROW(),COLUMN($D$33),,,))),INDIRECT(ADDRESS(ROW($D$34),COLUMN($D$34),,,)):INDIRECT(ADDRESS(ROW(),COLUMN($D$33),,,)),0),2,ROWS(INDIRECT(ADDRESS(ROW($F$33),COLUMN($F$33),,,)):INDIRECT(ADDRESS(ROW()-1,COLUMN($F$33),,,)))-MATCH(MAX(INDIRECT(ADDRESS(ROW($D$34),COLUMN($D$34),,,)):INDIRECT(ADDRESS(ROW(),COLUMN($D$33),,,))),INDIRECT(ADDRESS(ROW($D$34),COLUMN($D$34),,,)):INDIRECT(ADDRESS(ROW(),COLUMN($D$33),,,)),0),))+1,IF(INDIRECT(ADDRESS(ROW(),COLUMN($G$33),,,))="","",MAX(OFFSET($D$33,MATCH(MAX(INDIRECT(ADDRESS(ROW($D$34),COLUMN($D$34),,,)):INDIRECT(ADDRESS(ROW(),COLUMN($D$33),,,))),INDIRECT(ADDRESS(ROW($D$34),COLUMN($D$34),,,)):INDIRECT(ADDRESS(ROW(),COLUMN($D$33),,,)),0),2,ROWS(INDIRECT(ADDRESS(ROW($F$33),COLUMN($F$33),,,)):INDIRECT(ADDRESS(ROW()-1,COLUMN($F$33),,,)))-MATCH(MAX(INDIRECT(ADDRESS(ROW($D$34),COLUMN($D$34),,,)):INDIRECT(ADDRESS(ROW(),COLUMN($D$33),,,))),INDIRECT(ADDRESS(ROW($D$34),COLUMN($D$34),,,)):INDIRECT(ADDRESS(ROW(),COLUMN($D$33),,,)),0),))+1))</f>
        <v>21001</v>
      </c>
      <c r="G48" s="624" t="s">
        <v>341</v>
      </c>
      <c r="H48" s="625"/>
      <c r="I48" s="625"/>
      <c r="J48" s="626"/>
      <c r="K48" s="296" t="str">
        <f ca="1">IF(AND(ISNUMBER(Y48),Z48="V"),"USED",IF(AND(Y48="",Z48="V"),"NOT YET",""))</f>
        <v>USED</v>
      </c>
      <c r="L48" s="249"/>
      <c r="M48" s="661"/>
      <c r="N48" s="662"/>
      <c r="O48" s="662"/>
      <c r="P48" s="663"/>
      <c r="Q48" s="90"/>
      <c r="R48" s="126"/>
      <c r="U48" s="299">
        <f ca="1">IF(D48="",F48,D48*1000)</f>
        <v>21001</v>
      </c>
      <c r="V48" s="300" t="str">
        <f>IF(E48="",G48,E48)</f>
        <v>PreSPUD</v>
      </c>
      <c r="W48" s="301">
        <f ca="1">IFERROR(ROUND(U48/1000,0),"")</f>
        <v>21</v>
      </c>
      <c r="X48" s="300" t="str">
        <f ca="1">""&amp;VLOOKUP(W48,INDIRECT(ADDRESS(42,4,,,)):INDIRECT(ADDRESS(ROW($H$64),8,,,)),2,FALSE)&amp;"-"&amp;V48&amp;""</f>
        <v>WORKOVER SECTION-PreSPUD</v>
      </c>
      <c r="Y48" s="302">
        <f ca="1">IFERROR(MATCH(X48,INDIRECT(ADDRESS(9,COLUMN('2_DATA'!$AX$9),,,"2_DATA")):INDIRECT(ADDRESS(1000,COLUMN('2_DATA'!$AX$9),,,"2_DATA")),0),"")</f>
        <v>16</v>
      </c>
      <c r="Z48" s="302" t="str">
        <f ca="1">IFERROR(IF(U48-ROUNDDOWN(U48/1000,0)*1000=0,"","V"),"")</f>
        <v>V</v>
      </c>
      <c r="AA48" s="289"/>
      <c r="AB48" s="302" t="str">
        <f t="shared" ca="1" si="9"/>
        <v/>
      </c>
      <c r="AC48" s="302" t="str">
        <f ca="1">IFERROR(RANK(AB48,INDIRECT(ADDRESS(43,COLUMN($AB$43),,,)):INDIRECT(ADDRESS(ROW($AB$64),COLUMN($AB$43),,,)),1),"")</f>
        <v/>
      </c>
      <c r="AD48" s="302">
        <f ca="1">ROWS(INDIRECT(ADDRESS(42,COLUMN($AD$42),,,)):INDIRECT(ADDRESS(ROW()-1,COLUMN($AD$42),,,)))</f>
        <v>6</v>
      </c>
      <c r="AE48" s="303" t="str">
        <f ca="1">IFERROR(INDEX($E$42:$AC$64,MATCH(ROWS(INDIRECT(ADDRESS(42,COLUMN($AE$42),,,)):INDIRECT(ADDRESS(ROW()-1,COLUMN($AE$42),,,))),$AC$42:$AC$64,0),1),"")</f>
        <v/>
      </c>
      <c r="AF48" s="289"/>
      <c r="AG48" s="289"/>
      <c r="AH48" s="289"/>
      <c r="AI48" s="289"/>
    </row>
    <row r="49" spans="1:35" ht="13.8" outlineLevel="1">
      <c r="A49" s="91"/>
      <c r="B49" s="244" t="str">
        <f ca="1">IF(INDIRECT(ADDRESS(ROW(),COLUMN($C$33),,,))&lt;&gt;"",MAX(INDIRECT(ADDRESS(ROW($B$33),COLUMN($B$33),,,)):INDIRECT(ADDRESS(ROW()-1,COLUMN($B$33),,,)))+1,"")</f>
        <v/>
      </c>
      <c r="C49" s="245"/>
      <c r="D49" s="246" t="str">
        <f ca="1">IF(INDIRECT(ADDRESS(ROW()-1,COLUMN($B$34),,,))=MAX(INDIRECT(ADDRESS(ROW($B$34),COLUMN($B$34),,,)):INDIRECT(ADDRESS(ROW(),COLUMN($B$34),,,))),MAX(INDIRECT(ADDRESS(ROW($B$34),COLUMN($B$34),,,)):INDIRECT(ADDRESS(ROW(),COLUMN($B$34),,,)))*10+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IF(INDIRECT(ADDRESS(ROW(),COLUMN($E$33),,,))="","",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f>
        <v/>
      </c>
      <c r="E49" s="245"/>
      <c r="F49" s="247">
        <f ca="1">IF(AND(INDIRECT(ADDRESS(ROW()-1,COLUMN($D$33),,,))=MAX(INDIRECT(ADDRESS(ROW($D$33),COLUMN($D$33),,,)):INDIRECT(ADDRESS(ROW(),COLUMN($D$33),,,))),INDIRECT(ADDRESS(ROW(),COLUMN($G$33),,,))&lt;&gt;""),(MAX(INDIRECT(ADDRESS(ROW($D$33),COLUMN($D$33),,,)):INDIRECT(ADDRESS(ROW(),COLUMN($D$33),,,)))*1000)+MAX(OFFSET($D$33,MATCH(MAX(INDIRECT(ADDRESS(ROW($D$33),COLUMN($D$33),,,)):INDIRECT(ADDRESS(ROW(),COLUMN($D$33),,,))),INDIRECT(ADDRESS(ROW($D$34),COLUMN($D$34),,,)):INDIRECT(ADDRESS(ROW(),COLUMN($D$33),,,)),0),2,ROWS(INDIRECT(ADDRESS(ROW($F$33),COLUMN($F$33),,,)):INDIRECT(ADDRESS(ROW()-1,COLUMN($F$33),,,)))-MATCH(MAX(INDIRECT(ADDRESS(ROW($D$34),COLUMN($D$34),,,)):INDIRECT(ADDRESS(ROW(),COLUMN($D$33),,,))),INDIRECT(ADDRESS(ROW($D$34),COLUMN($D$34),,,)):INDIRECT(ADDRESS(ROW(),COLUMN($D$33),,,)),0),))+1,IF(INDIRECT(ADDRESS(ROW(),COLUMN($G$33),,,))="","",MAX(OFFSET($D$33,MATCH(MAX(INDIRECT(ADDRESS(ROW($D$34),COLUMN($D$34),,,)):INDIRECT(ADDRESS(ROW(),COLUMN($D$33),,,))),INDIRECT(ADDRESS(ROW($D$34),COLUMN($D$34),,,)):INDIRECT(ADDRESS(ROW(),COLUMN($D$33),,,)),0),2,ROWS(INDIRECT(ADDRESS(ROW($F$33),COLUMN($F$33),,,)):INDIRECT(ADDRESS(ROW()-1,COLUMN($F$33),,,)))-MATCH(MAX(INDIRECT(ADDRESS(ROW($D$34),COLUMN($D$34),,,)):INDIRECT(ADDRESS(ROW(),COLUMN($D$33),,,))),INDIRECT(ADDRESS(ROW($D$34),COLUMN($D$34),,,)):INDIRECT(ADDRESS(ROW(),COLUMN($D$33),,,)),0),))+1))</f>
        <v>21002</v>
      </c>
      <c r="G49" s="624" t="s">
        <v>575</v>
      </c>
      <c r="H49" s="625"/>
      <c r="I49" s="625"/>
      <c r="J49" s="626"/>
      <c r="K49" s="296" t="str">
        <f ca="1">IF(AND(ISNUMBER(Y49),Z49="V"),"USED",IF(AND(Y49="",Z49="V"),"NOT YET",""))</f>
        <v>USED</v>
      </c>
      <c r="L49" s="249"/>
      <c r="M49" s="661"/>
      <c r="N49" s="662"/>
      <c r="O49" s="662"/>
      <c r="P49" s="663"/>
      <c r="Q49" s="90"/>
      <c r="R49" s="126"/>
      <c r="U49" s="299">
        <f ca="1">IF(D49="",F49,D49*1000)</f>
        <v>21002</v>
      </c>
      <c r="V49" s="300" t="str">
        <f>IF(E49="",G49,E49)</f>
        <v>WORKOVER #1</v>
      </c>
      <c r="W49" s="301">
        <f ca="1">IFERROR(ROUND(U49/1000,0),"")</f>
        <v>21</v>
      </c>
      <c r="X49" s="300" t="str">
        <f ca="1">""&amp;VLOOKUP(W49,INDIRECT(ADDRESS(42,4,,,)):INDIRECT(ADDRESS(ROW($H$64),8,,,)),2,FALSE)&amp;"-"&amp;V49&amp;""</f>
        <v>WORKOVER SECTION-WORKOVER #1</v>
      </c>
      <c r="Y49" s="302">
        <f ca="1">IFERROR(MATCH(X49,INDIRECT(ADDRESS(9,COLUMN('2_DATA'!$AX$9),,,"2_DATA")):INDIRECT(ADDRESS(1000,COLUMN('2_DATA'!$AX$9),,,"2_DATA")),0),"")</f>
        <v>116</v>
      </c>
      <c r="Z49" s="302" t="str">
        <f ca="1">IFERROR(IF(U49-ROUNDDOWN(U49/1000,0)*1000=0,"","V"),"")</f>
        <v>V</v>
      </c>
      <c r="AA49" s="289"/>
      <c r="AB49" s="302" t="str">
        <f t="shared" ca="1" si="9"/>
        <v/>
      </c>
      <c r="AC49" s="302" t="str">
        <f ca="1">IFERROR(RANK(AB49,INDIRECT(ADDRESS(43,COLUMN($AB$43),,,)):INDIRECT(ADDRESS(ROW($AB$64),COLUMN($AB$43),,,)),1),"")</f>
        <v/>
      </c>
      <c r="AD49" s="302">
        <f ca="1">ROWS(INDIRECT(ADDRESS(42,COLUMN($AD$42),,,)):INDIRECT(ADDRESS(ROW()-1,COLUMN($AD$42),,,)))</f>
        <v>7</v>
      </c>
      <c r="AE49" s="303" t="str">
        <f ca="1">IFERROR(INDEX($E$42:$AC$64,MATCH(ROWS(INDIRECT(ADDRESS(42,COLUMN($AE$42),,,)):INDIRECT(ADDRESS(ROW()-1,COLUMN($AE$42),,,))),$AC$42:$AC$64,0),1),"")</f>
        <v/>
      </c>
      <c r="AF49" s="289"/>
      <c r="AG49" s="289"/>
      <c r="AH49" s="289"/>
      <c r="AI49" s="289"/>
    </row>
    <row r="50" spans="1:35" ht="13.8" outlineLevel="1">
      <c r="A50" s="91"/>
      <c r="B50" s="244" t="str">
        <f ca="1">IF(INDIRECT(ADDRESS(ROW(),COLUMN($C$33),,,))&lt;&gt;"",MAX(INDIRECT(ADDRESS(ROW($B$33),COLUMN($B$33),,,)):INDIRECT(ADDRESS(ROW()-1,COLUMN($B$33),,,)))+1,"")</f>
        <v/>
      </c>
      <c r="C50" s="245"/>
      <c r="D50" s="246" t="str">
        <f ca="1">IF(INDIRECT(ADDRESS(ROW()-1,COLUMN($B$34),,,))=MAX(INDIRECT(ADDRESS(ROW($B$34),COLUMN($B$34),,,)):INDIRECT(ADDRESS(ROW(),COLUMN($B$34),,,))),MAX(INDIRECT(ADDRESS(ROW($B$34),COLUMN($B$34),,,)):INDIRECT(ADDRESS(ROW(),COLUMN($B$34),,,)))*10+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IF(INDIRECT(ADDRESS(ROW(),COLUMN($E$33),,,))="","",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f>
        <v/>
      </c>
      <c r="E50" s="245"/>
      <c r="F50" s="247">
        <f ca="1">IF(AND(INDIRECT(ADDRESS(ROW()-1,COLUMN($D$33),,,))=MAX(INDIRECT(ADDRESS(ROW($D$33),COLUMN($D$33),,,)):INDIRECT(ADDRESS(ROW(),COLUMN($D$33),,,))),INDIRECT(ADDRESS(ROW(),COLUMN($G$33),,,))&lt;&gt;""),(MAX(INDIRECT(ADDRESS(ROW($D$33),COLUMN($D$33),,,)):INDIRECT(ADDRESS(ROW(),COLUMN($D$33),,,)))*1000)+MAX(OFFSET($D$33,MATCH(MAX(INDIRECT(ADDRESS(ROW($D$33),COLUMN($D$33),,,)):INDIRECT(ADDRESS(ROW(),COLUMN($D$33),,,))),INDIRECT(ADDRESS(ROW($D$34),COLUMN($D$34),,,)):INDIRECT(ADDRESS(ROW(),COLUMN($D$33),,,)),0),2,ROWS(INDIRECT(ADDRESS(ROW($F$33),COLUMN($F$33),,,)):INDIRECT(ADDRESS(ROW()-1,COLUMN($F$33),,,)))-MATCH(MAX(INDIRECT(ADDRESS(ROW($D$34),COLUMN($D$34),,,)):INDIRECT(ADDRESS(ROW(),COLUMN($D$33),,,))),INDIRECT(ADDRESS(ROW($D$34),COLUMN($D$34),,,)):INDIRECT(ADDRESS(ROW(),COLUMN($D$33),,,)),0),))+1,IF(INDIRECT(ADDRESS(ROW(),COLUMN($G$33),,,))="","",MAX(OFFSET($D$33,MATCH(MAX(INDIRECT(ADDRESS(ROW($D$34),COLUMN($D$34),,,)):INDIRECT(ADDRESS(ROW(),COLUMN($D$33),,,))),INDIRECT(ADDRESS(ROW($D$34),COLUMN($D$34),,,)):INDIRECT(ADDRESS(ROW(),COLUMN($D$33),,,)),0),2,ROWS(INDIRECT(ADDRESS(ROW($F$33),COLUMN($F$33),,,)):INDIRECT(ADDRESS(ROW()-1,COLUMN($F$33),,,)))-MATCH(MAX(INDIRECT(ADDRESS(ROW($D$34),COLUMN($D$34),,,)):INDIRECT(ADDRESS(ROW(),COLUMN($D$33),,,))),INDIRECT(ADDRESS(ROW($D$34),COLUMN($D$34),,,)):INDIRECT(ADDRESS(ROW(),COLUMN($D$33),,,)),0),))+1))</f>
        <v>21003</v>
      </c>
      <c r="G50" s="624" t="s">
        <v>576</v>
      </c>
      <c r="H50" s="625"/>
      <c r="I50" s="625"/>
      <c r="J50" s="626"/>
      <c r="K50" s="296" t="str">
        <f ca="1">IF(AND(ISNUMBER(Y50),Z50="V"),"USED",IF(AND(Y50="",Z50="V"),"NOT YET",""))</f>
        <v>USED</v>
      </c>
      <c r="L50" s="249"/>
      <c r="M50" s="661"/>
      <c r="N50" s="662"/>
      <c r="O50" s="662"/>
      <c r="P50" s="663"/>
      <c r="Q50" s="90"/>
      <c r="R50" s="126"/>
      <c r="U50" s="299">
        <f ca="1">IF(D50="",F50,D50*1000)</f>
        <v>21003</v>
      </c>
      <c r="V50" s="300" t="str">
        <f>IF(E50="",G50,E50)</f>
        <v>WORKOVER #2</v>
      </c>
      <c r="W50" s="301">
        <f ca="1">IFERROR(ROUND(U50/1000,0),"")</f>
        <v>21</v>
      </c>
      <c r="X50" s="300" t="str">
        <f ca="1">""&amp;VLOOKUP(W50,INDIRECT(ADDRESS(42,4,,,)):INDIRECT(ADDRESS(ROW($H$64),8,,,)),2,FALSE)&amp;"-"&amp;V50&amp;""</f>
        <v>WORKOVER SECTION-WORKOVER #2</v>
      </c>
      <c r="Y50" s="302">
        <f ca="1">IFERROR(MATCH(X50,INDIRECT(ADDRESS(9,COLUMN('2_DATA'!$AX$9),,,"2_DATA")):INDIRECT(ADDRESS(1000,COLUMN('2_DATA'!$AX$9),,,"2_DATA")),0),"")</f>
        <v>132</v>
      </c>
      <c r="Z50" s="302" t="str">
        <f ca="1">IFERROR(IF(U50-ROUNDDOWN(U50/1000,0)*1000=0,"","V"),"")</f>
        <v>V</v>
      </c>
      <c r="AA50" s="289"/>
      <c r="AB50" s="302" t="str">
        <f t="shared" ca="1" si="9"/>
        <v/>
      </c>
      <c r="AC50" s="302" t="str">
        <f ca="1">IFERROR(RANK(AB50,INDIRECT(ADDRESS(43,COLUMN($AB$43),,,)):INDIRECT(ADDRESS(ROW($AB$64),COLUMN($AB$43),,,)),1),"")</f>
        <v/>
      </c>
      <c r="AD50" s="302">
        <f ca="1">ROWS(INDIRECT(ADDRESS(42,COLUMN($AD$42),,,)):INDIRECT(ADDRESS(ROW()-1,COLUMN($AD$42),,,)))</f>
        <v>8</v>
      </c>
      <c r="AE50" s="303" t="str">
        <f ca="1">IFERROR(INDEX($E$42:$AC$64,MATCH(ROWS(INDIRECT(ADDRESS(42,COLUMN($AE$42),,,)):INDIRECT(ADDRESS(ROW()-1,COLUMN($AE$42),,,))),$AC$42:$AC$64,0),1),"")</f>
        <v/>
      </c>
      <c r="AF50" s="289"/>
      <c r="AG50" s="289"/>
      <c r="AH50" s="289"/>
      <c r="AI50" s="289"/>
    </row>
    <row r="51" spans="1:35" ht="13.8" outlineLevel="1">
      <c r="A51" s="91"/>
      <c r="B51" s="244" t="str">
        <f ca="1">IF(INDIRECT(ADDRESS(ROW(),COLUMN($C$33),,,))&lt;&gt;"",MAX(INDIRECT(ADDRESS(ROW($B$33),COLUMN($B$33),,,)):INDIRECT(ADDRESS(ROW()-1,COLUMN($B$33),,,)))+1,"")</f>
        <v/>
      </c>
      <c r="C51" s="245"/>
      <c r="D51" s="246" t="str">
        <f ca="1">IF(INDIRECT(ADDRESS(ROW()-1,COLUMN($B$34),,,))=MAX(INDIRECT(ADDRESS(ROW($B$34),COLUMN($B$34),,,)):INDIRECT(ADDRESS(ROW(),COLUMN($B$34),,,))),MAX(INDIRECT(ADDRESS(ROW($B$34),COLUMN($B$34),,,)):INDIRECT(ADDRESS(ROW(),COLUMN($B$34),,,)))*10+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IF(INDIRECT(ADDRESS(ROW(),COLUMN($E$33),,,))="","",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f>
        <v/>
      </c>
      <c r="E51" s="245"/>
      <c r="F51" s="247">
        <f ca="1">IF(AND(INDIRECT(ADDRESS(ROW()-1,COLUMN($D$33),,,))=MAX(INDIRECT(ADDRESS(ROW($D$33),COLUMN($D$33),,,)):INDIRECT(ADDRESS(ROW(),COLUMN($D$33),,,))),INDIRECT(ADDRESS(ROW(),COLUMN($G$33),,,))&lt;&gt;""),(MAX(INDIRECT(ADDRESS(ROW($D$33),COLUMN($D$33),,,)):INDIRECT(ADDRESS(ROW(),COLUMN($D$33),,,)))*1000)+MAX(OFFSET($D$33,MATCH(MAX(INDIRECT(ADDRESS(ROW($D$33),COLUMN($D$33),,,)):INDIRECT(ADDRESS(ROW(),COLUMN($D$33),,,))),INDIRECT(ADDRESS(ROW($D$34),COLUMN($D$34),,,)):INDIRECT(ADDRESS(ROW(),COLUMN($D$33),,,)),0),2,ROWS(INDIRECT(ADDRESS(ROW($F$33),COLUMN($F$33),,,)):INDIRECT(ADDRESS(ROW()-1,COLUMN($F$33),,,)))-MATCH(MAX(INDIRECT(ADDRESS(ROW($D$34),COLUMN($D$34),,,)):INDIRECT(ADDRESS(ROW(),COLUMN($D$33),,,))),INDIRECT(ADDRESS(ROW($D$34),COLUMN($D$34),,,)):INDIRECT(ADDRESS(ROW(),COLUMN($D$33),,,)),0),))+1,IF(INDIRECT(ADDRESS(ROW(),COLUMN($G$33),,,))="","",MAX(OFFSET($D$33,MATCH(MAX(INDIRECT(ADDRESS(ROW($D$34),COLUMN($D$34),,,)):INDIRECT(ADDRESS(ROW(),COLUMN($D$33),,,))),INDIRECT(ADDRESS(ROW($D$34),COLUMN($D$34),,,)):INDIRECT(ADDRESS(ROW(),COLUMN($D$33),,,)),0),2,ROWS(INDIRECT(ADDRESS(ROW($F$33),COLUMN($F$33),,,)):INDIRECT(ADDRESS(ROW()-1,COLUMN($F$33),,,)))-MATCH(MAX(INDIRECT(ADDRESS(ROW($D$34),COLUMN($D$34),,,)):INDIRECT(ADDRESS(ROW(),COLUMN($D$33),,,))),INDIRECT(ADDRESS(ROW($D$34),COLUMN($D$34),,,)):INDIRECT(ADDRESS(ROW(),COLUMN($D$33),,,)),0),))+1))</f>
        <v>21004</v>
      </c>
      <c r="G51" s="624" t="s">
        <v>577</v>
      </c>
      <c r="H51" s="625"/>
      <c r="I51" s="625"/>
      <c r="J51" s="626"/>
      <c r="K51" s="296" t="str">
        <f ca="1">IF(AND(ISNUMBER(Y51),Z51="V"),"USED",IF(AND(Y51="",Z51="V"),"NOT YET",""))</f>
        <v>USED</v>
      </c>
      <c r="L51" s="249"/>
      <c r="M51" s="661"/>
      <c r="N51" s="662"/>
      <c r="O51" s="662"/>
      <c r="P51" s="663"/>
      <c r="Q51" s="90"/>
      <c r="R51" s="126"/>
      <c r="U51" s="299">
        <f ca="1">IF(D51="",F51,D51*1000)</f>
        <v>21004</v>
      </c>
      <c r="V51" s="300" t="str">
        <f>IF(E51="",G51,E51)</f>
        <v>WORKOVER #3</v>
      </c>
      <c r="W51" s="301">
        <f ca="1">IFERROR(ROUND(U51/1000,0),"")</f>
        <v>21</v>
      </c>
      <c r="X51" s="300" t="str">
        <f ca="1">""&amp;VLOOKUP(W51,INDIRECT(ADDRESS(42,4,,,)):INDIRECT(ADDRESS(ROW($H$64),8,,,)),2,FALSE)&amp;"-"&amp;V51&amp;""</f>
        <v>WORKOVER SECTION-WORKOVER #3</v>
      </c>
      <c r="Y51" s="302">
        <f ca="1">IFERROR(MATCH(X51,INDIRECT(ADDRESS(9,COLUMN('2_DATA'!$AX$9),,,"2_DATA")):INDIRECT(ADDRESS(1000,COLUMN('2_DATA'!$AX$9),,,"2_DATA")),0),"")</f>
        <v>171</v>
      </c>
      <c r="Z51" s="302" t="str">
        <f ca="1">IFERROR(IF(U51-ROUNDDOWN(U51/1000,0)*1000=0,"","V"),"")</f>
        <v>V</v>
      </c>
      <c r="AA51" s="289"/>
      <c r="AB51" s="302" t="str">
        <f t="shared" ca="1" si="9"/>
        <v/>
      </c>
      <c r="AC51" s="302" t="str">
        <f ca="1">IFERROR(RANK(AB51,INDIRECT(ADDRESS(43,COLUMN($AB$43),,,)):INDIRECT(ADDRESS(ROW($AB$64),COLUMN($AB$43),,,)),1),"")</f>
        <v/>
      </c>
      <c r="AD51" s="302">
        <f ca="1">ROWS(INDIRECT(ADDRESS(42,COLUMN($AD$42),,,)):INDIRECT(ADDRESS(ROW()-1,COLUMN($AD$42),,,)))</f>
        <v>9</v>
      </c>
      <c r="AE51" s="303" t="str">
        <f ca="1">IFERROR(INDEX($E$42:$AC$64,MATCH(ROWS(INDIRECT(ADDRESS(42,COLUMN($AE$42),,,)):INDIRECT(ADDRESS(ROW()-1,COLUMN($AE$42),,,))),$AC$42:$AC$64,0),1),"")</f>
        <v/>
      </c>
      <c r="AF51" s="289"/>
      <c r="AG51" s="289"/>
      <c r="AH51" s="289"/>
      <c r="AI51" s="289"/>
    </row>
    <row r="52" spans="1:35" ht="13.8" outlineLevel="1">
      <c r="A52" s="91"/>
      <c r="B52" s="244" t="str">
        <f ca="1">IF(INDIRECT(ADDRESS(ROW(),COLUMN($C$33),,,))&lt;&gt;"",MAX(INDIRECT(ADDRESS(ROW($B$33),COLUMN($B$33),,,)):INDIRECT(ADDRESS(ROW()-1,COLUMN($B$33),,,)))+1,"")</f>
        <v/>
      </c>
      <c r="C52" s="245"/>
      <c r="D52" s="246" t="str">
        <f ca="1">IF(INDIRECT(ADDRESS(ROW()-1,COLUMN($B$34),,,))=MAX(INDIRECT(ADDRESS(ROW($B$34),COLUMN($B$34),,,)):INDIRECT(ADDRESS(ROW(),COLUMN($B$34),,,))),MAX(INDIRECT(ADDRESS(ROW($B$34),COLUMN($B$34),,,)):INDIRECT(ADDRESS(ROW(),COLUMN($B$34),,,)))*10+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IF(INDIRECT(ADDRESS(ROW(),COLUMN($E$33),,,))="","",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f>
        <v/>
      </c>
      <c r="E52" s="245"/>
      <c r="F52" s="247">
        <f ca="1">IF(AND(INDIRECT(ADDRESS(ROW()-1,COLUMN($D$33),,,))=MAX(INDIRECT(ADDRESS(ROW($D$33),COLUMN($D$33),,,)):INDIRECT(ADDRESS(ROW(),COLUMN($D$33),,,))),INDIRECT(ADDRESS(ROW(),COLUMN($G$33),,,))&lt;&gt;""),(MAX(INDIRECT(ADDRESS(ROW($D$33),COLUMN($D$33),,,)):INDIRECT(ADDRESS(ROW(),COLUMN($D$33),,,)))*1000)+MAX(OFFSET($D$33,MATCH(MAX(INDIRECT(ADDRESS(ROW($D$33),COLUMN($D$33),,,)):INDIRECT(ADDRESS(ROW(),COLUMN($D$33),,,))),INDIRECT(ADDRESS(ROW($D$34),COLUMN($D$34),,,)):INDIRECT(ADDRESS(ROW(),COLUMN($D$33),,,)),0),2,ROWS(INDIRECT(ADDRESS(ROW($F$33),COLUMN($F$33),,,)):INDIRECT(ADDRESS(ROW()-1,COLUMN($F$33),,,)))-MATCH(MAX(INDIRECT(ADDRESS(ROW($D$34),COLUMN($D$34),,,)):INDIRECT(ADDRESS(ROW(),COLUMN($D$33),,,))),INDIRECT(ADDRESS(ROW($D$34),COLUMN($D$34),,,)):INDIRECT(ADDRESS(ROW(),COLUMN($D$33),,,)),0),))+1,IF(INDIRECT(ADDRESS(ROW(),COLUMN($G$33),,,))="","",MAX(OFFSET($D$33,MATCH(MAX(INDIRECT(ADDRESS(ROW($D$34),COLUMN($D$34),,,)):INDIRECT(ADDRESS(ROW(),COLUMN($D$33),,,))),INDIRECT(ADDRESS(ROW($D$34),COLUMN($D$34),,,)):INDIRECT(ADDRESS(ROW(),COLUMN($D$33),,,)),0),2,ROWS(INDIRECT(ADDRESS(ROW($F$33),COLUMN($F$33),,,)):INDIRECT(ADDRESS(ROW()-1,COLUMN($F$33),,,)))-MATCH(MAX(INDIRECT(ADDRESS(ROW($D$34),COLUMN($D$34),,,)):INDIRECT(ADDRESS(ROW(),COLUMN($D$33),,,))),INDIRECT(ADDRESS(ROW($D$34),COLUMN($D$34),,,)):INDIRECT(ADDRESS(ROW(),COLUMN($D$33),,,)),0),))+1))</f>
        <v>21005</v>
      </c>
      <c r="G52" s="624" t="s">
        <v>581</v>
      </c>
      <c r="H52" s="625"/>
      <c r="I52" s="625"/>
      <c r="J52" s="626"/>
      <c r="K52" s="296" t="str">
        <f ca="1">IF(AND(ISNUMBER(Y52),Z52="V"),"USED",IF(AND(Y52="",Z52="V"),"NOT YET",""))</f>
        <v>USED</v>
      </c>
      <c r="L52" s="249"/>
      <c r="M52" s="661"/>
      <c r="N52" s="662"/>
      <c r="O52" s="662"/>
      <c r="P52" s="663"/>
      <c r="Q52" s="90"/>
      <c r="R52" s="126"/>
      <c r="U52" s="299">
        <f t="shared" ca="1" si="5"/>
        <v>21005</v>
      </c>
      <c r="V52" s="300" t="str">
        <f t="shared" si="6"/>
        <v>WORKOVER #4</v>
      </c>
      <c r="W52" s="301">
        <f t="shared" ca="1" si="7"/>
        <v>21</v>
      </c>
      <c r="X52" s="300" t="str">
        <f ca="1">""&amp;VLOOKUP(W52,INDIRECT(ADDRESS(42,4,,,)):INDIRECT(ADDRESS(ROW($H$64),8,,,)),2,FALSE)&amp;"-"&amp;V52&amp;""</f>
        <v>WORKOVER SECTION-WORKOVER #4</v>
      </c>
      <c r="Y52" s="302">
        <f ca="1">IFERROR(MATCH(X52,INDIRECT(ADDRESS(9,COLUMN('2_DATA'!$AX$9),,,"2_DATA")):INDIRECT(ADDRESS(1000,COLUMN('2_DATA'!$AX$9),,,"2_DATA")),0),"")</f>
        <v>184</v>
      </c>
      <c r="Z52" s="302" t="str">
        <f t="shared" ca="1" si="8"/>
        <v>V</v>
      </c>
      <c r="AA52" s="289"/>
      <c r="AB52" s="302" t="str">
        <f t="shared" ca="1" si="9"/>
        <v/>
      </c>
      <c r="AC52" s="302" t="str">
        <f ca="1">IFERROR(RANK(AB52,INDIRECT(ADDRESS(43,COLUMN($AB$43),,,)):INDIRECT(ADDRESS(ROW($AB$64),COLUMN($AB$43),,,)),1),"")</f>
        <v/>
      </c>
      <c r="AD52" s="302">
        <f ca="1">ROWS(INDIRECT(ADDRESS(42,COLUMN($AD$42),,,)):INDIRECT(ADDRESS(ROW()-1,COLUMN($AD$42),,,)))</f>
        <v>10</v>
      </c>
      <c r="AE52" s="303" t="str">
        <f ca="1">IFERROR(INDEX($E$42:$AC$64,MATCH(ROWS(INDIRECT(ADDRESS(42,COLUMN($AE$42),,,)):INDIRECT(ADDRESS(ROW()-1,COLUMN($AE$42),,,))),$AC$42:$AC$64,0),1),"")</f>
        <v/>
      </c>
      <c r="AF52" s="289"/>
      <c r="AG52" s="289"/>
      <c r="AH52" s="289"/>
      <c r="AI52" s="289"/>
    </row>
    <row r="53" spans="1:35" ht="13.8" outlineLevel="1">
      <c r="A53" s="91"/>
      <c r="B53" s="244">
        <f ca="1">IF(INDIRECT(ADDRESS(ROW(),COLUMN($C$33),,,))&lt;&gt;"",MAX(INDIRECT(ADDRESS(ROW($B$33),COLUMN($B$33),,,)):INDIRECT(ADDRESS(ROW()-1,COLUMN($B$33),,,)))+1,"")</f>
        <v>3</v>
      </c>
      <c r="C53" s="645" t="s">
        <v>631</v>
      </c>
      <c r="D53" s="646" t="str">
        <f ca="1">IF(INDIRECT(ADDRESS(ROW()-1,COLUMN($B$7),,,))=MAX(INDIRECT(ADDRESS(ROW($B$7),COLUMN($B$7),,,)):INDIRECT(ADDRESS(ROW(),COLUMN($B$7),,,))),MAX(INDIRECT(ADDRESS(ROW($B$7),COLUMN($B$7),,,)):INDIRECT(ADDRESS(ROW(),COLUMN($B$7),,,)))*10+MAX(OFFSET(INDIRECT(ADDRESS(ROW($B$6),COLUMN($B$6),,,)),MATCH(MAX(INDIRECT(ADDRESS(ROW($B$7),COLUMN($B$7),,,)):INDIRECT(ADDRESS(ROW(),COLUMN($B$7),,,))),INDIRECT(ADDRESS(ROW($B$7),COLUMN($B$7),,,)):INDIRECT(ADDRESS(ROW(),COLUMN($B$7),,,)),0),2,ROWS(INDIRECT(ADDRESS(ROW($D$6),COLUMN($D$6),,,)):INDIRECT(ADDRESS(ROW()-1,COLUMN($D$6),,,)))-MATCH(MAX(INDIRECT(ADDRESS(ROW($B$7),COLUMN($B$7),,,)):INDIRECT(ADDRESS(ROW(),COLUMN($B$7),,,))),INDIRECT(ADDRESS(ROW($B$7),COLUMN($B$7),,,)):INDIRECT(ADDRESS(ROW(),COLUMN($B$7),,,)),0),))+1,IF(INDIRECT(ADDRESS(ROW(),COLUMN($E$6),,,))="","",MAX(OFFSET(INDIRECT(ADDRESS(ROW($B$6),COLUMN($B$6),,,)),MATCH(MAX(INDIRECT(ADDRESS(ROW($B$7),COLUMN($B$7),,,)):INDIRECT(ADDRESS(ROW(),COLUMN($B$7),,,))),INDIRECT(ADDRESS(ROW($B$7),COLUMN($B$7),,,)):INDIRECT(ADDRESS(ROW(),COLUMN($B$7),,,)),0),2,ROWS(INDIRECT(ADDRESS(ROW($D$6),COLUMN($D$6),,,)):INDIRECT(ADDRESS(ROW()-1,COLUMN($D$6),,,)))-MATCH(MAX(INDIRECT(ADDRESS(ROW($B$7),COLUMN($B$7),,,)):INDIRECT(ADDRESS(ROW(),COLUMN($B$7),,,))),INDIRECT(ADDRESS(ROW($B$7),COLUMN($B$7),,,)):INDIRECT(ADDRESS(ROW(),COLUMN($B$7),,,)),0),))+1))</f>
        <v/>
      </c>
      <c r="E53" s="646"/>
      <c r="F53" s="646" t="str">
        <f ca="1">IF(AND(INDIRECT(ADDRESS(ROW()-1,COLUMN($D$6),,,))=MAX(INDIRECT(ADDRESS(ROW($D$6),COLUMN($D$6),,,)):INDIRECT(ADDRESS(ROW(),COLUMN($D$6),,,))),INDIRECT(ADDRESS(ROW(),COLUMN($G$6),,,))&lt;&gt;""),(MAX(INDIRECT(ADDRESS(ROW($D$6),COLUMN($D$6),,,)):INDIRECT(ADDRESS(ROW(),COLUMN($D$6),,,)))*1000)+MAX(OFFSET($D$6,MATCH(MAX(INDIRECT(ADDRESS(ROW($D$6),COLUMN($D$6),,,)):INDIRECT(ADDRESS(ROW(),COLUMN($D$6),,,))),INDIRECT(ADDRESS(ROW($D$7),COLUMN($D$7),,,)):INDIRECT(ADDRESS(ROW(),COLUMN($D$6),,,)),0),2,ROWS(INDIRECT(ADDRESS(ROW($F$6),COLUMN($F$6),,,)):INDIRECT(ADDRESS(ROW()-1,COLUMN($F$6),,,)))-MATCH(MAX(INDIRECT(ADDRESS(ROW($D$7),COLUMN($D$7),,,)):INDIRECT(ADDRESS(ROW(),COLUMN($D$6),,,))),INDIRECT(ADDRESS(ROW($D$7),COLUMN($D$7),,,)):INDIRECT(ADDRESS(ROW(),COLUMN($D$6),,,)),0),))+1,IF(INDIRECT(ADDRESS(ROW(),COLUMN($G$6),,,))="","",MAX(OFFSET($D$6,MATCH(MAX(INDIRECT(ADDRESS(ROW($D$7),COLUMN($D$7),,,)):INDIRECT(ADDRESS(ROW(),COLUMN($D$6),,,))),INDIRECT(ADDRESS(ROW($D$7),COLUMN($D$7),,,)):INDIRECT(ADDRESS(ROW(),COLUMN($D$6),,,)),0),2,ROWS(INDIRECT(ADDRESS(ROW($F$6),COLUMN($F$6),,,)):INDIRECT(ADDRESS(ROW()-1,COLUMN($F$6),,,)))-MATCH(MAX(INDIRECT(ADDRESS(ROW($D$7),COLUMN($D$7),,,)):INDIRECT(ADDRESS(ROW(),COLUMN($D$6),,,))),INDIRECT(ADDRESS(ROW($D$7),COLUMN($D$7),,,)):INDIRECT(ADDRESS(ROW(),COLUMN($D$6),,,)),0),))+1))</f>
        <v/>
      </c>
      <c r="G53" s="646"/>
      <c r="H53" s="646"/>
      <c r="I53" s="646"/>
      <c r="J53" s="647"/>
      <c r="K53" s="248"/>
      <c r="L53" s="249"/>
      <c r="M53" s="661"/>
      <c r="N53" s="662"/>
      <c r="O53" s="662"/>
      <c r="P53" s="663"/>
      <c r="Q53" s="90"/>
      <c r="R53" s="126"/>
      <c r="U53" s="299" t="str">
        <f t="shared" ca="1" si="0"/>
        <v/>
      </c>
      <c r="V53" s="300">
        <f t="shared" si="1"/>
        <v>0</v>
      </c>
      <c r="W53" s="301" t="str">
        <f t="shared" ca="1" si="2"/>
        <v/>
      </c>
      <c r="X53" s="300" t="str">
        <f ca="1">""&amp;VLOOKUP(W53,INDIRECT(ADDRESS(42,4,,,)):INDIRECT(ADDRESS(ROW($H$64),8,,,)),2,FALSE)&amp;"-"&amp;V53&amp;""</f>
        <v>-0</v>
      </c>
      <c r="Y53" s="302" t="str">
        <f ca="1">IFERROR(MATCH(X53,INDIRECT(ADDRESS(9,COLUMN('2_DATA'!$AX$9),,,"2_DATA")):INDIRECT(ADDRESS(1000,COLUMN('2_DATA'!$AX$9),,,"2_DATA")),0),"")</f>
        <v/>
      </c>
      <c r="Z53" s="302" t="str">
        <f t="shared" ca="1" si="3"/>
        <v/>
      </c>
      <c r="AA53" s="289"/>
      <c r="AB53" s="302" t="str">
        <f t="shared" ca="1" si="4"/>
        <v/>
      </c>
      <c r="AC53" s="302" t="str">
        <f ca="1">IFERROR(RANK(AB53,INDIRECT(ADDRESS(43,COLUMN($AB$43),,,)):INDIRECT(ADDRESS(ROW($AB$64),COLUMN($AB$43),,,)),1),"")</f>
        <v/>
      </c>
      <c r="AD53" s="302">
        <f ca="1">ROWS(INDIRECT(ADDRESS(42,COLUMN($AD$42),,,)):INDIRECT(ADDRESS(ROW()-1,COLUMN($AD$42),,,)))</f>
        <v>11</v>
      </c>
      <c r="AE53" s="303" t="str">
        <f ca="1">IFERROR(INDEX($E$42:$AC$64,MATCH(ROWS(INDIRECT(ADDRESS(42,COLUMN($AE$42),,,)):INDIRECT(ADDRESS(ROW()-1,COLUMN($AE$42),,,))),$AC$42:$AC$64,0),1),"")</f>
        <v/>
      </c>
      <c r="AF53" s="289"/>
      <c r="AG53" s="289"/>
      <c r="AH53" s="289"/>
      <c r="AI53" s="289"/>
    </row>
    <row r="54" spans="1:35" ht="13.8" outlineLevel="1">
      <c r="A54" s="91"/>
      <c r="B54" s="244" t="str">
        <f ca="1">IF(INDIRECT(ADDRESS(ROW(),COLUMN($C$33),,,))&lt;&gt;"",MAX(INDIRECT(ADDRESS(ROW($B$33),COLUMN($B$33),,,)):INDIRECT(ADDRESS(ROW()-1,COLUMN($B$33),,,)))+1,"")</f>
        <v/>
      </c>
      <c r="C54" s="245"/>
      <c r="D54" s="246">
        <f ca="1">IF(INDIRECT(ADDRESS(ROW()-1,COLUMN($B$34),,,))=MAX(INDIRECT(ADDRESS(ROW($B$34),COLUMN($B$34),,,)):INDIRECT(ADDRESS(ROW(),COLUMN($B$34),,,))),MAX(INDIRECT(ADDRESS(ROW($B$34),COLUMN($B$34),,,)):INDIRECT(ADDRESS(ROW(),COLUMN($B$34),,,)))*10+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IF(INDIRECT(ADDRESS(ROW(),COLUMN($E$33),,,))="","",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f>
        <v>31</v>
      </c>
      <c r="E54" s="664" t="s">
        <v>631</v>
      </c>
      <c r="F54" s="665" t="s">
        <v>321</v>
      </c>
      <c r="G54" s="665"/>
      <c r="H54" s="665"/>
      <c r="I54" s="665"/>
      <c r="J54" s="665"/>
      <c r="K54" s="666"/>
      <c r="L54" s="249"/>
      <c r="M54" s="661"/>
      <c r="N54" s="662"/>
      <c r="O54" s="662"/>
      <c r="P54" s="663"/>
      <c r="Q54" s="90"/>
      <c r="R54" s="126"/>
      <c r="U54" s="299">
        <f t="shared" ca="1" si="0"/>
        <v>31000</v>
      </c>
      <c r="V54" s="300" t="str">
        <f t="shared" si="1"/>
        <v>RELEASE</v>
      </c>
      <c r="W54" s="301">
        <f t="shared" ca="1" si="2"/>
        <v>31</v>
      </c>
      <c r="X54" s="300" t="str">
        <f ca="1">""&amp;VLOOKUP(W54,INDIRECT(ADDRESS(42,4,,,)):INDIRECT(ADDRESS(ROW($H$64),8,,,)),2,FALSE)&amp;"-"&amp;V54&amp;""</f>
        <v>RELEASE-RELEASE</v>
      </c>
      <c r="Y54" s="302" t="str">
        <f ca="1">IFERROR(MATCH(X54,INDIRECT(ADDRESS(9,COLUMN('2_DATA'!$AX$9),,,"2_DATA")):INDIRECT(ADDRESS(1000,COLUMN('2_DATA'!$AX$9),,,"2_DATA")),0),"")</f>
        <v/>
      </c>
      <c r="Z54" s="302" t="str">
        <f t="shared" ca="1" si="3"/>
        <v/>
      </c>
      <c r="AA54" s="289"/>
      <c r="AB54" s="302">
        <f t="shared" ca="1" si="4"/>
        <v>31</v>
      </c>
      <c r="AC54" s="302">
        <f ca="1">IFERROR(RANK(AB54,INDIRECT(ADDRESS(43,COLUMN($AB$43),,,)):INDIRECT(ADDRESS(ROW($AB$64),COLUMN($AB$43),,,)),1),"")</f>
        <v>3</v>
      </c>
      <c r="AD54" s="302">
        <f ca="1">ROWS(INDIRECT(ADDRESS(42,COLUMN($AD$42),,,)):INDIRECT(ADDRESS(ROW()-1,COLUMN($AD$42),,,)))</f>
        <v>12</v>
      </c>
      <c r="AE54" s="303" t="str">
        <f ca="1">IFERROR(INDEX($E$42:$AC$64,MATCH(ROWS(INDIRECT(ADDRESS(42,COLUMN($AE$42),,,)):INDIRECT(ADDRESS(ROW()-1,COLUMN($AE$42),,,))),$AC$42:$AC$64,0),1),"")</f>
        <v/>
      </c>
      <c r="AF54" s="289"/>
      <c r="AG54" s="289"/>
      <c r="AH54" s="289"/>
      <c r="AI54" s="289"/>
    </row>
    <row r="55" spans="1:35" ht="13.8" outlineLevel="1">
      <c r="A55" s="91"/>
      <c r="B55" s="244" t="str">
        <f ca="1">IF(INDIRECT(ADDRESS(ROW(),COLUMN($C$33),,,))&lt;&gt;"",MAX(INDIRECT(ADDRESS(ROW($B$33),COLUMN($B$33),,,)):INDIRECT(ADDRESS(ROW()-1,COLUMN($B$33),,,)))+1,"")</f>
        <v/>
      </c>
      <c r="C55" s="245"/>
      <c r="D55" s="246" t="str">
        <f ca="1">IF(INDIRECT(ADDRESS(ROW()-1,COLUMN($B$34),,,))=MAX(INDIRECT(ADDRESS(ROW($B$34),COLUMN($B$34),,,)):INDIRECT(ADDRESS(ROW(),COLUMN($B$34),,,))),MAX(INDIRECT(ADDRESS(ROW($B$34),COLUMN($B$34),,,)):INDIRECT(ADDRESS(ROW(),COLUMN($B$34),,,)))*10+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IF(INDIRECT(ADDRESS(ROW(),COLUMN($E$33),,,))="","",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f>
        <v/>
      </c>
      <c r="E55" s="245"/>
      <c r="F55" s="247">
        <f ca="1">IF(AND(INDIRECT(ADDRESS(ROW()-1,COLUMN($D$33),,,))=MAX(INDIRECT(ADDRESS(ROW($D$33),COLUMN($D$33),,,)):INDIRECT(ADDRESS(ROW(),COLUMN($D$33),,,))),INDIRECT(ADDRESS(ROW(),COLUMN($G$33),,,))&lt;&gt;""),(MAX(INDIRECT(ADDRESS(ROW($D$33),COLUMN($D$33),,,)):INDIRECT(ADDRESS(ROW(),COLUMN($D$33),,,)))*1000)+MAX(OFFSET($D$33,MATCH(MAX(INDIRECT(ADDRESS(ROW($D$33),COLUMN($D$33),,,)):INDIRECT(ADDRESS(ROW(),COLUMN($D$33),,,))),INDIRECT(ADDRESS(ROW($D$34),COLUMN($D$34),,,)):INDIRECT(ADDRESS(ROW(),COLUMN($D$33),,,)),0),2,ROWS(INDIRECT(ADDRESS(ROW($F$33),COLUMN($F$33),,,)):INDIRECT(ADDRESS(ROW()-1,COLUMN($F$33),,,)))-MATCH(MAX(INDIRECT(ADDRESS(ROW($D$34),COLUMN($D$34),,,)):INDIRECT(ADDRESS(ROW(),COLUMN($D$33),,,))),INDIRECT(ADDRESS(ROW($D$34),COLUMN($D$34),,,)):INDIRECT(ADDRESS(ROW(),COLUMN($D$33),,,)),0),))+1,IF(INDIRECT(ADDRESS(ROW(),COLUMN($G$33),,,))="","",MAX(OFFSET($D$33,MATCH(MAX(INDIRECT(ADDRESS(ROW($D$34),COLUMN($D$34),,,)):INDIRECT(ADDRESS(ROW(),COLUMN($D$33),,,))),INDIRECT(ADDRESS(ROW($D$34),COLUMN($D$34),,,)):INDIRECT(ADDRESS(ROW(),COLUMN($D$33),,,)),0),2,ROWS(INDIRECT(ADDRESS(ROW($F$33),COLUMN($F$33),,,)):INDIRECT(ADDRESS(ROW()-1,COLUMN($F$33),,,)))-MATCH(MAX(INDIRECT(ADDRESS(ROW($D$34),COLUMN($D$34),,,)):INDIRECT(ADDRESS(ROW(),COLUMN($D$33),,,))),INDIRECT(ADDRESS(ROW($D$34),COLUMN($D$34),,,)):INDIRECT(ADDRESS(ROW(),COLUMN($D$33),,,)),0),))+1))</f>
        <v>31001</v>
      </c>
      <c r="G55" s="624" t="s">
        <v>571</v>
      </c>
      <c r="H55" s="625"/>
      <c r="I55" s="625"/>
      <c r="J55" s="626"/>
      <c r="K55" s="296" t="str">
        <f t="shared" ref="K55:K61" ca="1" si="10">IF(AND(ISNUMBER(Y55),Z55="V"),"USED",IF(AND(Y55="",Z55="V"),"NOT YET",""))</f>
        <v>USED</v>
      </c>
      <c r="L55" s="249"/>
      <c r="M55" s="249"/>
      <c r="N55" s="249"/>
      <c r="O55" s="249"/>
      <c r="P55" s="249"/>
      <c r="Q55" s="90"/>
      <c r="R55" s="126"/>
      <c r="U55" s="299">
        <f t="shared" ca="1" si="0"/>
        <v>31001</v>
      </c>
      <c r="V55" s="300" t="str">
        <f t="shared" si="1"/>
        <v>Rig Release</v>
      </c>
      <c r="W55" s="301">
        <f t="shared" ca="1" si="2"/>
        <v>31</v>
      </c>
      <c r="X55" s="300" t="str">
        <f ca="1">""&amp;VLOOKUP(W55,INDIRECT(ADDRESS(42,4,,,)):INDIRECT(ADDRESS(ROW($H$64),8,,,)),2,FALSE)&amp;"-"&amp;V55&amp;""</f>
        <v>RELEASE-Rig Release</v>
      </c>
      <c r="Y55" s="302">
        <f ca="1">IFERROR(MATCH(X55,INDIRECT(ADDRESS(9,COLUMN('2_DATA'!$AX$9),,,"2_DATA")):INDIRECT(ADDRESS(1000,COLUMN('2_DATA'!$AX$9),,,"2_DATA")),0),"")</f>
        <v>186</v>
      </c>
      <c r="Z55" s="302" t="str">
        <f t="shared" ca="1" si="3"/>
        <v>V</v>
      </c>
      <c r="AA55" s="289"/>
      <c r="AB55" s="302" t="str">
        <f t="shared" ca="1" si="4"/>
        <v/>
      </c>
      <c r="AC55" s="302" t="str">
        <f ca="1">IFERROR(RANK(AB55,INDIRECT(ADDRESS(43,COLUMN($AB$43),,,)):INDIRECT(ADDRESS(ROW($AB$64),COLUMN($AB$43),,,)),1),"")</f>
        <v/>
      </c>
      <c r="AD55" s="302">
        <f ca="1">ROWS(INDIRECT(ADDRESS(42,COLUMN($AD$42),,,)):INDIRECT(ADDRESS(ROW()-1,COLUMN($AD$42),,,)))</f>
        <v>13</v>
      </c>
      <c r="AE55" s="303" t="str">
        <f ca="1">IFERROR(INDEX($E$42:$AC$64,MATCH(ROWS(INDIRECT(ADDRESS(42,COLUMN($AE$42),,,)):INDIRECT(ADDRESS(ROW()-1,COLUMN($AE$42),,,))),$AC$42:$AC$64,0),1),"")</f>
        <v/>
      </c>
      <c r="AF55" s="289"/>
      <c r="AG55" s="289"/>
      <c r="AH55" s="289"/>
      <c r="AI55" s="289"/>
    </row>
    <row r="56" spans="1:35" ht="13.8" outlineLevel="1">
      <c r="A56" s="91"/>
      <c r="B56" s="244" t="str">
        <f ca="1">IF(INDIRECT(ADDRESS(ROW(),COLUMN($C$33),,,))&lt;&gt;"",MAX(INDIRECT(ADDRESS(ROW($B$33),COLUMN($B$33),,,)):INDIRECT(ADDRESS(ROW()-1,COLUMN($B$33),,,)))+1,"")</f>
        <v/>
      </c>
      <c r="C56" s="245"/>
      <c r="D56" s="246" t="str">
        <f ca="1">IF(INDIRECT(ADDRESS(ROW()-1,COLUMN($B$34),,,))=MAX(INDIRECT(ADDRESS(ROW($B$34),COLUMN($B$34),,,)):INDIRECT(ADDRESS(ROW(),COLUMN($B$34),,,))),MAX(INDIRECT(ADDRESS(ROW($B$34),COLUMN($B$34),,,)):INDIRECT(ADDRESS(ROW(),COLUMN($B$34),,,)))*10+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IF(INDIRECT(ADDRESS(ROW(),COLUMN($E$33),,,))="","",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f>
        <v/>
      </c>
      <c r="E56" s="245"/>
      <c r="F56" s="247" t="str">
        <f ca="1">IF(AND(INDIRECT(ADDRESS(ROW()-1,COLUMN($D$33),,,))=MAX(INDIRECT(ADDRESS(ROW($D$33),COLUMN($D$33),,,)):INDIRECT(ADDRESS(ROW(),COLUMN($D$33),,,))),INDIRECT(ADDRESS(ROW(),COLUMN($G$33),,,))&lt;&gt;""),(MAX(INDIRECT(ADDRESS(ROW($D$33),COLUMN($D$33),,,)):INDIRECT(ADDRESS(ROW(),COLUMN($D$33),,,)))*1000)+MAX(OFFSET($D$33,MATCH(MAX(INDIRECT(ADDRESS(ROW($D$33),COLUMN($D$33),,,)):INDIRECT(ADDRESS(ROW(),COLUMN($D$33),,,))),INDIRECT(ADDRESS(ROW($D$34),COLUMN($D$34),,,)):INDIRECT(ADDRESS(ROW(),COLUMN($D$33),,,)),0),2,ROWS(INDIRECT(ADDRESS(ROW($F$33),COLUMN($F$33),,,)):INDIRECT(ADDRESS(ROW()-1,COLUMN($F$33),,,)))-MATCH(MAX(INDIRECT(ADDRESS(ROW($D$34),COLUMN($D$34),,,)):INDIRECT(ADDRESS(ROW(),COLUMN($D$33),,,))),INDIRECT(ADDRESS(ROW($D$34),COLUMN($D$34),,,)):INDIRECT(ADDRESS(ROW(),COLUMN($D$33),,,)),0),))+1,IF(INDIRECT(ADDRESS(ROW(),COLUMN($G$33),,,))="","",MAX(OFFSET($D$33,MATCH(MAX(INDIRECT(ADDRESS(ROW($D$34),COLUMN($D$34),,,)):INDIRECT(ADDRESS(ROW(),COLUMN($D$33),,,))),INDIRECT(ADDRESS(ROW($D$34),COLUMN($D$34),,,)):INDIRECT(ADDRESS(ROW(),COLUMN($D$33),,,)),0),2,ROWS(INDIRECT(ADDRESS(ROW($F$33),COLUMN($F$33),,,)):INDIRECT(ADDRESS(ROW()-1,COLUMN($F$33),,,)))-MATCH(MAX(INDIRECT(ADDRESS(ROW($D$34),COLUMN($D$34),,,)):INDIRECT(ADDRESS(ROW(),COLUMN($D$33),,,))),INDIRECT(ADDRESS(ROW($D$34),COLUMN($D$34),,,)):INDIRECT(ADDRESS(ROW(),COLUMN($D$33),,,)),0),))+1))</f>
        <v/>
      </c>
      <c r="G56" s="624"/>
      <c r="H56" s="625"/>
      <c r="I56" s="625"/>
      <c r="J56" s="626"/>
      <c r="K56" s="296" t="str">
        <f t="shared" ca="1" si="10"/>
        <v/>
      </c>
      <c r="L56" s="249"/>
      <c r="M56" s="249"/>
      <c r="N56" s="249"/>
      <c r="O56" s="249"/>
      <c r="P56" s="249"/>
      <c r="Q56" s="90"/>
      <c r="R56" s="126"/>
      <c r="U56" s="299" t="str">
        <f t="shared" ca="1" si="0"/>
        <v/>
      </c>
      <c r="V56" s="300">
        <f t="shared" si="1"/>
        <v>0</v>
      </c>
      <c r="W56" s="301" t="str">
        <f t="shared" ca="1" si="2"/>
        <v/>
      </c>
      <c r="X56" s="300" t="str">
        <f ca="1">""&amp;VLOOKUP(W56,INDIRECT(ADDRESS(42,4,,,)):INDIRECT(ADDRESS(ROW($H$64),8,,,)),2,FALSE)&amp;"-"&amp;V56&amp;""</f>
        <v>-0</v>
      </c>
      <c r="Y56" s="302" t="str">
        <f ca="1">IFERROR(MATCH(X56,INDIRECT(ADDRESS(9,COLUMN('2_DATA'!$AX$9),,,"2_DATA")):INDIRECT(ADDRESS(1000,COLUMN('2_DATA'!$AX$9),,,"2_DATA")),0),"")</f>
        <v/>
      </c>
      <c r="Z56" s="302" t="str">
        <f t="shared" ca="1" si="3"/>
        <v/>
      </c>
      <c r="AA56" s="289"/>
      <c r="AB56" s="302" t="str">
        <f t="shared" ca="1" si="4"/>
        <v/>
      </c>
      <c r="AC56" s="302" t="str">
        <f ca="1">IFERROR(RANK(AB56,INDIRECT(ADDRESS(43,COLUMN($AB$43),,,)):INDIRECT(ADDRESS(ROW($AB$64),COLUMN($AB$43),,,)),1),"")</f>
        <v/>
      </c>
      <c r="AD56" s="302">
        <f ca="1">ROWS(INDIRECT(ADDRESS(42,COLUMN($AD$42),,,)):INDIRECT(ADDRESS(ROW()-1,COLUMN($AD$42),,,)))</f>
        <v>14</v>
      </c>
      <c r="AE56" s="303" t="str">
        <f ca="1">IFERROR(INDEX($E$42:$AC$64,MATCH(ROWS(INDIRECT(ADDRESS(42,COLUMN($AE$42),,,)):INDIRECT(ADDRESS(ROW()-1,COLUMN($AE$42),,,))),$AC$42:$AC$64,0),1),"")</f>
        <v/>
      </c>
      <c r="AF56" s="289"/>
      <c r="AG56" s="289"/>
      <c r="AH56" s="289"/>
      <c r="AI56" s="289"/>
    </row>
    <row r="57" spans="1:35" ht="13.8" outlineLevel="1">
      <c r="A57" s="91"/>
      <c r="B57" s="244" t="str">
        <f ca="1">IF(INDIRECT(ADDRESS(ROW(),COLUMN($C$33),,,))&lt;&gt;"",MAX(INDIRECT(ADDRESS(ROW($B$33),COLUMN($B$33),,,)):INDIRECT(ADDRESS(ROW()-1,COLUMN($B$33),,,)))+1,"")</f>
        <v/>
      </c>
      <c r="C57" s="245"/>
      <c r="D57" s="246" t="str">
        <f ca="1">IF(INDIRECT(ADDRESS(ROW()-1,COLUMN($B$34),,,))=MAX(INDIRECT(ADDRESS(ROW($B$34),COLUMN($B$34),,,)):INDIRECT(ADDRESS(ROW(),COLUMN($B$34),,,))),MAX(INDIRECT(ADDRESS(ROW($B$34),COLUMN($B$34),,,)):INDIRECT(ADDRESS(ROW(),COLUMN($B$34),,,)))*10+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IF(INDIRECT(ADDRESS(ROW(),COLUMN($E$33),,,))="","",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f>
        <v/>
      </c>
      <c r="E57" s="245"/>
      <c r="F57" s="247" t="str">
        <f ca="1">IF(AND(INDIRECT(ADDRESS(ROW()-1,COLUMN($D$33),,,))=MAX(INDIRECT(ADDRESS(ROW($D$33),COLUMN($D$33),,,)):INDIRECT(ADDRESS(ROW(),COLUMN($D$33),,,))),INDIRECT(ADDRESS(ROW(),COLUMN($G$33),,,))&lt;&gt;""),(MAX(INDIRECT(ADDRESS(ROW($D$33),COLUMN($D$33),,,)):INDIRECT(ADDRESS(ROW(),COLUMN($D$33),,,)))*1000)+MAX(OFFSET($D$33,MATCH(MAX(INDIRECT(ADDRESS(ROW($D$33),COLUMN($D$33),,,)):INDIRECT(ADDRESS(ROW(),COLUMN($D$33),,,))),INDIRECT(ADDRESS(ROW($D$34),COLUMN($D$34),,,)):INDIRECT(ADDRESS(ROW(),COLUMN($D$33),,,)),0),2,ROWS(INDIRECT(ADDRESS(ROW($F$33),COLUMN($F$33),,,)):INDIRECT(ADDRESS(ROW()-1,COLUMN($F$33),,,)))-MATCH(MAX(INDIRECT(ADDRESS(ROW($D$34),COLUMN($D$34),,,)):INDIRECT(ADDRESS(ROW(),COLUMN($D$33),,,))),INDIRECT(ADDRESS(ROW($D$34),COLUMN($D$34),,,)):INDIRECT(ADDRESS(ROW(),COLUMN($D$33),,,)),0),))+1,IF(INDIRECT(ADDRESS(ROW(),COLUMN($G$33),,,))="","",MAX(OFFSET($D$33,MATCH(MAX(INDIRECT(ADDRESS(ROW($D$34),COLUMN($D$34),,,)):INDIRECT(ADDRESS(ROW(),COLUMN($D$33),,,))),INDIRECT(ADDRESS(ROW($D$34),COLUMN($D$34),,,)):INDIRECT(ADDRESS(ROW(),COLUMN($D$33),,,)),0),2,ROWS(INDIRECT(ADDRESS(ROW($F$33),COLUMN($F$33),,,)):INDIRECT(ADDRESS(ROW()-1,COLUMN($F$33),,,)))-MATCH(MAX(INDIRECT(ADDRESS(ROW($D$34),COLUMN($D$34),,,)):INDIRECT(ADDRESS(ROW(),COLUMN($D$33),,,))),INDIRECT(ADDRESS(ROW($D$34),COLUMN($D$34),,,)):INDIRECT(ADDRESS(ROW(),COLUMN($D$33),,,)),0),))+1))</f>
        <v/>
      </c>
      <c r="G57" s="624"/>
      <c r="H57" s="625"/>
      <c r="I57" s="625"/>
      <c r="J57" s="626"/>
      <c r="K57" s="296" t="str">
        <f t="shared" ca="1" si="10"/>
        <v/>
      </c>
      <c r="L57" s="249"/>
      <c r="M57" s="249"/>
      <c r="N57" s="249"/>
      <c r="O57" s="249"/>
      <c r="P57" s="249"/>
      <c r="Q57" s="90"/>
      <c r="R57" s="126"/>
      <c r="U57" s="299" t="str">
        <f t="shared" ca="1" si="0"/>
        <v/>
      </c>
      <c r="V57" s="300">
        <f t="shared" si="1"/>
        <v>0</v>
      </c>
      <c r="W57" s="301" t="str">
        <f t="shared" ca="1" si="2"/>
        <v/>
      </c>
      <c r="X57" s="300" t="str">
        <f ca="1">""&amp;VLOOKUP(W57,INDIRECT(ADDRESS(42,4,,,)):INDIRECT(ADDRESS(ROW($H$64),8,,,)),2,FALSE)&amp;"-"&amp;V57&amp;""</f>
        <v>-0</v>
      </c>
      <c r="Y57" s="302" t="str">
        <f ca="1">IFERROR(MATCH(X57,INDIRECT(ADDRESS(9,COLUMN('2_DATA'!$AX$9),,,"2_DATA")):INDIRECT(ADDRESS(1000,COLUMN('2_DATA'!$AX$9),,,"2_DATA")),0),"")</f>
        <v/>
      </c>
      <c r="Z57" s="302" t="str">
        <f t="shared" ca="1" si="3"/>
        <v/>
      </c>
      <c r="AA57" s="289"/>
      <c r="AB57" s="302" t="str">
        <f t="shared" ca="1" si="4"/>
        <v/>
      </c>
      <c r="AC57" s="302" t="str">
        <f ca="1">IFERROR(RANK(AB57,INDIRECT(ADDRESS(43,COLUMN($AB$43),,,)):INDIRECT(ADDRESS(ROW($AB$64),COLUMN($AB$43),,,)),1),"")</f>
        <v/>
      </c>
      <c r="AD57" s="302">
        <f ca="1">ROWS(INDIRECT(ADDRESS(42,COLUMN($AD$42),,,)):INDIRECT(ADDRESS(ROW()-1,COLUMN($AD$42),,,)))</f>
        <v>15</v>
      </c>
      <c r="AE57" s="303" t="str">
        <f ca="1">IFERROR(INDEX($E$42:$AC$64,MATCH(ROWS(INDIRECT(ADDRESS(42,COLUMN($AE$42),,,)):INDIRECT(ADDRESS(ROW()-1,COLUMN($AE$42),,,))),$AC$42:$AC$64,0),1),"")</f>
        <v/>
      </c>
      <c r="AF57" s="289"/>
      <c r="AG57" s="289"/>
      <c r="AH57" s="289"/>
      <c r="AI57" s="289"/>
    </row>
    <row r="58" spans="1:35" ht="13.8" outlineLevel="1">
      <c r="A58" s="91"/>
      <c r="B58" s="244" t="str">
        <f ca="1">IF(INDIRECT(ADDRESS(ROW(),COLUMN($C$33),,,))&lt;&gt;"",MAX(INDIRECT(ADDRESS(ROW($B$33),COLUMN($B$33),,,)):INDIRECT(ADDRESS(ROW()-1,COLUMN($B$33),,,)))+1,"")</f>
        <v/>
      </c>
      <c r="C58" s="245"/>
      <c r="D58" s="246" t="str">
        <f ca="1">IF(INDIRECT(ADDRESS(ROW()-1,COLUMN($B$34),,,))=MAX(INDIRECT(ADDRESS(ROW($B$34),COLUMN($B$34),,,)):INDIRECT(ADDRESS(ROW(),COLUMN($B$34),,,))),MAX(INDIRECT(ADDRESS(ROW($B$34),COLUMN($B$34),,,)):INDIRECT(ADDRESS(ROW(),COLUMN($B$34),,,)))*10+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IF(INDIRECT(ADDRESS(ROW(),COLUMN($E$33),,,))="","",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f>
        <v/>
      </c>
      <c r="E58" s="245"/>
      <c r="F58" s="247" t="str">
        <f ca="1">IF(AND(INDIRECT(ADDRESS(ROW()-1,COLUMN($D$33),,,))=MAX(INDIRECT(ADDRESS(ROW($D$33),COLUMN($D$33),,,)):INDIRECT(ADDRESS(ROW(),COLUMN($D$33),,,))),INDIRECT(ADDRESS(ROW(),COLUMN($G$33),,,))&lt;&gt;""),(MAX(INDIRECT(ADDRESS(ROW($D$33),COLUMN($D$33),,,)):INDIRECT(ADDRESS(ROW(),COLUMN($D$33),,,)))*1000)+MAX(OFFSET($D$33,MATCH(MAX(INDIRECT(ADDRESS(ROW($D$33),COLUMN($D$33),,,)):INDIRECT(ADDRESS(ROW(),COLUMN($D$33),,,))),INDIRECT(ADDRESS(ROW($D$34),COLUMN($D$34),,,)):INDIRECT(ADDRESS(ROW(),COLUMN($D$33),,,)),0),2,ROWS(INDIRECT(ADDRESS(ROW($F$33),COLUMN($F$33),,,)):INDIRECT(ADDRESS(ROW()-1,COLUMN($F$33),,,)))-MATCH(MAX(INDIRECT(ADDRESS(ROW($D$34),COLUMN($D$34),,,)):INDIRECT(ADDRESS(ROW(),COLUMN($D$33),,,))),INDIRECT(ADDRESS(ROW($D$34),COLUMN($D$34),,,)):INDIRECT(ADDRESS(ROW(),COLUMN($D$33),,,)),0),))+1,IF(INDIRECT(ADDRESS(ROW(),COLUMN($G$33),,,))="","",MAX(OFFSET($D$33,MATCH(MAX(INDIRECT(ADDRESS(ROW($D$34),COLUMN($D$34),,,)):INDIRECT(ADDRESS(ROW(),COLUMN($D$33),,,))),INDIRECT(ADDRESS(ROW($D$34),COLUMN($D$34),,,)):INDIRECT(ADDRESS(ROW(),COLUMN($D$33),,,)),0),2,ROWS(INDIRECT(ADDRESS(ROW($F$33),COLUMN($F$33),,,)):INDIRECT(ADDRESS(ROW()-1,COLUMN($F$33),,,)))-MATCH(MAX(INDIRECT(ADDRESS(ROW($D$34),COLUMN($D$34),,,)):INDIRECT(ADDRESS(ROW(),COLUMN($D$33),,,))),INDIRECT(ADDRESS(ROW($D$34),COLUMN($D$34),,,)):INDIRECT(ADDRESS(ROW(),COLUMN($D$33),,,)),0),))+1))</f>
        <v/>
      </c>
      <c r="G58" s="624"/>
      <c r="H58" s="625"/>
      <c r="I58" s="625"/>
      <c r="J58" s="626"/>
      <c r="K58" s="296" t="str">
        <f t="shared" ca="1" si="10"/>
        <v/>
      </c>
      <c r="L58" s="249"/>
      <c r="M58" s="249"/>
      <c r="N58" s="249"/>
      <c r="O58" s="249"/>
      <c r="P58" s="249"/>
      <c r="Q58" s="90"/>
      <c r="R58" s="126"/>
      <c r="U58" s="299" t="str">
        <f t="shared" ca="1" si="0"/>
        <v/>
      </c>
      <c r="V58" s="300">
        <f t="shared" si="1"/>
        <v>0</v>
      </c>
      <c r="W58" s="301" t="str">
        <f t="shared" ca="1" si="2"/>
        <v/>
      </c>
      <c r="X58" s="300" t="str">
        <f ca="1">""&amp;VLOOKUP(W58,INDIRECT(ADDRESS(42,4,,,)):INDIRECT(ADDRESS(ROW($H$64),8,,,)),2,FALSE)&amp;"-"&amp;V58&amp;""</f>
        <v>-0</v>
      </c>
      <c r="Y58" s="302" t="str">
        <f ca="1">IFERROR(MATCH(X58,INDIRECT(ADDRESS(9,COLUMN('2_DATA'!$AX$9),,,"2_DATA")):INDIRECT(ADDRESS(1000,COLUMN('2_DATA'!$AX$9),,,"2_DATA")),0),"")</f>
        <v/>
      </c>
      <c r="Z58" s="302" t="str">
        <f t="shared" ca="1" si="3"/>
        <v/>
      </c>
      <c r="AA58" s="289"/>
      <c r="AB58" s="302" t="str">
        <f t="shared" ca="1" si="4"/>
        <v/>
      </c>
      <c r="AC58" s="302" t="str">
        <f ca="1">IFERROR(RANK(AB58,INDIRECT(ADDRESS(43,COLUMN($AB$43),,,)):INDIRECT(ADDRESS(ROW($AB$64),COLUMN($AB$43),,,)),1),"")</f>
        <v/>
      </c>
      <c r="AD58" s="302">
        <f ca="1">ROWS(INDIRECT(ADDRESS(42,COLUMN($AD$42),,,)):INDIRECT(ADDRESS(ROW()-1,COLUMN($AD$42),,,)))</f>
        <v>16</v>
      </c>
      <c r="AE58" s="303" t="str">
        <f ca="1">IFERROR(INDEX($E$42:$AC$64,MATCH(ROWS(INDIRECT(ADDRESS(42,COLUMN($AE$42),,,)):INDIRECT(ADDRESS(ROW()-1,COLUMN($AE$42),,,))),$AC$42:$AC$64,0),1),"")</f>
        <v/>
      </c>
      <c r="AF58" s="289"/>
      <c r="AG58" s="289"/>
      <c r="AH58" s="289"/>
      <c r="AI58" s="289"/>
    </row>
    <row r="59" spans="1:35" ht="13.8" outlineLevel="1">
      <c r="A59" s="91"/>
      <c r="B59" s="244" t="str">
        <f ca="1">IF(INDIRECT(ADDRESS(ROW(),COLUMN($C$33),,,))&lt;&gt;"",MAX(INDIRECT(ADDRESS(ROW($B$33),COLUMN($B$33),,,)):INDIRECT(ADDRESS(ROW()-1,COLUMN($B$33),,,)))+1,"")</f>
        <v/>
      </c>
      <c r="C59" s="245"/>
      <c r="D59" s="246" t="str">
        <f ca="1">IF(INDIRECT(ADDRESS(ROW()-1,COLUMN($B$34),,,))=MAX(INDIRECT(ADDRESS(ROW($B$34),COLUMN($B$34),,,)):INDIRECT(ADDRESS(ROW(),COLUMN($B$34),,,))),MAX(INDIRECT(ADDRESS(ROW($B$34),COLUMN($B$34),,,)):INDIRECT(ADDRESS(ROW(),COLUMN($B$34),,,)))*10+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IF(INDIRECT(ADDRESS(ROW(),COLUMN($E$33),,,))="","",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f>
        <v/>
      </c>
      <c r="E59" s="245"/>
      <c r="F59" s="247" t="str">
        <f ca="1">IF(AND(INDIRECT(ADDRESS(ROW()-1,COLUMN($D$33),,,))=MAX(INDIRECT(ADDRESS(ROW($D$33),COLUMN($D$33),,,)):INDIRECT(ADDRESS(ROW(),COLUMN($D$33),,,))),INDIRECT(ADDRESS(ROW(),COLUMN($G$33),,,))&lt;&gt;""),(MAX(INDIRECT(ADDRESS(ROW($D$33),COLUMN($D$33),,,)):INDIRECT(ADDRESS(ROW(),COLUMN($D$33),,,)))*1000)+MAX(OFFSET($D$33,MATCH(MAX(INDIRECT(ADDRESS(ROW($D$33),COLUMN($D$33),,,)):INDIRECT(ADDRESS(ROW(),COLUMN($D$33),,,))),INDIRECT(ADDRESS(ROW($D$34),COLUMN($D$34),,,)):INDIRECT(ADDRESS(ROW(),COLUMN($D$33),,,)),0),2,ROWS(INDIRECT(ADDRESS(ROW($F$33),COLUMN($F$33),,,)):INDIRECT(ADDRESS(ROW()-1,COLUMN($F$33),,,)))-MATCH(MAX(INDIRECT(ADDRESS(ROW($D$34),COLUMN($D$34),,,)):INDIRECT(ADDRESS(ROW(),COLUMN($D$33),,,))),INDIRECT(ADDRESS(ROW($D$34),COLUMN($D$34),,,)):INDIRECT(ADDRESS(ROW(),COLUMN($D$33),,,)),0),))+1,IF(INDIRECT(ADDRESS(ROW(),COLUMN($G$33),,,))="","",MAX(OFFSET($D$33,MATCH(MAX(INDIRECT(ADDRESS(ROW($D$34),COLUMN($D$34),,,)):INDIRECT(ADDRESS(ROW(),COLUMN($D$33),,,))),INDIRECT(ADDRESS(ROW($D$34),COLUMN($D$34),,,)):INDIRECT(ADDRESS(ROW(),COLUMN($D$33),,,)),0),2,ROWS(INDIRECT(ADDRESS(ROW($F$33),COLUMN($F$33),,,)):INDIRECT(ADDRESS(ROW()-1,COLUMN($F$33),,,)))-MATCH(MAX(INDIRECT(ADDRESS(ROW($D$34),COLUMN($D$34),,,)):INDIRECT(ADDRESS(ROW(),COLUMN($D$33),,,))),INDIRECT(ADDRESS(ROW($D$34),COLUMN($D$34),,,)):INDIRECT(ADDRESS(ROW(),COLUMN($D$33),,,)),0),))+1))</f>
        <v/>
      </c>
      <c r="G59" s="624"/>
      <c r="H59" s="625"/>
      <c r="I59" s="625"/>
      <c r="J59" s="626"/>
      <c r="K59" s="296" t="str">
        <f t="shared" ca="1" si="10"/>
        <v/>
      </c>
      <c r="L59" s="249"/>
      <c r="M59" s="249"/>
      <c r="N59" s="249"/>
      <c r="O59" s="249"/>
      <c r="P59" s="249"/>
      <c r="Q59" s="90"/>
      <c r="R59" s="126"/>
      <c r="U59" s="299" t="str">
        <f t="shared" ca="1" si="0"/>
        <v/>
      </c>
      <c r="V59" s="300">
        <f t="shared" si="1"/>
        <v>0</v>
      </c>
      <c r="W59" s="301" t="str">
        <f t="shared" ca="1" si="2"/>
        <v/>
      </c>
      <c r="X59" s="300" t="str">
        <f ca="1">""&amp;VLOOKUP(W59,INDIRECT(ADDRESS(42,4,,,)):INDIRECT(ADDRESS(ROW($H$64),8,,,)),2,FALSE)&amp;"-"&amp;V59&amp;""</f>
        <v>-0</v>
      </c>
      <c r="Y59" s="302" t="str">
        <f ca="1">IFERROR(MATCH(X59,INDIRECT(ADDRESS(9,COLUMN('2_DATA'!$AX$9),,,"2_DATA")):INDIRECT(ADDRESS(1000,COLUMN('2_DATA'!$AX$9),,,"2_DATA")),0),"")</f>
        <v/>
      </c>
      <c r="Z59" s="302" t="str">
        <f t="shared" ca="1" si="3"/>
        <v/>
      </c>
      <c r="AA59" s="289"/>
      <c r="AB59" s="302" t="str">
        <f t="shared" ca="1" si="4"/>
        <v/>
      </c>
      <c r="AC59" s="302" t="str">
        <f ca="1">IFERROR(RANK(AB59,INDIRECT(ADDRESS(43,COLUMN($AB$43),,,)):INDIRECT(ADDRESS(ROW($AB$64),COLUMN($AB$43),,,)),1),"")</f>
        <v/>
      </c>
      <c r="AD59" s="302">
        <f ca="1">ROWS(INDIRECT(ADDRESS(42,COLUMN($AD$42),,,)):INDIRECT(ADDRESS(ROW()-1,COLUMN($AD$42),,,)))</f>
        <v>17</v>
      </c>
      <c r="AE59" s="303" t="str">
        <f ca="1">IFERROR(INDEX($E$42:$AC$64,MATCH(ROWS(INDIRECT(ADDRESS(42,COLUMN($AE$42),,,)):INDIRECT(ADDRESS(ROW()-1,COLUMN($AE$42),,,))),$AC$42:$AC$64,0),1),"")</f>
        <v/>
      </c>
      <c r="AF59" s="289"/>
      <c r="AG59" s="289"/>
      <c r="AH59" s="289"/>
      <c r="AI59" s="289"/>
    </row>
    <row r="60" spans="1:35" ht="13.8" outlineLevel="1">
      <c r="A60" s="91"/>
      <c r="B60" s="244" t="str">
        <f ca="1">IF(INDIRECT(ADDRESS(ROW(),COLUMN($C$33),,,))&lt;&gt;"",MAX(INDIRECT(ADDRESS(ROW($B$33),COLUMN($B$33),,,)):INDIRECT(ADDRESS(ROW()-1,COLUMN($B$33),,,)))+1,"")</f>
        <v/>
      </c>
      <c r="C60" s="245"/>
      <c r="D60" s="246" t="str">
        <f ca="1">IF(INDIRECT(ADDRESS(ROW()-1,COLUMN($B$34),,,))=MAX(INDIRECT(ADDRESS(ROW($B$34),COLUMN($B$34),,,)):INDIRECT(ADDRESS(ROW(),COLUMN($B$34),,,))),MAX(INDIRECT(ADDRESS(ROW($B$34),COLUMN($B$34),,,)):INDIRECT(ADDRESS(ROW(),COLUMN($B$34),,,)))*10+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IF(INDIRECT(ADDRESS(ROW(),COLUMN($E$33),,,))="","",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f>
        <v/>
      </c>
      <c r="E60" s="245"/>
      <c r="F60" s="247" t="str">
        <f ca="1">IF(AND(INDIRECT(ADDRESS(ROW()-1,COLUMN($D$33),,,))=MAX(INDIRECT(ADDRESS(ROW($D$33),COLUMN($D$33),,,)):INDIRECT(ADDRESS(ROW(),COLUMN($D$33),,,))),INDIRECT(ADDRESS(ROW(),COLUMN($G$33),,,))&lt;&gt;""),(MAX(INDIRECT(ADDRESS(ROW($D$33),COLUMN($D$33),,,)):INDIRECT(ADDRESS(ROW(),COLUMN($D$33),,,)))*1000)+MAX(OFFSET($D$33,MATCH(MAX(INDIRECT(ADDRESS(ROW($D$33),COLUMN($D$33),,,)):INDIRECT(ADDRESS(ROW(),COLUMN($D$33),,,))),INDIRECT(ADDRESS(ROW($D$34),COLUMN($D$34),,,)):INDIRECT(ADDRESS(ROW(),COLUMN($D$33),,,)),0),2,ROWS(INDIRECT(ADDRESS(ROW($F$33),COLUMN($F$33),,,)):INDIRECT(ADDRESS(ROW()-1,COLUMN($F$33),,,)))-MATCH(MAX(INDIRECT(ADDRESS(ROW($D$34),COLUMN($D$34),,,)):INDIRECT(ADDRESS(ROW(),COLUMN($D$33),,,))),INDIRECT(ADDRESS(ROW($D$34),COLUMN($D$34),,,)):INDIRECT(ADDRESS(ROW(),COLUMN($D$33),,,)),0),))+1,IF(INDIRECT(ADDRESS(ROW(),COLUMN($G$33),,,))="","",MAX(OFFSET($D$33,MATCH(MAX(INDIRECT(ADDRESS(ROW($D$34),COLUMN($D$34),,,)):INDIRECT(ADDRESS(ROW(),COLUMN($D$33),,,))),INDIRECT(ADDRESS(ROW($D$34),COLUMN($D$34),,,)):INDIRECT(ADDRESS(ROW(),COLUMN($D$33),,,)),0),2,ROWS(INDIRECT(ADDRESS(ROW($F$33),COLUMN($F$33),,,)):INDIRECT(ADDRESS(ROW()-1,COLUMN($F$33),,,)))-MATCH(MAX(INDIRECT(ADDRESS(ROW($D$34),COLUMN($D$34),,,)):INDIRECT(ADDRESS(ROW(),COLUMN($D$33),,,))),INDIRECT(ADDRESS(ROW($D$34),COLUMN($D$34),,,)):INDIRECT(ADDRESS(ROW(),COLUMN($D$33),,,)),0),))+1))</f>
        <v/>
      </c>
      <c r="G60" s="624"/>
      <c r="H60" s="625"/>
      <c r="I60" s="625"/>
      <c r="J60" s="626"/>
      <c r="K60" s="296" t="str">
        <f t="shared" ca="1" si="10"/>
        <v/>
      </c>
      <c r="L60" s="249"/>
      <c r="M60" s="249"/>
      <c r="N60" s="249"/>
      <c r="O60" s="249"/>
      <c r="P60" s="249"/>
      <c r="Q60" s="90"/>
      <c r="R60" s="126"/>
      <c r="U60" s="299" t="str">
        <f t="shared" ca="1" si="0"/>
        <v/>
      </c>
      <c r="V60" s="300">
        <f t="shared" si="1"/>
        <v>0</v>
      </c>
      <c r="W60" s="301" t="str">
        <f t="shared" ca="1" si="2"/>
        <v/>
      </c>
      <c r="X60" s="300" t="str">
        <f ca="1">""&amp;VLOOKUP(W60,INDIRECT(ADDRESS(42,4,,,)):INDIRECT(ADDRESS(ROW($H$64),8,,,)),2,FALSE)&amp;"-"&amp;V60&amp;""</f>
        <v>-0</v>
      </c>
      <c r="Y60" s="302" t="str">
        <f ca="1">IFERROR(MATCH(X60,INDIRECT(ADDRESS(9,COLUMN('2_DATA'!$AX$9),,,"2_DATA")):INDIRECT(ADDRESS(1000,COLUMN('2_DATA'!$AX$9),,,"2_DATA")),0),"")</f>
        <v/>
      </c>
      <c r="Z60" s="302" t="str">
        <f t="shared" ca="1" si="3"/>
        <v/>
      </c>
      <c r="AA60" s="289"/>
      <c r="AB60" s="302" t="str">
        <f t="shared" ca="1" si="4"/>
        <v/>
      </c>
      <c r="AC60" s="302" t="str">
        <f ca="1">IFERROR(RANK(AB60,INDIRECT(ADDRESS(43,COLUMN($AB$43),,,)):INDIRECT(ADDRESS(ROW($AB$64),COLUMN($AB$43),,,)),1),"")</f>
        <v/>
      </c>
      <c r="AD60" s="302">
        <f ca="1">ROWS(INDIRECT(ADDRESS(42,COLUMN($AD$42),,,)):INDIRECT(ADDRESS(ROW()-1,COLUMN($AD$42),,,)))</f>
        <v>18</v>
      </c>
      <c r="AE60" s="303" t="str">
        <f ca="1">IFERROR(INDEX($E$42:$AC$64,MATCH(ROWS(INDIRECT(ADDRESS(42,COLUMN($AE$42),,,)):INDIRECT(ADDRESS(ROW()-1,COLUMN($AE$42),,,))),$AC$42:$AC$64,0),1),"")</f>
        <v/>
      </c>
      <c r="AF60" s="289"/>
      <c r="AG60" s="289"/>
      <c r="AH60" s="289"/>
      <c r="AI60" s="289"/>
    </row>
    <row r="61" spans="1:35" ht="13.8" outlineLevel="1">
      <c r="A61" s="91"/>
      <c r="B61" s="244" t="str">
        <f ca="1">IF(INDIRECT(ADDRESS(ROW(),COLUMN($C$33),,,))&lt;&gt;"",MAX(INDIRECT(ADDRESS(ROW($B$33),COLUMN($B$33),,,)):INDIRECT(ADDRESS(ROW()-1,COLUMN($B$33),,,)))+1,"")</f>
        <v/>
      </c>
      <c r="C61" s="245"/>
      <c r="D61" s="246" t="str">
        <f ca="1">IF(INDIRECT(ADDRESS(ROW()-1,COLUMN($B$34),,,))=MAX(INDIRECT(ADDRESS(ROW($B$34),COLUMN($B$34),,,)):INDIRECT(ADDRESS(ROW(),COLUMN($B$34),,,))),MAX(INDIRECT(ADDRESS(ROW($B$34),COLUMN($B$34),,,)):INDIRECT(ADDRESS(ROW(),COLUMN($B$34),,,)))*10+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IF(INDIRECT(ADDRESS(ROW(),COLUMN($E$33),,,))="","",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f>
        <v/>
      </c>
      <c r="E61" s="245"/>
      <c r="F61" s="247" t="str">
        <f ca="1">IF(AND(INDIRECT(ADDRESS(ROW()-1,COLUMN($D$33),,,))=MAX(INDIRECT(ADDRESS(ROW($D$33),COLUMN($D$33),,,)):INDIRECT(ADDRESS(ROW(),COLUMN($D$33),,,))),INDIRECT(ADDRESS(ROW(),COLUMN($G$33),,,))&lt;&gt;""),(MAX(INDIRECT(ADDRESS(ROW($D$33),COLUMN($D$33),,,)):INDIRECT(ADDRESS(ROW(),COLUMN($D$33),,,)))*1000)+MAX(OFFSET($D$33,MATCH(MAX(INDIRECT(ADDRESS(ROW($D$33),COLUMN($D$33),,,)):INDIRECT(ADDRESS(ROW(),COLUMN($D$33),,,))),INDIRECT(ADDRESS(ROW($D$34),COLUMN($D$34),,,)):INDIRECT(ADDRESS(ROW(),COLUMN($D$33),,,)),0),2,ROWS(INDIRECT(ADDRESS(ROW($F$33),COLUMN($F$33),,,)):INDIRECT(ADDRESS(ROW()-1,COLUMN($F$33),,,)))-MATCH(MAX(INDIRECT(ADDRESS(ROW($D$34),COLUMN($D$34),,,)):INDIRECT(ADDRESS(ROW(),COLUMN($D$33),,,))),INDIRECT(ADDRESS(ROW($D$34),COLUMN($D$34),,,)):INDIRECT(ADDRESS(ROW(),COLUMN($D$33),,,)),0),))+1,IF(INDIRECT(ADDRESS(ROW(),COLUMN($G$33),,,))="","",MAX(OFFSET($D$33,MATCH(MAX(INDIRECT(ADDRESS(ROW($D$34),COLUMN($D$34),,,)):INDIRECT(ADDRESS(ROW(),COLUMN($D$33),,,))),INDIRECT(ADDRESS(ROW($D$34),COLUMN($D$34),,,)):INDIRECT(ADDRESS(ROW(),COLUMN($D$33),,,)),0),2,ROWS(INDIRECT(ADDRESS(ROW($F$33),COLUMN($F$33),,,)):INDIRECT(ADDRESS(ROW()-1,COLUMN($F$33),,,)))-MATCH(MAX(INDIRECT(ADDRESS(ROW($D$34),COLUMN($D$34),,,)):INDIRECT(ADDRESS(ROW(),COLUMN($D$33),,,))),INDIRECT(ADDRESS(ROW($D$34),COLUMN($D$34),,,)):INDIRECT(ADDRESS(ROW(),COLUMN($D$33),,,)),0),))+1))</f>
        <v/>
      </c>
      <c r="G61" s="624"/>
      <c r="H61" s="625"/>
      <c r="I61" s="625"/>
      <c r="J61" s="626"/>
      <c r="K61" s="296" t="str">
        <f t="shared" ca="1" si="10"/>
        <v/>
      </c>
      <c r="L61" s="249"/>
      <c r="M61" s="249"/>
      <c r="N61" s="249"/>
      <c r="O61" s="249"/>
      <c r="P61" s="249"/>
      <c r="Q61" s="90"/>
      <c r="R61" s="126"/>
      <c r="U61" s="299" t="str">
        <f t="shared" ca="1" si="0"/>
        <v/>
      </c>
      <c r="V61" s="300">
        <f t="shared" si="1"/>
        <v>0</v>
      </c>
      <c r="W61" s="301" t="str">
        <f t="shared" ca="1" si="2"/>
        <v/>
      </c>
      <c r="X61" s="300" t="str">
        <f ca="1">""&amp;VLOOKUP(W61,INDIRECT(ADDRESS(42,4,,,)):INDIRECT(ADDRESS(ROW($H$64),8,,,)),2,FALSE)&amp;"-"&amp;V61&amp;""</f>
        <v>-0</v>
      </c>
      <c r="Y61" s="302" t="str">
        <f ca="1">IFERROR(MATCH(X61,INDIRECT(ADDRESS(9,COLUMN('2_DATA'!$AX$9),,,"2_DATA")):INDIRECT(ADDRESS(1000,COLUMN('2_DATA'!$AX$9),,,"2_DATA")),0),"")</f>
        <v/>
      </c>
      <c r="Z61" s="302" t="str">
        <f t="shared" ca="1" si="3"/>
        <v/>
      </c>
      <c r="AA61" s="289"/>
      <c r="AB61" s="302" t="str">
        <f t="shared" ca="1" si="4"/>
        <v/>
      </c>
      <c r="AC61" s="302" t="str">
        <f ca="1">IFERROR(RANK(AB61,INDIRECT(ADDRESS(43,COLUMN($AB$43),,,)):INDIRECT(ADDRESS(ROW($AB$64),COLUMN($AB$43),,,)),1),"")</f>
        <v/>
      </c>
      <c r="AD61" s="302">
        <f ca="1">ROWS(INDIRECT(ADDRESS(42,COLUMN($AD$42),,,)):INDIRECT(ADDRESS(ROW()-1,COLUMN($AD$42),,,)))</f>
        <v>19</v>
      </c>
      <c r="AE61" s="303" t="str">
        <f ca="1">IFERROR(INDEX($E$42:$AC$64,MATCH(ROWS(INDIRECT(ADDRESS(42,COLUMN($AE$42),,,)):INDIRECT(ADDRESS(ROW()-1,COLUMN($AE$42),,,))),$AC$42:$AC$64,0),1),"")</f>
        <v/>
      </c>
      <c r="AF61" s="289"/>
      <c r="AG61" s="289"/>
      <c r="AH61" s="289"/>
      <c r="AI61" s="289"/>
    </row>
    <row r="62" spans="1:35" ht="13.8" outlineLevel="1">
      <c r="A62" s="91"/>
      <c r="B62" s="244" t="str">
        <f ca="1">IF(INDIRECT(ADDRESS(ROW(),COLUMN($C$33),,,))&lt;&gt;"",MAX(INDIRECT(ADDRESS(ROW($B$33),COLUMN($B$33),,,)):INDIRECT(ADDRESS(ROW()-1,COLUMN($B$33),,,)))+1,"")</f>
        <v/>
      </c>
      <c r="C62" s="245"/>
      <c r="D62" s="246" t="str">
        <f ca="1">IF(INDIRECT(ADDRESS(ROW()-1,COLUMN($B$34),,,))=MAX(INDIRECT(ADDRESS(ROW($B$34),COLUMN($B$34),,,)):INDIRECT(ADDRESS(ROW(),COLUMN($B$34),,,))),MAX(INDIRECT(ADDRESS(ROW($B$34),COLUMN($B$34),,,)):INDIRECT(ADDRESS(ROW(),COLUMN($B$34),,,)))*10+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IF(INDIRECT(ADDRESS(ROW(),COLUMN($E$33),,,))="","",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f>
        <v/>
      </c>
      <c r="E62" s="664"/>
      <c r="F62" s="665"/>
      <c r="G62" s="665"/>
      <c r="H62" s="665"/>
      <c r="I62" s="665"/>
      <c r="J62" s="665"/>
      <c r="K62" s="666"/>
      <c r="L62" s="249"/>
      <c r="M62" s="469"/>
      <c r="N62" s="469"/>
      <c r="O62" s="469"/>
      <c r="P62" s="469"/>
      <c r="Q62" s="90"/>
      <c r="R62" s="126"/>
      <c r="U62" s="299">
        <f ca="1">IF(D62="",F62,D62*1000)</f>
        <v>0</v>
      </c>
      <c r="V62" s="300">
        <f>IF(E62="",G62,E62)</f>
        <v>0</v>
      </c>
      <c r="W62" s="301">
        <f ca="1">IFERROR(ROUND(U62/1000,0),"")</f>
        <v>0</v>
      </c>
      <c r="X62" s="300" t="e">
        <f ca="1">""&amp;VLOOKUP(W62,INDIRECT(ADDRESS(42,4,,,)):INDIRECT(ADDRESS(ROW($H$64),8,,,)),2,FALSE)&amp;"-"&amp;V62&amp;""</f>
        <v>#N/A</v>
      </c>
      <c r="Y62" s="302" t="str">
        <f ca="1">IFERROR(MATCH(X62,INDIRECT(ADDRESS(9,COLUMN('2_DATA'!$AX$9),,,"2_DATA")):INDIRECT(ADDRESS(1000,COLUMN('2_DATA'!$AX$9),,,"2_DATA")),0),"")</f>
        <v/>
      </c>
      <c r="Z62" s="302" t="str">
        <f ca="1">IFERROR(IF(U62-ROUNDDOWN(U62/1000,0)*1000=0,"","V"),"")</f>
        <v/>
      </c>
      <c r="AA62" s="289"/>
      <c r="AB62" s="302" t="str">
        <f ca="1">D62</f>
        <v/>
      </c>
      <c r="AC62" s="302" t="str">
        <f ca="1">IFERROR(RANK(AB62,INDIRECT(ADDRESS(43,COLUMN($AB$43),,,)):INDIRECT(ADDRESS(ROW($AB$64),COLUMN($AB$43),,,)),1),"")</f>
        <v/>
      </c>
      <c r="AD62" s="302">
        <f ca="1">ROWS(INDIRECT(ADDRESS(42,COLUMN($AD$42),,,)):INDIRECT(ADDRESS(ROW()-1,COLUMN($AD$42),,,)))</f>
        <v>20</v>
      </c>
      <c r="AE62" s="303" t="str">
        <f ca="1">IFERROR(INDEX($E$42:$AC$64,MATCH(ROWS(INDIRECT(ADDRESS(42,COLUMN($AE$42),,,)):INDIRECT(ADDRESS(ROW()-1,COLUMN($AE$42),,,))),$AC$42:$AC$64,0),1),"")</f>
        <v/>
      </c>
      <c r="AF62" s="289"/>
      <c r="AG62" s="289"/>
      <c r="AH62" s="289"/>
      <c r="AI62" s="289"/>
    </row>
    <row r="63" spans="1:35" ht="13.8" outlineLevel="1">
      <c r="A63" s="91"/>
      <c r="B63" s="244" t="str">
        <f ca="1">IF(INDIRECT(ADDRESS(ROW(),COLUMN($C$33),,,))&lt;&gt;"",MAX(INDIRECT(ADDRESS(ROW($B$33),COLUMN($B$33),,,)):INDIRECT(ADDRESS(ROW()-1,COLUMN($B$33),,,)))+1,"")</f>
        <v/>
      </c>
      <c r="C63" s="245"/>
      <c r="D63" s="246" t="str">
        <f ca="1">IF(INDIRECT(ADDRESS(ROW()-1,COLUMN($B$34),,,))=MAX(INDIRECT(ADDRESS(ROW($B$34),COLUMN($B$34),,,)):INDIRECT(ADDRESS(ROW(),COLUMN($B$34),,,))),MAX(INDIRECT(ADDRESS(ROW($B$34),COLUMN($B$34),,,)):INDIRECT(ADDRESS(ROW(),COLUMN($B$34),,,)))*10+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IF(INDIRECT(ADDRESS(ROW(),COLUMN($E$33),,,))="","",MAX(OFFSET(INDIRECT(ADDRESS(ROW($B$33),COLUMN($B$33),,,)),MATCH(MAX(INDIRECT(ADDRESS(ROW($B$34),COLUMN($B$34),,,)):INDIRECT(ADDRESS(ROW(),COLUMN($B$34),,,))),INDIRECT(ADDRESS(ROW($B$34),COLUMN($B$34),,,)):INDIRECT(ADDRESS(ROW(),COLUMN($B$34),,,)),0),2,ROWS(INDIRECT(ADDRESS(ROW($D$33),COLUMN($D$33),,,)):INDIRECT(ADDRESS(ROW()-1,COLUMN($D$33),,,)))-MATCH(MAX(INDIRECT(ADDRESS(ROW($B$34),COLUMN($B$34),,,)):INDIRECT(ADDRESS(ROW(),COLUMN($B$34),,,))),INDIRECT(ADDRESS(ROW($B$34),COLUMN($B$34),,,)):INDIRECT(ADDRESS(ROW(),COLUMN($B$34),,,)),0),))+1))</f>
        <v/>
      </c>
      <c r="E63" s="245"/>
      <c r="F63" s="247" t="str">
        <f ca="1">IF(AND(INDIRECT(ADDRESS(ROW()-1,COLUMN($D$33),,,))=MAX(INDIRECT(ADDRESS(ROW($D$33),COLUMN($D$33),,,)):INDIRECT(ADDRESS(ROW(),COLUMN($D$33),,,))),INDIRECT(ADDRESS(ROW(),COLUMN($G$33),,,))&lt;&gt;""),(MAX(INDIRECT(ADDRESS(ROW($D$33),COLUMN($D$33),,,)):INDIRECT(ADDRESS(ROW(),COLUMN($D$33),,,)))*1000)+MAX(OFFSET($D$33,MATCH(MAX(INDIRECT(ADDRESS(ROW($D$33),COLUMN($D$33),,,)):INDIRECT(ADDRESS(ROW(),COLUMN($D$33),,,))),INDIRECT(ADDRESS(ROW($D$34),COLUMN($D$34),,,)):INDIRECT(ADDRESS(ROW(),COLUMN($D$33),,,)),0),2,ROWS(INDIRECT(ADDRESS(ROW($F$33),COLUMN($F$33),,,)):INDIRECT(ADDRESS(ROW()-1,COLUMN($F$33),,,)))-MATCH(MAX(INDIRECT(ADDRESS(ROW($D$34),COLUMN($D$34),,,)):INDIRECT(ADDRESS(ROW(),COLUMN($D$33),,,))),INDIRECT(ADDRESS(ROW($D$34),COLUMN($D$34),,,)):INDIRECT(ADDRESS(ROW(),COLUMN($D$33),,,)),0),))+1,IF(INDIRECT(ADDRESS(ROW(),COLUMN($G$33),,,))="","",MAX(OFFSET($D$33,MATCH(MAX(INDIRECT(ADDRESS(ROW($D$34),COLUMN($D$34),,,)):INDIRECT(ADDRESS(ROW(),COLUMN($D$33),,,))),INDIRECT(ADDRESS(ROW($D$34),COLUMN($D$34),,,)):INDIRECT(ADDRESS(ROW(),COLUMN($D$33),,,)),0),2,ROWS(INDIRECT(ADDRESS(ROW($F$33),COLUMN($F$33),,,)):INDIRECT(ADDRESS(ROW()-1,COLUMN($F$33),,,)))-MATCH(MAX(INDIRECT(ADDRESS(ROW($D$34),COLUMN($D$34),,,)):INDIRECT(ADDRESS(ROW(),COLUMN($D$33),,,))),INDIRECT(ADDRESS(ROW($D$34),COLUMN($D$34),,,)):INDIRECT(ADDRESS(ROW(),COLUMN($D$33),,,)),0),))+1))</f>
        <v/>
      </c>
      <c r="G63" s="624"/>
      <c r="H63" s="625"/>
      <c r="I63" s="625"/>
      <c r="J63" s="626"/>
      <c r="K63" s="296" t="str">
        <f ca="1">IF(AND(ISNUMBER(Y63),Z63="V"),"USED",IF(AND(Y63="",Z63="V"),"NOT YET",""))</f>
        <v/>
      </c>
      <c r="L63" s="249"/>
      <c r="M63" s="249"/>
      <c r="N63" s="249"/>
      <c r="O63" s="249"/>
      <c r="P63" s="249"/>
      <c r="Q63" s="90"/>
      <c r="R63" s="126"/>
      <c r="U63" s="299" t="str">
        <f ca="1">IF(D63="",F63,D63*1000)</f>
        <v/>
      </c>
      <c r="V63" s="300">
        <f>IF(E63="",G63,E63)</f>
        <v>0</v>
      </c>
      <c r="W63" s="301" t="str">
        <f ca="1">IFERROR(ROUND(U63/1000,0),"")</f>
        <v/>
      </c>
      <c r="X63" s="300" t="str">
        <f ca="1">""&amp;VLOOKUP(W63,INDIRECT(ADDRESS(42,4,,,)):INDIRECT(ADDRESS(ROW($H$64),8,,,)),2,FALSE)&amp;"-"&amp;V63&amp;""</f>
        <v>-0</v>
      </c>
      <c r="Y63" s="302" t="str">
        <f ca="1">IFERROR(MATCH(X63,INDIRECT(ADDRESS(9,COLUMN('2_DATA'!$AX$9),,,"2_DATA")):INDIRECT(ADDRESS(1000,COLUMN('2_DATA'!$AX$9),,,"2_DATA")),0),"")</f>
        <v/>
      </c>
      <c r="Z63" s="302" t="str">
        <f ca="1">IFERROR(IF(U63-ROUNDDOWN(U63/1000,0)*1000=0,"","V"),"")</f>
        <v/>
      </c>
      <c r="AA63" s="289"/>
      <c r="AB63" s="302" t="str">
        <f ca="1">D63</f>
        <v/>
      </c>
      <c r="AC63" s="302" t="str">
        <f ca="1">IFERROR(RANK(AB63,INDIRECT(ADDRESS(43,COLUMN($AB$43),,,)):INDIRECT(ADDRESS(ROW($AB$64),COLUMN($AB$43),,,)),1),"")</f>
        <v/>
      </c>
      <c r="AD63" s="302">
        <f ca="1">ROWS(INDIRECT(ADDRESS(42,COLUMN($AD$42),,,)):INDIRECT(ADDRESS(ROW()-1,COLUMN($AD$42),,,)))</f>
        <v>21</v>
      </c>
      <c r="AE63" s="303" t="str">
        <f ca="1">IFERROR(INDEX($E$42:$AC$64,MATCH(ROWS(INDIRECT(ADDRESS(42,COLUMN($AE$42),,,)):INDIRECT(ADDRESS(ROW()-1,COLUMN($AE$42),,,))),$AC$42:$AC$64,0),1),"")</f>
        <v/>
      </c>
      <c r="AF63" s="289"/>
      <c r="AG63" s="289"/>
      <c r="AH63" s="289"/>
      <c r="AI63" s="289"/>
    </row>
    <row r="64" spans="1:35" outlineLevel="1">
      <c r="A64" s="130"/>
      <c r="B64" s="399" t="s">
        <v>385</v>
      </c>
      <c r="C64" s="399" t="s">
        <v>385</v>
      </c>
      <c r="D64" s="399" t="s">
        <v>385</v>
      </c>
      <c r="E64" s="399" t="s">
        <v>385</v>
      </c>
      <c r="F64" s="399" t="s">
        <v>385</v>
      </c>
      <c r="G64" s="399" t="s">
        <v>385</v>
      </c>
      <c r="H64" s="399" t="s">
        <v>385</v>
      </c>
      <c r="I64" s="399" t="s">
        <v>385</v>
      </c>
      <c r="J64" s="399" t="s">
        <v>385</v>
      </c>
      <c r="K64" s="399" t="s">
        <v>385</v>
      </c>
      <c r="L64" s="130"/>
      <c r="M64" s="130"/>
      <c r="N64" s="130"/>
      <c r="O64" s="130"/>
      <c r="P64" s="130"/>
      <c r="Q64" s="130"/>
      <c r="R64" s="130"/>
      <c r="S64" s="130"/>
      <c r="T64" s="130"/>
      <c r="U64" s="130" t="s">
        <v>385</v>
      </c>
      <c r="V64" s="130" t="s">
        <v>385</v>
      </c>
      <c r="W64" s="130" t="s">
        <v>385</v>
      </c>
      <c r="X64" s="130" t="s">
        <v>385</v>
      </c>
      <c r="Y64" s="130" t="s">
        <v>385</v>
      </c>
      <c r="Z64" s="130" t="s">
        <v>385</v>
      </c>
      <c r="AB64" s="130" t="s">
        <v>385</v>
      </c>
      <c r="AC64" s="130" t="s">
        <v>385</v>
      </c>
      <c r="AD64" s="130" t="s">
        <v>385</v>
      </c>
      <c r="AE64" s="130" t="s">
        <v>385</v>
      </c>
    </row>
    <row r="65" spans="1:37">
      <c r="A65" s="130"/>
      <c r="B65" s="133"/>
      <c r="C65" s="90"/>
      <c r="D65" s="90"/>
      <c r="E65" s="90"/>
      <c r="F65" s="90"/>
      <c r="G65" s="90"/>
      <c r="H65" s="90"/>
      <c r="I65" s="90"/>
      <c r="J65" s="90"/>
      <c r="K65" s="90"/>
      <c r="L65" s="90"/>
      <c r="M65" s="90"/>
      <c r="N65" s="90"/>
      <c r="O65" s="90"/>
      <c r="P65" s="90"/>
      <c r="Q65" s="90"/>
      <c r="R65" s="126"/>
    </row>
    <row r="66" spans="1:37" ht="17.399999999999999">
      <c r="A66" s="130"/>
      <c r="B66" s="179" t="s">
        <v>419</v>
      </c>
      <c r="C66" s="125"/>
      <c r="D66" s="125"/>
      <c r="E66" s="127"/>
      <c r="F66" s="128"/>
      <c r="G66" s="128"/>
      <c r="H66" s="128"/>
      <c r="I66" s="128"/>
      <c r="J66" s="128"/>
      <c r="K66" s="128"/>
      <c r="L66" s="128"/>
      <c r="M66" s="128"/>
      <c r="N66" s="128"/>
      <c r="O66" s="90"/>
      <c r="P66" s="90"/>
      <c r="Q66" s="90"/>
      <c r="R66" s="126"/>
    </row>
    <row r="67" spans="1:37" ht="12.6" customHeight="1" outlineLevel="1">
      <c r="A67" s="130"/>
      <c r="B67" s="574" t="s">
        <v>45</v>
      </c>
      <c r="C67" s="649" t="s">
        <v>389</v>
      </c>
      <c r="D67" s="655"/>
      <c r="E67" s="649" t="s">
        <v>390</v>
      </c>
      <c r="F67" s="655"/>
      <c r="G67" s="574" t="s">
        <v>47</v>
      </c>
      <c r="H67" s="574"/>
      <c r="I67" s="574" t="s">
        <v>48</v>
      </c>
      <c r="J67" s="574"/>
      <c r="K67" s="649" t="s">
        <v>379</v>
      </c>
      <c r="L67" s="650"/>
      <c r="M67" s="650"/>
      <c r="N67" s="650"/>
      <c r="O67" s="651"/>
      <c r="P67" s="90"/>
      <c r="Q67" s="90"/>
      <c r="R67" s="90"/>
      <c r="U67" s="574" t="s">
        <v>283</v>
      </c>
      <c r="V67" s="574"/>
      <c r="W67" s="648" t="s">
        <v>388</v>
      </c>
      <c r="X67" s="648" t="s">
        <v>403</v>
      </c>
      <c r="Y67" s="574"/>
      <c r="Z67" s="648" t="s">
        <v>404</v>
      </c>
      <c r="AA67" s="574"/>
      <c r="AB67" s="648" t="s">
        <v>405</v>
      </c>
      <c r="AC67" s="290"/>
      <c r="AD67" s="642" t="s">
        <v>411</v>
      </c>
      <c r="AE67" s="643"/>
      <c r="AF67" s="643"/>
      <c r="AG67" s="643"/>
      <c r="AH67" s="643"/>
      <c r="AI67" s="643"/>
      <c r="AJ67" s="643"/>
      <c r="AK67" s="644"/>
    </row>
    <row r="68" spans="1:37" ht="22.8" outlineLevel="1">
      <c r="A68" s="130"/>
      <c r="B68" s="574"/>
      <c r="C68" s="656"/>
      <c r="D68" s="657"/>
      <c r="E68" s="656"/>
      <c r="F68" s="657"/>
      <c r="G68" s="98" t="s">
        <v>50</v>
      </c>
      <c r="H68" s="98" t="s">
        <v>378</v>
      </c>
      <c r="I68" s="98" t="s">
        <v>50</v>
      </c>
      <c r="J68" s="98" t="s">
        <v>378</v>
      </c>
      <c r="K68" s="652"/>
      <c r="L68" s="653"/>
      <c r="M68" s="653"/>
      <c r="N68" s="653"/>
      <c r="O68" s="654"/>
      <c r="P68" s="90"/>
      <c r="Q68" s="90"/>
      <c r="R68" s="90"/>
      <c r="U68" s="242" t="s">
        <v>386</v>
      </c>
      <c r="V68" s="242" t="s">
        <v>387</v>
      </c>
      <c r="W68" s="574"/>
      <c r="X68" s="574"/>
      <c r="Y68" s="574"/>
      <c r="Z68" s="574"/>
      <c r="AA68" s="574"/>
      <c r="AB68" s="648"/>
      <c r="AC68" s="290"/>
      <c r="AD68" s="98" t="s">
        <v>409</v>
      </c>
      <c r="AE68" s="98" t="s">
        <v>410</v>
      </c>
      <c r="AF68" s="98" t="s">
        <v>412</v>
      </c>
      <c r="AG68" s="98" t="s">
        <v>413</v>
      </c>
      <c r="AH68" s="98" t="s">
        <v>414</v>
      </c>
      <c r="AI68" s="98" t="s">
        <v>415</v>
      </c>
      <c r="AJ68" s="98" t="s">
        <v>426</v>
      </c>
      <c r="AK68" s="98" t="s">
        <v>427</v>
      </c>
    </row>
    <row r="69" spans="1:37" outlineLevel="1">
      <c r="A69" s="130"/>
      <c r="B69" s="177">
        <v>1</v>
      </c>
      <c r="C69" s="575" t="str">
        <f ca="1">IFERROR(VLOOKUP($B69,INDIRECT(ADDRESS(9,COLUMN('2_DATA'!$AM$9),,,"2_DATA")):INDIRECT(ADDRESS(1000,COLUMN('2_DATA'!$AR$9),,,"2_DATA")),2,FALSE),"")</f>
        <v>PREPARATION</v>
      </c>
      <c r="D69" s="576"/>
      <c r="E69" s="575" t="str">
        <f ca="1">IFERROR(VLOOKUP($B69,INDIRECT(ADDRESS(9,COLUMN('2_DATA'!$AM$9),,,"2_DATA")):INDIRECT(ADDRESS(1000,COLUMN('2_DATA'!$AR$9),,,"2_DATA")),3,FALSE),"")</f>
        <v>Preparation</v>
      </c>
      <c r="F69" s="576"/>
      <c r="G69" s="213">
        <f ca="1">H69</f>
        <v>0</v>
      </c>
      <c r="H69" s="213">
        <f ca="1">INDEX(INDIRECT(ADDRESS(9,COLUMN('2_DATA'!$I$9),,,"2_DATA")):INDIRECT(ADDRESS(1000,COLUMN('2_DATA'!$AM$9),,,"2_DATA")),MATCH($B69,INDIRECT(ADDRESS(9,COLUMN('2_DATA'!$AM$9),,,"2_DATA")):INDIRECT(ADDRESS(1000,COLUMN('2_DATA'!$AM$9),,,"2_DATA")),0),1)</f>
        <v>0</v>
      </c>
      <c r="I69" s="213">
        <f ca="1">J69</f>
        <v>0</v>
      </c>
      <c r="J69" s="213">
        <f ca="1">INDEX(INDIRECT(ADDRESS(9,COLUMN('2_DATA'!$T$9),,,"2_DATA")):INDIRECT(ADDRESS(1000,COLUMN('2_DATA'!$AM$9),,,"2_DATA")),MATCH($B69,INDIRECT(ADDRESS(9,COLUMN('2_DATA'!$AM$9),,,"2_DATA")):INDIRECT(ADDRESS(1000,COLUMN('2_DATA'!$AM$9),,,"2_DATA")),0),1)</f>
        <v>0</v>
      </c>
      <c r="K69" s="588" t="s">
        <v>572</v>
      </c>
      <c r="L69" s="589"/>
      <c r="M69" s="589"/>
      <c r="N69" s="589"/>
      <c r="O69" s="590"/>
      <c r="P69" s="90"/>
      <c r="Q69" s="90"/>
      <c r="R69" s="90"/>
      <c r="U69" s="240" t="s">
        <v>213</v>
      </c>
      <c r="V69" s="240" t="str">
        <f>U70</f>
        <v>B</v>
      </c>
      <c r="W69" s="291" t="str">
        <f t="shared" ref="W69:W88" ca="1" si="11">VLOOKUP(ROUNDDOWN(INDEX($U$43:$V$64,MATCH($C69,$V$43:$V$64,0),1)/10000,0),$B$43:$C$57,2,FALSE)</f>
        <v>PRE-OPERATION JOB</v>
      </c>
      <c r="X69" s="99">
        <f t="shared" ref="X69:X88" ca="1" si="12">IFERROR(ROUNDDOWN(INDEX($U$43:$V$64,MATCH($C69,$V$43:$V$64,0),1)/10000,0),"")</f>
        <v>1</v>
      </c>
      <c r="Y69" s="99">
        <f ca="1">IFERROR(IF(ISNA(MATCH(X69,$X$68:X68,0)),X69*10000,""),"")</f>
        <v>10000</v>
      </c>
      <c r="Z69" s="292" t="str">
        <f ca="1">""&amp;C69&amp;"-"&amp;E69&amp;""</f>
        <v>PREPARATION-Preparation</v>
      </c>
      <c r="AA69" s="99">
        <f t="shared" ref="AA69:AA88" ca="1" si="13">IFERROR(INDEX($U$42:$X$64,MATCH(Z69,$X$42:$X$64,0),1),"")</f>
        <v>11000</v>
      </c>
      <c r="AB69" s="99">
        <f ca="1">IFERROR(INDEX($B$145:$C$183,MATCH(ROWS($AB$68:AB68),$C$145:$C$183,0),1),"")</f>
        <v>10000</v>
      </c>
      <c r="AC69" s="293" t="str">
        <f t="shared" ref="AC69:AC88" ca="1" si="14">IFERROR(IF(ISNA(VLOOKUP($AB69/10000,$B$42:$C$57,2,FALSE)),INDEX($C$69:$AA$89,MATCH($AB69,$AA$69:$AA$89,0),1),VLOOKUP($AB69/10000,$B$42:$C$57,2,FALSE)),"")</f>
        <v>PRE-OPERATION JOB</v>
      </c>
      <c r="AD69" s="99" t="str">
        <f t="shared" ref="AD69:AD88" ca="1" si="15">IFERROR(IF(ISNA(VLOOKUP($AB69/10000,$B$42:$C$57,2,FALSE)),INDEX($U$69:$AA$89,MATCH($AB69,$AA$69:$AA$89,0),1),""),"")</f>
        <v/>
      </c>
      <c r="AE69" s="99" t="str">
        <f t="shared" ref="AE69:AE88" ca="1" si="16">IFERROR(IF(ISNA(VLOOKUP($AB69/10000,$B$42:$C$57,2,FALSE)),"-",""),"")</f>
        <v/>
      </c>
      <c r="AF69" s="99" t="str">
        <f t="shared" ref="AF69:AF88" ca="1" si="17">IFERROR(IF(ISNA(VLOOKUP($AB69/10000,$B$42:$C$57,2,FALSE)),INDEX($V$69:$AA$89,MATCH($AB69,$AA$69:$AA$89,0),1),""),"")</f>
        <v/>
      </c>
      <c r="AG69" s="293" t="str">
        <f t="shared" ref="AG69:AG88" ca="1" si="18">IFERROR(IF(ISNA(VLOOKUP($AB69/10000,$B$42:$C$57,2,FALSE)),INDEX($K$69:$AA$89,MATCH($AB69,$AA$69:$AA$89,0),1),VLOOKUP($AB69/10000,$B$42:$C$57,2,FALSE)),"")</f>
        <v>PRE-OPERATION JOB</v>
      </c>
      <c r="AH69" s="321" t="str">
        <f t="shared" ref="AH69:AH88" ca="1" si="19">IFERROR(IF(ISNA(VLOOKUP($AB69/10000,$B$42:$C$57,2,FALSE)),INDEX($G$69:$AA$89,MATCH($AB69,$AA$69:$AA$89,0),1),""),"")</f>
        <v/>
      </c>
      <c r="AI69" s="321" t="str">
        <f t="shared" ref="AI69:AI88" ca="1" si="20">IFERROR(IF(ISNA(VLOOKUP($AB69/10000,$B$42:$C$57,2,FALSE)),INDEX($H$69:$AA$89,MATCH($AB69,$AA$69:$AA$89,0),1),""),"")</f>
        <v/>
      </c>
      <c r="AJ69" s="321" t="str">
        <f t="shared" ref="AJ69:AJ88" ca="1" si="21">IFERROR(IF(ISNA(VLOOKUP($AB69/10000,$B$42:$C$57,2,FALSE)),INDEX($I$69:$AA$89,MATCH($AB69,$AA$69:$AA$89,0),1),""),"")</f>
        <v/>
      </c>
      <c r="AK69" s="321" t="str">
        <f t="shared" ref="AK69:AK88" ca="1" si="22">IFERROR(IF(ISNA(VLOOKUP($AB69/10000,$B$42:$C$57,2,FALSE)),INDEX($J$69:$AA$89,MATCH($AB69,$AA$69:$AA$89,0),1),""),"")</f>
        <v/>
      </c>
    </row>
    <row r="70" spans="1:37" outlineLevel="1">
      <c r="A70" s="130"/>
      <c r="B70" s="177">
        <f>B69+1</f>
        <v>2</v>
      </c>
      <c r="C70" s="575" t="str">
        <f ca="1">IFERROR(VLOOKUP($B70,INDIRECT(ADDRESS(9,COLUMN('2_DATA'!$AM$9),,,"2_DATA")):INDIRECT(ADDRESS(1000,COLUMN('2_DATA'!$AR$9),,,"2_DATA")),2,FALSE),"")</f>
        <v>WORKOVER SECTION</v>
      </c>
      <c r="D70" s="576"/>
      <c r="E70" s="575" t="str">
        <f ca="1">IFERROR(VLOOKUP($B70,INDIRECT(ADDRESS(9,COLUMN('2_DATA'!$AM$9),,,"2_DATA")):INDIRECT(ADDRESS(1000,COLUMN('2_DATA'!$AR$9),,,"2_DATA")),3,FALSE),"")</f>
        <v>PreSPUD</v>
      </c>
      <c r="F70" s="576"/>
      <c r="G70" s="213">
        <f ca="1">H70-H69</f>
        <v>1.0208333333333333</v>
      </c>
      <c r="H70" s="213">
        <f ca="1">INDEX(INDIRECT(ADDRESS(9,COLUMN('2_DATA'!$I$9),,,"2_DATA")):INDIRECT(ADDRESS(1000,COLUMN('2_DATA'!$AM$9),,,"2_DATA")),MATCH($B70,INDIRECT(ADDRESS(9,COLUMN('2_DATA'!$AM$9),,,"2_DATA")):INDIRECT(ADDRESS(1000,COLUMN('2_DATA'!$AM$9),,,"2_DATA")),0),1)</f>
        <v>1.0208333333333333</v>
      </c>
      <c r="I70" s="213">
        <f ca="1">J70-J69</f>
        <v>1.1666666666666667</v>
      </c>
      <c r="J70" s="213">
        <f ca="1">INDEX(INDIRECT(ADDRESS(9,COLUMN('2_DATA'!$T$9),,,"2_DATA")):INDIRECT(ADDRESS(1000,COLUMN('2_DATA'!$AM$9),,,"2_DATA")),MATCH($B70,INDIRECT(ADDRESS(9,COLUMN('2_DATA'!$AM$9),,,"2_DATA")):INDIRECT(ADDRESS(1000,COLUMN('2_DATA'!$AM$9),,,"2_DATA")),0),1)</f>
        <v>1.1666666666666667</v>
      </c>
      <c r="K70" s="591" t="s">
        <v>580</v>
      </c>
      <c r="L70" s="589"/>
      <c r="M70" s="589"/>
      <c r="N70" s="589"/>
      <c r="O70" s="590"/>
      <c r="P70" s="90"/>
      <c r="Q70" s="90"/>
      <c r="R70" s="90"/>
      <c r="U70" s="240" t="s">
        <v>214</v>
      </c>
      <c r="V70" s="240" t="str">
        <f>U71</f>
        <v>C</v>
      </c>
      <c r="W70" s="291" t="str">
        <f t="shared" ca="1" si="11"/>
        <v>WORKOVER</v>
      </c>
      <c r="X70" s="99">
        <f t="shared" ca="1" si="12"/>
        <v>2</v>
      </c>
      <c r="Y70" s="99">
        <f ca="1">IFERROR(IF(ISNA(MATCH(X70,$X$68:X69,0)),X70*10000,""),"")</f>
        <v>20000</v>
      </c>
      <c r="Z70" s="292" t="str">
        <f ca="1">""&amp;C70&amp;"-"&amp;E70&amp;""</f>
        <v>WORKOVER SECTION-PreSPUD</v>
      </c>
      <c r="AA70" s="99">
        <f t="shared" ca="1" si="13"/>
        <v>21001</v>
      </c>
      <c r="AB70" s="99">
        <f ca="1">IFERROR(INDEX($B$145:$C$183,MATCH(ROWS($AB$68:AB69),$C$145:$C$183,0),1),"")</f>
        <v>11000</v>
      </c>
      <c r="AC70" s="293" t="str">
        <f t="shared" ca="1" si="14"/>
        <v>PREPARATION</v>
      </c>
      <c r="AD70" s="99" t="str">
        <f t="shared" ca="1" si="15"/>
        <v>A</v>
      </c>
      <c r="AE70" s="99" t="str">
        <f t="shared" ca="1" si="16"/>
        <v>-</v>
      </c>
      <c r="AF70" s="99" t="str">
        <f t="shared" ca="1" si="17"/>
        <v>B</v>
      </c>
      <c r="AG70" s="293" t="str">
        <f t="shared" ca="1" si="18"/>
        <v>Rig Move &amp; Rig Up</v>
      </c>
      <c r="AH70" s="321">
        <f t="shared" ca="1" si="19"/>
        <v>0</v>
      </c>
      <c r="AI70" s="321">
        <f t="shared" ca="1" si="20"/>
        <v>0</v>
      </c>
      <c r="AJ70" s="321">
        <f t="shared" ca="1" si="21"/>
        <v>0</v>
      </c>
      <c r="AK70" s="321">
        <f t="shared" ca="1" si="22"/>
        <v>0</v>
      </c>
    </row>
    <row r="71" spans="1:37" outlineLevel="1">
      <c r="A71" s="130"/>
      <c r="B71" s="177">
        <f t="shared" ref="B71:B88" si="23">B70+1</f>
        <v>3</v>
      </c>
      <c r="C71" s="575" t="str">
        <f ca="1">IFERROR(VLOOKUP($B71,INDIRECT(ADDRESS(9,COLUMN('2_DATA'!$AM$9),,,"2_DATA")):INDIRECT(ADDRESS(1000,COLUMN('2_DATA'!$AR$9),,,"2_DATA")),2,FALSE),"")</f>
        <v>WORKOVER SECTION</v>
      </c>
      <c r="D71" s="576"/>
      <c r="E71" s="575" t="str">
        <f ca="1">IFERROR(VLOOKUP($B71,INDIRECT(ADDRESS(9,COLUMN('2_DATA'!$AM$9),,,"2_DATA")):INDIRECT(ADDRESS(1000,COLUMN('2_DATA'!$AR$9),,,"2_DATA")),3,FALSE),"")</f>
        <v>WORKOVER #1</v>
      </c>
      <c r="F71" s="576"/>
      <c r="G71" s="213">
        <f t="shared" ref="G71:I88" ca="1" si="24">H71-H70</f>
        <v>3.833333333333333</v>
      </c>
      <c r="H71" s="213">
        <f ca="1">INDEX(INDIRECT(ADDRESS(9,COLUMN('2_DATA'!$I$9),,,"2_DATA")):INDIRECT(ADDRESS(1000,COLUMN('2_DATA'!$AM$9),,,"2_DATA")),MATCH($B71,INDIRECT(ADDRESS(9,COLUMN('2_DATA'!$AM$9),,,"2_DATA")):INDIRECT(ADDRESS(1000,COLUMN('2_DATA'!$AM$9),,,"2_DATA")),0),1)</f>
        <v>4.8541666666666661</v>
      </c>
      <c r="I71" s="213">
        <f t="shared" ca="1" si="24"/>
        <v>16.541666666666675</v>
      </c>
      <c r="J71" s="213">
        <f ca="1">INDEX(INDIRECT(ADDRESS(9,COLUMN('2_DATA'!$T$9),,,"2_DATA")):INDIRECT(ADDRESS(1000,COLUMN('2_DATA'!$AM$9),,,"2_DATA")),MATCH($B71,INDIRECT(ADDRESS(9,COLUMN('2_DATA'!$AM$9),,,"2_DATA")):INDIRECT(ADDRESS(1000,COLUMN('2_DATA'!$AM$9),,,"2_DATA")),0),1)</f>
        <v>17.708333333333343</v>
      </c>
      <c r="K71" s="588" t="s">
        <v>596</v>
      </c>
      <c r="L71" s="589"/>
      <c r="M71" s="589"/>
      <c r="N71" s="589"/>
      <c r="O71" s="590"/>
      <c r="P71" s="90"/>
      <c r="Q71" s="90"/>
      <c r="R71" s="90"/>
      <c r="U71" s="240" t="s">
        <v>216</v>
      </c>
      <c r="V71" s="240" t="str">
        <f>U72</f>
        <v>D</v>
      </c>
      <c r="W71" s="291" t="str">
        <f t="shared" ca="1" si="11"/>
        <v>WORKOVER</v>
      </c>
      <c r="X71" s="99">
        <f t="shared" ca="1" si="12"/>
        <v>2</v>
      </c>
      <c r="Y71" s="99" t="str">
        <f ca="1">IFERROR(IF(ISNA(MATCH(X71,$X$68:X70,0)),X71*10000,""),"")</f>
        <v/>
      </c>
      <c r="Z71" s="292" t="str">
        <f ca="1">""&amp;C71&amp;"-"&amp;E71&amp;""</f>
        <v>WORKOVER SECTION-WORKOVER #1</v>
      </c>
      <c r="AA71" s="99">
        <f t="shared" ca="1" si="13"/>
        <v>21002</v>
      </c>
      <c r="AB71" s="99">
        <f ca="1">IFERROR(INDEX($B$145:$C$183,MATCH(ROWS($AB$68:AB70),$C$145:$C$183,0),1),"")</f>
        <v>20000</v>
      </c>
      <c r="AC71" s="293" t="str">
        <f t="shared" ca="1" si="14"/>
        <v>WORKOVER</v>
      </c>
      <c r="AD71" s="99" t="str">
        <f t="shared" ca="1" si="15"/>
        <v/>
      </c>
      <c r="AE71" s="99" t="str">
        <f t="shared" ca="1" si="16"/>
        <v/>
      </c>
      <c r="AF71" s="99" t="str">
        <f t="shared" ca="1" si="17"/>
        <v/>
      </c>
      <c r="AG71" s="293" t="str">
        <f t="shared" ca="1" si="18"/>
        <v>WORKOVER</v>
      </c>
      <c r="AH71" s="321" t="str">
        <f t="shared" ca="1" si="19"/>
        <v/>
      </c>
      <c r="AI71" s="321" t="str">
        <f t="shared" ca="1" si="20"/>
        <v/>
      </c>
      <c r="AJ71" s="321" t="str">
        <f t="shared" ca="1" si="21"/>
        <v/>
      </c>
      <c r="AK71" s="321" t="str">
        <f t="shared" ca="1" si="22"/>
        <v/>
      </c>
    </row>
    <row r="72" spans="1:37" outlineLevel="1">
      <c r="A72" s="130"/>
      <c r="B72" s="177">
        <f t="shared" si="23"/>
        <v>4</v>
      </c>
      <c r="C72" s="575" t="str">
        <f ca="1">IFERROR(VLOOKUP($B72,INDIRECT(ADDRESS(9,COLUMN('2_DATA'!$AM$9),,,"2_DATA")):INDIRECT(ADDRESS(1000,COLUMN('2_DATA'!$AR$9),,,"2_DATA")),2,FALSE),"")</f>
        <v>WORKOVER SECTION</v>
      </c>
      <c r="D72" s="576"/>
      <c r="E72" s="575" t="str">
        <f ca="1">IFERROR(VLOOKUP($B72,INDIRECT(ADDRESS(9,COLUMN('2_DATA'!$AM$9),,,"2_DATA")):INDIRECT(ADDRESS(1000,COLUMN('2_DATA'!$AR$9),,,"2_DATA")),3,FALSE),"")</f>
        <v>WORKOVER #2</v>
      </c>
      <c r="F72" s="576"/>
      <c r="G72" s="213">
        <f t="shared" ca="1" si="24"/>
        <v>5.4374999999999982</v>
      </c>
      <c r="H72" s="213">
        <f ca="1">INDEX(INDIRECT(ADDRESS(9,COLUMN('2_DATA'!$I$9),,,"2_DATA")):INDIRECT(ADDRESS(1000,COLUMN('2_DATA'!$AM$9),,,"2_DATA")),MATCH($B72,INDIRECT(ADDRESS(9,COLUMN('2_DATA'!$AM$9),,,"2_DATA")):INDIRECT(ADDRESS(1000,COLUMN('2_DATA'!$AM$9),,,"2_DATA")),0),1)</f>
        <v>10.291666666666664</v>
      </c>
      <c r="I72" s="213">
        <f t="shared" ca="1" si="24"/>
        <v>6.25E-2</v>
      </c>
      <c r="J72" s="213">
        <f ca="1">INDEX(INDIRECT(ADDRESS(9,COLUMN('2_DATA'!$T$9),,,"2_DATA")):INDIRECT(ADDRESS(1000,COLUMN('2_DATA'!$AM$9),,,"2_DATA")),MATCH($B72,INDIRECT(ADDRESS(9,COLUMN('2_DATA'!$AM$9),,,"2_DATA")):INDIRECT(ADDRESS(1000,COLUMN('2_DATA'!$AM$9),,,"2_DATA")),0),1)</f>
        <v>17.770833333333343</v>
      </c>
      <c r="K72" s="588" t="s">
        <v>597</v>
      </c>
      <c r="L72" s="589"/>
      <c r="M72" s="589"/>
      <c r="N72" s="589"/>
      <c r="O72" s="590"/>
      <c r="P72" s="90"/>
      <c r="Q72" s="90"/>
      <c r="R72" s="90"/>
      <c r="U72" s="240" t="s">
        <v>217</v>
      </c>
      <c r="V72" s="240" t="str">
        <f>U73</f>
        <v>E</v>
      </c>
      <c r="W72" s="291" t="str">
        <f t="shared" ca="1" si="11"/>
        <v>WORKOVER</v>
      </c>
      <c r="X72" s="99">
        <f t="shared" ca="1" si="12"/>
        <v>2</v>
      </c>
      <c r="Y72" s="99" t="str">
        <f ca="1">IFERROR(IF(ISNA(MATCH(X72,$X$68:X71,0)),X72*10000,""),"")</f>
        <v/>
      </c>
      <c r="Z72" s="292" t="str">
        <f ca="1">""&amp;C72&amp;"-"&amp;E72&amp;""</f>
        <v>WORKOVER SECTION-WORKOVER #2</v>
      </c>
      <c r="AA72" s="99">
        <f t="shared" ca="1" si="13"/>
        <v>21003</v>
      </c>
      <c r="AB72" s="99">
        <f ca="1">IFERROR(INDEX($B$145:$C$183,MATCH(ROWS($AB$68:AB71),$C$145:$C$183,0),1),"")</f>
        <v>21001</v>
      </c>
      <c r="AC72" s="293" t="str">
        <f t="shared" ca="1" si="14"/>
        <v>WORKOVER SECTION</v>
      </c>
      <c r="AD72" s="99" t="str">
        <f t="shared" ca="1" si="15"/>
        <v>B</v>
      </c>
      <c r="AE72" s="99" t="str">
        <f t="shared" ca="1" si="16"/>
        <v>-</v>
      </c>
      <c r="AF72" s="99" t="str">
        <f t="shared" ca="1" si="17"/>
        <v>C</v>
      </c>
      <c r="AG72" s="293" t="str">
        <f t="shared" ca="1" si="18"/>
        <v>Preparation (Kill well &amp; POOH existing string)</v>
      </c>
      <c r="AH72" s="321">
        <f t="shared" ca="1" si="19"/>
        <v>1.0208333333333333</v>
      </c>
      <c r="AI72" s="321">
        <f t="shared" ca="1" si="20"/>
        <v>1.0208333333333333</v>
      </c>
      <c r="AJ72" s="321">
        <f t="shared" ca="1" si="21"/>
        <v>1.1666666666666667</v>
      </c>
      <c r="AK72" s="321">
        <f t="shared" ca="1" si="22"/>
        <v>1.1666666666666667</v>
      </c>
    </row>
    <row r="73" spans="1:37" outlineLevel="1">
      <c r="A73" s="130"/>
      <c r="B73" s="177">
        <f t="shared" si="23"/>
        <v>5</v>
      </c>
      <c r="C73" s="575" t="str">
        <f ca="1">IFERROR(VLOOKUP($B73,INDIRECT(ADDRESS(9,COLUMN('2_DATA'!$AM$9),,,"2_DATA")):INDIRECT(ADDRESS(1000,COLUMN('2_DATA'!$AR$9),,,"2_DATA")),2,FALSE),"")</f>
        <v>WORKOVER SECTION</v>
      </c>
      <c r="D73" s="576"/>
      <c r="E73" s="575" t="str">
        <f ca="1">IFERROR(VLOOKUP($B73,INDIRECT(ADDRESS(9,COLUMN('2_DATA'!$AM$9),,,"2_DATA")):INDIRECT(ADDRESS(1000,COLUMN('2_DATA'!$AR$9),,,"2_DATA")),3,FALSE),"")</f>
        <v>WORKOVER #3</v>
      </c>
      <c r="F73" s="576"/>
      <c r="G73" s="213">
        <f ca="1">H73-H72</f>
        <v>6.1666666666666643</v>
      </c>
      <c r="H73" s="213">
        <f ca="1">INDEX(INDIRECT(ADDRESS(9,COLUMN('2_DATA'!$I$9),,,"2_DATA")):INDIRECT(ADDRESS(1000,COLUMN('2_DATA'!$AM$9),,,"2_DATA")),MATCH($B73,INDIRECT(ADDRESS(9,COLUMN('2_DATA'!$AM$9),,,"2_DATA")):INDIRECT(ADDRESS(1000,COLUMN('2_DATA'!$AM$9),,,"2_DATA")),0),1)</f>
        <v>16.458333333333329</v>
      </c>
      <c r="I73" s="213">
        <f t="shared" ca="1" si="24"/>
        <v>2.4374999999999964</v>
      </c>
      <c r="J73" s="213">
        <f ca="1">INDEX(INDIRECT(ADDRESS(9,COLUMN('2_DATA'!$T$9),,,"2_DATA")):INDIRECT(ADDRESS(1000,COLUMN('2_DATA'!$AM$9),,,"2_DATA")),MATCH($B73,INDIRECT(ADDRESS(9,COLUMN('2_DATA'!$AM$9),,,"2_DATA")):INDIRECT(ADDRESS(1000,COLUMN('2_DATA'!$AM$9),,,"2_DATA")),0),1)</f>
        <v>20.208333333333339</v>
      </c>
      <c r="K73" s="588" t="s">
        <v>604</v>
      </c>
      <c r="L73" s="589"/>
      <c r="M73" s="589"/>
      <c r="N73" s="589"/>
      <c r="O73" s="590"/>
      <c r="P73" s="90"/>
      <c r="Q73" s="90"/>
      <c r="R73" s="90"/>
      <c r="U73" s="240" t="s">
        <v>218</v>
      </c>
      <c r="V73" s="240" t="str">
        <f>U74</f>
        <v>F</v>
      </c>
      <c r="W73" s="291" t="str">
        <f t="shared" ca="1" si="11"/>
        <v>WORKOVER</v>
      </c>
      <c r="X73" s="99">
        <f t="shared" ca="1" si="12"/>
        <v>2</v>
      </c>
      <c r="Y73" s="99" t="str">
        <f ca="1">IFERROR(IF(ISNA(MATCH(X73,$X$68:X72,0)),X73*10000,""),"")</f>
        <v/>
      </c>
      <c r="Z73" s="292" t="str">
        <f ca="1">""&amp;C73&amp;"-"&amp;E73&amp;""</f>
        <v>WORKOVER SECTION-WORKOVER #3</v>
      </c>
      <c r="AA73" s="99">
        <f t="shared" ca="1" si="13"/>
        <v>21004</v>
      </c>
      <c r="AB73" s="99">
        <f ca="1">IFERROR(INDEX($B$145:$C$183,MATCH(ROWS($AB$68:AB72),$C$145:$C$183,0),1),"")</f>
        <v>21002</v>
      </c>
      <c r="AC73" s="293" t="str">
        <f t="shared" ca="1" si="14"/>
        <v>WORKOVER SECTION</v>
      </c>
      <c r="AD73" s="99" t="str">
        <f t="shared" ca="1" si="15"/>
        <v>C</v>
      </c>
      <c r="AE73" s="99" t="str">
        <f t="shared" ca="1" si="16"/>
        <v>-</v>
      </c>
      <c r="AF73" s="99" t="str">
        <f t="shared" ca="1" si="17"/>
        <v>D</v>
      </c>
      <c r="AG73" s="293" t="str">
        <f t="shared" ca="1" si="18"/>
        <v>Squeeze lapisan Eksisting. Run Scraper. Run GR-CBL-CNL</v>
      </c>
      <c r="AH73" s="321">
        <f t="shared" ca="1" si="19"/>
        <v>3.833333333333333</v>
      </c>
      <c r="AI73" s="321">
        <f t="shared" ca="1" si="20"/>
        <v>4.8541666666666661</v>
      </c>
      <c r="AJ73" s="321">
        <f t="shared" ca="1" si="21"/>
        <v>16.541666666666675</v>
      </c>
      <c r="AK73" s="321">
        <f t="shared" ca="1" si="22"/>
        <v>17.708333333333343</v>
      </c>
    </row>
    <row r="74" spans="1:37" outlineLevel="1">
      <c r="A74" s="130"/>
      <c r="B74" s="177">
        <f t="shared" si="23"/>
        <v>6</v>
      </c>
      <c r="C74" s="575" t="str">
        <f ca="1">IFERROR(VLOOKUP($B74,INDIRECT(ADDRESS(9,COLUMN('2_DATA'!$AM$9),,,"2_DATA")):INDIRECT(ADDRESS(1000,COLUMN('2_DATA'!$AR$9),,,"2_DATA")),2,FALSE),"")</f>
        <v>WORKOVER SECTION</v>
      </c>
      <c r="D74" s="576"/>
      <c r="E74" s="575" t="str">
        <f ca="1">IFERROR(VLOOKUP($B74,INDIRECT(ADDRESS(9,COLUMN('2_DATA'!$AM$9),,,"2_DATA")):INDIRECT(ADDRESS(1000,COLUMN('2_DATA'!$AR$9),,,"2_DATA")),3,FALSE),"")</f>
        <v>WORKOVER #4</v>
      </c>
      <c r="F74" s="576"/>
      <c r="G74" s="213">
        <f t="shared" ca="1" si="24"/>
        <v>2.25</v>
      </c>
      <c r="H74" s="213">
        <f ca="1">INDEX(INDIRECT(ADDRESS(9,COLUMN('2_DATA'!$I$9),,,"2_DATA")):INDIRECT(ADDRESS(1000,COLUMN('2_DATA'!$AM$9),,,"2_DATA")),MATCH($B74,INDIRECT(ADDRESS(9,COLUMN('2_DATA'!$AM$9),,,"2_DATA")):INDIRECT(ADDRESS(1000,COLUMN('2_DATA'!$AM$9),,,"2_DATA")),0),1)</f>
        <v>18.708333333333329</v>
      </c>
      <c r="I74" s="213">
        <f t="shared" ca="1" si="24"/>
        <v>2.75</v>
      </c>
      <c r="J74" s="213">
        <f ca="1">INDEX(INDIRECT(ADDRESS(9,COLUMN('2_DATA'!$T$9),,,"2_DATA")):INDIRECT(ADDRESS(1000,COLUMN('2_DATA'!$AM$9),,,"2_DATA")),MATCH($B74,INDIRECT(ADDRESS(9,COLUMN('2_DATA'!$AM$9),,,"2_DATA")):INDIRECT(ADDRESS(1000,COLUMN('2_DATA'!$AM$9),,,"2_DATA")),0),1)</f>
        <v>22.958333333333339</v>
      </c>
      <c r="K74" s="591" t="s">
        <v>598</v>
      </c>
      <c r="L74" s="589"/>
      <c r="M74" s="589"/>
      <c r="N74" s="589"/>
      <c r="O74" s="590"/>
      <c r="P74" s="90"/>
      <c r="Q74" s="90"/>
      <c r="R74" s="90"/>
      <c r="U74" s="240" t="s">
        <v>219</v>
      </c>
      <c r="V74" s="240" t="str">
        <f t="shared" ref="V74:V88" si="25">U75</f>
        <v>G</v>
      </c>
      <c r="W74" s="291" t="str">
        <f t="shared" ca="1" si="11"/>
        <v>WORKOVER</v>
      </c>
      <c r="X74" s="99">
        <f t="shared" ca="1" si="12"/>
        <v>2</v>
      </c>
      <c r="Y74" s="99" t="str">
        <f ca="1">IFERROR(IF(ISNA(MATCH(X74,$X$68:X73,0)),X74*10000,""),"")</f>
        <v/>
      </c>
      <c r="Z74" s="292" t="str">
        <f t="shared" ref="Z74:Z88" ca="1" si="26">""&amp;C74&amp;"-"&amp;E74&amp;""</f>
        <v>WORKOVER SECTION-WORKOVER #4</v>
      </c>
      <c r="AA74" s="99">
        <f t="shared" ca="1" si="13"/>
        <v>21005</v>
      </c>
      <c r="AB74" s="99">
        <f ca="1">IFERROR(INDEX($B$145:$C$183,MATCH(ROWS($AB$68:AB73),$C$145:$C$183,0),1),"")</f>
        <v>21003</v>
      </c>
      <c r="AC74" s="293" t="str">
        <f t="shared" ca="1" si="14"/>
        <v>WORKOVER SECTION</v>
      </c>
      <c r="AD74" s="99" t="str">
        <f t="shared" ca="1" si="15"/>
        <v>D</v>
      </c>
      <c r="AE74" s="99" t="str">
        <f t="shared" ca="1" si="16"/>
        <v>-</v>
      </c>
      <c r="AF74" s="99" t="str">
        <f t="shared" ca="1" si="17"/>
        <v>E</v>
      </c>
      <c r="AG74" s="293" t="str">
        <f t="shared" ca="1" si="18"/>
        <v>Perbaikan bonding. DOC. Run Scraper. Re run GR-CBL-VDL</v>
      </c>
      <c r="AH74" s="321">
        <f t="shared" ca="1" si="19"/>
        <v>5.4374999999999982</v>
      </c>
      <c r="AI74" s="321">
        <f t="shared" ca="1" si="20"/>
        <v>10.291666666666664</v>
      </c>
      <c r="AJ74" s="321">
        <f t="shared" ca="1" si="21"/>
        <v>6.25E-2</v>
      </c>
      <c r="AK74" s="321">
        <f t="shared" ca="1" si="22"/>
        <v>17.770833333333343</v>
      </c>
    </row>
    <row r="75" spans="1:37" outlineLevel="1">
      <c r="A75" s="130"/>
      <c r="B75" s="177">
        <f t="shared" si="23"/>
        <v>7</v>
      </c>
      <c r="C75" s="575" t="str">
        <f ca="1">IFERROR(VLOOKUP($B75,INDIRECT(ADDRESS(9,COLUMN('2_DATA'!$AM$9),,,"2_DATA")):INDIRECT(ADDRESS(1000,COLUMN('2_DATA'!$AR$9),,,"2_DATA")),2,FALSE),"")</f>
        <v>RELEASE</v>
      </c>
      <c r="D75" s="576"/>
      <c r="E75" s="575" t="str">
        <f ca="1">IFERROR(VLOOKUP($B75,INDIRECT(ADDRESS(9,COLUMN('2_DATA'!$AM$9),,,"2_DATA")):INDIRECT(ADDRESS(1000,COLUMN('2_DATA'!$AR$9),,,"2_DATA")),3,FALSE),"")</f>
        <v>Rig Release</v>
      </c>
      <c r="F75" s="576"/>
      <c r="G75" s="213">
        <f t="shared" ca="1" si="24"/>
        <v>0</v>
      </c>
      <c r="H75" s="213">
        <f ca="1">INDEX(INDIRECT(ADDRESS(9,COLUMN('2_DATA'!$I$9),,,"2_DATA")):INDIRECT(ADDRESS(1000,COLUMN('2_DATA'!$AM$9),,,"2_DATA")),MATCH($B75,INDIRECT(ADDRESS(9,COLUMN('2_DATA'!$AM$9),,,"2_DATA")):INDIRECT(ADDRESS(1000,COLUMN('2_DATA'!$AM$9),,,"2_DATA")),0),1)</f>
        <v>18.708333333333329</v>
      </c>
      <c r="I75" s="213">
        <f t="shared" ca="1" si="24"/>
        <v>0</v>
      </c>
      <c r="J75" s="213">
        <f ca="1">INDEX(INDIRECT(ADDRESS(9,COLUMN('2_DATA'!$T$9),,,"2_DATA")):INDIRECT(ADDRESS(1000,COLUMN('2_DATA'!$AM$9),,,"2_DATA")),MATCH($B75,INDIRECT(ADDRESS(9,COLUMN('2_DATA'!$AM$9),,,"2_DATA")):INDIRECT(ADDRESS(1000,COLUMN('2_DATA'!$AM$9),,,"2_DATA")),0),1)</f>
        <v>22.958333333333339</v>
      </c>
      <c r="K75" s="588" t="s">
        <v>571</v>
      </c>
      <c r="L75" s="589"/>
      <c r="M75" s="589"/>
      <c r="N75" s="589"/>
      <c r="O75" s="590"/>
      <c r="P75" s="90"/>
      <c r="Q75" s="90"/>
      <c r="R75" s="90"/>
      <c r="U75" s="240" t="s">
        <v>220</v>
      </c>
      <c r="V75" s="240" t="str">
        <f t="shared" si="25"/>
        <v>H</v>
      </c>
      <c r="W75" s="291" t="str">
        <f t="shared" ca="1" si="11"/>
        <v>RELEASE</v>
      </c>
      <c r="X75" s="99">
        <f t="shared" ca="1" si="12"/>
        <v>3</v>
      </c>
      <c r="Y75" s="99">
        <f ca="1">IFERROR(IF(ISNA(MATCH(X75,$X$68:X74,0)),X75*10000,""),"")</f>
        <v>30000</v>
      </c>
      <c r="Z75" s="292" t="str">
        <f t="shared" ca="1" si="26"/>
        <v>RELEASE-Rig Release</v>
      </c>
      <c r="AA75" s="99">
        <f t="shared" ca="1" si="13"/>
        <v>31001</v>
      </c>
      <c r="AB75" s="99">
        <f ca="1">IFERROR(INDEX($B$145:$C$183,MATCH(ROWS($AB$68:AB74),$C$145:$C$183,0),1),"")</f>
        <v>21004</v>
      </c>
      <c r="AC75" s="293" t="str">
        <f t="shared" ca="1" si="14"/>
        <v>WORKOVER SECTION</v>
      </c>
      <c r="AD75" s="99" t="str">
        <f t="shared" ca="1" si="15"/>
        <v>E</v>
      </c>
      <c r="AE75" s="99" t="str">
        <f t="shared" ca="1" si="16"/>
        <v>-</v>
      </c>
      <c r="AF75" s="99" t="str">
        <f t="shared" ca="1" si="17"/>
        <v>F</v>
      </c>
      <c r="AG75" s="293" t="str">
        <f t="shared" ca="1" si="18"/>
        <v>Perforasi Produksi. Stimulation Job. RIH RPP. Swab Job. POOH RPP</v>
      </c>
      <c r="AH75" s="321">
        <f ca="1">IFERROR(IF(ISNA(VLOOKUP($AB75/10000,$B$42:$C$57,2,FALSE)),INDEX($G$69:$AA$89,MATCH($AB75,$AA$69:$AA$89,0),1),""),"")</f>
        <v>6.1666666666666643</v>
      </c>
      <c r="AI75" s="321">
        <f t="shared" ca="1" si="20"/>
        <v>16.458333333333329</v>
      </c>
      <c r="AJ75" s="321">
        <f t="shared" ca="1" si="21"/>
        <v>2.4374999999999964</v>
      </c>
      <c r="AK75" s="321">
        <f t="shared" ca="1" si="22"/>
        <v>20.208333333333339</v>
      </c>
    </row>
    <row r="76" spans="1:37" outlineLevel="1">
      <c r="A76" s="130"/>
      <c r="B76" s="177">
        <f t="shared" si="23"/>
        <v>8</v>
      </c>
      <c r="C76" s="575" t="str">
        <f ca="1">IFERROR(VLOOKUP($B76,INDIRECT(ADDRESS(9,COLUMN('2_DATA'!$AM$9),,,"2_DATA")):INDIRECT(ADDRESS(1000,COLUMN('2_DATA'!$AR$9),,,"2_DATA")),2,FALSE),"")</f>
        <v/>
      </c>
      <c r="D76" s="576"/>
      <c r="E76" s="575" t="str">
        <f ca="1">IFERROR(VLOOKUP($B76,INDIRECT(ADDRESS(9,COLUMN('2_DATA'!$AM$9),,,"2_DATA")):INDIRECT(ADDRESS(1000,COLUMN('2_DATA'!$AR$9),,,"2_DATA")),3,FALSE),"")</f>
        <v/>
      </c>
      <c r="F76" s="576"/>
      <c r="G76" s="213" t="e">
        <f t="shared" ca="1" si="24"/>
        <v>#N/A</v>
      </c>
      <c r="H76" s="213" t="e">
        <f ca="1">INDEX(INDIRECT(ADDRESS(9,COLUMN('2_DATA'!$I$9),,,"2_DATA")):INDIRECT(ADDRESS(1000,COLUMN('2_DATA'!$AM$9),,,"2_DATA")),MATCH($B76,INDIRECT(ADDRESS(9,COLUMN('2_DATA'!$AM$9),,,"2_DATA")):INDIRECT(ADDRESS(1000,COLUMN('2_DATA'!$AM$9),,,"2_DATA")),0),1)</f>
        <v>#N/A</v>
      </c>
      <c r="I76" s="213" t="e">
        <f t="shared" ca="1" si="24"/>
        <v>#N/A</v>
      </c>
      <c r="J76" s="213" t="e">
        <f ca="1">INDEX(INDIRECT(ADDRESS(9,COLUMN('2_DATA'!$T$9),,,"2_DATA")):INDIRECT(ADDRESS(1000,COLUMN('2_DATA'!$AM$9),,,"2_DATA")),MATCH($B76,INDIRECT(ADDRESS(9,COLUMN('2_DATA'!$AM$9),,,"2_DATA")):INDIRECT(ADDRESS(1000,COLUMN('2_DATA'!$AM$9),,,"2_DATA")),0),1)</f>
        <v>#N/A</v>
      </c>
      <c r="K76" s="588"/>
      <c r="L76" s="589"/>
      <c r="M76" s="589"/>
      <c r="N76" s="589"/>
      <c r="O76" s="590"/>
      <c r="P76" s="90"/>
      <c r="Q76" s="90"/>
      <c r="R76" s="90"/>
      <c r="U76" s="240" t="s">
        <v>221</v>
      </c>
      <c r="V76" s="240" t="str">
        <f t="shared" si="25"/>
        <v>I</v>
      </c>
      <c r="W76" s="291" t="e">
        <f t="shared" ca="1" si="11"/>
        <v>#N/A</v>
      </c>
      <c r="X76" s="99" t="str">
        <f t="shared" ca="1" si="12"/>
        <v/>
      </c>
      <c r="Y76" s="99" t="str">
        <f ca="1">IFERROR(IF(ISNA(MATCH(X76,$X$68:X75,0)),X76*10000,""),"")</f>
        <v/>
      </c>
      <c r="Z76" s="292" t="str">
        <f t="shared" ca="1" si="26"/>
        <v>-</v>
      </c>
      <c r="AA76" s="99" t="str">
        <f t="shared" ca="1" si="13"/>
        <v/>
      </c>
      <c r="AB76" s="99">
        <f ca="1">IFERROR(INDEX($B$145:$C$183,MATCH(ROWS($AB$68:AB75),$C$145:$C$183,0),1),"")</f>
        <v>21005</v>
      </c>
      <c r="AC76" s="293" t="str">
        <f t="shared" ca="1" si="14"/>
        <v>WORKOVER SECTION</v>
      </c>
      <c r="AD76" s="99" t="str">
        <f t="shared" ca="1" si="15"/>
        <v>F</v>
      </c>
      <c r="AE76" s="99" t="str">
        <f t="shared" ca="1" si="16"/>
        <v>-</v>
      </c>
      <c r="AF76" s="99" t="str">
        <f t="shared" ca="1" si="17"/>
        <v>G</v>
      </c>
      <c r="AG76" s="293" t="str">
        <f t="shared" ca="1" si="18"/>
        <v>RIH RPP. Put well on production</v>
      </c>
      <c r="AH76" s="321">
        <f t="shared" ca="1" si="19"/>
        <v>2.25</v>
      </c>
      <c r="AI76" s="321">
        <f t="shared" ca="1" si="20"/>
        <v>18.708333333333329</v>
      </c>
      <c r="AJ76" s="321">
        <f t="shared" ca="1" si="21"/>
        <v>2.75</v>
      </c>
      <c r="AK76" s="321">
        <f t="shared" ca="1" si="22"/>
        <v>22.958333333333339</v>
      </c>
    </row>
    <row r="77" spans="1:37" outlineLevel="1">
      <c r="A77" s="130"/>
      <c r="B77" s="177">
        <f t="shared" si="23"/>
        <v>9</v>
      </c>
      <c r="C77" s="575" t="str">
        <f ca="1">IFERROR(VLOOKUP($B77,INDIRECT(ADDRESS(9,COLUMN('2_DATA'!$AM$9),,,"2_DATA")):INDIRECT(ADDRESS(1000,COLUMN('2_DATA'!$AR$9),,,"2_DATA")),2,FALSE),"")</f>
        <v/>
      </c>
      <c r="D77" s="576"/>
      <c r="E77" s="575" t="str">
        <f ca="1">IFERROR(VLOOKUP($B77,INDIRECT(ADDRESS(9,COLUMN('2_DATA'!$AM$9),,,"2_DATA")):INDIRECT(ADDRESS(1000,COLUMN('2_DATA'!$AR$9),,,"2_DATA")),3,FALSE),"")</f>
        <v/>
      </c>
      <c r="F77" s="576"/>
      <c r="G77" s="213" t="e">
        <f t="shared" ca="1" si="24"/>
        <v>#N/A</v>
      </c>
      <c r="H77" s="213" t="e">
        <f ca="1">INDEX(INDIRECT(ADDRESS(9,COLUMN('2_DATA'!$I$9),,,"2_DATA")):INDIRECT(ADDRESS(1000,COLUMN('2_DATA'!$AM$9),,,"2_DATA")),MATCH($B77,INDIRECT(ADDRESS(9,COLUMN('2_DATA'!$AM$9),,,"2_DATA")):INDIRECT(ADDRESS(1000,COLUMN('2_DATA'!$AM$9),,,"2_DATA")),0),1)</f>
        <v>#N/A</v>
      </c>
      <c r="I77" s="213" t="e">
        <f t="shared" ca="1" si="24"/>
        <v>#N/A</v>
      </c>
      <c r="J77" s="213" t="e">
        <f ca="1">INDEX(INDIRECT(ADDRESS(9,COLUMN('2_DATA'!$T$9),,,"2_DATA")):INDIRECT(ADDRESS(1000,COLUMN('2_DATA'!$AM$9),,,"2_DATA")),MATCH($B77,INDIRECT(ADDRESS(9,COLUMN('2_DATA'!$AM$9),,,"2_DATA")):INDIRECT(ADDRESS(1000,COLUMN('2_DATA'!$AM$9),,,"2_DATA")),0),1)</f>
        <v>#N/A</v>
      </c>
      <c r="K77" s="588"/>
      <c r="L77" s="589"/>
      <c r="M77" s="589"/>
      <c r="N77" s="589"/>
      <c r="O77" s="590"/>
      <c r="P77" s="90"/>
      <c r="Q77" s="90"/>
      <c r="R77" s="90"/>
      <c r="U77" s="240" t="s">
        <v>350</v>
      </c>
      <c r="V77" s="240" t="str">
        <f t="shared" si="25"/>
        <v>J</v>
      </c>
      <c r="W77" s="291" t="e">
        <f t="shared" ca="1" si="11"/>
        <v>#N/A</v>
      </c>
      <c r="X77" s="99" t="str">
        <f t="shared" ca="1" si="12"/>
        <v/>
      </c>
      <c r="Y77" s="99" t="str">
        <f ca="1">IFERROR(IF(ISNA(MATCH(X77,$X$68:X76,0)),X77*10000,""),"")</f>
        <v/>
      </c>
      <c r="Z77" s="292" t="str">
        <f t="shared" ca="1" si="26"/>
        <v>-</v>
      </c>
      <c r="AA77" s="99" t="str">
        <f t="shared" ca="1" si="13"/>
        <v/>
      </c>
      <c r="AB77" s="99">
        <f ca="1">IFERROR(INDEX($B$145:$C$183,MATCH(ROWS($AB$68:AB76),$C$145:$C$183,0),1),"")</f>
        <v>30000</v>
      </c>
      <c r="AC77" s="293" t="str">
        <f t="shared" ca="1" si="14"/>
        <v>RELEASE</v>
      </c>
      <c r="AD77" s="99" t="str">
        <f t="shared" ca="1" si="15"/>
        <v/>
      </c>
      <c r="AE77" s="99" t="str">
        <f t="shared" ca="1" si="16"/>
        <v/>
      </c>
      <c r="AF77" s="99" t="str">
        <f t="shared" ca="1" si="17"/>
        <v/>
      </c>
      <c r="AG77" s="293" t="str">
        <f ca="1">IFERROR(IF(ISNA(VLOOKUP($AB77/10000,$B$42:$C$57,2,FALSE)),INDEX($K$69:$AA$89,MATCH($AB77,$AA$69:$AA$89,0),1),VLOOKUP($AB77/10000,$B$42:$C$57,2,FALSE)),"")</f>
        <v>RELEASE</v>
      </c>
      <c r="AH77" s="321" t="str">
        <f t="shared" ca="1" si="19"/>
        <v/>
      </c>
      <c r="AI77" s="321" t="str">
        <f t="shared" ca="1" si="20"/>
        <v/>
      </c>
      <c r="AJ77" s="321" t="str">
        <f t="shared" ca="1" si="21"/>
        <v/>
      </c>
      <c r="AK77" s="321" t="str">
        <f t="shared" ca="1" si="22"/>
        <v/>
      </c>
    </row>
    <row r="78" spans="1:37" outlineLevel="1">
      <c r="A78" s="130"/>
      <c r="B78" s="177">
        <f t="shared" si="23"/>
        <v>10</v>
      </c>
      <c r="C78" s="575" t="str">
        <f ca="1">IFERROR(VLOOKUP($B78,INDIRECT(ADDRESS(9,COLUMN('2_DATA'!$AM$9),,,"2_DATA")):INDIRECT(ADDRESS(1000,COLUMN('2_DATA'!$AR$9),,,"2_DATA")),2,FALSE),"")</f>
        <v/>
      </c>
      <c r="D78" s="576"/>
      <c r="E78" s="575" t="str">
        <f ca="1">IFERROR(VLOOKUP($B78,INDIRECT(ADDRESS(9,COLUMN('2_DATA'!$AM$9),,,"2_DATA")):INDIRECT(ADDRESS(1000,COLUMN('2_DATA'!$AR$9),,,"2_DATA")),3,FALSE),"")</f>
        <v/>
      </c>
      <c r="F78" s="576"/>
      <c r="G78" s="213" t="e">
        <f t="shared" ca="1" si="24"/>
        <v>#N/A</v>
      </c>
      <c r="H78" s="213" t="e">
        <f ca="1">INDEX(INDIRECT(ADDRESS(9,COLUMN('2_DATA'!$I$9),,,"2_DATA")):INDIRECT(ADDRESS(1000,COLUMN('2_DATA'!$AM$9),,,"2_DATA")),MATCH($B78,INDIRECT(ADDRESS(9,COLUMN('2_DATA'!$AM$9),,,"2_DATA")):INDIRECT(ADDRESS(1000,COLUMN('2_DATA'!$AM$9),,,"2_DATA")),0),1)</f>
        <v>#N/A</v>
      </c>
      <c r="I78" s="213" t="e">
        <f t="shared" ca="1" si="24"/>
        <v>#N/A</v>
      </c>
      <c r="J78" s="213" t="e">
        <f ca="1">INDEX(INDIRECT(ADDRESS(9,COLUMN('2_DATA'!$T$9),,,"2_DATA")):INDIRECT(ADDRESS(1000,COLUMN('2_DATA'!$AM$9),,,"2_DATA")),MATCH($B78,INDIRECT(ADDRESS(9,COLUMN('2_DATA'!$AM$9),,,"2_DATA")):INDIRECT(ADDRESS(1000,COLUMN('2_DATA'!$AM$9),,,"2_DATA")),0),1)</f>
        <v>#N/A</v>
      </c>
      <c r="K78" s="588"/>
      <c r="L78" s="589"/>
      <c r="M78" s="589"/>
      <c r="N78" s="589"/>
      <c r="O78" s="590"/>
      <c r="P78" s="90"/>
      <c r="Q78" s="90"/>
      <c r="R78" s="90"/>
      <c r="U78" s="240" t="s">
        <v>353</v>
      </c>
      <c r="V78" s="240" t="str">
        <f t="shared" si="25"/>
        <v>K</v>
      </c>
      <c r="W78" s="291" t="e">
        <f t="shared" ca="1" si="11"/>
        <v>#N/A</v>
      </c>
      <c r="X78" s="99" t="str">
        <f t="shared" ca="1" si="12"/>
        <v/>
      </c>
      <c r="Y78" s="99" t="str">
        <f ca="1">IFERROR(IF(ISNA(MATCH(X78,$X$68:X77,0)),X78*10000,""),"")</f>
        <v/>
      </c>
      <c r="Z78" s="292" t="str">
        <f t="shared" ca="1" si="26"/>
        <v>-</v>
      </c>
      <c r="AA78" s="99" t="str">
        <f t="shared" ca="1" si="13"/>
        <v/>
      </c>
      <c r="AB78" s="99">
        <f ca="1">IFERROR(INDEX($B$145:$C$183,MATCH(ROWS($AB$68:AB77),$C$145:$C$183,0),1),"")</f>
        <v>31001</v>
      </c>
      <c r="AC78" s="293" t="str">
        <f t="shared" ca="1" si="14"/>
        <v>RELEASE</v>
      </c>
      <c r="AD78" s="99" t="str">
        <f t="shared" ca="1" si="15"/>
        <v>G</v>
      </c>
      <c r="AE78" s="99" t="str">
        <f t="shared" ca="1" si="16"/>
        <v>-</v>
      </c>
      <c r="AF78" s="99" t="str">
        <f t="shared" ca="1" si="17"/>
        <v>H</v>
      </c>
      <c r="AG78" s="293" t="str">
        <f t="shared" ca="1" si="18"/>
        <v>Rig Release</v>
      </c>
      <c r="AH78" s="321">
        <f t="shared" ca="1" si="19"/>
        <v>0</v>
      </c>
      <c r="AI78" s="321">
        <f t="shared" ca="1" si="20"/>
        <v>18.708333333333329</v>
      </c>
      <c r="AJ78" s="321">
        <f t="shared" ca="1" si="21"/>
        <v>0</v>
      </c>
      <c r="AK78" s="321">
        <f t="shared" ca="1" si="22"/>
        <v>22.958333333333339</v>
      </c>
    </row>
    <row r="79" spans="1:37" outlineLevel="1">
      <c r="A79" s="130"/>
      <c r="B79" s="177">
        <f t="shared" si="23"/>
        <v>11</v>
      </c>
      <c r="C79" s="575" t="str">
        <f ca="1">IFERROR(VLOOKUP($B79,INDIRECT(ADDRESS(9,COLUMN('2_DATA'!$AM$9),,,"2_DATA")):INDIRECT(ADDRESS(1000,COLUMN('2_DATA'!$AR$9),,,"2_DATA")),2,FALSE),"")</f>
        <v/>
      </c>
      <c r="D79" s="576"/>
      <c r="E79" s="575" t="str">
        <f ca="1">IFERROR(VLOOKUP($B79,INDIRECT(ADDRESS(9,COLUMN('2_DATA'!$AM$9),,,"2_DATA")):INDIRECT(ADDRESS(1000,COLUMN('2_DATA'!$AR$9),,,"2_DATA")),3,FALSE),"")</f>
        <v/>
      </c>
      <c r="F79" s="576"/>
      <c r="G79" s="213" t="e">
        <f t="shared" ca="1" si="24"/>
        <v>#N/A</v>
      </c>
      <c r="H79" s="213" t="e">
        <f ca="1">INDEX(INDIRECT(ADDRESS(9,COLUMN('2_DATA'!$I$9),,,"2_DATA")):INDIRECT(ADDRESS(1000,COLUMN('2_DATA'!$AM$9),,,"2_DATA")),MATCH($B79,INDIRECT(ADDRESS(9,COLUMN('2_DATA'!$AM$9),,,"2_DATA")):INDIRECT(ADDRESS(1000,COLUMN('2_DATA'!$AM$9),,,"2_DATA")),0),1)</f>
        <v>#N/A</v>
      </c>
      <c r="I79" s="213" t="e">
        <f t="shared" ca="1" si="24"/>
        <v>#N/A</v>
      </c>
      <c r="J79" s="213" t="e">
        <f ca="1">INDEX(INDIRECT(ADDRESS(9,COLUMN('2_DATA'!$T$9),,,"2_DATA")):INDIRECT(ADDRESS(1000,COLUMN('2_DATA'!$AM$9),,,"2_DATA")),MATCH($B79,INDIRECT(ADDRESS(9,COLUMN('2_DATA'!$AM$9),,,"2_DATA")):INDIRECT(ADDRESS(1000,COLUMN('2_DATA'!$AM$9),,,"2_DATA")),0),1)</f>
        <v>#N/A</v>
      </c>
      <c r="K79" s="588"/>
      <c r="L79" s="589"/>
      <c r="M79" s="589"/>
      <c r="N79" s="589"/>
      <c r="O79" s="590"/>
      <c r="P79" s="90"/>
      <c r="Q79" s="90"/>
      <c r="R79" s="90"/>
      <c r="U79" s="240" t="s">
        <v>355</v>
      </c>
      <c r="V79" s="240" t="str">
        <f t="shared" si="25"/>
        <v>L</v>
      </c>
      <c r="W79" s="291" t="e">
        <f t="shared" ca="1" si="11"/>
        <v>#N/A</v>
      </c>
      <c r="X79" s="99" t="str">
        <f t="shared" ca="1" si="12"/>
        <v/>
      </c>
      <c r="Y79" s="99" t="str">
        <f ca="1">IFERROR(IF(ISNA(MATCH(X79,$X$68:X78,0)),X79*10000,""),"")</f>
        <v/>
      </c>
      <c r="Z79" s="292" t="str">
        <f t="shared" ca="1" si="26"/>
        <v>-</v>
      </c>
      <c r="AA79" s="99" t="str">
        <f t="shared" ca="1" si="13"/>
        <v/>
      </c>
      <c r="AB79" s="99" t="str">
        <f ca="1">IFERROR(INDEX($B$145:$C$183,MATCH(ROWS($AB$68:AB78),$C$145:$C$183,0),1),"")</f>
        <v/>
      </c>
      <c r="AC79" s="293" t="str">
        <f t="shared" ca="1" si="14"/>
        <v/>
      </c>
      <c r="AD79" s="99" t="str">
        <f t="shared" ca="1" si="15"/>
        <v/>
      </c>
      <c r="AE79" s="99" t="str">
        <f t="shared" ca="1" si="16"/>
        <v/>
      </c>
      <c r="AF79" s="99" t="str">
        <f t="shared" ca="1" si="17"/>
        <v/>
      </c>
      <c r="AG79" s="293" t="str">
        <f t="shared" ca="1" si="18"/>
        <v/>
      </c>
      <c r="AH79" s="321" t="str">
        <f t="shared" ca="1" si="19"/>
        <v/>
      </c>
      <c r="AI79" s="321" t="str">
        <f t="shared" ca="1" si="20"/>
        <v/>
      </c>
      <c r="AJ79" s="321" t="str">
        <f t="shared" ca="1" si="21"/>
        <v/>
      </c>
      <c r="AK79" s="321" t="str">
        <f t="shared" ca="1" si="22"/>
        <v/>
      </c>
    </row>
    <row r="80" spans="1:37" outlineLevel="1">
      <c r="A80" s="130"/>
      <c r="B80" s="177">
        <f t="shared" si="23"/>
        <v>12</v>
      </c>
      <c r="C80" s="575" t="str">
        <f ca="1">IFERROR(VLOOKUP($B80,INDIRECT(ADDRESS(9,COLUMN('2_DATA'!$AM$9),,,"2_DATA")):INDIRECT(ADDRESS(1000,COLUMN('2_DATA'!$AR$9),,,"2_DATA")),2,FALSE),"")</f>
        <v/>
      </c>
      <c r="D80" s="576"/>
      <c r="E80" s="575" t="str">
        <f ca="1">IFERROR(VLOOKUP($B80,INDIRECT(ADDRESS(9,COLUMN('2_DATA'!$AM$9),,,"2_DATA")):INDIRECT(ADDRESS(1000,COLUMN('2_DATA'!$AR$9),,,"2_DATA")),3,FALSE),"")</f>
        <v/>
      </c>
      <c r="F80" s="576"/>
      <c r="G80" s="213" t="e">
        <f t="shared" ca="1" si="24"/>
        <v>#N/A</v>
      </c>
      <c r="H80" s="213" t="e">
        <f ca="1">INDEX(INDIRECT(ADDRESS(9,COLUMN('2_DATA'!$I$9),,,"2_DATA")):INDIRECT(ADDRESS(1000,COLUMN('2_DATA'!$AM$9),,,"2_DATA")),MATCH($B80,INDIRECT(ADDRESS(9,COLUMN('2_DATA'!$AM$9),,,"2_DATA")):INDIRECT(ADDRESS(1000,COLUMN('2_DATA'!$AM$9),,,"2_DATA")),0),1)</f>
        <v>#N/A</v>
      </c>
      <c r="I80" s="213" t="e">
        <f t="shared" ca="1" si="24"/>
        <v>#N/A</v>
      </c>
      <c r="J80" s="213" t="e">
        <f ca="1">INDEX(INDIRECT(ADDRESS(9,COLUMN('2_DATA'!$T$9),,,"2_DATA")):INDIRECT(ADDRESS(1000,COLUMN('2_DATA'!$AM$9),,,"2_DATA")),MATCH($B80,INDIRECT(ADDRESS(9,COLUMN('2_DATA'!$AM$9),,,"2_DATA")):INDIRECT(ADDRESS(1000,COLUMN('2_DATA'!$AM$9),,,"2_DATA")),0),1)</f>
        <v>#N/A</v>
      </c>
      <c r="K80" s="588"/>
      <c r="L80" s="589"/>
      <c r="M80" s="589"/>
      <c r="N80" s="589"/>
      <c r="O80" s="590"/>
      <c r="P80" s="90"/>
      <c r="Q80" s="90"/>
      <c r="R80" s="90"/>
      <c r="U80" s="240" t="s">
        <v>357</v>
      </c>
      <c r="V80" s="240" t="str">
        <f t="shared" si="25"/>
        <v>M</v>
      </c>
      <c r="W80" s="291" t="e">
        <f t="shared" ca="1" si="11"/>
        <v>#N/A</v>
      </c>
      <c r="X80" s="99" t="str">
        <f t="shared" ca="1" si="12"/>
        <v/>
      </c>
      <c r="Y80" s="99" t="str">
        <f ca="1">IFERROR(IF(ISNA(MATCH(X80,$X$68:X79,0)),X80*10000,""),"")</f>
        <v/>
      </c>
      <c r="Z80" s="292" t="str">
        <f t="shared" ca="1" si="26"/>
        <v>-</v>
      </c>
      <c r="AA80" s="99" t="str">
        <f t="shared" ca="1" si="13"/>
        <v/>
      </c>
      <c r="AB80" s="99" t="str">
        <f ca="1">IFERROR(INDEX($B$145:$C$183,MATCH(ROWS($AB$68:AB79),$C$145:$C$183,0),1),"")</f>
        <v/>
      </c>
      <c r="AC80" s="293" t="str">
        <f t="shared" ca="1" si="14"/>
        <v/>
      </c>
      <c r="AD80" s="99" t="str">
        <f t="shared" ca="1" si="15"/>
        <v/>
      </c>
      <c r="AE80" s="99" t="str">
        <f t="shared" ca="1" si="16"/>
        <v/>
      </c>
      <c r="AF80" s="99" t="str">
        <f t="shared" ca="1" si="17"/>
        <v/>
      </c>
      <c r="AG80" s="293" t="str">
        <f t="shared" ca="1" si="18"/>
        <v/>
      </c>
      <c r="AH80" s="321" t="str">
        <f t="shared" ca="1" si="19"/>
        <v/>
      </c>
      <c r="AI80" s="321" t="str">
        <f t="shared" ca="1" si="20"/>
        <v/>
      </c>
      <c r="AJ80" s="321" t="str">
        <f t="shared" ca="1" si="21"/>
        <v/>
      </c>
      <c r="AK80" s="321" t="str">
        <f t="shared" ca="1" si="22"/>
        <v/>
      </c>
    </row>
    <row r="81" spans="1:37" outlineLevel="1">
      <c r="A81" s="130"/>
      <c r="B81" s="177">
        <f t="shared" si="23"/>
        <v>13</v>
      </c>
      <c r="C81" s="575" t="str">
        <f ca="1">IFERROR(VLOOKUP($B81,INDIRECT(ADDRESS(9,COLUMN('2_DATA'!$AM$9),,,"2_DATA")):INDIRECT(ADDRESS(1000,COLUMN('2_DATA'!$AR$9),,,"2_DATA")),2,FALSE),"")</f>
        <v/>
      </c>
      <c r="D81" s="576"/>
      <c r="E81" s="575" t="str">
        <f ca="1">IFERROR(VLOOKUP($B81,INDIRECT(ADDRESS(9,COLUMN('2_DATA'!$AM$9),,,"2_DATA")):INDIRECT(ADDRESS(1000,COLUMN('2_DATA'!$AR$9),,,"2_DATA")),3,FALSE),"")</f>
        <v/>
      </c>
      <c r="F81" s="576"/>
      <c r="G81" s="213" t="e">
        <f t="shared" ca="1" si="24"/>
        <v>#N/A</v>
      </c>
      <c r="H81" s="213" t="e">
        <f ca="1">INDEX(INDIRECT(ADDRESS(9,COLUMN('2_DATA'!$I$9),,,"2_DATA")):INDIRECT(ADDRESS(1000,COLUMN('2_DATA'!$AM$9),,,"2_DATA")),MATCH($B81,INDIRECT(ADDRESS(9,COLUMN('2_DATA'!$AM$9),,,"2_DATA")):INDIRECT(ADDRESS(1000,COLUMN('2_DATA'!$AM$9),,,"2_DATA")),0),1)</f>
        <v>#N/A</v>
      </c>
      <c r="I81" s="213" t="e">
        <f t="shared" ca="1" si="24"/>
        <v>#N/A</v>
      </c>
      <c r="J81" s="213" t="e">
        <f ca="1">INDEX(INDIRECT(ADDRESS(9,COLUMN('2_DATA'!$T$9),,,"2_DATA")):INDIRECT(ADDRESS(1000,COLUMN('2_DATA'!$AM$9),,,"2_DATA")),MATCH($B81,INDIRECT(ADDRESS(9,COLUMN('2_DATA'!$AM$9),,,"2_DATA")):INDIRECT(ADDRESS(1000,COLUMN('2_DATA'!$AM$9),,,"2_DATA")),0),1)</f>
        <v>#N/A</v>
      </c>
      <c r="K81" s="588"/>
      <c r="L81" s="589"/>
      <c r="M81" s="589"/>
      <c r="N81" s="589"/>
      <c r="O81" s="590"/>
      <c r="P81" s="90"/>
      <c r="Q81" s="90"/>
      <c r="R81" s="90"/>
      <c r="U81" s="240" t="s">
        <v>359</v>
      </c>
      <c r="V81" s="240" t="str">
        <f t="shared" si="25"/>
        <v>N</v>
      </c>
      <c r="W81" s="291" t="e">
        <f t="shared" ca="1" si="11"/>
        <v>#N/A</v>
      </c>
      <c r="X81" s="99" t="str">
        <f t="shared" ca="1" si="12"/>
        <v/>
      </c>
      <c r="Y81" s="99" t="str">
        <f ca="1">IFERROR(IF(ISNA(MATCH(X81,$X$68:X80,0)),X81*10000,""),"")</f>
        <v/>
      </c>
      <c r="Z81" s="292" t="str">
        <f t="shared" ca="1" si="26"/>
        <v>-</v>
      </c>
      <c r="AA81" s="99" t="str">
        <f t="shared" ca="1" si="13"/>
        <v/>
      </c>
      <c r="AB81" s="99" t="str">
        <f ca="1">IFERROR(INDEX($B$145:$C$183,MATCH(ROWS($AB$68:AB80),$C$145:$C$183,0),1),"")</f>
        <v/>
      </c>
      <c r="AC81" s="293" t="str">
        <f t="shared" ca="1" si="14"/>
        <v/>
      </c>
      <c r="AD81" s="99" t="str">
        <f t="shared" ca="1" si="15"/>
        <v/>
      </c>
      <c r="AE81" s="99" t="str">
        <f t="shared" ca="1" si="16"/>
        <v/>
      </c>
      <c r="AF81" s="99" t="str">
        <f t="shared" ca="1" si="17"/>
        <v/>
      </c>
      <c r="AG81" s="293" t="str">
        <f t="shared" ca="1" si="18"/>
        <v/>
      </c>
      <c r="AH81" s="321" t="str">
        <f t="shared" ca="1" si="19"/>
        <v/>
      </c>
      <c r="AI81" s="321" t="str">
        <f t="shared" ca="1" si="20"/>
        <v/>
      </c>
      <c r="AJ81" s="321" t="str">
        <f t="shared" ca="1" si="21"/>
        <v/>
      </c>
      <c r="AK81" s="321" t="str">
        <f t="shared" ca="1" si="22"/>
        <v/>
      </c>
    </row>
    <row r="82" spans="1:37" outlineLevel="1">
      <c r="A82" s="130"/>
      <c r="B82" s="177">
        <f t="shared" si="23"/>
        <v>14</v>
      </c>
      <c r="C82" s="575" t="str">
        <f ca="1">IFERROR(VLOOKUP($B82,INDIRECT(ADDRESS(9,COLUMN('2_DATA'!$AM$9),,,"2_DATA")):INDIRECT(ADDRESS(1000,COLUMN('2_DATA'!$AR$9),,,"2_DATA")),2,FALSE),"")</f>
        <v/>
      </c>
      <c r="D82" s="576"/>
      <c r="E82" s="575" t="str">
        <f ca="1">IFERROR(VLOOKUP($B82,INDIRECT(ADDRESS(9,COLUMN('2_DATA'!$AM$9),,,"2_DATA")):INDIRECT(ADDRESS(1000,COLUMN('2_DATA'!$AR$9),,,"2_DATA")),3,FALSE),"")</f>
        <v/>
      </c>
      <c r="F82" s="576"/>
      <c r="G82" s="213" t="e">
        <f t="shared" ca="1" si="24"/>
        <v>#N/A</v>
      </c>
      <c r="H82" s="213" t="e">
        <f ca="1">INDEX(INDIRECT(ADDRESS(9,COLUMN('2_DATA'!$I$9),,,"2_DATA")):INDIRECT(ADDRESS(1000,COLUMN('2_DATA'!$AM$9),,,"2_DATA")),MATCH($B82,INDIRECT(ADDRESS(9,COLUMN('2_DATA'!$AM$9),,,"2_DATA")):INDIRECT(ADDRESS(1000,COLUMN('2_DATA'!$AM$9),,,"2_DATA")),0),1)</f>
        <v>#N/A</v>
      </c>
      <c r="I82" s="213" t="e">
        <f t="shared" ca="1" si="24"/>
        <v>#N/A</v>
      </c>
      <c r="J82" s="213" t="e">
        <f ca="1">INDEX(INDIRECT(ADDRESS(9,COLUMN('2_DATA'!$T$9),,,"2_DATA")):INDIRECT(ADDRESS(1000,COLUMN('2_DATA'!$AM$9),,,"2_DATA")),MATCH($B82,INDIRECT(ADDRESS(9,COLUMN('2_DATA'!$AM$9),,,"2_DATA")):INDIRECT(ADDRESS(1000,COLUMN('2_DATA'!$AM$9),,,"2_DATA")),0),1)</f>
        <v>#N/A</v>
      </c>
      <c r="K82" s="588"/>
      <c r="L82" s="589"/>
      <c r="M82" s="589"/>
      <c r="N82" s="589"/>
      <c r="O82" s="590"/>
      <c r="P82" s="90"/>
      <c r="Q82" s="90"/>
      <c r="R82" s="90"/>
      <c r="U82" s="240" t="s">
        <v>361</v>
      </c>
      <c r="V82" s="240" t="str">
        <f t="shared" si="25"/>
        <v>O</v>
      </c>
      <c r="W82" s="291" t="e">
        <f t="shared" ca="1" si="11"/>
        <v>#N/A</v>
      </c>
      <c r="X82" s="99" t="str">
        <f t="shared" ca="1" si="12"/>
        <v/>
      </c>
      <c r="Y82" s="99" t="str">
        <f ca="1">IFERROR(IF(ISNA(MATCH(X82,$X$68:X81,0)),X82*10000,""),"")</f>
        <v/>
      </c>
      <c r="Z82" s="292" t="str">
        <f t="shared" ca="1" si="26"/>
        <v>-</v>
      </c>
      <c r="AA82" s="99" t="str">
        <f t="shared" ca="1" si="13"/>
        <v/>
      </c>
      <c r="AB82" s="99" t="str">
        <f ca="1">IFERROR(INDEX($B$145:$C$183,MATCH(ROWS($AB$68:AB81),$C$145:$C$183,0),1),"")</f>
        <v/>
      </c>
      <c r="AC82" s="293" t="str">
        <f t="shared" ca="1" si="14"/>
        <v/>
      </c>
      <c r="AD82" s="99" t="str">
        <f t="shared" ca="1" si="15"/>
        <v/>
      </c>
      <c r="AE82" s="99" t="str">
        <f t="shared" ca="1" si="16"/>
        <v/>
      </c>
      <c r="AF82" s="99" t="str">
        <f t="shared" ca="1" si="17"/>
        <v/>
      </c>
      <c r="AG82" s="293" t="str">
        <f t="shared" ca="1" si="18"/>
        <v/>
      </c>
      <c r="AH82" s="321" t="str">
        <f t="shared" ca="1" si="19"/>
        <v/>
      </c>
      <c r="AI82" s="321" t="str">
        <f t="shared" ca="1" si="20"/>
        <v/>
      </c>
      <c r="AJ82" s="321" t="str">
        <f t="shared" ca="1" si="21"/>
        <v/>
      </c>
      <c r="AK82" s="321" t="str">
        <f t="shared" ca="1" si="22"/>
        <v/>
      </c>
    </row>
    <row r="83" spans="1:37" outlineLevel="1">
      <c r="A83" s="130"/>
      <c r="B83" s="177">
        <f t="shared" si="23"/>
        <v>15</v>
      </c>
      <c r="C83" s="575" t="str">
        <f ca="1">IFERROR(VLOOKUP($B83,INDIRECT(ADDRESS(9,COLUMN('2_DATA'!$AM$9),,,"2_DATA")):INDIRECT(ADDRESS(1000,COLUMN('2_DATA'!$AR$9),,,"2_DATA")),2,FALSE),"")</f>
        <v/>
      </c>
      <c r="D83" s="576"/>
      <c r="E83" s="575" t="str">
        <f ca="1">IFERROR(VLOOKUP($B83,INDIRECT(ADDRESS(9,COLUMN('2_DATA'!$AM$9),,,"2_DATA")):INDIRECT(ADDRESS(1000,COLUMN('2_DATA'!$AR$9),,,"2_DATA")),3,FALSE),"")</f>
        <v/>
      </c>
      <c r="F83" s="576"/>
      <c r="G83" s="213" t="e">
        <f t="shared" ca="1" si="24"/>
        <v>#N/A</v>
      </c>
      <c r="H83" s="213" t="e">
        <f ca="1">INDEX(INDIRECT(ADDRESS(9,COLUMN('2_DATA'!$I$9),,,"2_DATA")):INDIRECT(ADDRESS(1000,COLUMN('2_DATA'!$AM$9),,,"2_DATA")),MATCH($B83,INDIRECT(ADDRESS(9,COLUMN('2_DATA'!$AM$9),,,"2_DATA")):INDIRECT(ADDRESS(1000,COLUMN('2_DATA'!$AM$9),,,"2_DATA")),0),1)</f>
        <v>#N/A</v>
      </c>
      <c r="I83" s="213" t="e">
        <f t="shared" ca="1" si="24"/>
        <v>#N/A</v>
      </c>
      <c r="J83" s="213" t="e">
        <f ca="1">INDEX(INDIRECT(ADDRESS(9,COLUMN('2_DATA'!$T$9),,,"2_DATA")):INDIRECT(ADDRESS(1000,COLUMN('2_DATA'!$AM$9),,,"2_DATA")),MATCH($B83,INDIRECT(ADDRESS(9,COLUMN('2_DATA'!$AM$9),,,"2_DATA")):INDIRECT(ADDRESS(1000,COLUMN('2_DATA'!$AM$9),,,"2_DATA")),0),1)</f>
        <v>#N/A</v>
      </c>
      <c r="K83" s="588"/>
      <c r="L83" s="589"/>
      <c r="M83" s="589"/>
      <c r="N83" s="589"/>
      <c r="O83" s="590"/>
      <c r="P83" s="90"/>
      <c r="Q83" s="90"/>
      <c r="R83" s="90"/>
      <c r="U83" s="240" t="s">
        <v>363</v>
      </c>
      <c r="V83" s="240" t="str">
        <f t="shared" si="25"/>
        <v>P</v>
      </c>
      <c r="W83" s="291" t="e">
        <f t="shared" ca="1" si="11"/>
        <v>#N/A</v>
      </c>
      <c r="X83" s="99" t="str">
        <f t="shared" ca="1" si="12"/>
        <v/>
      </c>
      <c r="Y83" s="99" t="str">
        <f ca="1">IFERROR(IF(ISNA(MATCH(X83,$X$68:X82,0)),X83*10000,""),"")</f>
        <v/>
      </c>
      <c r="Z83" s="292" t="str">
        <f t="shared" ca="1" si="26"/>
        <v>-</v>
      </c>
      <c r="AA83" s="99" t="str">
        <f t="shared" ca="1" si="13"/>
        <v/>
      </c>
      <c r="AB83" s="99" t="str">
        <f ca="1">IFERROR(INDEX($B$145:$C$183,MATCH(ROWS($AB$68:AB82),$C$145:$C$183,0),1),"")</f>
        <v/>
      </c>
      <c r="AC83" s="293" t="str">
        <f t="shared" ca="1" si="14"/>
        <v/>
      </c>
      <c r="AD83" s="99" t="str">
        <f t="shared" ca="1" si="15"/>
        <v/>
      </c>
      <c r="AE83" s="99" t="str">
        <f t="shared" ca="1" si="16"/>
        <v/>
      </c>
      <c r="AF83" s="99" t="str">
        <f t="shared" ca="1" si="17"/>
        <v/>
      </c>
      <c r="AG83" s="293" t="str">
        <f t="shared" ca="1" si="18"/>
        <v/>
      </c>
      <c r="AH83" s="321" t="str">
        <f t="shared" ca="1" si="19"/>
        <v/>
      </c>
      <c r="AI83" s="321" t="str">
        <f t="shared" ca="1" si="20"/>
        <v/>
      </c>
      <c r="AJ83" s="321" t="str">
        <f t="shared" ca="1" si="21"/>
        <v/>
      </c>
      <c r="AK83" s="321" t="str">
        <f t="shared" ca="1" si="22"/>
        <v/>
      </c>
    </row>
    <row r="84" spans="1:37" outlineLevel="1">
      <c r="A84" s="130"/>
      <c r="B84" s="177">
        <f t="shared" si="23"/>
        <v>16</v>
      </c>
      <c r="C84" s="575" t="str">
        <f ca="1">IFERROR(VLOOKUP($B84,INDIRECT(ADDRESS(9,COLUMN('2_DATA'!$AM$9),,,"2_DATA")):INDIRECT(ADDRESS(1000,COLUMN('2_DATA'!$AR$9),,,"2_DATA")),2,FALSE),"")</f>
        <v/>
      </c>
      <c r="D84" s="576"/>
      <c r="E84" s="575" t="str">
        <f ca="1">IFERROR(VLOOKUP($B84,INDIRECT(ADDRESS(9,COLUMN('2_DATA'!$AM$9),,,"2_DATA")):INDIRECT(ADDRESS(1000,COLUMN('2_DATA'!$AR$9),,,"2_DATA")),3,FALSE),"")</f>
        <v/>
      </c>
      <c r="F84" s="576"/>
      <c r="G84" s="213" t="e">
        <f t="shared" ca="1" si="24"/>
        <v>#N/A</v>
      </c>
      <c r="H84" s="213" t="e">
        <f ca="1">INDEX(INDIRECT(ADDRESS(9,COLUMN('2_DATA'!$I$9),,,"2_DATA")):INDIRECT(ADDRESS(1000,COLUMN('2_DATA'!$AM$9),,,"2_DATA")),MATCH($B84,INDIRECT(ADDRESS(9,COLUMN('2_DATA'!$AM$9),,,"2_DATA")):INDIRECT(ADDRESS(1000,COLUMN('2_DATA'!$AM$9),,,"2_DATA")),0),1)</f>
        <v>#N/A</v>
      </c>
      <c r="I84" s="213" t="e">
        <f t="shared" ca="1" si="24"/>
        <v>#N/A</v>
      </c>
      <c r="J84" s="213" t="e">
        <f ca="1">INDEX(INDIRECT(ADDRESS(9,COLUMN('2_DATA'!$T$9),,,"2_DATA")):INDIRECT(ADDRESS(1000,COLUMN('2_DATA'!$AM$9),,,"2_DATA")),MATCH($B84,INDIRECT(ADDRESS(9,COLUMN('2_DATA'!$AM$9),,,"2_DATA")):INDIRECT(ADDRESS(1000,COLUMN('2_DATA'!$AM$9),,,"2_DATA")),0),1)</f>
        <v>#N/A</v>
      </c>
      <c r="K84" s="588"/>
      <c r="L84" s="589"/>
      <c r="M84" s="589"/>
      <c r="N84" s="589"/>
      <c r="O84" s="590"/>
      <c r="P84" s="90"/>
      <c r="Q84" s="90"/>
      <c r="R84" s="90"/>
      <c r="U84" s="240" t="s">
        <v>364</v>
      </c>
      <c r="V84" s="240" t="str">
        <f t="shared" si="25"/>
        <v>Q</v>
      </c>
      <c r="W84" s="291" t="e">
        <f t="shared" ca="1" si="11"/>
        <v>#N/A</v>
      </c>
      <c r="X84" s="99" t="str">
        <f t="shared" ca="1" si="12"/>
        <v/>
      </c>
      <c r="Y84" s="99" t="str">
        <f ca="1">IFERROR(IF(ISNA(MATCH(X84,$X$68:X83,0)),X84*10000,""),"")</f>
        <v/>
      </c>
      <c r="Z84" s="292" t="str">
        <f t="shared" ca="1" si="26"/>
        <v>-</v>
      </c>
      <c r="AA84" s="99" t="str">
        <f t="shared" ca="1" si="13"/>
        <v/>
      </c>
      <c r="AB84" s="99" t="str">
        <f ca="1">IFERROR(INDEX($B$145:$C$183,MATCH(ROWS($AB$68:AB83),$C$145:$C$183,0),1),"")</f>
        <v/>
      </c>
      <c r="AC84" s="293" t="str">
        <f t="shared" ca="1" si="14"/>
        <v/>
      </c>
      <c r="AD84" s="99" t="str">
        <f t="shared" ca="1" si="15"/>
        <v/>
      </c>
      <c r="AE84" s="99" t="str">
        <f t="shared" ca="1" si="16"/>
        <v/>
      </c>
      <c r="AF84" s="99" t="str">
        <f t="shared" ca="1" si="17"/>
        <v/>
      </c>
      <c r="AG84" s="293" t="str">
        <f t="shared" ca="1" si="18"/>
        <v/>
      </c>
      <c r="AH84" s="321" t="str">
        <f t="shared" ca="1" si="19"/>
        <v/>
      </c>
      <c r="AI84" s="321" t="str">
        <f t="shared" ca="1" si="20"/>
        <v/>
      </c>
      <c r="AJ84" s="321" t="str">
        <f t="shared" ca="1" si="21"/>
        <v/>
      </c>
      <c r="AK84" s="321" t="str">
        <f t="shared" ca="1" si="22"/>
        <v/>
      </c>
    </row>
    <row r="85" spans="1:37" outlineLevel="1">
      <c r="A85" s="130"/>
      <c r="B85" s="177">
        <f t="shared" si="23"/>
        <v>17</v>
      </c>
      <c r="C85" s="575" t="str">
        <f ca="1">IFERROR(VLOOKUP($B85,INDIRECT(ADDRESS(9,COLUMN('2_DATA'!$AM$9),,,"2_DATA")):INDIRECT(ADDRESS(1000,COLUMN('2_DATA'!$AR$9),,,"2_DATA")),2,FALSE),"")</f>
        <v/>
      </c>
      <c r="D85" s="576"/>
      <c r="E85" s="575" t="str">
        <f ca="1">IFERROR(VLOOKUP($B85,INDIRECT(ADDRESS(9,COLUMN('2_DATA'!$AM$9),,,"2_DATA")):INDIRECT(ADDRESS(1000,COLUMN('2_DATA'!$AR$9),,,"2_DATA")),3,FALSE),"")</f>
        <v/>
      </c>
      <c r="F85" s="576"/>
      <c r="G85" s="213" t="e">
        <f t="shared" ca="1" si="24"/>
        <v>#N/A</v>
      </c>
      <c r="H85" s="213" t="e">
        <f ca="1">INDEX(INDIRECT(ADDRESS(9,COLUMN('2_DATA'!$I$9),,,"2_DATA")):INDIRECT(ADDRESS(1000,COLUMN('2_DATA'!$AM$9),,,"2_DATA")),MATCH($B85,INDIRECT(ADDRESS(9,COLUMN('2_DATA'!$AM$9),,,"2_DATA")):INDIRECT(ADDRESS(1000,COLUMN('2_DATA'!$AM$9),,,"2_DATA")),0),1)</f>
        <v>#N/A</v>
      </c>
      <c r="I85" s="213" t="e">
        <f t="shared" ca="1" si="24"/>
        <v>#N/A</v>
      </c>
      <c r="J85" s="213" t="e">
        <f ca="1">INDEX(INDIRECT(ADDRESS(9,COLUMN('2_DATA'!$T$9),,,"2_DATA")):INDIRECT(ADDRESS(1000,COLUMN('2_DATA'!$AM$9),,,"2_DATA")),MATCH($B85,INDIRECT(ADDRESS(9,COLUMN('2_DATA'!$AM$9),,,"2_DATA")):INDIRECT(ADDRESS(1000,COLUMN('2_DATA'!$AM$9),,,"2_DATA")),0),1)</f>
        <v>#N/A</v>
      </c>
      <c r="K85" s="588"/>
      <c r="L85" s="589"/>
      <c r="M85" s="589"/>
      <c r="N85" s="589"/>
      <c r="O85" s="590"/>
      <c r="P85" s="90"/>
      <c r="Q85" s="90"/>
      <c r="R85" s="90"/>
      <c r="U85" s="240" t="s">
        <v>365</v>
      </c>
      <c r="V85" s="240" t="str">
        <f t="shared" si="25"/>
        <v>R</v>
      </c>
      <c r="W85" s="291" t="e">
        <f t="shared" ca="1" si="11"/>
        <v>#N/A</v>
      </c>
      <c r="X85" s="99" t="str">
        <f t="shared" ca="1" si="12"/>
        <v/>
      </c>
      <c r="Y85" s="99" t="str">
        <f ca="1">IFERROR(IF(ISNA(MATCH(X85,$X$68:X84,0)),X85*10000,""),"")</f>
        <v/>
      </c>
      <c r="Z85" s="292" t="str">
        <f t="shared" ca="1" si="26"/>
        <v>-</v>
      </c>
      <c r="AA85" s="99" t="str">
        <f t="shared" ca="1" si="13"/>
        <v/>
      </c>
      <c r="AB85" s="99" t="str">
        <f ca="1">IFERROR(INDEX($B$145:$C$183,MATCH(ROWS($AB$68:AB84),$C$145:$C$183,0),1),"")</f>
        <v/>
      </c>
      <c r="AC85" s="293" t="str">
        <f t="shared" ca="1" si="14"/>
        <v/>
      </c>
      <c r="AD85" s="99" t="str">
        <f t="shared" ca="1" si="15"/>
        <v/>
      </c>
      <c r="AE85" s="99" t="str">
        <f t="shared" ca="1" si="16"/>
        <v/>
      </c>
      <c r="AF85" s="99" t="str">
        <f t="shared" ca="1" si="17"/>
        <v/>
      </c>
      <c r="AG85" s="293" t="str">
        <f t="shared" ca="1" si="18"/>
        <v/>
      </c>
      <c r="AH85" s="321" t="str">
        <f t="shared" ca="1" si="19"/>
        <v/>
      </c>
      <c r="AI85" s="321" t="str">
        <f t="shared" ca="1" si="20"/>
        <v/>
      </c>
      <c r="AJ85" s="321" t="str">
        <f t="shared" ca="1" si="21"/>
        <v/>
      </c>
      <c r="AK85" s="321" t="str">
        <f t="shared" ca="1" si="22"/>
        <v/>
      </c>
    </row>
    <row r="86" spans="1:37" outlineLevel="1">
      <c r="A86" s="130"/>
      <c r="B86" s="177">
        <f t="shared" si="23"/>
        <v>18</v>
      </c>
      <c r="C86" s="575" t="str">
        <f ca="1">IFERROR(VLOOKUP($B86,INDIRECT(ADDRESS(9,COLUMN('2_DATA'!$AM$9),,,"2_DATA")):INDIRECT(ADDRESS(1000,COLUMN('2_DATA'!$AR$9),,,"2_DATA")),2,FALSE),"")</f>
        <v/>
      </c>
      <c r="D86" s="576"/>
      <c r="E86" s="575" t="str">
        <f ca="1">IFERROR(VLOOKUP($B86,INDIRECT(ADDRESS(9,COLUMN('2_DATA'!$AM$9),,,"2_DATA")):INDIRECT(ADDRESS(1000,COLUMN('2_DATA'!$AR$9),,,"2_DATA")),3,FALSE),"")</f>
        <v/>
      </c>
      <c r="F86" s="576"/>
      <c r="G86" s="213" t="e">
        <f t="shared" ca="1" si="24"/>
        <v>#N/A</v>
      </c>
      <c r="H86" s="213" t="e">
        <f ca="1">INDEX(INDIRECT(ADDRESS(9,COLUMN('2_DATA'!$I$9),,,"2_DATA")):INDIRECT(ADDRESS(1000,COLUMN('2_DATA'!$AM$9),,,"2_DATA")),MATCH($B86,INDIRECT(ADDRESS(9,COLUMN('2_DATA'!$AM$9),,,"2_DATA")):INDIRECT(ADDRESS(1000,COLUMN('2_DATA'!$AM$9),,,"2_DATA")),0),1)</f>
        <v>#N/A</v>
      </c>
      <c r="I86" s="213" t="e">
        <f t="shared" ca="1" si="24"/>
        <v>#N/A</v>
      </c>
      <c r="J86" s="213" t="e">
        <f ca="1">INDEX(INDIRECT(ADDRESS(9,COLUMN('2_DATA'!$T$9),,,"2_DATA")):INDIRECT(ADDRESS(1000,COLUMN('2_DATA'!$AM$9),,,"2_DATA")),MATCH($B86,INDIRECT(ADDRESS(9,COLUMN('2_DATA'!$AM$9),,,"2_DATA")):INDIRECT(ADDRESS(1000,COLUMN('2_DATA'!$AM$9),,,"2_DATA")),0),1)</f>
        <v>#N/A</v>
      </c>
      <c r="K86" s="588"/>
      <c r="L86" s="589"/>
      <c r="M86" s="589"/>
      <c r="N86" s="589"/>
      <c r="O86" s="590"/>
      <c r="P86" s="90"/>
      <c r="Q86" s="90"/>
      <c r="R86" s="90"/>
      <c r="U86" s="240" t="s">
        <v>366</v>
      </c>
      <c r="V86" s="240" t="str">
        <f t="shared" si="25"/>
        <v>S</v>
      </c>
      <c r="W86" s="291" t="e">
        <f t="shared" ca="1" si="11"/>
        <v>#N/A</v>
      </c>
      <c r="X86" s="99" t="str">
        <f t="shared" ca="1" si="12"/>
        <v/>
      </c>
      <c r="Y86" s="99" t="str">
        <f ca="1">IFERROR(IF(ISNA(MATCH(X86,$X$68:X85,0)),X86*10000,""),"")</f>
        <v/>
      </c>
      <c r="Z86" s="292" t="str">
        <f t="shared" ca="1" si="26"/>
        <v>-</v>
      </c>
      <c r="AA86" s="99" t="str">
        <f t="shared" ca="1" si="13"/>
        <v/>
      </c>
      <c r="AB86" s="99" t="str">
        <f ca="1">IFERROR(INDEX($B$145:$C$183,MATCH(ROWS($AB$68:AB85),$C$145:$C$183,0),1),"")</f>
        <v/>
      </c>
      <c r="AC86" s="293" t="str">
        <f t="shared" ca="1" si="14"/>
        <v/>
      </c>
      <c r="AD86" s="99" t="str">
        <f t="shared" ca="1" si="15"/>
        <v/>
      </c>
      <c r="AE86" s="99" t="str">
        <f t="shared" ca="1" si="16"/>
        <v/>
      </c>
      <c r="AF86" s="99" t="str">
        <f t="shared" ca="1" si="17"/>
        <v/>
      </c>
      <c r="AG86" s="293" t="str">
        <f t="shared" ca="1" si="18"/>
        <v/>
      </c>
      <c r="AH86" s="321" t="str">
        <f t="shared" ca="1" si="19"/>
        <v/>
      </c>
      <c r="AI86" s="321" t="str">
        <f t="shared" ca="1" si="20"/>
        <v/>
      </c>
      <c r="AJ86" s="321" t="str">
        <f t="shared" ca="1" si="21"/>
        <v/>
      </c>
      <c r="AK86" s="321" t="str">
        <f t="shared" ca="1" si="22"/>
        <v/>
      </c>
    </row>
    <row r="87" spans="1:37" outlineLevel="1">
      <c r="A87" s="130"/>
      <c r="B87" s="177">
        <f t="shared" si="23"/>
        <v>19</v>
      </c>
      <c r="C87" s="575" t="str">
        <f ca="1">IFERROR(VLOOKUP($B87,INDIRECT(ADDRESS(9,COLUMN('2_DATA'!$AM$9),,,"2_DATA")):INDIRECT(ADDRESS(1000,COLUMN('2_DATA'!$AR$9),,,"2_DATA")),2,FALSE),"")</f>
        <v/>
      </c>
      <c r="D87" s="576"/>
      <c r="E87" s="575" t="str">
        <f ca="1">IFERROR(VLOOKUP($B87,INDIRECT(ADDRESS(9,COLUMN('2_DATA'!$AM$9),,,"2_DATA")):INDIRECT(ADDRESS(1000,COLUMN('2_DATA'!$AR$9),,,"2_DATA")),3,FALSE),"")</f>
        <v/>
      </c>
      <c r="F87" s="576"/>
      <c r="G87" s="213" t="e">
        <f t="shared" ca="1" si="24"/>
        <v>#N/A</v>
      </c>
      <c r="H87" s="213" t="e">
        <f ca="1">INDEX(INDIRECT(ADDRESS(9,COLUMN('2_DATA'!$I$9),,,"2_DATA")):INDIRECT(ADDRESS(1000,COLUMN('2_DATA'!$AM$9),,,"2_DATA")),MATCH($B87,INDIRECT(ADDRESS(9,COLUMN('2_DATA'!$AM$9),,,"2_DATA")):INDIRECT(ADDRESS(1000,COLUMN('2_DATA'!$AM$9),,,"2_DATA")),0),1)</f>
        <v>#N/A</v>
      </c>
      <c r="I87" s="213" t="e">
        <f t="shared" ca="1" si="24"/>
        <v>#N/A</v>
      </c>
      <c r="J87" s="213" t="e">
        <f ca="1">INDEX(INDIRECT(ADDRESS(9,COLUMN('2_DATA'!$T$9),,,"2_DATA")):INDIRECT(ADDRESS(1000,COLUMN('2_DATA'!$AM$9),,,"2_DATA")),MATCH($B87,INDIRECT(ADDRESS(9,COLUMN('2_DATA'!$AM$9),,,"2_DATA")):INDIRECT(ADDRESS(1000,COLUMN('2_DATA'!$AM$9),,,"2_DATA")),0),1)</f>
        <v>#N/A</v>
      </c>
      <c r="K87" s="588"/>
      <c r="L87" s="589"/>
      <c r="M87" s="589"/>
      <c r="N87" s="589"/>
      <c r="O87" s="590"/>
      <c r="P87" s="90"/>
      <c r="Q87" s="90"/>
      <c r="R87" s="90"/>
      <c r="U87" s="240" t="s">
        <v>367</v>
      </c>
      <c r="V87" s="240" t="str">
        <f t="shared" si="25"/>
        <v>T</v>
      </c>
      <c r="W87" s="291" t="e">
        <f t="shared" ca="1" si="11"/>
        <v>#N/A</v>
      </c>
      <c r="X87" s="99" t="str">
        <f t="shared" ca="1" si="12"/>
        <v/>
      </c>
      <c r="Y87" s="99" t="str">
        <f ca="1">IFERROR(IF(ISNA(MATCH(X87,$X$68:X86,0)),X87*10000,""),"")</f>
        <v/>
      </c>
      <c r="Z87" s="292" t="str">
        <f t="shared" ca="1" si="26"/>
        <v>-</v>
      </c>
      <c r="AA87" s="99" t="str">
        <f t="shared" ca="1" si="13"/>
        <v/>
      </c>
      <c r="AB87" s="99" t="str">
        <f ca="1">IFERROR(INDEX($B$145:$C$183,MATCH(ROWS($AB$68:AB86),$C$145:$C$183,0),1),"")</f>
        <v/>
      </c>
      <c r="AC87" s="293" t="str">
        <f t="shared" ca="1" si="14"/>
        <v/>
      </c>
      <c r="AD87" s="99" t="str">
        <f t="shared" ca="1" si="15"/>
        <v/>
      </c>
      <c r="AE87" s="99" t="str">
        <f t="shared" ca="1" si="16"/>
        <v/>
      </c>
      <c r="AF87" s="99" t="str">
        <f t="shared" ca="1" si="17"/>
        <v/>
      </c>
      <c r="AG87" s="293" t="str">
        <f t="shared" ca="1" si="18"/>
        <v/>
      </c>
      <c r="AH87" s="321" t="str">
        <f t="shared" ca="1" si="19"/>
        <v/>
      </c>
      <c r="AI87" s="321" t="str">
        <f t="shared" ca="1" si="20"/>
        <v/>
      </c>
      <c r="AJ87" s="321" t="str">
        <f t="shared" ca="1" si="21"/>
        <v/>
      </c>
      <c r="AK87" s="321" t="str">
        <f t="shared" ca="1" si="22"/>
        <v/>
      </c>
    </row>
    <row r="88" spans="1:37" outlineLevel="1">
      <c r="A88" s="130"/>
      <c r="B88" s="177">
        <f t="shared" si="23"/>
        <v>20</v>
      </c>
      <c r="C88" s="575" t="str">
        <f ca="1">IFERROR(VLOOKUP($B88,INDIRECT(ADDRESS(9,COLUMN('2_DATA'!$AM$9),,,"2_DATA")):INDIRECT(ADDRESS(1000,COLUMN('2_DATA'!$AR$9),,,"2_DATA")),2,FALSE),"")</f>
        <v/>
      </c>
      <c r="D88" s="576"/>
      <c r="E88" s="575" t="str">
        <f ca="1">IFERROR(VLOOKUP($B88,INDIRECT(ADDRESS(9,COLUMN('2_DATA'!$AM$9),,,"2_DATA")):INDIRECT(ADDRESS(1000,COLUMN('2_DATA'!$AR$9),,,"2_DATA")),3,FALSE),"")</f>
        <v/>
      </c>
      <c r="F88" s="576"/>
      <c r="G88" s="213" t="e">
        <f t="shared" ca="1" si="24"/>
        <v>#N/A</v>
      </c>
      <c r="H88" s="213" t="e">
        <f ca="1">INDEX(INDIRECT(ADDRESS(9,COLUMN('2_DATA'!$I$9),,,"2_DATA")):INDIRECT(ADDRESS(1000,COLUMN('2_DATA'!$AM$9),,,"2_DATA")),MATCH($B88,INDIRECT(ADDRESS(9,COLUMN('2_DATA'!$AM$9),,,"2_DATA")):INDIRECT(ADDRESS(1000,COLUMN('2_DATA'!$AM$9),,,"2_DATA")),0),1)</f>
        <v>#N/A</v>
      </c>
      <c r="I88" s="213" t="e">
        <f t="shared" ca="1" si="24"/>
        <v>#N/A</v>
      </c>
      <c r="J88" s="213" t="e">
        <f ca="1">INDEX(INDIRECT(ADDRESS(9,COLUMN('2_DATA'!$T$9),,,"2_DATA")):INDIRECT(ADDRESS(1000,COLUMN('2_DATA'!$AM$9),,,"2_DATA")),MATCH($B88,INDIRECT(ADDRESS(9,COLUMN('2_DATA'!$AM$9),,,"2_DATA")):INDIRECT(ADDRESS(1000,COLUMN('2_DATA'!$AM$9),,,"2_DATA")),0),1)</f>
        <v>#N/A</v>
      </c>
      <c r="K88" s="588"/>
      <c r="L88" s="589"/>
      <c r="M88" s="589"/>
      <c r="N88" s="589"/>
      <c r="O88" s="590"/>
      <c r="P88" s="90"/>
      <c r="Q88" s="90"/>
      <c r="R88" s="90"/>
      <c r="U88" s="240" t="s">
        <v>368</v>
      </c>
      <c r="V88" s="240">
        <f t="shared" si="25"/>
        <v>0</v>
      </c>
      <c r="W88" s="291" t="e">
        <f t="shared" ca="1" si="11"/>
        <v>#N/A</v>
      </c>
      <c r="X88" s="99" t="str">
        <f t="shared" ca="1" si="12"/>
        <v/>
      </c>
      <c r="Y88" s="99" t="str">
        <f ca="1">IFERROR(IF(ISNA(MATCH(X88,$X$68:X87,0)),X88*10000,""),"")</f>
        <v/>
      </c>
      <c r="Z88" s="292" t="str">
        <f t="shared" ca="1" si="26"/>
        <v>-</v>
      </c>
      <c r="AA88" s="99" t="str">
        <f t="shared" ca="1" si="13"/>
        <v/>
      </c>
      <c r="AB88" s="99" t="str">
        <f ca="1">IFERROR(INDEX($B$145:$C$183,MATCH(ROWS($AB$68:AB87),$C$145:$C$183,0),1),"")</f>
        <v/>
      </c>
      <c r="AC88" s="293" t="str">
        <f t="shared" ca="1" si="14"/>
        <v/>
      </c>
      <c r="AD88" s="99" t="str">
        <f t="shared" ca="1" si="15"/>
        <v/>
      </c>
      <c r="AE88" s="99" t="str">
        <f t="shared" ca="1" si="16"/>
        <v/>
      </c>
      <c r="AF88" s="99" t="str">
        <f t="shared" ca="1" si="17"/>
        <v/>
      </c>
      <c r="AG88" s="293" t="str">
        <f t="shared" ca="1" si="18"/>
        <v/>
      </c>
      <c r="AH88" s="321" t="str">
        <f t="shared" ca="1" si="19"/>
        <v/>
      </c>
      <c r="AI88" s="321" t="str">
        <f t="shared" ca="1" si="20"/>
        <v/>
      </c>
      <c r="AJ88" s="321" t="str">
        <f t="shared" ca="1" si="21"/>
        <v/>
      </c>
      <c r="AK88" s="321" t="str">
        <f t="shared" ca="1" si="22"/>
        <v/>
      </c>
    </row>
    <row r="89" spans="1:37" outlineLevel="1">
      <c r="A89" s="130"/>
      <c r="B89" s="304" t="s">
        <v>385</v>
      </c>
      <c r="C89" s="304" t="s">
        <v>385</v>
      </c>
      <c r="D89" s="304" t="s">
        <v>385</v>
      </c>
      <c r="E89" s="304" t="s">
        <v>385</v>
      </c>
      <c r="F89" s="304" t="s">
        <v>385</v>
      </c>
      <c r="G89" s="304" t="s">
        <v>385</v>
      </c>
      <c r="H89" s="304" t="s">
        <v>385</v>
      </c>
      <c r="I89" s="304" t="s">
        <v>385</v>
      </c>
      <c r="J89" s="304" t="s">
        <v>385</v>
      </c>
      <c r="K89" s="304" t="s">
        <v>385</v>
      </c>
      <c r="L89" s="304" t="s">
        <v>385</v>
      </c>
      <c r="M89" s="304" t="s">
        <v>385</v>
      </c>
      <c r="N89" s="304" t="s">
        <v>385</v>
      </c>
      <c r="O89" s="304" t="s">
        <v>385</v>
      </c>
      <c r="P89" s="90"/>
      <c r="Q89" s="90"/>
      <c r="R89" s="90"/>
    </row>
    <row r="90" spans="1:37">
      <c r="A90" s="130"/>
      <c r="B90" s="133"/>
      <c r="C90" s="90"/>
      <c r="D90" s="90"/>
      <c r="E90" s="90"/>
      <c r="F90" s="90"/>
      <c r="G90" s="90"/>
      <c r="H90" s="90"/>
      <c r="I90" s="90"/>
      <c r="J90" s="90"/>
      <c r="K90" s="90"/>
      <c r="L90" s="90"/>
      <c r="M90" s="90"/>
      <c r="N90" s="90"/>
      <c r="O90" s="90"/>
      <c r="P90" s="90"/>
      <c r="Q90" s="90"/>
      <c r="R90" s="90"/>
    </row>
    <row r="91" spans="1:37" ht="17.399999999999999">
      <c r="A91" s="184"/>
      <c r="B91" s="185" t="s">
        <v>420</v>
      </c>
      <c r="C91" s="132"/>
      <c r="D91" s="132"/>
      <c r="E91" s="132"/>
      <c r="F91" s="132"/>
      <c r="G91" s="132"/>
      <c r="H91" s="131"/>
      <c r="I91" s="185"/>
      <c r="J91" s="132"/>
      <c r="K91" s="132"/>
      <c r="L91" s="132"/>
      <c r="M91" s="132"/>
      <c r="N91" s="131"/>
      <c r="O91" s="131"/>
      <c r="P91" s="131"/>
      <c r="Q91" s="131"/>
      <c r="R91" s="126"/>
    </row>
    <row r="92" spans="1:37" ht="12.6" customHeight="1" outlineLevel="1">
      <c r="A92" s="130"/>
      <c r="B92" s="574" t="s">
        <v>45</v>
      </c>
      <c r="C92" s="670" t="s">
        <v>334</v>
      </c>
      <c r="D92" s="642" t="s">
        <v>52</v>
      </c>
      <c r="E92" s="644"/>
      <c r="F92" s="132"/>
      <c r="G92" s="574" t="s">
        <v>339</v>
      </c>
      <c r="H92" s="642" t="s">
        <v>312</v>
      </c>
      <c r="I92" s="644"/>
      <c r="J92" s="90"/>
      <c r="K92" s="90"/>
      <c r="L92" s="90"/>
      <c r="M92" s="90"/>
      <c r="N92" s="90"/>
      <c r="O92" s="90"/>
      <c r="P92" s="90"/>
      <c r="Q92" s="132"/>
      <c r="R92" s="126"/>
    </row>
    <row r="93" spans="1:37" outlineLevel="1">
      <c r="A93" s="130"/>
      <c r="B93" s="574"/>
      <c r="C93" s="671"/>
      <c r="D93" s="98" t="s">
        <v>47</v>
      </c>
      <c r="E93" s="98" t="s">
        <v>48</v>
      </c>
      <c r="F93" s="90"/>
      <c r="G93" s="574"/>
      <c r="H93" s="98" t="s">
        <v>47</v>
      </c>
      <c r="I93" s="98" t="s">
        <v>48</v>
      </c>
      <c r="J93" s="90"/>
      <c r="K93" s="90"/>
      <c r="L93" s="90"/>
      <c r="M93" s="90"/>
      <c r="N93" s="90"/>
      <c r="O93" s="90"/>
      <c r="P93" s="90"/>
      <c r="Q93" s="90"/>
      <c r="R93" s="126"/>
    </row>
    <row r="94" spans="1:37" outlineLevel="1">
      <c r="A94" s="130"/>
      <c r="B94" s="99">
        <v>1</v>
      </c>
      <c r="C94" s="470">
        <v>20</v>
      </c>
      <c r="D94" s="471"/>
      <c r="E94" s="471">
        <v>98.69</v>
      </c>
      <c r="F94" s="90"/>
      <c r="G94" s="173">
        <v>7</v>
      </c>
      <c r="H94" s="174"/>
      <c r="I94" s="174">
        <v>1433.34</v>
      </c>
      <c r="J94" s="90"/>
      <c r="K94" s="90"/>
      <c r="L94" s="90"/>
      <c r="M94" s="90"/>
      <c r="N94" s="90"/>
      <c r="O94" s="90"/>
      <c r="P94" s="90"/>
      <c r="Q94" s="90"/>
      <c r="R94" s="126"/>
    </row>
    <row r="95" spans="1:37" outlineLevel="1">
      <c r="A95" s="130"/>
      <c r="B95" s="99">
        <f>B94+1</f>
        <v>2</v>
      </c>
      <c r="C95" s="470">
        <v>13.375</v>
      </c>
      <c r="D95" s="471"/>
      <c r="E95" s="471">
        <v>698.86</v>
      </c>
      <c r="F95" s="90"/>
      <c r="G95" s="173">
        <v>4.5</v>
      </c>
      <c r="H95" s="174"/>
      <c r="I95" s="174">
        <v>2249</v>
      </c>
      <c r="J95" s="90"/>
      <c r="K95" s="90"/>
      <c r="L95" s="90"/>
      <c r="M95" s="90"/>
      <c r="N95" s="90"/>
      <c r="O95" s="90"/>
      <c r="P95" s="90"/>
      <c r="Q95" s="90"/>
      <c r="R95" s="126"/>
    </row>
    <row r="96" spans="1:37" outlineLevel="1">
      <c r="A96" s="130"/>
      <c r="B96" s="99">
        <f t="shared" ref="B96:B104" si="27">B95+1</f>
        <v>3</v>
      </c>
      <c r="C96" s="470">
        <v>9.625</v>
      </c>
      <c r="D96" s="471"/>
      <c r="E96" s="471">
        <v>1495.27</v>
      </c>
      <c r="F96" s="90"/>
      <c r="G96" s="173"/>
      <c r="H96" s="174"/>
      <c r="I96" s="174"/>
      <c r="J96" s="90"/>
      <c r="K96" s="90"/>
      <c r="L96" s="90"/>
      <c r="M96" s="90"/>
      <c r="N96" s="90"/>
      <c r="O96" s="90"/>
      <c r="P96" s="90"/>
      <c r="Q96" s="90"/>
      <c r="R96" s="126"/>
    </row>
    <row r="97" spans="1:18" outlineLevel="1">
      <c r="A97" s="130"/>
      <c r="B97" s="99">
        <f t="shared" si="27"/>
        <v>4</v>
      </c>
      <c r="C97" s="465">
        <v>7</v>
      </c>
      <c r="D97" s="174"/>
      <c r="E97" s="471">
        <v>2305</v>
      </c>
      <c r="F97" s="90"/>
      <c r="G97" s="132"/>
      <c r="H97" s="132"/>
      <c r="I97" s="132"/>
      <c r="J97" s="90"/>
      <c r="K97" s="90"/>
      <c r="L97" s="90"/>
      <c r="M97" s="90"/>
      <c r="N97" s="90"/>
      <c r="O97" s="90"/>
      <c r="P97" s="90"/>
      <c r="Q97" s="90"/>
      <c r="R97" s="126"/>
    </row>
    <row r="98" spans="1:18" outlineLevel="1">
      <c r="A98" s="130"/>
      <c r="B98" s="99">
        <f t="shared" si="27"/>
        <v>5</v>
      </c>
      <c r="C98" s="173">
        <v>4.5</v>
      </c>
      <c r="D98" s="174"/>
      <c r="E98" s="174">
        <v>2399</v>
      </c>
      <c r="F98" s="90"/>
      <c r="G98" s="173"/>
      <c r="H98" s="174"/>
      <c r="I98" s="174"/>
      <c r="J98" s="90"/>
      <c r="K98" s="90"/>
      <c r="L98" s="90"/>
      <c r="M98" s="90"/>
      <c r="N98" s="90"/>
      <c r="O98" s="90"/>
      <c r="P98" s="90"/>
      <c r="Q98" s="90"/>
      <c r="R98" s="126"/>
    </row>
    <row r="99" spans="1:18" outlineLevel="1">
      <c r="A99" s="130"/>
      <c r="B99" s="99">
        <f t="shared" si="27"/>
        <v>6</v>
      </c>
      <c r="C99" s="173"/>
      <c r="D99" s="174"/>
      <c r="E99" s="174">
        <v>2400</v>
      </c>
      <c r="F99" s="90"/>
      <c r="G99" s="173"/>
      <c r="H99" s="174"/>
      <c r="I99" s="174"/>
      <c r="J99" s="90"/>
      <c r="K99" s="90"/>
      <c r="L99" s="90"/>
      <c r="M99" s="90"/>
      <c r="N99" s="90"/>
      <c r="O99" s="90"/>
      <c r="P99" s="90"/>
      <c r="Q99" s="90"/>
      <c r="R99" s="126"/>
    </row>
    <row r="100" spans="1:18" outlineLevel="1">
      <c r="A100" s="130"/>
      <c r="B100" s="99">
        <f t="shared" si="27"/>
        <v>7</v>
      </c>
      <c r="C100" s="173"/>
      <c r="D100" s="174"/>
      <c r="E100" s="174"/>
      <c r="F100" s="90"/>
      <c r="G100" s="90"/>
      <c r="H100" s="90"/>
      <c r="I100" s="90"/>
      <c r="J100" s="90"/>
      <c r="K100" s="90"/>
      <c r="L100" s="132"/>
      <c r="M100" s="90"/>
      <c r="N100" s="90"/>
      <c r="O100" s="90"/>
      <c r="P100" s="90"/>
      <c r="Q100" s="90"/>
      <c r="R100" s="126"/>
    </row>
    <row r="101" spans="1:18" outlineLevel="1">
      <c r="A101" s="130"/>
      <c r="B101" s="99">
        <f t="shared" si="27"/>
        <v>8</v>
      </c>
      <c r="C101" s="173"/>
      <c r="D101" s="174"/>
      <c r="E101" s="174"/>
      <c r="F101" s="90"/>
      <c r="G101" s="90"/>
      <c r="H101" s="90"/>
      <c r="I101" s="132"/>
      <c r="J101" s="132"/>
      <c r="K101" s="132"/>
      <c r="L101" s="90"/>
      <c r="M101" s="90"/>
      <c r="N101" s="90"/>
      <c r="O101" s="90"/>
      <c r="P101" s="90"/>
      <c r="Q101" s="90"/>
      <c r="R101" s="126"/>
    </row>
    <row r="102" spans="1:18" outlineLevel="1">
      <c r="A102" s="130"/>
      <c r="B102" s="99">
        <f t="shared" si="27"/>
        <v>9</v>
      </c>
      <c r="C102" s="173"/>
      <c r="D102" s="174"/>
      <c r="E102" s="174"/>
      <c r="F102" s="90"/>
      <c r="G102" s="90"/>
      <c r="H102" s="90"/>
      <c r="I102" s="132"/>
      <c r="J102" s="132"/>
      <c r="K102" s="132"/>
      <c r="L102" s="90"/>
      <c r="M102" s="90"/>
      <c r="N102" s="90"/>
      <c r="O102" s="90"/>
      <c r="P102" s="90"/>
      <c r="Q102" s="90"/>
      <c r="R102" s="126"/>
    </row>
    <row r="103" spans="1:18" outlineLevel="1">
      <c r="A103" s="130"/>
      <c r="B103" s="99">
        <f t="shared" si="27"/>
        <v>10</v>
      </c>
      <c r="C103" s="173"/>
      <c r="D103" s="174"/>
      <c r="E103" s="174"/>
      <c r="F103" s="90"/>
      <c r="G103" s="90"/>
      <c r="H103" s="90"/>
      <c r="I103" s="132"/>
      <c r="J103" s="132"/>
      <c r="K103" s="132"/>
      <c r="L103" s="90"/>
      <c r="M103" s="90"/>
      <c r="N103" s="90"/>
      <c r="O103" s="90"/>
      <c r="P103" s="90"/>
      <c r="Q103" s="90"/>
      <c r="R103" s="126"/>
    </row>
    <row r="104" spans="1:18" outlineLevel="1">
      <c r="A104" s="130"/>
      <c r="B104" s="99">
        <f t="shared" si="27"/>
        <v>11</v>
      </c>
      <c r="C104" s="173"/>
      <c r="D104" s="174"/>
      <c r="E104" s="174"/>
      <c r="F104" s="90"/>
      <c r="G104" s="90"/>
      <c r="H104" s="90"/>
      <c r="I104" s="132"/>
      <c r="J104" s="132"/>
      <c r="K104" s="132"/>
      <c r="L104" s="90"/>
      <c r="M104" s="90"/>
      <c r="N104" s="90"/>
      <c r="O104" s="90"/>
      <c r="P104" s="90"/>
      <c r="Q104" s="90"/>
      <c r="R104" s="126"/>
    </row>
    <row r="105" spans="1:18" outlineLevel="1">
      <c r="A105" s="130"/>
      <c r="B105" s="90"/>
      <c r="C105" s="90"/>
      <c r="D105" s="90"/>
      <c r="E105" s="90"/>
      <c r="F105" s="90"/>
      <c r="G105" s="90"/>
      <c r="H105" s="90"/>
      <c r="I105" s="90"/>
      <c r="J105" s="90"/>
      <c r="K105" s="90"/>
      <c r="L105" s="90"/>
      <c r="M105" s="90"/>
      <c r="N105" s="90"/>
      <c r="O105" s="90"/>
      <c r="P105" s="90"/>
      <c r="Q105" s="90"/>
      <c r="R105" s="126"/>
    </row>
    <row r="106" spans="1:18">
      <c r="A106" s="130"/>
      <c r="B106" s="90"/>
      <c r="C106" s="90"/>
      <c r="D106" s="90"/>
      <c r="E106" s="90"/>
      <c r="F106" s="90"/>
      <c r="G106" s="90"/>
      <c r="H106" s="90"/>
      <c r="I106" s="90"/>
      <c r="J106" s="90"/>
      <c r="K106" s="90"/>
      <c r="L106" s="90"/>
      <c r="M106" s="90"/>
      <c r="N106" s="90"/>
      <c r="O106" s="90"/>
      <c r="P106" s="90"/>
      <c r="Q106" s="90"/>
      <c r="R106" s="126"/>
    </row>
    <row r="107" spans="1:18" ht="17.399999999999999">
      <c r="A107" s="130"/>
      <c r="B107" s="185" t="s">
        <v>421</v>
      </c>
      <c r="C107" s="132"/>
      <c r="D107" s="132"/>
      <c r="E107" s="132"/>
      <c r="F107" s="132"/>
      <c r="G107" s="132"/>
      <c r="H107" s="90"/>
      <c r="I107" s="90"/>
      <c r="J107" s="90"/>
      <c r="K107" s="90"/>
      <c r="L107" s="90"/>
      <c r="M107" s="90"/>
      <c r="N107" s="90"/>
      <c r="O107" s="90"/>
      <c r="P107" s="90"/>
      <c r="Q107" s="90"/>
      <c r="R107" s="126"/>
    </row>
    <row r="108" spans="1:18" outlineLevel="1">
      <c r="A108" s="130"/>
      <c r="B108" s="668" t="s">
        <v>45</v>
      </c>
      <c r="C108" s="672" t="s">
        <v>332</v>
      </c>
      <c r="D108" s="673"/>
      <c r="E108" s="668" t="s">
        <v>333</v>
      </c>
      <c r="F108" s="668" t="s">
        <v>52</v>
      </c>
      <c r="G108" s="125"/>
      <c r="H108" s="90"/>
      <c r="I108" s="90"/>
      <c r="J108" s="90"/>
      <c r="K108" s="90"/>
      <c r="L108" s="90"/>
      <c r="M108" s="90"/>
      <c r="N108" s="90"/>
      <c r="O108" s="90"/>
      <c r="P108" s="90"/>
      <c r="Q108" s="90"/>
      <c r="R108" s="126"/>
    </row>
    <row r="109" spans="1:18" outlineLevel="1">
      <c r="A109" s="130"/>
      <c r="B109" s="669"/>
      <c r="C109" s="674"/>
      <c r="D109" s="675"/>
      <c r="E109" s="669"/>
      <c r="F109" s="669"/>
      <c r="G109" s="125"/>
      <c r="H109" s="90"/>
      <c r="I109" s="90"/>
      <c r="J109" s="90"/>
      <c r="K109" s="90"/>
      <c r="L109" s="90"/>
      <c r="M109" s="90"/>
      <c r="N109" s="90"/>
      <c r="O109" s="90"/>
      <c r="P109" s="90"/>
      <c r="Q109" s="90"/>
      <c r="R109" s="126"/>
    </row>
    <row r="110" spans="1:18" ht="11.85" customHeight="1" outlineLevel="1">
      <c r="A110" s="130"/>
      <c r="B110" s="177">
        <v>1</v>
      </c>
      <c r="C110" s="588"/>
      <c r="D110" s="598"/>
      <c r="E110" s="186"/>
      <c r="F110" s="419"/>
      <c r="G110" s="125"/>
      <c r="H110" s="90"/>
      <c r="I110" s="90"/>
      <c r="J110" s="90"/>
      <c r="K110" s="90"/>
      <c r="L110" s="90"/>
      <c r="M110" s="90"/>
      <c r="N110" s="90"/>
      <c r="O110" s="90"/>
      <c r="P110" s="90"/>
      <c r="Q110" s="90"/>
      <c r="R110" s="126"/>
    </row>
    <row r="111" spans="1:18" outlineLevel="1">
      <c r="A111" s="130"/>
      <c r="B111" s="177">
        <f>B110+1</f>
        <v>2</v>
      </c>
      <c r="C111" s="588"/>
      <c r="D111" s="598"/>
      <c r="E111" s="186"/>
      <c r="F111" s="419"/>
      <c r="G111" s="125"/>
      <c r="H111" s="90"/>
      <c r="I111" s="90"/>
      <c r="J111" s="90"/>
      <c r="K111" s="90"/>
      <c r="L111" s="90"/>
      <c r="M111" s="90"/>
      <c r="N111" s="90"/>
      <c r="O111" s="90"/>
      <c r="P111" s="90"/>
      <c r="Q111" s="90"/>
      <c r="R111" s="126"/>
    </row>
    <row r="112" spans="1:18" outlineLevel="1">
      <c r="A112" s="130"/>
      <c r="B112" s="177">
        <f t="shared" ref="B112:B117" si="28">B111+1</f>
        <v>3</v>
      </c>
      <c r="C112" s="588"/>
      <c r="D112" s="598"/>
      <c r="E112" s="186"/>
      <c r="F112" s="419"/>
      <c r="G112" s="125"/>
      <c r="H112" s="90"/>
      <c r="I112" s="90"/>
      <c r="J112" s="90"/>
      <c r="K112" s="90"/>
      <c r="L112" s="90"/>
      <c r="M112" s="90"/>
      <c r="N112" s="90"/>
      <c r="O112" s="90"/>
      <c r="P112" s="90"/>
      <c r="Q112" s="90"/>
      <c r="R112" s="126"/>
    </row>
    <row r="113" spans="1:19" outlineLevel="1">
      <c r="A113" s="130"/>
      <c r="B113" s="177">
        <f t="shared" si="28"/>
        <v>4</v>
      </c>
      <c r="C113" s="588"/>
      <c r="D113" s="598"/>
      <c r="E113" s="186"/>
      <c r="F113" s="174"/>
      <c r="G113" s="125"/>
      <c r="H113" s="90"/>
      <c r="I113" s="90"/>
      <c r="J113" s="90"/>
      <c r="K113" s="90"/>
      <c r="L113" s="90"/>
      <c r="M113" s="90"/>
      <c r="N113" s="90"/>
      <c r="O113" s="90"/>
      <c r="P113" s="90"/>
      <c r="Q113" s="90"/>
      <c r="R113" s="126"/>
    </row>
    <row r="114" spans="1:19" outlineLevel="1">
      <c r="A114" s="130"/>
      <c r="B114" s="177">
        <f t="shared" si="28"/>
        <v>5</v>
      </c>
      <c r="C114" s="588"/>
      <c r="D114" s="598"/>
      <c r="E114" s="186"/>
      <c r="F114" s="174"/>
      <c r="G114" s="125"/>
      <c r="H114" s="90"/>
      <c r="I114" s="90"/>
      <c r="J114" s="90"/>
      <c r="K114" s="90"/>
      <c r="L114" s="90"/>
      <c r="M114" s="90"/>
      <c r="N114" s="90"/>
      <c r="O114" s="90"/>
      <c r="P114" s="90"/>
      <c r="Q114" s="90"/>
      <c r="R114" s="126"/>
    </row>
    <row r="115" spans="1:19" outlineLevel="1">
      <c r="A115" s="130"/>
      <c r="B115" s="177">
        <f t="shared" si="28"/>
        <v>6</v>
      </c>
      <c r="C115" s="588"/>
      <c r="D115" s="598"/>
      <c r="E115" s="186"/>
      <c r="F115" s="174"/>
      <c r="G115" s="125"/>
      <c r="H115" s="90"/>
      <c r="I115" s="90"/>
      <c r="J115" s="90"/>
      <c r="K115" s="90"/>
      <c r="L115" s="90"/>
      <c r="M115" s="90"/>
      <c r="N115" s="90"/>
      <c r="O115" s="90"/>
      <c r="P115" s="90"/>
      <c r="Q115" s="90"/>
      <c r="R115" s="126"/>
    </row>
    <row r="116" spans="1:19" outlineLevel="1">
      <c r="A116" s="130"/>
      <c r="B116" s="177">
        <f t="shared" si="28"/>
        <v>7</v>
      </c>
      <c r="C116" s="588"/>
      <c r="D116" s="598"/>
      <c r="E116" s="186"/>
      <c r="F116" s="174"/>
      <c r="G116" s="125"/>
      <c r="H116" s="90"/>
      <c r="I116" s="126"/>
      <c r="J116" s="90"/>
      <c r="K116" s="90"/>
      <c r="L116" s="90"/>
      <c r="M116" s="90"/>
      <c r="N116" s="90"/>
      <c r="O116" s="90"/>
      <c r="P116" s="90"/>
      <c r="Q116" s="90"/>
      <c r="R116" s="126"/>
    </row>
    <row r="117" spans="1:19" outlineLevel="1">
      <c r="A117" s="130"/>
      <c r="B117" s="177">
        <f t="shared" si="28"/>
        <v>8</v>
      </c>
      <c r="C117" s="588"/>
      <c r="D117" s="598"/>
      <c r="E117" s="186"/>
      <c r="F117" s="174"/>
      <c r="G117" s="125"/>
      <c r="H117" s="90"/>
      <c r="I117" s="126"/>
      <c r="J117" s="90"/>
      <c r="K117" s="90"/>
      <c r="L117" s="90"/>
      <c r="M117" s="90"/>
      <c r="N117" s="90"/>
      <c r="O117" s="90"/>
      <c r="P117" s="90"/>
      <c r="Q117" s="90"/>
      <c r="R117" s="126"/>
    </row>
    <row r="118" spans="1:19" outlineLevel="1">
      <c r="A118" s="130"/>
      <c r="B118" s="128"/>
      <c r="C118" s="125"/>
      <c r="D118" s="125"/>
      <c r="E118" s="125"/>
      <c r="F118" s="125"/>
      <c r="G118" s="125"/>
      <c r="H118" s="90"/>
      <c r="I118" s="126"/>
      <c r="J118" s="90"/>
      <c r="K118" s="90"/>
      <c r="L118" s="90"/>
      <c r="M118" s="90"/>
      <c r="N118" s="90"/>
      <c r="O118" s="90"/>
      <c r="P118" s="90"/>
      <c r="Q118" s="90"/>
      <c r="R118" s="126"/>
    </row>
    <row r="119" spans="1:19">
      <c r="B119" s="90"/>
      <c r="C119" s="90"/>
      <c r="D119" s="90"/>
      <c r="E119" s="90"/>
      <c r="F119" s="90"/>
      <c r="G119" s="90"/>
      <c r="H119" s="90"/>
      <c r="I119" s="90"/>
      <c r="J119" s="90"/>
      <c r="K119" s="90"/>
      <c r="L119" s="90"/>
      <c r="M119" s="90"/>
      <c r="N119" s="90"/>
      <c r="O119" s="90"/>
      <c r="P119" s="90"/>
      <c r="Q119" s="90"/>
      <c r="R119" s="90"/>
    </row>
    <row r="120" spans="1:19" ht="17.399999999999999">
      <c r="A120" s="91"/>
      <c r="B120" s="179" t="s">
        <v>422</v>
      </c>
      <c r="C120" s="125"/>
      <c r="D120" s="125"/>
      <c r="E120" s="127"/>
      <c r="F120" s="128"/>
      <c r="G120" s="128"/>
      <c r="H120" s="128"/>
      <c r="I120" s="90"/>
      <c r="J120" s="90"/>
      <c r="K120" s="90"/>
      <c r="L120" s="90"/>
      <c r="M120" s="90"/>
      <c r="N120" s="90"/>
      <c r="O120" s="90"/>
      <c r="P120" s="128"/>
      <c r="Q120" s="90"/>
      <c r="R120" s="126"/>
    </row>
    <row r="121" spans="1:19" hidden="1">
      <c r="A121" s="91"/>
      <c r="B121" s="328" t="s">
        <v>431</v>
      </c>
      <c r="C121" s="175"/>
      <c r="D121" s="175"/>
      <c r="E121" s="329">
        <f>COLUMN('2_DATA'!$F$7)-1</f>
        <v>5</v>
      </c>
      <c r="F121" s="326"/>
      <c r="G121" s="326"/>
      <c r="H121" s="329">
        <f>COLUMN('2_DATA'!$J$7)-1</f>
        <v>9</v>
      </c>
      <c r="I121" s="329">
        <f>COLUMN('2_DATA'!$O$7)-1</f>
        <v>14</v>
      </c>
      <c r="J121" s="326"/>
      <c r="K121" s="326"/>
      <c r="L121" s="329">
        <f>COLUMN('2_DATA'!$P$7)-1</f>
        <v>15</v>
      </c>
      <c r="M121" s="329">
        <f>COLUMN('2_DATA'!$V$7)-1</f>
        <v>21</v>
      </c>
      <c r="N121" s="329">
        <f>COLUMN('2_DATA'!$W$7)-1</f>
        <v>22</v>
      </c>
      <c r="O121" s="329">
        <f>COLUMN('2_DATA'!$W$7)-1</f>
        <v>22</v>
      </c>
      <c r="P121" s="327"/>
      <c r="Q121" s="236"/>
      <c r="R121" s="126"/>
    </row>
    <row r="122" spans="1:19" s="8" customFormat="1" ht="12.6" customHeight="1" outlineLevel="1">
      <c r="A122" s="134"/>
      <c r="B122" s="574" t="s">
        <v>45</v>
      </c>
      <c r="C122" s="574" t="s">
        <v>259</v>
      </c>
      <c r="D122" s="574"/>
      <c r="E122" s="601" t="s">
        <v>47</v>
      </c>
      <c r="F122" s="602"/>
      <c r="G122" s="602"/>
      <c r="H122" s="603"/>
      <c r="I122" s="604" t="s">
        <v>48</v>
      </c>
      <c r="J122" s="604"/>
      <c r="K122" s="604"/>
      <c r="L122" s="604"/>
      <c r="M122" s="599" t="s">
        <v>277</v>
      </c>
      <c r="N122" s="600"/>
      <c r="O122" s="649" t="s">
        <v>276</v>
      </c>
      <c r="P122" s="650"/>
      <c r="Q122" s="651"/>
      <c r="R122" s="126"/>
      <c r="S122"/>
    </row>
    <row r="123" spans="1:19" s="16" customFormat="1" ht="22.8" outlineLevel="1">
      <c r="A123" s="135"/>
      <c r="B123" s="574"/>
      <c r="C123" s="574"/>
      <c r="D123" s="574"/>
      <c r="E123" s="98" t="s">
        <v>49</v>
      </c>
      <c r="F123" s="98" t="s">
        <v>50</v>
      </c>
      <c r="G123" s="98" t="s">
        <v>260</v>
      </c>
      <c r="H123" s="98" t="s">
        <v>52</v>
      </c>
      <c r="I123" s="98" t="s">
        <v>49</v>
      </c>
      <c r="J123" s="98" t="s">
        <v>50</v>
      </c>
      <c r="K123" s="98" t="s">
        <v>260</v>
      </c>
      <c r="L123" s="98" t="s">
        <v>52</v>
      </c>
      <c r="M123" s="98" t="s">
        <v>227</v>
      </c>
      <c r="N123" s="137" t="s">
        <v>371</v>
      </c>
      <c r="O123" s="652"/>
      <c r="P123" s="653"/>
      <c r="Q123" s="654"/>
      <c r="R123" s="126"/>
      <c r="S123"/>
    </row>
    <row r="124" spans="1:19" ht="13.95" customHeight="1" outlineLevel="1">
      <c r="A124" s="91"/>
      <c r="B124" s="177">
        <v>1</v>
      </c>
      <c r="C124" s="575" t="str">
        <f t="shared" ref="C124:C135" ca="1" si="29">VLOOKUP($B124,$AD$42:$AE$57,2,FALSE)</f>
        <v>PREPARATION</v>
      </c>
      <c r="D124" s="576"/>
      <c r="E124" s="202">
        <f ca="1">VLOOKUP($B124,INDIRECT(ADDRESS(9,2,,,"2_DATA")):INDIRECT(ADDRESS(1000,COLUMN('2_DATA'!$AA$9),,,"2_DATA")),E$121,FALSE)</f>
        <v>0</v>
      </c>
      <c r="F124" s="202">
        <f ca="1">E124/24</f>
        <v>0</v>
      </c>
      <c r="G124" s="202">
        <f ca="1">SUM($F$124:$F124)</f>
        <v>0</v>
      </c>
      <c r="H124" s="202">
        <f ca="1">VLOOKUP($B124,INDIRECT(ADDRESS(9,2,,,"2_DATA")):INDIRECT(ADDRESS(1000,COLUMN('2_DATA'!$AA$9),,,"2_DATA")),H$121,FALSE)</f>
        <v>0</v>
      </c>
      <c r="I124" s="202">
        <f ca="1">VLOOKUP($B124,INDIRECT(ADDRESS(9,2,,,"2_DATA")):INDIRECT(ADDRESS(1000,COLUMN('2_DATA'!$AA$9),,,"2_DATA")),I$121,FALSE)</f>
        <v>0</v>
      </c>
      <c r="J124" s="202">
        <f ca="1">I124/24</f>
        <v>0</v>
      </c>
      <c r="K124" s="202">
        <f ca="1">SUM($J$124:J124)</f>
        <v>0</v>
      </c>
      <c r="L124" s="202">
        <f ca="1">VLOOKUP($B124,INDIRECT(ADDRESS(9,2,,,"2_DATA")):INDIRECT(ADDRESS(1000,COLUMN('2_DATA'!$AA$9),,,"2_DATA")),L$121,FALSE)</f>
        <v>0</v>
      </c>
      <c r="M124" s="202" t="str">
        <f ca="1">VLOOKUP($B124,INDIRECT(ADDRESS(9,2,,,"2_DATA")):INDIRECT(ADDRESS(1000,COLUMN('2_DATA'!$AA$9),,,"2_DATA")),M$121,FALSE)</f>
        <v/>
      </c>
      <c r="N124" s="203" t="str">
        <f ca="1">VLOOKUP($B124,INDIRECT(ADDRESS(9,2,,,"2_DATA")):INDIRECT(ADDRESS(1000,COLUMN('2_DATA'!$AA$9),,,"2_DATA")),N$121,FALSE)</f>
        <v/>
      </c>
      <c r="O124" s="577" t="str">
        <f ca="1">IF(VLOOKUP($B124,INDIRECT(ADDRESS(9,2,,,"2_DATA")):INDIRECT(ADDRESS(1000,COLUMN('2_DATA'!$AA$9),,,"2_DATA")),20,FALSE)=0,"",VLOOKUP($B124,INDIRECT(ADDRESS(9,2,,,"2_DATA")):INDIRECT(ADDRESS(1000,COLUMN('2_DATA'!$AA$9),,,"2_DATA")),20,FALSE))</f>
        <v/>
      </c>
      <c r="P124" s="578"/>
      <c r="Q124" s="579"/>
      <c r="R124" s="126"/>
    </row>
    <row r="125" spans="1:19" ht="13.95" customHeight="1" outlineLevel="1">
      <c r="A125" s="91"/>
      <c r="B125" s="177">
        <f>B124+1</f>
        <v>2</v>
      </c>
      <c r="C125" s="575" t="str">
        <f t="shared" ca="1" si="29"/>
        <v>WORKOVER SECTION</v>
      </c>
      <c r="D125" s="576"/>
      <c r="E125" s="202">
        <f ca="1">VLOOKUP($B125,INDIRECT(ADDRESS(9,2,,,"2_DATA")):INDIRECT(ADDRESS(1000,COLUMN('2_DATA'!$AA$9),,,"2_DATA")),E$121,FALSE)</f>
        <v>449</v>
      </c>
      <c r="F125" s="202">
        <f ca="1">E125/24</f>
        <v>18.708333333333332</v>
      </c>
      <c r="G125" s="202">
        <f ca="1">SUM($F$124:$F125)</f>
        <v>18.708333333333332</v>
      </c>
      <c r="H125" s="202">
        <f ca="1">VLOOKUP($B125,INDIRECT(ADDRESS(9,2,,,"2_DATA")):INDIRECT(ADDRESS(1000,COLUMN('2_DATA'!$AA$9),,,"2_DATA")),H$121,FALSE)</f>
        <v>1112</v>
      </c>
      <c r="I125" s="202">
        <f ca="1">VLOOKUP($B125,INDIRECT(ADDRESS(9,2,,,"2_DATA")):INDIRECT(ADDRESS(1000,COLUMN('2_DATA'!$AA$9),,,"2_DATA")),I$121,FALSE)</f>
        <v>551</v>
      </c>
      <c r="J125" s="202">
        <f ca="1">I125/24</f>
        <v>22.958333333333332</v>
      </c>
      <c r="K125" s="202">
        <f ca="1">SUM($J$124:J125)</f>
        <v>22.958333333333332</v>
      </c>
      <c r="L125" s="202">
        <f ca="1">VLOOKUP($B125,INDIRECT(ADDRESS(9,2,,,"2_DATA")):INDIRECT(ADDRESS(1000,COLUMN('2_DATA'!$AA$9),,,"2_DATA")),L$121,FALSE)</f>
        <v>2374.8000000000002</v>
      </c>
      <c r="M125" s="202">
        <f ca="1">VLOOKUP($B125,INDIRECT(ADDRESS(9,2,,,"2_DATA")):INDIRECT(ADDRESS(1000,COLUMN('2_DATA'!$AA$9),,,"2_DATA")),M$121,FALSE)</f>
        <v>-102.00000000000026</v>
      </c>
      <c r="N125" s="203">
        <f ca="1">VLOOKUP($B125,INDIRECT(ADDRESS(9,2,,,"2_DATA")):INDIRECT(ADDRESS(1000,COLUMN('2_DATA'!$AA$9),,,"2_DATA")),N$121,FALSE)</f>
        <v>4.25</v>
      </c>
      <c r="O125" s="577">
        <f ca="1">IF(VLOOKUP($B125,INDIRECT(ADDRESS(9,2,,,"2_DATA")):INDIRECT(ADDRESS(1000,COLUMN('2_DATA'!$AA$9),,,"2_DATA")),20,FALSE)=0,"",VLOOKUP($B125,INDIRECT(ADDRESS(9,2,,,"2_DATA")):INDIRECT(ADDRESS(1000,COLUMN('2_DATA'!$AA$9),,,"2_DATA")),20,FALSE))</f>
        <v>44966.75</v>
      </c>
      <c r="P125" s="578"/>
      <c r="Q125" s="579"/>
      <c r="R125" s="126"/>
    </row>
    <row r="126" spans="1:19" ht="13.95" customHeight="1" outlineLevel="1">
      <c r="A126" s="91"/>
      <c r="B126" s="177">
        <f t="shared" ref="B126:B135" si="30">B125+1</f>
        <v>3</v>
      </c>
      <c r="C126" s="575" t="str">
        <f t="shared" ca="1" si="29"/>
        <v>RELEASE</v>
      </c>
      <c r="D126" s="576"/>
      <c r="E126" s="202">
        <f ca="1">VLOOKUP($B126,INDIRECT(ADDRESS(9,2,,,"2_DATA")):INDIRECT(ADDRESS(1000,COLUMN('2_DATA'!$AA$9),,,"2_DATA")),E$121,FALSE)</f>
        <v>0</v>
      </c>
      <c r="F126" s="202">
        <f ca="1">E126/24</f>
        <v>0</v>
      </c>
      <c r="G126" s="202">
        <f ca="1">SUM($F$124:$F126)</f>
        <v>18.708333333333332</v>
      </c>
      <c r="H126" s="202">
        <f ca="1">VLOOKUP($B126,INDIRECT(ADDRESS(9,2,,,"2_DATA")):INDIRECT(ADDRESS(1000,COLUMN('2_DATA'!$AA$9),,,"2_DATA")),H$121,FALSE)</f>
        <v>1112</v>
      </c>
      <c r="I126" s="202">
        <f ca="1">VLOOKUP($B126,INDIRECT(ADDRESS(9,2,,,"2_DATA")):INDIRECT(ADDRESS(1000,COLUMN('2_DATA'!$AA$9),,,"2_DATA")),I$121,FALSE)</f>
        <v>0</v>
      </c>
      <c r="J126" s="202">
        <f ca="1">I126/24</f>
        <v>0</v>
      </c>
      <c r="K126" s="202">
        <f ca="1">SUM($J$124:J126)</f>
        <v>22.958333333333332</v>
      </c>
      <c r="L126" s="202">
        <f ca="1">VLOOKUP($B126,INDIRECT(ADDRESS(9,2,,,"2_DATA")):INDIRECT(ADDRESS(1000,COLUMN('2_DATA'!$AA$9),,,"2_DATA")),L$121,FALSE)</f>
        <v>2374.8000000000002</v>
      </c>
      <c r="M126" s="202" t="str">
        <f ca="1">VLOOKUP($B126,INDIRECT(ADDRESS(9,2,,,"2_DATA")):INDIRECT(ADDRESS(1000,COLUMN('2_DATA'!$AA$9),,,"2_DATA")),M$121,FALSE)</f>
        <v/>
      </c>
      <c r="N126" s="203" t="str">
        <f ca="1">VLOOKUP($B126,INDIRECT(ADDRESS(9,2,,,"2_DATA")):INDIRECT(ADDRESS(1000,COLUMN('2_DATA'!$AA$9),,,"2_DATA")),N$121,FALSE)</f>
        <v/>
      </c>
      <c r="O126" s="577">
        <f ca="1">IF(VLOOKUP($B126,INDIRECT(ADDRESS(9,2,,,"2_DATA")):INDIRECT(ADDRESS(1000,COLUMN('2_DATA'!$AA$9),,,"2_DATA")),20,FALSE)=0,"",VLOOKUP($B126,INDIRECT(ADDRESS(9,2,,,"2_DATA")):INDIRECT(ADDRESS(1000,COLUMN('2_DATA'!$AA$9),,,"2_DATA")),20,FALSE))</f>
        <v>44966.75</v>
      </c>
      <c r="P126" s="578"/>
      <c r="Q126" s="579"/>
      <c r="R126" s="126"/>
    </row>
    <row r="127" spans="1:19" ht="13.95" customHeight="1" outlineLevel="1">
      <c r="A127" s="91"/>
      <c r="B127" s="177">
        <f t="shared" si="30"/>
        <v>4</v>
      </c>
      <c r="C127" s="575" t="str">
        <f t="shared" ca="1" si="29"/>
        <v/>
      </c>
      <c r="D127" s="576"/>
      <c r="E127" s="202" t="e">
        <f ca="1">VLOOKUP($B127,INDIRECT(ADDRESS(9,2,,,"2_DATA")):INDIRECT(ADDRESS(1000,COLUMN('2_DATA'!$AA$9),,,"2_DATA")),E$121,FALSE)</f>
        <v>#N/A</v>
      </c>
      <c r="F127" s="202" t="e">
        <f ca="1">E127/24</f>
        <v>#N/A</v>
      </c>
      <c r="G127" s="202" t="e">
        <f ca="1">SUM($F$124:$F127)</f>
        <v>#N/A</v>
      </c>
      <c r="H127" s="202" t="e">
        <f ca="1">VLOOKUP($B127,INDIRECT(ADDRESS(9,2,,,"2_DATA")):INDIRECT(ADDRESS(1000,COLUMN('2_DATA'!$AA$9),,,"2_DATA")),H$121,FALSE)</f>
        <v>#N/A</v>
      </c>
      <c r="I127" s="202" t="e">
        <f ca="1">VLOOKUP($B127,INDIRECT(ADDRESS(9,2,,,"2_DATA")):INDIRECT(ADDRESS(1000,COLUMN('2_DATA'!$AA$9),,,"2_DATA")),I$121,FALSE)</f>
        <v>#N/A</v>
      </c>
      <c r="J127" s="202" t="e">
        <f ca="1">I127/24</f>
        <v>#N/A</v>
      </c>
      <c r="K127" s="202" t="e">
        <f ca="1">SUM($J$124:J127)</f>
        <v>#N/A</v>
      </c>
      <c r="L127" s="202" t="e">
        <f ca="1">VLOOKUP($B127,INDIRECT(ADDRESS(9,2,,,"2_DATA")):INDIRECT(ADDRESS(1000,COLUMN('2_DATA'!$AA$9),,,"2_DATA")),L$121,FALSE)</f>
        <v>#N/A</v>
      </c>
      <c r="M127" s="202" t="e">
        <f ca="1">VLOOKUP($B127,INDIRECT(ADDRESS(9,2,,,"2_DATA")):INDIRECT(ADDRESS(1000,COLUMN('2_DATA'!$AA$9),,,"2_DATA")),M$121,FALSE)</f>
        <v>#N/A</v>
      </c>
      <c r="N127" s="203" t="e">
        <f ca="1">VLOOKUP($B127,INDIRECT(ADDRESS(9,2,,,"2_DATA")):INDIRECT(ADDRESS(1000,COLUMN('2_DATA'!$AA$9),,,"2_DATA")),N$121,FALSE)</f>
        <v>#N/A</v>
      </c>
      <c r="O127" s="577" t="e">
        <f ca="1">IF(VLOOKUP($B127,INDIRECT(ADDRESS(9,2,,,"2_DATA")):INDIRECT(ADDRESS(1000,COLUMN('2_DATA'!$AA$9),,,"2_DATA")),20,FALSE)=0,"",VLOOKUP($B127,INDIRECT(ADDRESS(9,2,,,"2_DATA")):INDIRECT(ADDRESS(1000,COLUMN('2_DATA'!$AA$9),,,"2_DATA")),20,FALSE))</f>
        <v>#N/A</v>
      </c>
      <c r="P127" s="578"/>
      <c r="Q127" s="579"/>
      <c r="R127" s="126"/>
    </row>
    <row r="128" spans="1:19" ht="13.95" customHeight="1" outlineLevel="1">
      <c r="A128" s="91"/>
      <c r="B128" s="177">
        <f t="shared" si="30"/>
        <v>5</v>
      </c>
      <c r="C128" s="575" t="str">
        <f t="shared" ca="1" si="29"/>
        <v/>
      </c>
      <c r="D128" s="576"/>
      <c r="E128" s="202" t="e">
        <f ca="1">VLOOKUP($B128,INDIRECT(ADDRESS(9,2,,,"2_DATA")):INDIRECT(ADDRESS(1000,COLUMN('2_DATA'!$AA$9),,,"2_DATA")),E$121,FALSE)</f>
        <v>#N/A</v>
      </c>
      <c r="F128" s="202" t="e">
        <f t="shared" ref="F128:F135" ca="1" si="31">E128/24</f>
        <v>#N/A</v>
      </c>
      <c r="G128" s="202" t="e">
        <f ca="1">SUM($F$124:$F128)</f>
        <v>#N/A</v>
      </c>
      <c r="H128" s="202" t="e">
        <f ca="1">VLOOKUP($B128,INDIRECT(ADDRESS(9,2,,,"2_DATA")):INDIRECT(ADDRESS(1000,COLUMN('2_DATA'!$AA$9),,,"2_DATA")),H$121,FALSE)</f>
        <v>#N/A</v>
      </c>
      <c r="I128" s="202" t="e">
        <f ca="1">VLOOKUP($B128,INDIRECT(ADDRESS(9,2,,,"2_DATA")):INDIRECT(ADDRESS(1000,COLUMN('2_DATA'!$AA$9),,,"2_DATA")),I$121,FALSE)</f>
        <v>#N/A</v>
      </c>
      <c r="J128" s="202" t="e">
        <f t="shared" ref="J128:J135" ca="1" si="32">I128/24</f>
        <v>#N/A</v>
      </c>
      <c r="K128" s="202" t="e">
        <f ca="1">SUM($J$124:J128)</f>
        <v>#N/A</v>
      </c>
      <c r="L128" s="202" t="e">
        <f ca="1">VLOOKUP($B128,INDIRECT(ADDRESS(9,2,,,"2_DATA")):INDIRECT(ADDRESS(1000,COLUMN('2_DATA'!$AA$9),,,"2_DATA")),L$121,FALSE)</f>
        <v>#N/A</v>
      </c>
      <c r="M128" s="202" t="e">
        <f ca="1">VLOOKUP($B128,INDIRECT(ADDRESS(9,2,,,"2_DATA")):INDIRECT(ADDRESS(1000,COLUMN('2_DATA'!$AA$9),,,"2_DATA")),M$121,FALSE)</f>
        <v>#N/A</v>
      </c>
      <c r="N128" s="203" t="e">
        <f ca="1">VLOOKUP($B128,INDIRECT(ADDRESS(9,2,,,"2_DATA")):INDIRECT(ADDRESS(1000,COLUMN('2_DATA'!$AA$9),,,"2_DATA")),N$121,FALSE)</f>
        <v>#N/A</v>
      </c>
      <c r="O128" s="577" t="e">
        <f ca="1">IF(VLOOKUP($B128,INDIRECT(ADDRESS(9,2,,,"2_DATA")):INDIRECT(ADDRESS(1000,COLUMN('2_DATA'!$AA$9),,,"2_DATA")),20,FALSE)=0,"",VLOOKUP($B128,INDIRECT(ADDRESS(9,2,,,"2_DATA")):INDIRECT(ADDRESS(1000,COLUMN('2_DATA'!$AA$9),,,"2_DATA")),20,FALSE))</f>
        <v>#N/A</v>
      </c>
      <c r="P128" s="578"/>
      <c r="Q128" s="579"/>
      <c r="R128" s="126"/>
    </row>
    <row r="129" spans="1:18" ht="13.95" customHeight="1" outlineLevel="1">
      <c r="A129" s="91"/>
      <c r="B129" s="177">
        <f t="shared" si="30"/>
        <v>6</v>
      </c>
      <c r="C129" s="575" t="str">
        <f t="shared" ca="1" si="29"/>
        <v/>
      </c>
      <c r="D129" s="576"/>
      <c r="E129" s="202" t="e">
        <f ca="1">VLOOKUP($B129,INDIRECT(ADDRESS(9,2,,,"2_DATA")):INDIRECT(ADDRESS(1000,COLUMN('2_DATA'!$AA$9),,,"2_DATA")),E$121,FALSE)</f>
        <v>#N/A</v>
      </c>
      <c r="F129" s="202" t="e">
        <f t="shared" ca="1" si="31"/>
        <v>#N/A</v>
      </c>
      <c r="G129" s="202" t="e">
        <f ca="1">SUM($F$124:$F129)</f>
        <v>#N/A</v>
      </c>
      <c r="H129" s="202" t="e">
        <f ca="1">VLOOKUP($B129,INDIRECT(ADDRESS(9,2,,,"2_DATA")):INDIRECT(ADDRESS(1000,COLUMN('2_DATA'!$AA$9),,,"2_DATA")),H$121,FALSE)</f>
        <v>#N/A</v>
      </c>
      <c r="I129" s="202" t="e">
        <f ca="1">VLOOKUP($B129,INDIRECT(ADDRESS(9,2,,,"2_DATA")):INDIRECT(ADDRESS(1000,COLUMN('2_DATA'!$AA$9),,,"2_DATA")),I$121,FALSE)</f>
        <v>#N/A</v>
      </c>
      <c r="J129" s="202" t="e">
        <f t="shared" ca="1" si="32"/>
        <v>#N/A</v>
      </c>
      <c r="K129" s="202" t="e">
        <f ca="1">SUM($J$124:J129)</f>
        <v>#N/A</v>
      </c>
      <c r="L129" s="202" t="e">
        <f ca="1">VLOOKUP($B129,INDIRECT(ADDRESS(9,2,,,"2_DATA")):INDIRECT(ADDRESS(1000,COLUMN('2_DATA'!$AA$9),,,"2_DATA")),L$121,FALSE)</f>
        <v>#N/A</v>
      </c>
      <c r="M129" s="202" t="e">
        <f ca="1">VLOOKUP($B129,INDIRECT(ADDRESS(9,2,,,"2_DATA")):INDIRECT(ADDRESS(1000,COLUMN('2_DATA'!$AA$9),,,"2_DATA")),M$121,FALSE)</f>
        <v>#N/A</v>
      </c>
      <c r="N129" s="203" t="e">
        <f ca="1">VLOOKUP($B129,INDIRECT(ADDRESS(9,2,,,"2_DATA")):INDIRECT(ADDRESS(1000,COLUMN('2_DATA'!$AA$9),,,"2_DATA")),N$121,FALSE)</f>
        <v>#N/A</v>
      </c>
      <c r="O129" s="577" t="e">
        <f ca="1">IF(VLOOKUP($B129,INDIRECT(ADDRESS(9,2,,,"2_DATA")):INDIRECT(ADDRESS(1000,COLUMN('2_DATA'!$AA$9),,,"2_DATA")),20,FALSE)=0,"",VLOOKUP($B129,INDIRECT(ADDRESS(9,2,,,"2_DATA")):INDIRECT(ADDRESS(1000,COLUMN('2_DATA'!$AA$9),,,"2_DATA")),20,FALSE))</f>
        <v>#N/A</v>
      </c>
      <c r="P129" s="578"/>
      <c r="Q129" s="579"/>
      <c r="R129" s="126"/>
    </row>
    <row r="130" spans="1:18" ht="13.95" customHeight="1" outlineLevel="1">
      <c r="A130" s="91"/>
      <c r="B130" s="177">
        <f t="shared" si="30"/>
        <v>7</v>
      </c>
      <c r="C130" s="575" t="str">
        <f t="shared" ca="1" si="29"/>
        <v/>
      </c>
      <c r="D130" s="576"/>
      <c r="E130" s="202" t="e">
        <f ca="1">VLOOKUP($B130,INDIRECT(ADDRESS(9,2,,,"2_DATA")):INDIRECT(ADDRESS(1000,COLUMN('2_DATA'!$AA$9),,,"2_DATA")),E$121,FALSE)</f>
        <v>#N/A</v>
      </c>
      <c r="F130" s="202" t="e">
        <f t="shared" ca="1" si="31"/>
        <v>#N/A</v>
      </c>
      <c r="G130" s="202" t="e">
        <f ca="1">SUM($F$124:$F130)</f>
        <v>#N/A</v>
      </c>
      <c r="H130" s="202" t="e">
        <f ca="1">VLOOKUP($B130,INDIRECT(ADDRESS(9,2,,,"2_DATA")):INDIRECT(ADDRESS(1000,COLUMN('2_DATA'!$AA$9),,,"2_DATA")),H$121,FALSE)</f>
        <v>#N/A</v>
      </c>
      <c r="I130" s="202" t="e">
        <f ca="1">VLOOKUP($B130,INDIRECT(ADDRESS(9,2,,,"2_DATA")):INDIRECT(ADDRESS(1000,COLUMN('2_DATA'!$AA$9),,,"2_DATA")),I$121,FALSE)</f>
        <v>#N/A</v>
      </c>
      <c r="J130" s="202" t="e">
        <f t="shared" ca="1" si="32"/>
        <v>#N/A</v>
      </c>
      <c r="K130" s="202" t="e">
        <f ca="1">SUM($J$124:J130)</f>
        <v>#N/A</v>
      </c>
      <c r="L130" s="202" t="e">
        <f ca="1">VLOOKUP($B130,INDIRECT(ADDRESS(9,2,,,"2_DATA")):INDIRECT(ADDRESS(1000,COLUMN('2_DATA'!$AA$9),,,"2_DATA")),L$121,FALSE)</f>
        <v>#N/A</v>
      </c>
      <c r="M130" s="202" t="e">
        <f ca="1">VLOOKUP($B130,INDIRECT(ADDRESS(9,2,,,"2_DATA")):INDIRECT(ADDRESS(1000,COLUMN('2_DATA'!$AA$9),,,"2_DATA")),M$121,FALSE)</f>
        <v>#N/A</v>
      </c>
      <c r="N130" s="203" t="e">
        <f ca="1">VLOOKUP($B130,INDIRECT(ADDRESS(9,2,,,"2_DATA")):INDIRECT(ADDRESS(1000,COLUMN('2_DATA'!$AA$9),,,"2_DATA")),N$121,FALSE)</f>
        <v>#N/A</v>
      </c>
      <c r="O130" s="577" t="e">
        <f ca="1">IF(VLOOKUP($B130,INDIRECT(ADDRESS(9,2,,,"2_DATA")):INDIRECT(ADDRESS(1000,COLUMN('2_DATA'!$AA$9),,,"2_DATA")),20,FALSE)=0,"",VLOOKUP($B130,INDIRECT(ADDRESS(9,2,,,"2_DATA")):INDIRECT(ADDRESS(1000,COLUMN('2_DATA'!$AA$9),,,"2_DATA")),20,FALSE))</f>
        <v>#N/A</v>
      </c>
      <c r="P130" s="578"/>
      <c r="Q130" s="579"/>
      <c r="R130" s="126"/>
    </row>
    <row r="131" spans="1:18" ht="13.95" customHeight="1" outlineLevel="1">
      <c r="A131" s="136"/>
      <c r="B131" s="177">
        <f t="shared" si="30"/>
        <v>8</v>
      </c>
      <c r="C131" s="575" t="str">
        <f t="shared" ca="1" si="29"/>
        <v/>
      </c>
      <c r="D131" s="576"/>
      <c r="E131" s="202" t="e">
        <f ca="1">VLOOKUP($B131,INDIRECT(ADDRESS(9,2,,,"2_DATA")):INDIRECT(ADDRESS(1000,COLUMN('2_DATA'!$AA$9),,,"2_DATA")),E$121,FALSE)</f>
        <v>#N/A</v>
      </c>
      <c r="F131" s="202" t="e">
        <f t="shared" ca="1" si="31"/>
        <v>#N/A</v>
      </c>
      <c r="G131" s="202" t="e">
        <f ca="1">SUM($F$124:$F131)</f>
        <v>#N/A</v>
      </c>
      <c r="H131" s="202" t="e">
        <f ca="1">VLOOKUP($B131,INDIRECT(ADDRESS(9,2,,,"2_DATA")):INDIRECT(ADDRESS(1000,COLUMN('2_DATA'!$AA$9),,,"2_DATA")),H$121,FALSE)</f>
        <v>#N/A</v>
      </c>
      <c r="I131" s="202" t="e">
        <f ca="1">VLOOKUP($B131,INDIRECT(ADDRESS(9,2,,,"2_DATA")):INDIRECT(ADDRESS(1000,COLUMN('2_DATA'!$AA$9),,,"2_DATA")),I$121,FALSE)</f>
        <v>#N/A</v>
      </c>
      <c r="J131" s="202" t="e">
        <f t="shared" ca="1" si="32"/>
        <v>#N/A</v>
      </c>
      <c r="K131" s="202" t="e">
        <f ca="1">SUM($J$124:J131)</f>
        <v>#N/A</v>
      </c>
      <c r="L131" s="202" t="e">
        <f ca="1">VLOOKUP($B131,INDIRECT(ADDRESS(9,2,,,"2_DATA")):INDIRECT(ADDRESS(1000,COLUMN('2_DATA'!$AA$9),,,"2_DATA")),L$121,FALSE)</f>
        <v>#N/A</v>
      </c>
      <c r="M131" s="202" t="e">
        <f ca="1">VLOOKUP($B131,INDIRECT(ADDRESS(9,2,,,"2_DATA")):INDIRECT(ADDRESS(1000,COLUMN('2_DATA'!$AA$9),,,"2_DATA")),M$121,FALSE)</f>
        <v>#N/A</v>
      </c>
      <c r="N131" s="203" t="e">
        <f ca="1">VLOOKUP($B131,INDIRECT(ADDRESS(9,2,,,"2_DATA")):INDIRECT(ADDRESS(1000,COLUMN('2_DATA'!$AA$9),,,"2_DATA")),N$121,FALSE)</f>
        <v>#N/A</v>
      </c>
      <c r="O131" s="577" t="e">
        <f ca="1">IF(VLOOKUP($B131,INDIRECT(ADDRESS(9,2,,,"2_DATA")):INDIRECT(ADDRESS(1000,COLUMN('2_DATA'!$AA$9),,,"2_DATA")),20,FALSE)=0,"",VLOOKUP($B131,INDIRECT(ADDRESS(9,2,,,"2_DATA")):INDIRECT(ADDRESS(1000,COLUMN('2_DATA'!$AA$9),,,"2_DATA")),20,FALSE))</f>
        <v>#N/A</v>
      </c>
      <c r="P131" s="578"/>
      <c r="Q131" s="579"/>
      <c r="R131" s="126"/>
    </row>
    <row r="132" spans="1:18" ht="13.95" customHeight="1" outlineLevel="1">
      <c r="A132" s="136"/>
      <c r="B132" s="177">
        <f t="shared" si="30"/>
        <v>9</v>
      </c>
      <c r="C132" s="575" t="str">
        <f t="shared" ca="1" si="29"/>
        <v/>
      </c>
      <c r="D132" s="576"/>
      <c r="E132" s="202" t="e">
        <f ca="1">VLOOKUP($B132,INDIRECT(ADDRESS(9,2,,,"2_DATA")):INDIRECT(ADDRESS(1000,COLUMN('2_DATA'!$AA$9),,,"2_DATA")),E$121,FALSE)</f>
        <v>#N/A</v>
      </c>
      <c r="F132" s="202" t="e">
        <f t="shared" ca="1" si="31"/>
        <v>#N/A</v>
      </c>
      <c r="G132" s="202" t="e">
        <f ca="1">SUM($F$124:$F132)</f>
        <v>#N/A</v>
      </c>
      <c r="H132" s="202" t="e">
        <f ca="1">VLOOKUP($B132,INDIRECT(ADDRESS(9,2,,,"2_DATA")):INDIRECT(ADDRESS(1000,COLUMN('2_DATA'!$AA$9),,,"2_DATA")),H$121,FALSE)</f>
        <v>#N/A</v>
      </c>
      <c r="I132" s="202" t="e">
        <f ca="1">VLOOKUP($B132,INDIRECT(ADDRESS(9,2,,,"2_DATA")):INDIRECT(ADDRESS(1000,COLUMN('2_DATA'!$AA$9),,,"2_DATA")),I$121,FALSE)</f>
        <v>#N/A</v>
      </c>
      <c r="J132" s="202" t="e">
        <f t="shared" ca="1" si="32"/>
        <v>#N/A</v>
      </c>
      <c r="K132" s="202" t="e">
        <f ca="1">SUM($J$124:J132)</f>
        <v>#N/A</v>
      </c>
      <c r="L132" s="202" t="e">
        <f ca="1">VLOOKUP($B132,INDIRECT(ADDRESS(9,2,,,"2_DATA")):INDIRECT(ADDRESS(1000,COLUMN('2_DATA'!$AA$9),,,"2_DATA")),L$121,FALSE)</f>
        <v>#N/A</v>
      </c>
      <c r="M132" s="202" t="e">
        <f ca="1">VLOOKUP($B132,INDIRECT(ADDRESS(9,2,,,"2_DATA")):INDIRECT(ADDRESS(1000,COLUMN('2_DATA'!$AA$9),,,"2_DATA")),M$121,FALSE)</f>
        <v>#N/A</v>
      </c>
      <c r="N132" s="203" t="e">
        <f ca="1">VLOOKUP($B132,INDIRECT(ADDRESS(9,2,,,"2_DATA")):INDIRECT(ADDRESS(1000,COLUMN('2_DATA'!$AA$9),,,"2_DATA")),N$121,FALSE)</f>
        <v>#N/A</v>
      </c>
      <c r="O132" s="577" t="e">
        <f ca="1">IF(VLOOKUP($B132,INDIRECT(ADDRESS(9,2,,,"2_DATA")):INDIRECT(ADDRESS(1000,COLUMN('2_DATA'!$AA$9),,,"2_DATA")),20,FALSE)=0,"",VLOOKUP($B132,INDIRECT(ADDRESS(9,2,,,"2_DATA")):INDIRECT(ADDRESS(1000,COLUMN('2_DATA'!$AA$9),,,"2_DATA")),20,FALSE))</f>
        <v>#N/A</v>
      </c>
      <c r="P132" s="578"/>
      <c r="Q132" s="579"/>
      <c r="R132" s="126"/>
    </row>
    <row r="133" spans="1:18" ht="13.95" customHeight="1" outlineLevel="1">
      <c r="A133" s="136"/>
      <c r="B133" s="177">
        <f t="shared" si="30"/>
        <v>10</v>
      </c>
      <c r="C133" s="575" t="str">
        <f t="shared" ca="1" si="29"/>
        <v/>
      </c>
      <c r="D133" s="576"/>
      <c r="E133" s="202" t="e">
        <f ca="1">VLOOKUP($B133,INDIRECT(ADDRESS(9,2,,,"2_DATA")):INDIRECT(ADDRESS(1000,COLUMN('2_DATA'!$AA$9),,,"2_DATA")),E$121,FALSE)</f>
        <v>#N/A</v>
      </c>
      <c r="F133" s="202" t="e">
        <f t="shared" ca="1" si="31"/>
        <v>#N/A</v>
      </c>
      <c r="G133" s="202" t="e">
        <f ca="1">SUM($F$124:$F133)</f>
        <v>#N/A</v>
      </c>
      <c r="H133" s="202" t="e">
        <f ca="1">VLOOKUP($B133,INDIRECT(ADDRESS(9,2,,,"2_DATA")):INDIRECT(ADDRESS(1000,COLUMN('2_DATA'!$AA$9),,,"2_DATA")),H$121,FALSE)</f>
        <v>#N/A</v>
      </c>
      <c r="I133" s="202" t="e">
        <f ca="1">VLOOKUP($B133,INDIRECT(ADDRESS(9,2,,,"2_DATA")):INDIRECT(ADDRESS(1000,COLUMN('2_DATA'!$AA$9),,,"2_DATA")),I$121,FALSE)</f>
        <v>#N/A</v>
      </c>
      <c r="J133" s="202" t="e">
        <f t="shared" ca="1" si="32"/>
        <v>#N/A</v>
      </c>
      <c r="K133" s="202" t="e">
        <f ca="1">SUM($J$124:J133)</f>
        <v>#N/A</v>
      </c>
      <c r="L133" s="202" t="e">
        <f ca="1">VLOOKUP($B133,INDIRECT(ADDRESS(9,2,,,"2_DATA")):INDIRECT(ADDRESS(1000,COLUMN('2_DATA'!$AA$9),,,"2_DATA")),L$121,FALSE)</f>
        <v>#N/A</v>
      </c>
      <c r="M133" s="202" t="e">
        <f ca="1">VLOOKUP($B133,INDIRECT(ADDRESS(9,2,,,"2_DATA")):INDIRECT(ADDRESS(1000,COLUMN('2_DATA'!$AA$9),,,"2_DATA")),M$121,FALSE)</f>
        <v>#N/A</v>
      </c>
      <c r="N133" s="203" t="e">
        <f ca="1">VLOOKUP($B133,INDIRECT(ADDRESS(9,2,,,"2_DATA")):INDIRECT(ADDRESS(1000,COLUMN('2_DATA'!$AA$9),,,"2_DATA")),N$121,FALSE)</f>
        <v>#N/A</v>
      </c>
      <c r="O133" s="577" t="e">
        <f ca="1">IF(VLOOKUP($B133,INDIRECT(ADDRESS(9,2,,,"2_DATA")):INDIRECT(ADDRESS(1000,COLUMN('2_DATA'!$AA$9),,,"2_DATA")),20,FALSE)=0,"",VLOOKUP($B133,INDIRECT(ADDRESS(9,2,,,"2_DATA")):INDIRECT(ADDRESS(1000,COLUMN('2_DATA'!$AA$9),,,"2_DATA")),20,FALSE))</f>
        <v>#N/A</v>
      </c>
      <c r="P133" s="578"/>
      <c r="Q133" s="579"/>
      <c r="R133" s="126"/>
    </row>
    <row r="134" spans="1:18" ht="13.95" customHeight="1" outlineLevel="1">
      <c r="A134" s="136"/>
      <c r="B134" s="177">
        <f t="shared" si="30"/>
        <v>11</v>
      </c>
      <c r="C134" s="575" t="str">
        <f t="shared" ca="1" si="29"/>
        <v/>
      </c>
      <c r="D134" s="576"/>
      <c r="E134" s="202" t="e">
        <f ca="1">VLOOKUP($B134,INDIRECT(ADDRESS(9,2,,,"2_DATA")):INDIRECT(ADDRESS(1000,COLUMN('2_DATA'!$AA$9),,,"2_DATA")),E$121,FALSE)</f>
        <v>#N/A</v>
      </c>
      <c r="F134" s="202" t="e">
        <f t="shared" ca="1" si="31"/>
        <v>#N/A</v>
      </c>
      <c r="G134" s="202" t="e">
        <f ca="1">SUM($F$124:$F134)</f>
        <v>#N/A</v>
      </c>
      <c r="H134" s="202" t="e">
        <f ca="1">VLOOKUP($B134,INDIRECT(ADDRESS(9,2,,,"2_DATA")):INDIRECT(ADDRESS(1000,COLUMN('2_DATA'!$AA$9),,,"2_DATA")),H$121,FALSE)</f>
        <v>#N/A</v>
      </c>
      <c r="I134" s="202" t="e">
        <f ca="1">VLOOKUP($B134,INDIRECT(ADDRESS(9,2,,,"2_DATA")):INDIRECT(ADDRESS(1000,COLUMN('2_DATA'!$AA$9),,,"2_DATA")),I$121,FALSE)</f>
        <v>#N/A</v>
      </c>
      <c r="J134" s="202" t="e">
        <f t="shared" ca="1" si="32"/>
        <v>#N/A</v>
      </c>
      <c r="K134" s="202" t="e">
        <f ca="1">SUM($J$124:J134)</f>
        <v>#N/A</v>
      </c>
      <c r="L134" s="202" t="e">
        <f ca="1">VLOOKUP($B134,INDIRECT(ADDRESS(9,2,,,"2_DATA")):INDIRECT(ADDRESS(1000,COLUMN('2_DATA'!$AA$9),,,"2_DATA")),L$121,FALSE)</f>
        <v>#N/A</v>
      </c>
      <c r="M134" s="202" t="e">
        <f ca="1">VLOOKUP($B134,INDIRECT(ADDRESS(9,2,,,"2_DATA")):INDIRECT(ADDRESS(1000,COLUMN('2_DATA'!$AA$9),,,"2_DATA")),M$121,FALSE)</f>
        <v>#N/A</v>
      </c>
      <c r="N134" s="203" t="e">
        <f ca="1">VLOOKUP($B134,INDIRECT(ADDRESS(9,2,,,"2_DATA")):INDIRECT(ADDRESS(1000,COLUMN('2_DATA'!$AA$9),,,"2_DATA")),N$121,FALSE)</f>
        <v>#N/A</v>
      </c>
      <c r="O134" s="577" t="e">
        <f ca="1">IF(VLOOKUP($B134,INDIRECT(ADDRESS(9,2,,,"2_DATA")):INDIRECT(ADDRESS(1000,COLUMN('2_DATA'!$AA$9),,,"2_DATA")),20,FALSE)=0,"",VLOOKUP($B134,INDIRECT(ADDRESS(9,2,,,"2_DATA")):INDIRECT(ADDRESS(1000,COLUMN('2_DATA'!$AA$9),,,"2_DATA")),20,FALSE))</f>
        <v>#N/A</v>
      </c>
      <c r="P134" s="578"/>
      <c r="Q134" s="579"/>
      <c r="R134" s="126"/>
    </row>
    <row r="135" spans="1:18" ht="13.95" customHeight="1" outlineLevel="1">
      <c r="A135" s="136" t="s">
        <v>262</v>
      </c>
      <c r="B135" s="177">
        <f t="shared" si="30"/>
        <v>12</v>
      </c>
      <c r="C135" s="575" t="str">
        <f t="shared" ca="1" si="29"/>
        <v/>
      </c>
      <c r="D135" s="576"/>
      <c r="E135" s="202" t="e">
        <f ca="1">VLOOKUP($B135,INDIRECT(ADDRESS(9,2,,,"2_DATA")):INDIRECT(ADDRESS(1000,COLUMN('2_DATA'!$AA$9),,,"2_DATA")),E$121,FALSE)</f>
        <v>#N/A</v>
      </c>
      <c r="F135" s="202" t="e">
        <f t="shared" ca="1" si="31"/>
        <v>#N/A</v>
      </c>
      <c r="G135" s="202" t="e">
        <f ca="1">SUM($F$124:$F135)</f>
        <v>#N/A</v>
      </c>
      <c r="H135" s="202" t="e">
        <f ca="1">VLOOKUP($B135,INDIRECT(ADDRESS(9,2,,,"2_DATA")):INDIRECT(ADDRESS(1000,COLUMN('2_DATA'!$AA$9),,,"2_DATA")),H$121,FALSE)</f>
        <v>#N/A</v>
      </c>
      <c r="I135" s="202" t="e">
        <f ca="1">VLOOKUP($B135,INDIRECT(ADDRESS(9,2,,,"2_DATA")):INDIRECT(ADDRESS(1000,COLUMN('2_DATA'!$AA$9),,,"2_DATA")),I$121,FALSE)</f>
        <v>#N/A</v>
      </c>
      <c r="J135" s="202" t="e">
        <f t="shared" ca="1" si="32"/>
        <v>#N/A</v>
      </c>
      <c r="K135" s="202" t="e">
        <f ca="1">SUM($J$124:J135)</f>
        <v>#N/A</v>
      </c>
      <c r="L135" s="202" t="e">
        <f ca="1">VLOOKUP($B135,INDIRECT(ADDRESS(9,2,,,"2_DATA")):INDIRECT(ADDRESS(1000,COLUMN('2_DATA'!$AA$9),,,"2_DATA")),L$121,FALSE)</f>
        <v>#N/A</v>
      </c>
      <c r="M135" s="202" t="e">
        <f ca="1">VLOOKUP($B135,INDIRECT(ADDRESS(9,2,,,"2_DATA")):INDIRECT(ADDRESS(1000,COLUMN('2_DATA'!$AA$9),,,"2_DATA")),M$121,FALSE)</f>
        <v>#N/A</v>
      </c>
      <c r="N135" s="203" t="e">
        <f ca="1">VLOOKUP($B135,INDIRECT(ADDRESS(9,2,,,"2_DATA")):INDIRECT(ADDRESS(1000,COLUMN('2_DATA'!$AA$9),,,"2_DATA")),N$121,FALSE)</f>
        <v>#N/A</v>
      </c>
      <c r="O135" s="577" t="e">
        <f ca="1">IF(VLOOKUP($B135,INDIRECT(ADDRESS(9,2,,,"2_DATA")):INDIRECT(ADDRESS(1000,COLUMN('2_DATA'!$AA$9),,,"2_DATA")),20,FALSE)=0,"",VLOOKUP($B135,INDIRECT(ADDRESS(9,2,,,"2_DATA")):INDIRECT(ADDRESS(1000,COLUMN('2_DATA'!$AA$9),,,"2_DATA")),20,FALSE))</f>
        <v>#N/A</v>
      </c>
      <c r="P135" s="578"/>
      <c r="Q135" s="579"/>
      <c r="R135" s="126"/>
    </row>
    <row r="136" spans="1:18" outlineLevel="1">
      <c r="A136" s="136"/>
      <c r="B136" s="131"/>
      <c r="C136" s="131"/>
      <c r="D136" s="131"/>
      <c r="E136" s="325"/>
      <c r="F136" s="131"/>
      <c r="G136" s="131"/>
      <c r="H136" s="131"/>
      <c r="I136" s="131"/>
      <c r="J136" s="131"/>
      <c r="K136" s="131"/>
      <c r="L136" s="131"/>
      <c r="M136" s="131"/>
      <c r="N136" s="131"/>
      <c r="O136" s="131"/>
      <c r="P136" s="131"/>
      <c r="Q136" s="131"/>
      <c r="R136" s="126"/>
    </row>
    <row r="137" spans="1:18" outlineLevel="1">
      <c r="A137" s="90"/>
      <c r="B137" s="133"/>
      <c r="C137" s="90"/>
      <c r="D137" s="90"/>
      <c r="E137" s="90"/>
      <c r="F137" s="90"/>
      <c r="G137" s="90"/>
      <c r="H137" s="90"/>
      <c r="I137" s="90"/>
      <c r="J137" s="90"/>
      <c r="K137" s="90"/>
      <c r="L137" s="90"/>
      <c r="M137" s="90"/>
      <c r="N137" s="90"/>
      <c r="O137" s="90"/>
      <c r="P137" s="90"/>
      <c r="Q137" s="90"/>
      <c r="R137" s="90"/>
    </row>
    <row r="138" spans="1:18">
      <c r="A138" s="90"/>
      <c r="B138" s="133"/>
      <c r="C138" s="90"/>
      <c r="D138" s="90"/>
      <c r="E138" s="90"/>
      <c r="F138" s="90"/>
      <c r="G138" s="90"/>
      <c r="H138" s="90"/>
      <c r="I138" s="90"/>
      <c r="J138" s="90"/>
      <c r="K138" s="90"/>
      <c r="L138" s="90"/>
      <c r="M138" s="90"/>
      <c r="N138" s="90"/>
      <c r="O138" s="90"/>
      <c r="P138" s="90"/>
      <c r="Q138" s="90"/>
      <c r="R138" s="90"/>
    </row>
    <row r="139" spans="1:18">
      <c r="A139" s="90"/>
      <c r="B139" s="133"/>
      <c r="C139" s="90"/>
      <c r="D139" s="90"/>
      <c r="E139" s="90"/>
      <c r="F139" s="90"/>
      <c r="G139" s="90"/>
      <c r="H139" s="90"/>
      <c r="I139" s="90"/>
      <c r="J139" s="90"/>
      <c r="K139" s="90"/>
      <c r="L139" s="90"/>
      <c r="M139" s="90"/>
      <c r="N139" s="90"/>
      <c r="O139" s="90"/>
      <c r="P139" s="90"/>
      <c r="Q139" s="90"/>
      <c r="R139" s="90"/>
    </row>
    <row r="140" spans="1:18">
      <c r="A140" s="90"/>
      <c r="B140" s="133"/>
      <c r="C140" s="90"/>
      <c r="D140" s="90"/>
      <c r="E140" s="90"/>
      <c r="F140" s="90"/>
      <c r="G140" s="90"/>
      <c r="H140" s="90"/>
      <c r="I140" s="90"/>
      <c r="J140" s="90"/>
      <c r="K140" s="90"/>
      <c r="L140" s="90"/>
      <c r="M140" s="90"/>
      <c r="N140" s="90"/>
      <c r="O140" s="90"/>
      <c r="P140" s="90"/>
      <c r="Q140" s="90"/>
      <c r="R140" s="90"/>
    </row>
    <row r="141" spans="1:18">
      <c r="A141" s="90"/>
      <c r="B141" s="133"/>
      <c r="C141" s="90"/>
      <c r="D141" s="90"/>
      <c r="E141" s="90"/>
      <c r="F141" s="90"/>
      <c r="G141" s="90"/>
      <c r="H141" s="90"/>
      <c r="I141" s="90"/>
      <c r="J141" s="90"/>
      <c r="K141" s="90"/>
      <c r="L141" s="90"/>
      <c r="M141" s="90"/>
      <c r="N141" s="90"/>
      <c r="O141" s="90"/>
      <c r="P141" s="90"/>
      <c r="Q141" s="90"/>
      <c r="R141" s="90"/>
    </row>
    <row r="142" spans="1:18">
      <c r="A142" s="90"/>
      <c r="B142" s="133"/>
      <c r="C142" s="90"/>
      <c r="D142" s="90"/>
      <c r="E142" s="90"/>
      <c r="F142" s="90"/>
      <c r="G142" s="90"/>
      <c r="H142" s="90"/>
      <c r="I142" s="90"/>
      <c r="J142" s="90"/>
      <c r="K142" s="90"/>
      <c r="L142" s="90"/>
      <c r="M142" s="90"/>
      <c r="N142" s="90"/>
      <c r="O142" s="90"/>
      <c r="P142" s="90"/>
      <c r="Q142" s="90"/>
      <c r="R142" s="90"/>
    </row>
    <row r="143" spans="1:18" ht="13.8" outlineLevel="2">
      <c r="A143" s="353"/>
      <c r="B143" s="667" t="s">
        <v>406</v>
      </c>
      <c r="C143" s="667"/>
      <c r="D143" s="90"/>
      <c r="E143" s="354" t="s">
        <v>96</v>
      </c>
      <c r="F143" s="249" t="s">
        <v>396</v>
      </c>
      <c r="G143" s="249"/>
      <c r="H143" s="90"/>
      <c r="I143" s="90"/>
      <c r="J143" s="90"/>
      <c r="K143" s="90"/>
      <c r="L143" s="90"/>
      <c r="M143" s="90"/>
      <c r="N143" s="90"/>
      <c r="O143" s="90"/>
      <c r="P143" s="90"/>
      <c r="Q143" s="90"/>
      <c r="R143" s="90"/>
    </row>
    <row r="144" spans="1:18" ht="13.8" outlineLevel="2">
      <c r="A144" s="353"/>
      <c r="B144" s="667" t="s">
        <v>407</v>
      </c>
      <c r="C144" s="667"/>
      <c r="D144" s="90"/>
      <c r="E144" s="355" t="e">
        <f>MATCH(E143,$V$43:$V$57,0)+1</f>
        <v>#N/A</v>
      </c>
      <c r="F144" s="249" t="s">
        <v>393</v>
      </c>
      <c r="G144" s="249"/>
      <c r="H144" s="90"/>
      <c r="I144" s="90"/>
      <c r="J144" s="90"/>
      <c r="K144" s="90"/>
      <c r="L144" s="90"/>
      <c r="M144" s="90"/>
      <c r="N144" s="90"/>
      <c r="O144" s="90"/>
      <c r="P144" s="90"/>
      <c r="Q144" s="90"/>
      <c r="R144" s="90"/>
    </row>
    <row r="145" spans="1:18" ht="13.8" outlineLevel="2">
      <c r="A145" s="353"/>
      <c r="B145" s="133">
        <f t="shared" ref="B145:B164" ca="1" si="33">Y69</f>
        <v>10000</v>
      </c>
      <c r="C145" s="133">
        <f ca="1">IFERROR(RANK(B145,$B$145:$B$184,1),"")</f>
        <v>1</v>
      </c>
      <c r="D145" s="90"/>
      <c r="E145" s="355" t="e">
        <f>VLOOKUP(E143,$V$43:$W$57,2,FALSE)</f>
        <v>#N/A</v>
      </c>
      <c r="F145" s="249" t="s">
        <v>394</v>
      </c>
      <c r="G145" s="249"/>
      <c r="H145" s="90"/>
      <c r="I145" s="90"/>
      <c r="J145" s="90"/>
      <c r="K145" s="90"/>
      <c r="L145" s="90"/>
      <c r="M145" s="90"/>
      <c r="N145" s="90"/>
      <c r="O145" s="90"/>
      <c r="P145" s="90"/>
      <c r="Q145" s="90"/>
      <c r="R145" s="90"/>
    </row>
    <row r="146" spans="1:18" ht="13.8" outlineLevel="2">
      <c r="A146" s="353"/>
      <c r="B146" s="133">
        <f t="shared" ca="1" si="33"/>
        <v>20000</v>
      </c>
      <c r="C146" s="133">
        <f ca="1">IFERROR(RANK(B146,$B$145:$B$184,1),"")</f>
        <v>3</v>
      </c>
      <c r="D146" s="90"/>
      <c r="E146" s="355">
        <f ca="1">COUNTIF($W$43:$W$57,E145)-1</f>
        <v>-1</v>
      </c>
      <c r="F146" s="249" t="s">
        <v>395</v>
      </c>
      <c r="G146" s="249"/>
      <c r="H146" s="90"/>
      <c r="I146" s="90"/>
      <c r="J146" s="90"/>
      <c r="K146" s="90"/>
      <c r="L146" s="90"/>
      <c r="M146" s="90"/>
      <c r="N146" s="90"/>
      <c r="O146" s="90"/>
      <c r="P146" s="90"/>
      <c r="Q146" s="90"/>
      <c r="R146" s="90"/>
    </row>
    <row r="147" spans="1:18" ht="13.8" outlineLevel="2">
      <c r="A147" s="353"/>
      <c r="B147" s="133" t="str">
        <f t="shared" ca="1" si="33"/>
        <v/>
      </c>
      <c r="C147" s="133" t="str">
        <f t="shared" ref="C147:C183" ca="1" si="34">IFERROR(RANK(B147,$B$145:$B$184,1),"")</f>
        <v/>
      </c>
      <c r="D147" s="90"/>
      <c r="E147" s="355" t="e">
        <f ca="1">OFFSET($V$42,E144,,E146,)</f>
        <v>#N/A</v>
      </c>
      <c r="F147" s="249" t="s">
        <v>391</v>
      </c>
      <c r="G147" s="249"/>
      <c r="H147" s="90"/>
      <c r="I147" s="90"/>
      <c r="J147" s="90"/>
      <c r="K147" s="90"/>
      <c r="L147" s="90"/>
      <c r="M147" s="90"/>
      <c r="N147" s="90"/>
      <c r="O147" s="90"/>
      <c r="P147" s="90"/>
      <c r="Q147" s="90"/>
      <c r="R147" s="90"/>
    </row>
    <row r="148" spans="1:18" ht="13.8" outlineLevel="2">
      <c r="A148" s="353"/>
      <c r="B148" s="133" t="str">
        <f t="shared" ca="1" si="33"/>
        <v/>
      </c>
      <c r="C148" s="133" t="str">
        <f t="shared" ca="1" si="34"/>
        <v/>
      </c>
      <c r="D148" s="90"/>
      <c r="E148" s="355" t="s">
        <v>258</v>
      </c>
      <c r="F148" s="249" t="s">
        <v>392</v>
      </c>
      <c r="G148" s="249"/>
      <c r="H148" s="90"/>
      <c r="I148" s="90"/>
      <c r="J148" s="90"/>
      <c r="K148" s="90"/>
      <c r="L148" s="90"/>
      <c r="M148" s="90"/>
      <c r="N148" s="90"/>
      <c r="O148" s="90"/>
      <c r="P148" s="90"/>
      <c r="Q148" s="90"/>
      <c r="R148" s="90"/>
    </row>
    <row r="149" spans="1:18" ht="13.8" outlineLevel="2">
      <c r="A149" s="353"/>
      <c r="B149" s="133" t="str">
        <f t="shared" ca="1" si="33"/>
        <v/>
      </c>
      <c r="C149" s="133" t="str">
        <f t="shared" ca="1" si="34"/>
        <v/>
      </c>
      <c r="D149" s="90"/>
      <c r="E149" s="355" t="e">
        <f ca="1">OFFSET('1_INPUT'!$V$42,MATCH(E143,'1_INPUT'!$K$43:$K$57,0)+1,,COUNTIF('1_INPUT'!$L$43:$L$57,VLOOKUP(E143,'1_INPUT'!$K$43:$L$57,2,FALSE))-1,)</f>
        <v>#N/A</v>
      </c>
      <c r="F149" s="249" t="s">
        <v>397</v>
      </c>
      <c r="G149" s="249"/>
      <c r="H149" s="90"/>
      <c r="I149" s="90"/>
      <c r="J149" s="90"/>
      <c r="K149" s="90"/>
      <c r="L149" s="90"/>
      <c r="M149" s="90"/>
      <c r="N149" s="90"/>
      <c r="O149" s="90"/>
      <c r="P149" s="90"/>
      <c r="Q149" s="90"/>
      <c r="R149" s="90"/>
    </row>
    <row r="150" spans="1:18" ht="13.8" outlineLevel="2">
      <c r="A150" s="353"/>
      <c r="B150" s="133" t="str">
        <f t="shared" ca="1" si="33"/>
        <v/>
      </c>
      <c r="C150" s="133" t="str">
        <f t="shared" ca="1" si="34"/>
        <v/>
      </c>
      <c r="D150" s="90"/>
      <c r="E150" s="355"/>
      <c r="F150" s="249" t="s">
        <v>392</v>
      </c>
      <c r="G150" s="249"/>
      <c r="H150" s="90"/>
      <c r="I150" s="90"/>
      <c r="J150" s="90"/>
      <c r="K150" s="90"/>
      <c r="L150" s="90"/>
      <c r="M150" s="90"/>
      <c r="N150" s="90"/>
      <c r="O150" s="90"/>
      <c r="P150" s="90"/>
      <c r="Q150" s="90"/>
      <c r="R150" s="90"/>
    </row>
    <row r="151" spans="1:18" outlineLevel="2">
      <c r="A151" s="353"/>
      <c r="B151" s="133">
        <f t="shared" ca="1" si="33"/>
        <v>30000</v>
      </c>
      <c r="C151" s="133">
        <f t="shared" ca="1" si="34"/>
        <v>9</v>
      </c>
      <c r="D151" s="90"/>
      <c r="E151" s="90"/>
      <c r="F151" s="90"/>
      <c r="G151" s="90"/>
      <c r="H151" s="90"/>
      <c r="I151" s="90"/>
      <c r="J151" s="90"/>
      <c r="K151" s="90"/>
      <c r="L151" s="90"/>
      <c r="M151" s="90"/>
      <c r="N151" s="90"/>
      <c r="O151" s="90"/>
      <c r="P151" s="90"/>
      <c r="Q151" s="90"/>
      <c r="R151" s="90"/>
    </row>
    <row r="152" spans="1:18" outlineLevel="2">
      <c r="A152" s="353"/>
      <c r="B152" s="133" t="str">
        <f t="shared" ca="1" si="33"/>
        <v/>
      </c>
      <c r="C152" s="133" t="str">
        <f t="shared" ca="1" si="34"/>
        <v/>
      </c>
      <c r="D152" s="90"/>
      <c r="E152" s="90"/>
      <c r="F152" s="90"/>
      <c r="G152" s="90"/>
      <c r="H152" s="90"/>
      <c r="I152" s="90"/>
      <c r="J152" s="90"/>
      <c r="K152" s="90"/>
      <c r="L152" s="90"/>
      <c r="M152" s="90"/>
      <c r="N152" s="90"/>
      <c r="O152" s="90"/>
      <c r="P152" s="90"/>
      <c r="Q152" s="90"/>
      <c r="R152" s="90"/>
    </row>
    <row r="153" spans="1:18" outlineLevel="2">
      <c r="A153" s="353"/>
      <c r="B153" s="133" t="str">
        <f t="shared" ca="1" si="33"/>
        <v/>
      </c>
      <c r="C153" s="133" t="str">
        <f t="shared" ca="1" si="34"/>
        <v/>
      </c>
      <c r="D153" s="90"/>
      <c r="E153" s="90"/>
      <c r="F153" s="90"/>
      <c r="G153" s="90"/>
      <c r="H153" s="90"/>
      <c r="I153" s="90"/>
      <c r="J153" s="90"/>
      <c r="K153" s="90"/>
      <c r="L153" s="90"/>
      <c r="M153" s="90"/>
      <c r="N153" s="90"/>
      <c r="O153" s="90"/>
      <c r="P153" s="90"/>
      <c r="Q153" s="90"/>
      <c r="R153" s="90"/>
    </row>
    <row r="154" spans="1:18" outlineLevel="2">
      <c r="A154" s="353"/>
      <c r="B154" s="133" t="str">
        <f t="shared" ca="1" si="33"/>
        <v/>
      </c>
      <c r="C154" s="133" t="str">
        <f t="shared" ca="1" si="34"/>
        <v/>
      </c>
      <c r="D154" s="90"/>
      <c r="E154" s="90"/>
      <c r="F154" s="90"/>
      <c r="G154" s="90"/>
      <c r="H154" s="90"/>
      <c r="I154" s="90"/>
      <c r="J154" s="90"/>
      <c r="K154" s="90"/>
      <c r="L154" s="90"/>
      <c r="M154" s="90"/>
      <c r="N154" s="90"/>
      <c r="O154" s="90"/>
      <c r="P154" s="90"/>
      <c r="Q154" s="90"/>
      <c r="R154" s="90"/>
    </row>
    <row r="155" spans="1:18" outlineLevel="2">
      <c r="A155" s="353"/>
      <c r="B155" s="133" t="str">
        <f t="shared" ca="1" si="33"/>
        <v/>
      </c>
      <c r="C155" s="133" t="str">
        <f t="shared" ca="1" si="34"/>
        <v/>
      </c>
      <c r="D155" s="90"/>
      <c r="E155" s="90"/>
      <c r="F155" s="90"/>
      <c r="G155" s="90"/>
      <c r="H155" s="90"/>
      <c r="I155" s="90"/>
      <c r="J155" s="90"/>
      <c r="K155" s="90"/>
      <c r="L155" s="90"/>
      <c r="M155" s="90"/>
      <c r="N155" s="90"/>
      <c r="O155" s="90"/>
      <c r="P155" s="90"/>
      <c r="Q155" s="90"/>
      <c r="R155" s="90"/>
    </row>
    <row r="156" spans="1:18" outlineLevel="2">
      <c r="A156" s="353"/>
      <c r="B156" s="133" t="str">
        <f t="shared" ca="1" si="33"/>
        <v/>
      </c>
      <c r="C156" s="133" t="str">
        <f t="shared" ca="1" si="34"/>
        <v/>
      </c>
      <c r="D156" s="90"/>
      <c r="E156" s="90"/>
      <c r="F156" s="90"/>
      <c r="G156" s="90"/>
      <c r="H156" s="90"/>
      <c r="I156" s="90"/>
      <c r="J156" s="90"/>
      <c r="K156" s="90"/>
      <c r="L156" s="90"/>
      <c r="M156" s="90"/>
      <c r="N156" s="90"/>
      <c r="O156" s="90"/>
      <c r="P156" s="90"/>
      <c r="Q156" s="90"/>
      <c r="R156" s="90"/>
    </row>
    <row r="157" spans="1:18" outlineLevel="2">
      <c r="A157" s="353"/>
      <c r="B157" s="133" t="str">
        <f t="shared" ca="1" si="33"/>
        <v/>
      </c>
      <c r="C157" s="133" t="str">
        <f t="shared" ca="1" si="34"/>
        <v/>
      </c>
      <c r="D157" s="90"/>
      <c r="E157" s="90"/>
      <c r="F157" s="90"/>
      <c r="G157" s="90"/>
      <c r="H157" s="90"/>
      <c r="I157" s="90"/>
      <c r="J157" s="90"/>
      <c r="K157" s="90"/>
      <c r="L157" s="90"/>
      <c r="M157" s="90"/>
      <c r="N157" s="90"/>
      <c r="O157" s="90"/>
      <c r="P157" s="90"/>
      <c r="Q157" s="90"/>
      <c r="R157" s="90"/>
    </row>
    <row r="158" spans="1:18" outlineLevel="2">
      <c r="A158" s="353"/>
      <c r="B158" s="133" t="str">
        <f t="shared" ca="1" si="33"/>
        <v/>
      </c>
      <c r="C158" s="133" t="str">
        <f t="shared" ca="1" si="34"/>
        <v/>
      </c>
      <c r="D158" s="90"/>
      <c r="E158" s="90"/>
      <c r="F158" s="90"/>
      <c r="G158" s="90"/>
      <c r="H158" s="90"/>
      <c r="I158" s="90"/>
      <c r="J158" s="90"/>
      <c r="K158" s="90"/>
      <c r="L158" s="90"/>
      <c r="M158" s="90"/>
      <c r="N158" s="90"/>
      <c r="O158" s="90"/>
      <c r="P158" s="90"/>
      <c r="Q158" s="90"/>
      <c r="R158" s="90"/>
    </row>
    <row r="159" spans="1:18" outlineLevel="2">
      <c r="A159" s="353"/>
      <c r="B159" s="133" t="str">
        <f t="shared" ca="1" si="33"/>
        <v/>
      </c>
      <c r="C159" s="133" t="str">
        <f t="shared" ca="1" si="34"/>
        <v/>
      </c>
      <c r="D159" s="90"/>
      <c r="E159" s="90"/>
      <c r="F159" s="90"/>
      <c r="G159" s="90"/>
      <c r="H159" s="90"/>
      <c r="I159" s="90"/>
      <c r="J159" s="90"/>
      <c r="K159" s="90"/>
      <c r="L159" s="90"/>
      <c r="M159" s="90"/>
      <c r="N159" s="90"/>
      <c r="O159" s="90"/>
      <c r="P159" s="90"/>
      <c r="Q159" s="90"/>
      <c r="R159" s="90"/>
    </row>
    <row r="160" spans="1:18" outlineLevel="2">
      <c r="A160" s="353"/>
      <c r="B160" s="133" t="str">
        <f t="shared" ca="1" si="33"/>
        <v/>
      </c>
      <c r="C160" s="133" t="str">
        <f t="shared" ca="1" si="34"/>
        <v/>
      </c>
      <c r="D160" s="90"/>
      <c r="E160" s="90"/>
      <c r="F160" s="90"/>
      <c r="G160" s="90"/>
      <c r="H160" s="90"/>
      <c r="I160" s="90"/>
      <c r="J160" s="90"/>
      <c r="K160" s="90"/>
      <c r="L160" s="90"/>
      <c r="M160" s="90"/>
      <c r="N160" s="90"/>
      <c r="O160" s="90"/>
      <c r="P160" s="90"/>
      <c r="Q160" s="90"/>
      <c r="R160" s="90"/>
    </row>
    <row r="161" spans="1:18" outlineLevel="2">
      <c r="A161" s="353"/>
      <c r="B161" s="133" t="str">
        <f t="shared" ca="1" si="33"/>
        <v/>
      </c>
      <c r="C161" s="133" t="str">
        <f t="shared" ca="1" si="34"/>
        <v/>
      </c>
      <c r="D161" s="90"/>
      <c r="E161" s="90"/>
      <c r="F161" s="90"/>
      <c r="G161" s="90"/>
      <c r="H161" s="90"/>
      <c r="I161" s="90"/>
      <c r="J161" s="90"/>
      <c r="K161" s="90"/>
      <c r="L161" s="90"/>
      <c r="M161" s="90"/>
      <c r="N161" s="90"/>
      <c r="O161" s="90"/>
      <c r="P161" s="90"/>
      <c r="Q161" s="90"/>
      <c r="R161" s="90"/>
    </row>
    <row r="162" spans="1:18" outlineLevel="2">
      <c r="A162" s="353"/>
      <c r="B162" s="133" t="str">
        <f t="shared" ca="1" si="33"/>
        <v/>
      </c>
      <c r="C162" s="133" t="str">
        <f t="shared" ca="1" si="34"/>
        <v/>
      </c>
      <c r="D162" s="90"/>
      <c r="E162" s="90"/>
      <c r="F162" s="90"/>
      <c r="G162" s="90"/>
      <c r="H162" s="90"/>
      <c r="I162" s="90"/>
      <c r="J162" s="90"/>
      <c r="K162" s="90"/>
      <c r="L162" s="90"/>
      <c r="M162" s="90"/>
      <c r="N162" s="90"/>
      <c r="O162" s="90"/>
      <c r="P162" s="90"/>
      <c r="Q162" s="90"/>
      <c r="R162" s="90"/>
    </row>
    <row r="163" spans="1:18" outlineLevel="2">
      <c r="A163" s="353"/>
      <c r="B163" s="133" t="str">
        <f t="shared" ca="1" si="33"/>
        <v/>
      </c>
      <c r="C163" s="133" t="str">
        <f t="shared" ca="1" si="34"/>
        <v/>
      </c>
      <c r="D163" s="90"/>
      <c r="E163" s="90"/>
      <c r="F163" s="90"/>
      <c r="G163" s="90"/>
      <c r="H163" s="90"/>
      <c r="I163" s="90"/>
      <c r="J163" s="90"/>
      <c r="K163" s="90"/>
      <c r="L163" s="90"/>
      <c r="M163" s="90"/>
      <c r="N163" s="90"/>
      <c r="O163" s="90"/>
      <c r="P163" s="90"/>
      <c r="Q163" s="90"/>
      <c r="R163" s="90"/>
    </row>
    <row r="164" spans="1:18" outlineLevel="2">
      <c r="A164" s="353"/>
      <c r="B164" s="133" t="str">
        <f t="shared" ca="1" si="33"/>
        <v/>
      </c>
      <c r="C164" s="133" t="str">
        <f t="shared" ca="1" si="34"/>
        <v/>
      </c>
      <c r="D164" s="90"/>
      <c r="E164" s="90"/>
      <c r="F164" s="90"/>
      <c r="G164" s="90"/>
      <c r="H164" s="90"/>
      <c r="I164" s="90"/>
      <c r="J164" s="90"/>
      <c r="K164" s="90"/>
      <c r="L164" s="90"/>
      <c r="M164" s="90"/>
      <c r="N164" s="90"/>
      <c r="O164" s="90"/>
      <c r="P164" s="90"/>
      <c r="Q164" s="90"/>
      <c r="R164" s="90"/>
    </row>
    <row r="165" spans="1:18" outlineLevel="2">
      <c r="A165" s="353"/>
      <c r="B165" s="133">
        <f t="shared" ref="B165:B183" ca="1" si="35">AA69</f>
        <v>11000</v>
      </c>
      <c r="C165" s="133">
        <f t="shared" ca="1" si="34"/>
        <v>2</v>
      </c>
      <c r="D165" s="90"/>
      <c r="E165" s="90"/>
      <c r="F165" s="90"/>
      <c r="G165" s="90"/>
      <c r="H165" s="90"/>
      <c r="I165" s="90"/>
      <c r="J165" s="90"/>
      <c r="K165" s="90"/>
      <c r="L165" s="90"/>
      <c r="M165" s="90"/>
      <c r="N165" s="90"/>
      <c r="O165" s="90"/>
      <c r="P165" s="90"/>
      <c r="Q165" s="90"/>
      <c r="R165" s="90"/>
    </row>
    <row r="166" spans="1:18" outlineLevel="2">
      <c r="A166" s="353"/>
      <c r="B166" s="133">
        <f t="shared" ca="1" si="35"/>
        <v>21001</v>
      </c>
      <c r="C166" s="133">
        <f t="shared" ca="1" si="34"/>
        <v>4</v>
      </c>
      <c r="D166" s="90"/>
      <c r="E166" s="90"/>
      <c r="F166" s="90"/>
      <c r="G166" s="90"/>
      <c r="H166" s="90"/>
      <c r="I166" s="90"/>
      <c r="J166" s="90"/>
      <c r="K166" s="90"/>
      <c r="L166" s="90"/>
      <c r="M166" s="90"/>
      <c r="N166" s="90"/>
      <c r="O166" s="90"/>
      <c r="P166" s="90"/>
      <c r="Q166" s="90"/>
      <c r="R166" s="90"/>
    </row>
    <row r="167" spans="1:18" outlineLevel="2">
      <c r="A167" s="353"/>
      <c r="B167" s="133">
        <f t="shared" ca="1" si="35"/>
        <v>21002</v>
      </c>
      <c r="C167" s="133">
        <f t="shared" ca="1" si="34"/>
        <v>5</v>
      </c>
      <c r="D167" s="90"/>
      <c r="E167" s="90"/>
      <c r="F167" s="90"/>
      <c r="G167" s="90"/>
      <c r="H167" s="90"/>
      <c r="I167" s="90"/>
      <c r="J167" s="90"/>
      <c r="K167" s="90"/>
      <c r="L167" s="90"/>
      <c r="M167" s="90"/>
      <c r="N167" s="90"/>
      <c r="O167" s="90"/>
      <c r="P167" s="90"/>
      <c r="Q167" s="90"/>
      <c r="R167" s="90"/>
    </row>
    <row r="168" spans="1:18" outlineLevel="2">
      <c r="A168" s="353"/>
      <c r="B168" s="133">
        <f t="shared" ca="1" si="35"/>
        <v>21003</v>
      </c>
      <c r="C168" s="133">
        <f t="shared" ca="1" si="34"/>
        <v>6</v>
      </c>
      <c r="D168" s="90"/>
      <c r="E168" s="90"/>
      <c r="F168" s="90"/>
      <c r="G168" s="90"/>
      <c r="H168" s="90"/>
      <c r="I168" s="90"/>
      <c r="J168" s="90"/>
      <c r="K168" s="90"/>
      <c r="L168" s="90"/>
      <c r="M168" s="90"/>
      <c r="N168" s="90"/>
      <c r="O168" s="90"/>
      <c r="P168" s="90"/>
      <c r="Q168" s="90"/>
      <c r="R168" s="90"/>
    </row>
    <row r="169" spans="1:18" outlineLevel="2">
      <c r="A169" s="353"/>
      <c r="B169" s="133">
        <f t="shared" ca="1" si="35"/>
        <v>21004</v>
      </c>
      <c r="C169" s="133">
        <f t="shared" ca="1" si="34"/>
        <v>7</v>
      </c>
      <c r="D169" s="90"/>
      <c r="E169" s="90"/>
      <c r="F169" s="90"/>
      <c r="G169" s="90"/>
      <c r="H169" s="90"/>
      <c r="I169" s="90"/>
      <c r="J169" s="90"/>
      <c r="K169" s="90"/>
      <c r="L169" s="90"/>
      <c r="M169" s="90"/>
      <c r="N169" s="90"/>
      <c r="O169" s="90"/>
      <c r="P169" s="90"/>
      <c r="Q169" s="90"/>
      <c r="R169" s="90"/>
    </row>
    <row r="170" spans="1:18" outlineLevel="2">
      <c r="A170" s="353"/>
      <c r="B170" s="133">
        <f t="shared" ca="1" si="35"/>
        <v>21005</v>
      </c>
      <c r="C170" s="133">
        <f t="shared" ca="1" si="34"/>
        <v>8</v>
      </c>
      <c r="D170" s="90"/>
      <c r="E170" s="90"/>
      <c r="F170" s="90"/>
      <c r="G170" s="90"/>
      <c r="H170" s="90"/>
      <c r="I170" s="90"/>
      <c r="J170" s="90"/>
      <c r="K170" s="90"/>
      <c r="L170" s="90"/>
      <c r="M170" s="90"/>
      <c r="N170" s="90"/>
      <c r="O170" s="90"/>
      <c r="P170" s="90"/>
      <c r="Q170" s="90"/>
      <c r="R170" s="90"/>
    </row>
    <row r="171" spans="1:18" outlineLevel="2">
      <c r="A171" s="353"/>
      <c r="B171" s="133">
        <f t="shared" ca="1" si="35"/>
        <v>31001</v>
      </c>
      <c r="C171" s="133">
        <f t="shared" ca="1" si="34"/>
        <v>10</v>
      </c>
      <c r="D171" s="90"/>
      <c r="E171" s="90"/>
      <c r="F171" s="90"/>
      <c r="G171" s="90"/>
      <c r="H171" s="90"/>
      <c r="I171" s="90"/>
      <c r="J171" s="90"/>
      <c r="K171" s="90"/>
      <c r="L171" s="90"/>
      <c r="M171" s="90"/>
      <c r="N171" s="90"/>
      <c r="O171" s="90"/>
      <c r="P171" s="90"/>
      <c r="Q171" s="90"/>
      <c r="R171" s="90"/>
    </row>
    <row r="172" spans="1:18" outlineLevel="2">
      <c r="A172" s="353"/>
      <c r="B172" s="133" t="str">
        <f t="shared" ca="1" si="35"/>
        <v/>
      </c>
      <c r="C172" s="133" t="str">
        <f t="shared" ca="1" si="34"/>
        <v/>
      </c>
      <c r="D172" s="90"/>
      <c r="E172" s="90"/>
      <c r="F172" s="90"/>
      <c r="G172" s="90"/>
      <c r="H172" s="90"/>
      <c r="I172" s="90"/>
      <c r="J172" s="90"/>
      <c r="K172" s="90"/>
      <c r="L172" s="90"/>
      <c r="M172" s="90"/>
      <c r="N172" s="90"/>
      <c r="O172" s="90"/>
      <c r="P172" s="90"/>
      <c r="Q172" s="90"/>
      <c r="R172" s="90"/>
    </row>
    <row r="173" spans="1:18" outlineLevel="2">
      <c r="A173" s="353"/>
      <c r="B173" s="133" t="str">
        <f t="shared" ca="1" si="35"/>
        <v/>
      </c>
      <c r="C173" s="133" t="str">
        <f t="shared" ca="1" si="34"/>
        <v/>
      </c>
      <c r="D173" s="90"/>
      <c r="E173" s="90"/>
      <c r="F173" s="90"/>
      <c r="G173" s="90"/>
      <c r="H173" s="90"/>
      <c r="I173" s="90"/>
      <c r="J173" s="90"/>
      <c r="K173" s="90"/>
      <c r="L173" s="90"/>
      <c r="M173" s="90"/>
      <c r="N173" s="90"/>
      <c r="O173" s="90"/>
      <c r="P173" s="90"/>
      <c r="Q173" s="90"/>
      <c r="R173" s="90"/>
    </row>
    <row r="174" spans="1:18" outlineLevel="2">
      <c r="A174" s="353"/>
      <c r="B174" s="133" t="str">
        <f t="shared" ca="1" si="35"/>
        <v/>
      </c>
      <c r="C174" s="133" t="str">
        <f t="shared" ca="1" si="34"/>
        <v/>
      </c>
      <c r="D174" s="90"/>
      <c r="E174" s="90"/>
      <c r="F174" s="90"/>
      <c r="G174" s="90"/>
      <c r="H174" s="90"/>
      <c r="I174" s="90"/>
      <c r="J174" s="90"/>
      <c r="K174" s="90"/>
      <c r="L174" s="90"/>
      <c r="M174" s="90"/>
      <c r="N174" s="90"/>
      <c r="O174" s="90"/>
      <c r="P174" s="90"/>
      <c r="Q174" s="90"/>
      <c r="R174" s="90"/>
    </row>
    <row r="175" spans="1:18" outlineLevel="2">
      <c r="A175" s="353"/>
      <c r="B175" s="133" t="str">
        <f t="shared" ca="1" si="35"/>
        <v/>
      </c>
      <c r="C175" s="133" t="str">
        <f t="shared" ca="1" si="34"/>
        <v/>
      </c>
      <c r="D175" s="90"/>
      <c r="E175" s="90"/>
      <c r="F175" s="90"/>
      <c r="G175" s="90"/>
      <c r="H175" s="90"/>
      <c r="I175" s="90"/>
      <c r="J175" s="90"/>
      <c r="K175" s="90"/>
      <c r="L175" s="90"/>
      <c r="M175" s="90"/>
      <c r="N175" s="90"/>
      <c r="O175" s="90"/>
      <c r="P175" s="90"/>
      <c r="Q175" s="90"/>
      <c r="R175" s="90"/>
    </row>
    <row r="176" spans="1:18" outlineLevel="2">
      <c r="A176" s="353"/>
      <c r="B176" s="133" t="str">
        <f t="shared" ca="1" si="35"/>
        <v/>
      </c>
      <c r="C176" s="133" t="str">
        <f t="shared" ca="1" si="34"/>
        <v/>
      </c>
      <c r="D176" s="90"/>
      <c r="E176" s="90"/>
      <c r="F176" s="90"/>
      <c r="G176" s="90"/>
      <c r="H176" s="90"/>
      <c r="I176" s="90"/>
      <c r="J176" s="90"/>
      <c r="K176" s="90"/>
      <c r="L176" s="90"/>
      <c r="M176" s="90"/>
      <c r="N176" s="90"/>
      <c r="O176" s="90"/>
      <c r="P176" s="90"/>
      <c r="Q176" s="90"/>
      <c r="R176" s="90"/>
    </row>
    <row r="177" spans="1:18" outlineLevel="2">
      <c r="A177" s="353"/>
      <c r="B177" s="133" t="str">
        <f t="shared" ca="1" si="35"/>
        <v/>
      </c>
      <c r="C177" s="133" t="str">
        <f t="shared" ca="1" si="34"/>
        <v/>
      </c>
      <c r="D177" s="90"/>
      <c r="E177" s="90"/>
      <c r="F177" s="90"/>
      <c r="G177" s="90"/>
      <c r="H177" s="90"/>
      <c r="I177" s="90"/>
      <c r="J177" s="90"/>
      <c r="K177" s="90"/>
      <c r="L177" s="90"/>
      <c r="M177" s="90"/>
      <c r="N177" s="90"/>
      <c r="O177" s="90"/>
      <c r="P177" s="90"/>
      <c r="Q177" s="90"/>
      <c r="R177" s="90"/>
    </row>
    <row r="178" spans="1:18" outlineLevel="2">
      <c r="A178" s="353"/>
      <c r="B178" s="133" t="str">
        <f t="shared" ca="1" si="35"/>
        <v/>
      </c>
      <c r="C178" s="133" t="str">
        <f t="shared" ca="1" si="34"/>
        <v/>
      </c>
      <c r="D178" s="90"/>
      <c r="E178" s="90"/>
      <c r="F178" s="90"/>
      <c r="G178" s="90"/>
      <c r="H178" s="90"/>
      <c r="I178" s="90"/>
      <c r="J178" s="90"/>
      <c r="K178" s="90"/>
      <c r="L178" s="90"/>
      <c r="M178" s="90"/>
      <c r="N178" s="90"/>
      <c r="O178" s="90"/>
      <c r="P178" s="90"/>
      <c r="Q178" s="90"/>
      <c r="R178" s="90"/>
    </row>
    <row r="179" spans="1:18" outlineLevel="2">
      <c r="A179" s="353"/>
      <c r="B179" s="133" t="str">
        <f t="shared" ca="1" si="35"/>
        <v/>
      </c>
      <c r="C179" s="133" t="str">
        <f t="shared" ca="1" si="34"/>
        <v/>
      </c>
      <c r="D179" s="90"/>
      <c r="E179" s="90"/>
      <c r="F179" s="90"/>
      <c r="G179" s="90"/>
      <c r="H179" s="90"/>
      <c r="I179" s="90"/>
      <c r="J179" s="90"/>
      <c r="K179" s="90"/>
      <c r="L179" s="90"/>
      <c r="M179" s="90"/>
      <c r="N179" s="90"/>
      <c r="O179" s="90"/>
      <c r="P179" s="90"/>
      <c r="Q179" s="90"/>
      <c r="R179" s="90"/>
    </row>
    <row r="180" spans="1:18" outlineLevel="2">
      <c r="A180" s="353"/>
      <c r="B180" s="133" t="str">
        <f t="shared" ca="1" si="35"/>
        <v/>
      </c>
      <c r="C180" s="133" t="str">
        <f t="shared" ca="1" si="34"/>
        <v/>
      </c>
      <c r="D180" s="90"/>
      <c r="E180" s="90"/>
      <c r="F180" s="90"/>
      <c r="G180" s="90"/>
      <c r="H180" s="90"/>
      <c r="I180" s="90"/>
      <c r="J180" s="90"/>
      <c r="K180" s="90"/>
      <c r="L180" s="90"/>
      <c r="M180" s="90"/>
      <c r="N180" s="90"/>
      <c r="O180" s="90"/>
      <c r="P180" s="90"/>
      <c r="Q180" s="90"/>
      <c r="R180" s="90"/>
    </row>
    <row r="181" spans="1:18" outlineLevel="2">
      <c r="A181" s="353"/>
      <c r="B181" s="133" t="str">
        <f t="shared" ca="1" si="35"/>
        <v/>
      </c>
      <c r="C181" s="133" t="str">
        <f t="shared" ca="1" si="34"/>
        <v/>
      </c>
      <c r="D181" s="90"/>
      <c r="E181" s="90"/>
      <c r="F181" s="90"/>
      <c r="G181" s="90"/>
      <c r="H181" s="90"/>
      <c r="I181" s="90"/>
      <c r="J181" s="90"/>
      <c r="K181" s="90"/>
      <c r="L181" s="90"/>
      <c r="M181" s="90"/>
      <c r="N181" s="90"/>
      <c r="O181" s="90"/>
      <c r="P181" s="90"/>
      <c r="Q181" s="90"/>
      <c r="R181" s="90"/>
    </row>
    <row r="182" spans="1:18" outlineLevel="2">
      <c r="A182" s="353"/>
      <c r="B182" s="133" t="str">
        <f t="shared" ca="1" si="35"/>
        <v/>
      </c>
      <c r="C182" s="133" t="str">
        <f t="shared" ca="1" si="34"/>
        <v/>
      </c>
      <c r="D182" s="90"/>
      <c r="E182" s="90"/>
      <c r="F182" s="90"/>
      <c r="G182" s="90"/>
      <c r="H182" s="90"/>
      <c r="I182" s="90"/>
      <c r="J182" s="90"/>
      <c r="K182" s="90"/>
      <c r="L182" s="90"/>
      <c r="M182" s="90"/>
      <c r="N182" s="90"/>
      <c r="O182" s="90"/>
      <c r="P182" s="90"/>
      <c r="Q182" s="90"/>
      <c r="R182" s="90"/>
    </row>
    <row r="183" spans="1:18" outlineLevel="2">
      <c r="A183" s="353"/>
      <c r="B183" s="133" t="str">
        <f t="shared" ca="1" si="35"/>
        <v/>
      </c>
      <c r="C183" s="133" t="str">
        <f t="shared" ca="1" si="34"/>
        <v/>
      </c>
      <c r="D183" s="90"/>
      <c r="E183" s="90"/>
      <c r="F183" s="90"/>
      <c r="G183" s="90"/>
      <c r="H183" s="90"/>
      <c r="I183" s="90"/>
      <c r="J183" s="90"/>
      <c r="K183" s="90"/>
      <c r="L183" s="90"/>
      <c r="M183" s="90"/>
      <c r="N183" s="90"/>
      <c r="O183" s="90"/>
      <c r="P183" s="90"/>
      <c r="Q183" s="90"/>
      <c r="R183" s="90"/>
    </row>
    <row r="184" spans="1:18" outlineLevel="2">
      <c r="A184" s="353"/>
      <c r="B184" s="356" t="s">
        <v>408</v>
      </c>
      <c r="C184" s="356" t="s">
        <v>408</v>
      </c>
      <c r="D184" s="90"/>
      <c r="E184" s="90"/>
      <c r="F184" s="90"/>
      <c r="G184" s="90"/>
      <c r="H184" s="90"/>
      <c r="I184" s="90"/>
      <c r="J184" s="90"/>
      <c r="K184" s="90"/>
      <c r="L184" s="90"/>
      <c r="M184" s="90"/>
      <c r="N184" s="90"/>
      <c r="O184" s="90"/>
      <c r="P184" s="90"/>
      <c r="Q184" s="90"/>
      <c r="R184" s="90"/>
    </row>
    <row r="185" spans="1:18">
      <c r="A185" s="90"/>
      <c r="B185" s="133"/>
      <c r="C185" s="90"/>
      <c r="D185" s="90"/>
      <c r="E185" s="90"/>
      <c r="F185" s="90"/>
      <c r="G185" s="90"/>
      <c r="H185" s="90"/>
      <c r="I185" s="90"/>
      <c r="J185" s="90"/>
      <c r="K185" s="90"/>
      <c r="L185" s="90"/>
      <c r="M185" s="90"/>
      <c r="N185" s="90"/>
      <c r="O185" s="90"/>
      <c r="P185" s="90"/>
      <c r="Q185" s="90"/>
      <c r="R185" s="90"/>
    </row>
    <row r="186" spans="1:18">
      <c r="A186" s="90"/>
      <c r="B186" s="133"/>
      <c r="C186" s="90"/>
      <c r="D186" s="90"/>
      <c r="E186" s="90"/>
      <c r="F186" s="90"/>
      <c r="G186" s="90"/>
      <c r="H186" s="90"/>
      <c r="I186" s="90"/>
      <c r="J186" s="90"/>
      <c r="K186" s="90"/>
      <c r="L186" s="90"/>
      <c r="M186" s="90"/>
      <c r="N186" s="90"/>
      <c r="O186" s="90"/>
      <c r="P186" s="90"/>
      <c r="Q186" s="90"/>
      <c r="R186" s="90"/>
    </row>
    <row r="187" spans="1:18">
      <c r="A187" s="90"/>
      <c r="B187" s="133"/>
      <c r="C187" s="90"/>
      <c r="D187" s="90"/>
      <c r="E187" s="90"/>
      <c r="F187" s="90"/>
      <c r="G187" s="90"/>
      <c r="H187" s="90"/>
      <c r="I187" s="90"/>
      <c r="J187" s="90"/>
      <c r="K187" s="90"/>
      <c r="L187" s="90"/>
      <c r="M187" s="90"/>
      <c r="N187" s="90"/>
      <c r="O187" s="90"/>
      <c r="P187" s="90"/>
      <c r="Q187" s="90"/>
      <c r="R187" s="90"/>
    </row>
    <row r="188" spans="1:18">
      <c r="A188" s="90"/>
      <c r="B188" s="133"/>
      <c r="C188" s="90"/>
      <c r="D188" s="90"/>
      <c r="E188" s="90"/>
      <c r="F188" s="90"/>
      <c r="G188" s="90"/>
      <c r="H188" s="90"/>
      <c r="I188" s="90"/>
      <c r="J188" s="90"/>
      <c r="K188" s="90"/>
      <c r="L188" s="90"/>
      <c r="M188" s="90"/>
      <c r="N188" s="90"/>
      <c r="O188" s="90"/>
      <c r="P188" s="90"/>
      <c r="Q188" s="90"/>
      <c r="R188" s="90"/>
    </row>
    <row r="189" spans="1:18">
      <c r="A189" s="90"/>
      <c r="B189" s="133"/>
      <c r="C189" s="90"/>
      <c r="D189" s="90"/>
      <c r="E189" s="90"/>
      <c r="F189" s="90"/>
      <c r="G189" s="90"/>
      <c r="H189" s="90"/>
      <c r="I189" s="90"/>
      <c r="J189" s="90"/>
      <c r="K189" s="90"/>
      <c r="L189" s="90"/>
      <c r="M189" s="90"/>
      <c r="N189" s="90"/>
      <c r="O189" s="90"/>
      <c r="P189" s="90"/>
      <c r="Q189" s="90"/>
      <c r="R189" s="90"/>
    </row>
    <row r="190" spans="1:18">
      <c r="A190" s="90"/>
      <c r="B190" s="133"/>
      <c r="C190" s="90"/>
      <c r="D190" s="90"/>
      <c r="E190" s="90"/>
      <c r="F190" s="90"/>
      <c r="G190" s="90"/>
      <c r="H190" s="90"/>
      <c r="I190" s="90"/>
      <c r="J190" s="90"/>
      <c r="K190" s="90"/>
      <c r="L190" s="90"/>
      <c r="M190" s="90"/>
      <c r="N190" s="90"/>
      <c r="O190" s="90"/>
      <c r="P190" s="90"/>
      <c r="Q190" s="90"/>
      <c r="R190" s="90"/>
    </row>
    <row r="191" spans="1:18">
      <c r="A191" s="90"/>
      <c r="B191" s="133"/>
      <c r="C191" s="90"/>
      <c r="D191" s="90"/>
      <c r="E191" s="90"/>
      <c r="F191" s="90"/>
      <c r="G191" s="90"/>
      <c r="H191" s="90"/>
      <c r="I191" s="90"/>
      <c r="J191" s="90"/>
      <c r="K191" s="90"/>
      <c r="L191" s="90"/>
      <c r="M191" s="90"/>
      <c r="N191" s="90"/>
      <c r="O191" s="90"/>
      <c r="P191" s="90"/>
      <c r="Q191" s="90"/>
      <c r="R191" s="90"/>
    </row>
    <row r="192" spans="1:18">
      <c r="A192" s="90"/>
      <c r="B192" s="133"/>
      <c r="C192" s="90"/>
      <c r="D192" s="90"/>
      <c r="E192" s="90"/>
      <c r="F192" s="90"/>
      <c r="G192" s="90"/>
      <c r="H192" s="90"/>
      <c r="I192" s="90"/>
      <c r="J192" s="90"/>
      <c r="K192" s="90"/>
      <c r="L192" s="90"/>
      <c r="M192" s="90"/>
      <c r="N192" s="90"/>
      <c r="O192" s="90"/>
      <c r="P192" s="90"/>
      <c r="Q192" s="90"/>
      <c r="R192" s="90"/>
    </row>
    <row r="193" spans="1:18">
      <c r="A193" s="90"/>
      <c r="B193" s="133"/>
      <c r="C193" s="90"/>
      <c r="D193" s="90"/>
      <c r="E193" s="90"/>
      <c r="F193" s="90"/>
      <c r="G193" s="90"/>
      <c r="H193" s="90"/>
      <c r="I193" s="90"/>
      <c r="J193" s="90"/>
      <c r="K193" s="90"/>
      <c r="L193" s="90"/>
      <c r="M193" s="90"/>
      <c r="N193" s="90"/>
      <c r="O193" s="90"/>
      <c r="P193" s="90"/>
      <c r="Q193" s="90"/>
      <c r="R193" s="90"/>
    </row>
    <row r="194" spans="1:18">
      <c r="A194" s="90"/>
      <c r="B194" s="133"/>
      <c r="C194" s="90"/>
      <c r="D194" s="90"/>
      <c r="E194" s="90"/>
      <c r="F194" s="90"/>
      <c r="G194" s="90"/>
      <c r="H194" s="90"/>
      <c r="I194" s="90"/>
      <c r="J194" s="90"/>
      <c r="K194" s="90"/>
      <c r="L194" s="90"/>
      <c r="M194" s="90"/>
      <c r="N194" s="90"/>
      <c r="O194" s="90"/>
      <c r="P194" s="90"/>
      <c r="Q194" s="90"/>
      <c r="R194" s="90"/>
    </row>
    <row r="195" spans="1:18">
      <c r="A195" s="90"/>
      <c r="B195" s="133"/>
      <c r="C195" s="90"/>
      <c r="D195" s="90"/>
      <c r="E195" s="90"/>
      <c r="F195" s="90"/>
      <c r="G195" s="90"/>
      <c r="H195" s="90"/>
      <c r="I195" s="90"/>
      <c r="J195" s="90"/>
      <c r="K195" s="90"/>
      <c r="L195" s="90"/>
      <c r="M195" s="90"/>
      <c r="N195" s="90"/>
      <c r="O195" s="90"/>
      <c r="P195" s="90"/>
      <c r="Q195" s="90"/>
      <c r="R195" s="90"/>
    </row>
    <row r="196" spans="1:18">
      <c r="A196" s="90"/>
      <c r="B196" s="133"/>
      <c r="C196" s="90"/>
      <c r="D196" s="90"/>
      <c r="E196" s="90"/>
      <c r="F196" s="90"/>
      <c r="G196" s="90"/>
      <c r="H196" s="90"/>
      <c r="I196" s="90"/>
      <c r="J196" s="90"/>
      <c r="K196" s="90"/>
      <c r="L196" s="90"/>
      <c r="M196" s="90"/>
      <c r="N196" s="90"/>
      <c r="O196" s="90"/>
      <c r="P196" s="90"/>
      <c r="Q196" s="90"/>
      <c r="R196" s="90"/>
    </row>
    <row r="197" spans="1:18">
      <c r="A197" s="90"/>
      <c r="B197" s="133"/>
      <c r="C197" s="90"/>
      <c r="D197" s="90"/>
      <c r="E197" s="90"/>
      <c r="F197" s="90"/>
      <c r="G197" s="90"/>
      <c r="H197" s="90"/>
      <c r="I197" s="90"/>
      <c r="J197" s="90"/>
      <c r="K197" s="90"/>
      <c r="L197" s="90"/>
      <c r="M197" s="90"/>
      <c r="N197" s="90"/>
      <c r="O197" s="90"/>
      <c r="P197" s="90"/>
      <c r="Q197" s="90"/>
      <c r="R197" s="90"/>
    </row>
    <row r="198" spans="1:18">
      <c r="A198" s="90"/>
      <c r="B198" s="133"/>
      <c r="C198" s="90"/>
      <c r="D198" s="90"/>
      <c r="E198" s="90"/>
      <c r="F198" s="90"/>
      <c r="G198" s="90"/>
      <c r="H198" s="90"/>
      <c r="I198" s="90"/>
      <c r="J198" s="90"/>
      <c r="K198" s="90"/>
      <c r="L198" s="90"/>
      <c r="M198" s="90"/>
      <c r="N198" s="90"/>
      <c r="O198" s="90"/>
      <c r="P198" s="90"/>
      <c r="Q198" s="90"/>
      <c r="R198" s="90"/>
    </row>
    <row r="199" spans="1:18">
      <c r="A199" s="90"/>
      <c r="B199" s="133"/>
      <c r="C199" s="90"/>
      <c r="D199" s="90"/>
      <c r="E199" s="90"/>
      <c r="F199" s="90"/>
      <c r="G199" s="90"/>
      <c r="H199" s="90"/>
      <c r="I199" s="90"/>
      <c r="J199" s="90"/>
      <c r="K199" s="90"/>
      <c r="L199" s="90"/>
      <c r="M199" s="90"/>
      <c r="N199" s="90"/>
      <c r="O199" s="90"/>
      <c r="P199" s="90"/>
      <c r="Q199" s="90"/>
      <c r="R199" s="90"/>
    </row>
    <row r="200" spans="1:18">
      <c r="A200" s="90"/>
      <c r="B200" s="133"/>
      <c r="C200" s="90"/>
      <c r="D200" s="90"/>
      <c r="E200" s="90"/>
      <c r="F200" s="90"/>
      <c r="G200" s="90"/>
      <c r="H200" s="90"/>
      <c r="I200" s="90"/>
      <c r="J200" s="90"/>
      <c r="K200" s="90"/>
      <c r="L200" s="90"/>
      <c r="M200" s="90"/>
      <c r="N200" s="90"/>
      <c r="O200" s="90"/>
      <c r="P200" s="90"/>
      <c r="Q200" s="90"/>
      <c r="R200" s="90"/>
    </row>
    <row r="201" spans="1:18">
      <c r="A201" s="90"/>
      <c r="B201" s="133"/>
      <c r="C201" s="90"/>
      <c r="D201" s="90"/>
      <c r="E201" s="90"/>
      <c r="F201" s="90"/>
      <c r="G201" s="90"/>
      <c r="H201" s="90"/>
      <c r="I201" s="90"/>
      <c r="J201" s="90"/>
      <c r="K201" s="90"/>
      <c r="L201" s="90"/>
      <c r="M201" s="90"/>
      <c r="N201" s="90"/>
      <c r="O201" s="90"/>
      <c r="P201" s="90"/>
      <c r="Q201" s="90"/>
      <c r="R201" s="90"/>
    </row>
    <row r="202" spans="1:18">
      <c r="A202" s="90"/>
      <c r="B202" s="133"/>
      <c r="C202" s="90"/>
      <c r="D202" s="90"/>
      <c r="E202" s="90"/>
      <c r="F202" s="90"/>
      <c r="G202" s="90"/>
      <c r="H202" s="90"/>
      <c r="I202" s="90"/>
      <c r="J202" s="90"/>
      <c r="K202" s="90"/>
      <c r="L202" s="90"/>
      <c r="M202" s="90"/>
      <c r="N202" s="90"/>
      <c r="O202" s="90"/>
      <c r="P202" s="90"/>
      <c r="Q202" s="90"/>
      <c r="R202" s="90"/>
    </row>
    <row r="203" spans="1:18">
      <c r="A203" s="90"/>
      <c r="B203" s="133"/>
      <c r="C203" s="90"/>
      <c r="D203" s="90"/>
      <c r="E203" s="90"/>
      <c r="F203" s="90"/>
      <c r="G203" s="90"/>
      <c r="H203" s="90"/>
      <c r="I203" s="90"/>
      <c r="J203" s="90"/>
      <c r="K203" s="90"/>
      <c r="L203" s="90"/>
      <c r="M203" s="90"/>
      <c r="N203" s="90"/>
      <c r="O203" s="90"/>
      <c r="P203" s="90"/>
      <c r="Q203" s="90"/>
      <c r="R203" s="90"/>
    </row>
    <row r="204" spans="1:18">
      <c r="A204" s="90"/>
      <c r="B204" s="133"/>
      <c r="C204" s="90"/>
      <c r="D204" s="90"/>
      <c r="E204" s="90"/>
      <c r="F204" s="90"/>
      <c r="G204" s="90"/>
      <c r="H204" s="90"/>
      <c r="I204" s="90"/>
      <c r="J204" s="90"/>
      <c r="K204" s="90"/>
      <c r="L204" s="90"/>
      <c r="M204" s="90"/>
      <c r="N204" s="90"/>
      <c r="O204" s="90"/>
      <c r="P204" s="90"/>
      <c r="Q204" s="90"/>
      <c r="R204" s="90"/>
    </row>
    <row r="205" spans="1:18">
      <c r="A205" s="90"/>
      <c r="B205" s="133"/>
      <c r="C205" s="90"/>
      <c r="D205" s="90"/>
      <c r="E205" s="90"/>
      <c r="F205" s="90"/>
      <c r="G205" s="90"/>
      <c r="H205" s="90"/>
      <c r="I205" s="90"/>
      <c r="J205" s="90"/>
      <c r="K205" s="90"/>
      <c r="L205" s="90"/>
      <c r="M205" s="90"/>
      <c r="N205" s="90"/>
      <c r="O205" s="90"/>
      <c r="P205" s="90"/>
      <c r="Q205" s="90"/>
      <c r="R205" s="90"/>
    </row>
    <row r="206" spans="1:18">
      <c r="A206" s="90"/>
      <c r="B206" s="133"/>
      <c r="C206" s="90"/>
      <c r="D206" s="90"/>
      <c r="E206" s="90"/>
      <c r="F206" s="90"/>
      <c r="G206" s="90"/>
      <c r="H206" s="90"/>
      <c r="I206" s="90"/>
      <c r="J206" s="90"/>
      <c r="K206" s="90"/>
      <c r="L206" s="90"/>
      <c r="M206" s="90"/>
      <c r="N206" s="90"/>
      <c r="O206" s="90"/>
      <c r="P206" s="90"/>
      <c r="Q206" s="90"/>
      <c r="R206" s="90"/>
    </row>
    <row r="207" spans="1:18">
      <c r="A207" s="90"/>
      <c r="B207" s="133"/>
      <c r="C207" s="90"/>
      <c r="D207" s="90"/>
      <c r="E207" s="90"/>
      <c r="F207" s="90"/>
      <c r="G207" s="90"/>
      <c r="H207" s="90"/>
      <c r="I207" s="90"/>
      <c r="J207" s="90"/>
      <c r="K207" s="90"/>
      <c r="L207" s="90"/>
      <c r="M207" s="90"/>
      <c r="N207" s="90"/>
      <c r="O207" s="90"/>
      <c r="P207" s="90"/>
      <c r="Q207" s="90"/>
      <c r="R207" s="90"/>
    </row>
    <row r="208" spans="1:18">
      <c r="A208" s="90"/>
      <c r="B208" s="133"/>
      <c r="C208" s="90"/>
      <c r="D208" s="90"/>
      <c r="E208" s="90"/>
      <c r="F208" s="90"/>
      <c r="G208" s="90"/>
      <c r="H208" s="90"/>
      <c r="I208" s="90"/>
      <c r="J208" s="90"/>
      <c r="K208" s="90"/>
      <c r="L208" s="90"/>
      <c r="M208" s="90"/>
      <c r="N208" s="90"/>
      <c r="O208" s="90"/>
      <c r="P208" s="90"/>
      <c r="Q208" s="90"/>
      <c r="R208" s="90"/>
    </row>
    <row r="209" spans="1:18">
      <c r="A209" s="90"/>
      <c r="B209" s="133"/>
      <c r="C209" s="90"/>
      <c r="D209" s="90"/>
      <c r="E209" s="90"/>
      <c r="F209" s="90"/>
      <c r="G209" s="90"/>
      <c r="H209" s="90"/>
      <c r="I209" s="90"/>
      <c r="J209" s="90"/>
      <c r="K209" s="90"/>
      <c r="L209" s="90"/>
      <c r="M209" s="90"/>
      <c r="N209" s="90"/>
      <c r="O209" s="90"/>
      <c r="P209" s="90"/>
      <c r="Q209" s="90"/>
      <c r="R209" s="90"/>
    </row>
    <row r="210" spans="1:18">
      <c r="A210" s="90"/>
      <c r="B210" s="133"/>
      <c r="C210" s="90"/>
      <c r="D210" s="90"/>
      <c r="E210" s="90"/>
      <c r="F210" s="90"/>
      <c r="G210" s="90"/>
      <c r="H210" s="90"/>
      <c r="I210" s="90"/>
      <c r="J210" s="90"/>
      <c r="K210" s="90"/>
      <c r="L210" s="90"/>
      <c r="M210" s="90"/>
      <c r="N210" s="90"/>
      <c r="O210" s="90"/>
      <c r="P210" s="90"/>
      <c r="Q210" s="90"/>
      <c r="R210" s="90"/>
    </row>
    <row r="211" spans="1:18">
      <c r="A211" s="90"/>
      <c r="B211" s="133"/>
      <c r="C211" s="90"/>
      <c r="D211" s="90"/>
      <c r="E211" s="90"/>
      <c r="F211" s="90"/>
      <c r="G211" s="90"/>
      <c r="H211" s="90"/>
      <c r="I211" s="90"/>
      <c r="J211" s="90"/>
      <c r="K211" s="90"/>
      <c r="L211" s="90"/>
      <c r="M211" s="90"/>
      <c r="N211" s="90"/>
      <c r="O211" s="90"/>
      <c r="P211" s="90"/>
      <c r="Q211" s="90"/>
      <c r="R211" s="90"/>
    </row>
    <row r="212" spans="1:18">
      <c r="A212" s="90"/>
      <c r="B212" s="133"/>
      <c r="C212" s="90"/>
      <c r="D212" s="90"/>
      <c r="E212" s="90"/>
      <c r="F212" s="90"/>
      <c r="G212" s="90"/>
      <c r="H212" s="90"/>
      <c r="I212" s="90"/>
      <c r="J212" s="90"/>
      <c r="K212" s="90"/>
      <c r="L212" s="90"/>
      <c r="M212" s="90"/>
      <c r="N212" s="90"/>
      <c r="O212" s="90"/>
      <c r="P212" s="90"/>
      <c r="Q212" s="90"/>
      <c r="R212" s="90"/>
    </row>
    <row r="213" spans="1:18">
      <c r="A213" s="90"/>
      <c r="B213" s="133"/>
      <c r="C213" s="90"/>
      <c r="D213" s="90"/>
      <c r="E213" s="90"/>
      <c r="F213" s="90"/>
      <c r="G213" s="90"/>
      <c r="H213" s="90"/>
      <c r="I213" s="90"/>
      <c r="J213" s="90"/>
      <c r="K213" s="90"/>
      <c r="L213" s="90"/>
      <c r="M213" s="90"/>
      <c r="N213" s="90"/>
      <c r="O213" s="90"/>
      <c r="P213" s="90"/>
      <c r="Q213" s="90"/>
      <c r="R213" s="90"/>
    </row>
    <row r="214" spans="1:18">
      <c r="A214" s="90"/>
      <c r="B214" s="133"/>
      <c r="C214" s="90"/>
      <c r="D214" s="90"/>
      <c r="E214" s="90"/>
      <c r="F214" s="90"/>
      <c r="G214" s="90"/>
      <c r="H214" s="90"/>
      <c r="I214" s="90"/>
      <c r="J214" s="90"/>
      <c r="K214" s="90"/>
      <c r="L214" s="90"/>
      <c r="M214" s="90"/>
      <c r="N214" s="90"/>
      <c r="O214" s="90"/>
      <c r="P214" s="90"/>
      <c r="Q214" s="90"/>
      <c r="R214" s="90"/>
    </row>
    <row r="215" spans="1:18">
      <c r="A215" s="90"/>
      <c r="B215" s="133"/>
      <c r="C215" s="90"/>
      <c r="D215" s="90"/>
      <c r="E215" s="90"/>
      <c r="F215" s="90"/>
      <c r="G215" s="90"/>
      <c r="H215" s="90"/>
      <c r="I215" s="90"/>
      <c r="J215" s="90"/>
      <c r="K215" s="90"/>
      <c r="L215" s="90"/>
      <c r="M215" s="90"/>
      <c r="N215" s="90"/>
      <c r="O215" s="90"/>
      <c r="P215" s="90"/>
      <c r="Q215" s="90"/>
      <c r="R215" s="90"/>
    </row>
    <row r="216" spans="1:18">
      <c r="A216" s="90"/>
      <c r="B216" s="133"/>
      <c r="C216" s="90"/>
      <c r="D216" s="90"/>
      <c r="E216" s="90"/>
      <c r="F216" s="90"/>
      <c r="G216" s="90"/>
      <c r="H216" s="90"/>
      <c r="I216" s="90"/>
      <c r="J216" s="90"/>
      <c r="K216" s="90"/>
      <c r="L216" s="90"/>
      <c r="M216" s="90"/>
      <c r="N216" s="90"/>
      <c r="O216" s="90"/>
      <c r="P216" s="90"/>
      <c r="Q216" s="90"/>
      <c r="R216" s="90"/>
    </row>
    <row r="217" spans="1:18">
      <c r="A217" s="90"/>
      <c r="B217" s="133"/>
      <c r="C217" s="90"/>
      <c r="D217" s="90"/>
      <c r="E217" s="90"/>
      <c r="F217" s="90"/>
      <c r="G217" s="90"/>
      <c r="H217" s="90"/>
      <c r="I217" s="90"/>
      <c r="J217" s="90"/>
      <c r="K217" s="90"/>
      <c r="L217" s="90"/>
      <c r="M217" s="90"/>
      <c r="N217" s="90"/>
      <c r="O217" s="90"/>
      <c r="P217" s="90"/>
      <c r="Q217" s="90"/>
      <c r="R217" s="90"/>
    </row>
    <row r="218" spans="1:18">
      <c r="A218" s="90"/>
      <c r="B218" s="133"/>
      <c r="C218" s="90"/>
      <c r="D218" s="90"/>
      <c r="E218" s="90"/>
      <c r="F218" s="90"/>
      <c r="G218" s="90"/>
      <c r="H218" s="90"/>
      <c r="I218" s="90"/>
      <c r="J218" s="90"/>
      <c r="K218" s="90"/>
      <c r="L218" s="90"/>
      <c r="M218" s="90"/>
      <c r="N218" s="90"/>
      <c r="O218" s="90"/>
      <c r="P218" s="90"/>
      <c r="Q218" s="90"/>
      <c r="R218" s="90"/>
    </row>
    <row r="219" spans="1:18">
      <c r="A219" s="90"/>
      <c r="B219" s="133"/>
      <c r="C219" s="90"/>
      <c r="D219" s="90"/>
      <c r="E219" s="90"/>
      <c r="F219" s="90"/>
      <c r="G219" s="90"/>
      <c r="H219" s="90"/>
      <c r="I219" s="90"/>
      <c r="J219" s="90"/>
      <c r="K219" s="90"/>
      <c r="L219" s="90"/>
      <c r="M219" s="90"/>
      <c r="N219" s="90"/>
      <c r="O219" s="90"/>
      <c r="P219" s="90"/>
      <c r="Q219" s="90"/>
      <c r="R219" s="90"/>
    </row>
    <row r="220" spans="1:18">
      <c r="A220" s="90"/>
      <c r="B220" s="133"/>
      <c r="C220" s="90"/>
      <c r="D220" s="90"/>
      <c r="E220" s="90"/>
      <c r="F220" s="90"/>
      <c r="G220" s="90"/>
      <c r="H220" s="90"/>
      <c r="I220" s="90"/>
      <c r="J220" s="90"/>
      <c r="K220" s="90"/>
      <c r="L220" s="90"/>
      <c r="M220" s="90"/>
      <c r="N220" s="90"/>
      <c r="O220" s="90"/>
      <c r="P220" s="90"/>
      <c r="Q220" s="90"/>
      <c r="R220" s="90"/>
    </row>
    <row r="221" spans="1:18">
      <c r="A221" s="90"/>
      <c r="B221" s="133"/>
      <c r="C221" s="90"/>
      <c r="D221" s="90"/>
      <c r="E221" s="90"/>
      <c r="F221" s="90"/>
      <c r="G221" s="90"/>
      <c r="H221" s="90"/>
      <c r="I221" s="90"/>
      <c r="J221" s="90"/>
      <c r="K221" s="90"/>
      <c r="L221" s="90"/>
      <c r="M221" s="90"/>
      <c r="N221" s="90"/>
      <c r="O221" s="90"/>
      <c r="P221" s="90"/>
      <c r="Q221" s="90"/>
      <c r="R221" s="90"/>
    </row>
    <row r="222" spans="1:18">
      <c r="A222" s="90"/>
      <c r="B222" s="133"/>
      <c r="C222" s="90"/>
      <c r="D222" s="90"/>
      <c r="E222" s="90"/>
      <c r="F222" s="90"/>
      <c r="G222" s="90"/>
      <c r="H222" s="90"/>
      <c r="I222" s="90"/>
      <c r="J222" s="90"/>
      <c r="K222" s="90"/>
      <c r="L222" s="90"/>
      <c r="M222" s="90"/>
      <c r="N222" s="90"/>
      <c r="O222" s="90"/>
      <c r="P222" s="90"/>
      <c r="Q222" s="90"/>
      <c r="R222" s="90"/>
    </row>
    <row r="223" spans="1:18">
      <c r="A223" s="90"/>
      <c r="B223" s="133"/>
      <c r="C223" s="90"/>
      <c r="D223" s="90"/>
      <c r="E223" s="90"/>
      <c r="F223" s="90"/>
      <c r="G223" s="90"/>
      <c r="H223" s="90"/>
      <c r="I223" s="90"/>
      <c r="J223" s="90"/>
      <c r="K223" s="90"/>
      <c r="L223" s="90"/>
      <c r="M223" s="90"/>
      <c r="N223" s="90"/>
      <c r="O223" s="90"/>
      <c r="P223" s="90"/>
      <c r="Q223" s="90"/>
      <c r="R223" s="90"/>
    </row>
    <row r="224" spans="1:18">
      <c r="A224" s="90"/>
      <c r="B224" s="133"/>
      <c r="C224" s="90"/>
      <c r="D224" s="90"/>
      <c r="E224" s="90"/>
      <c r="F224" s="90"/>
      <c r="G224" s="90"/>
      <c r="H224" s="90"/>
      <c r="I224" s="90"/>
      <c r="J224" s="90"/>
      <c r="K224" s="90"/>
      <c r="L224" s="90"/>
      <c r="M224" s="90"/>
      <c r="N224" s="90"/>
      <c r="O224" s="90"/>
      <c r="P224" s="90"/>
      <c r="Q224" s="90"/>
      <c r="R224" s="90"/>
    </row>
    <row r="225" spans="1:18">
      <c r="A225" s="90"/>
      <c r="B225" s="133"/>
      <c r="C225" s="90"/>
      <c r="D225" s="90"/>
      <c r="E225" s="90"/>
      <c r="F225" s="90"/>
      <c r="G225" s="90"/>
      <c r="H225" s="90"/>
      <c r="I225" s="90"/>
      <c r="J225" s="90"/>
      <c r="K225" s="90"/>
      <c r="L225" s="90"/>
      <c r="M225" s="90"/>
      <c r="N225" s="90"/>
      <c r="O225" s="90"/>
      <c r="P225" s="90"/>
      <c r="Q225" s="90"/>
      <c r="R225" s="90"/>
    </row>
    <row r="226" spans="1:18">
      <c r="A226" s="90"/>
      <c r="B226" s="133"/>
      <c r="C226" s="90"/>
      <c r="D226" s="90"/>
      <c r="E226" s="90"/>
      <c r="F226" s="90"/>
      <c r="G226" s="90"/>
      <c r="H226" s="90"/>
      <c r="I226" s="90"/>
      <c r="J226" s="90"/>
      <c r="K226" s="90"/>
      <c r="L226" s="90"/>
      <c r="M226" s="90"/>
      <c r="N226" s="90"/>
      <c r="O226" s="90"/>
      <c r="P226" s="90"/>
      <c r="Q226" s="90"/>
      <c r="R226" s="90"/>
    </row>
    <row r="227" spans="1:18">
      <c r="A227" s="90"/>
      <c r="B227" s="133"/>
      <c r="C227" s="90"/>
      <c r="D227" s="90"/>
      <c r="E227" s="90"/>
      <c r="F227" s="90"/>
      <c r="G227" s="90"/>
      <c r="H227" s="90"/>
      <c r="I227" s="90"/>
      <c r="J227" s="90"/>
      <c r="K227" s="90"/>
      <c r="L227" s="90"/>
      <c r="M227" s="90"/>
      <c r="N227" s="90"/>
      <c r="O227" s="90"/>
      <c r="P227" s="90"/>
      <c r="Q227" s="90"/>
      <c r="R227" s="90"/>
    </row>
    <row r="228" spans="1:18">
      <c r="A228" s="90"/>
      <c r="B228" s="133"/>
      <c r="C228" s="90"/>
      <c r="D228" s="90"/>
      <c r="E228" s="90"/>
      <c r="F228" s="90"/>
      <c r="G228" s="90"/>
      <c r="H228" s="90"/>
      <c r="I228" s="90"/>
      <c r="J228" s="90"/>
      <c r="K228" s="90"/>
      <c r="L228" s="90"/>
      <c r="M228" s="90"/>
      <c r="N228" s="90"/>
      <c r="O228" s="90"/>
      <c r="P228" s="90"/>
      <c r="Q228" s="90"/>
      <c r="R228" s="90"/>
    </row>
    <row r="229" spans="1:18">
      <c r="A229" s="90"/>
      <c r="B229" s="133"/>
      <c r="C229" s="90"/>
      <c r="D229" s="90"/>
      <c r="E229" s="90"/>
      <c r="F229" s="90"/>
      <c r="G229" s="90"/>
      <c r="H229" s="90"/>
      <c r="I229" s="90"/>
      <c r="J229" s="90"/>
      <c r="K229" s="90"/>
      <c r="L229" s="90"/>
      <c r="M229" s="90"/>
      <c r="N229" s="90"/>
      <c r="O229" s="90"/>
      <c r="P229" s="90"/>
      <c r="Q229" s="90"/>
      <c r="R229" s="90"/>
    </row>
    <row r="230" spans="1:18">
      <c r="A230" s="90"/>
      <c r="B230" s="133"/>
      <c r="C230" s="90"/>
      <c r="D230" s="90"/>
      <c r="E230" s="90"/>
      <c r="F230" s="90"/>
      <c r="G230" s="90"/>
      <c r="H230" s="90"/>
      <c r="I230" s="90"/>
      <c r="J230" s="90"/>
      <c r="K230" s="90"/>
      <c r="L230" s="90"/>
      <c r="M230" s="90"/>
      <c r="N230" s="90"/>
      <c r="O230" s="90"/>
      <c r="P230" s="90"/>
      <c r="Q230" s="90"/>
      <c r="R230" s="90"/>
    </row>
    <row r="231" spans="1:18">
      <c r="A231" s="90"/>
      <c r="B231" s="133"/>
      <c r="C231" s="90"/>
      <c r="D231" s="90"/>
      <c r="E231" s="90"/>
      <c r="F231" s="90"/>
      <c r="G231" s="90"/>
      <c r="H231" s="90"/>
      <c r="I231" s="90"/>
      <c r="J231" s="90"/>
      <c r="K231" s="90"/>
      <c r="L231" s="90"/>
      <c r="M231" s="90"/>
      <c r="N231" s="90"/>
      <c r="O231" s="90"/>
      <c r="P231" s="90"/>
      <c r="Q231" s="90"/>
      <c r="R231" s="90"/>
    </row>
    <row r="232" spans="1:18">
      <c r="A232" s="90"/>
      <c r="B232" s="133"/>
      <c r="C232" s="90"/>
      <c r="D232" s="90"/>
      <c r="E232" s="90"/>
      <c r="F232" s="90"/>
      <c r="G232" s="90"/>
      <c r="H232" s="90"/>
      <c r="I232" s="90"/>
      <c r="J232" s="90"/>
      <c r="K232" s="90"/>
      <c r="L232" s="90"/>
      <c r="M232" s="90"/>
      <c r="N232" s="90"/>
      <c r="O232" s="90"/>
      <c r="P232" s="90"/>
      <c r="Q232" s="90"/>
      <c r="R232" s="90"/>
    </row>
    <row r="233" spans="1:18">
      <c r="A233" s="90"/>
      <c r="B233" s="133"/>
      <c r="C233" s="90"/>
      <c r="D233" s="90"/>
      <c r="E233" s="90"/>
      <c r="F233" s="90"/>
      <c r="G233" s="90"/>
      <c r="H233" s="90"/>
      <c r="I233" s="90"/>
      <c r="J233" s="90"/>
      <c r="K233" s="90"/>
      <c r="L233" s="90"/>
      <c r="M233" s="90"/>
      <c r="N233" s="90"/>
      <c r="O233" s="90"/>
      <c r="P233" s="90"/>
      <c r="Q233" s="90"/>
      <c r="R233" s="90"/>
    </row>
    <row r="234" spans="1:18">
      <c r="A234" s="90"/>
      <c r="B234" s="133"/>
      <c r="C234" s="90"/>
      <c r="D234" s="90"/>
      <c r="E234" s="90"/>
      <c r="F234" s="90"/>
      <c r="G234" s="90"/>
      <c r="H234" s="90"/>
      <c r="I234" s="90"/>
      <c r="J234" s="90"/>
      <c r="K234" s="90"/>
      <c r="L234" s="90"/>
      <c r="M234" s="90"/>
      <c r="N234" s="90"/>
      <c r="O234" s="90"/>
      <c r="P234" s="90"/>
      <c r="Q234" s="90"/>
      <c r="R234" s="90"/>
    </row>
    <row r="235" spans="1:18">
      <c r="A235" s="90"/>
      <c r="B235" s="133"/>
      <c r="C235" s="90"/>
      <c r="D235" s="90"/>
      <c r="E235" s="90"/>
      <c r="F235" s="90"/>
      <c r="G235" s="90"/>
      <c r="H235" s="90"/>
      <c r="I235" s="90"/>
      <c r="J235" s="90"/>
      <c r="K235" s="90"/>
      <c r="L235" s="90"/>
      <c r="M235" s="90"/>
      <c r="N235" s="90"/>
      <c r="O235" s="90"/>
      <c r="P235" s="90"/>
      <c r="Q235" s="90"/>
      <c r="R235" s="90"/>
    </row>
    <row r="236" spans="1:18">
      <c r="A236" s="90"/>
      <c r="B236" s="133"/>
      <c r="C236" s="90"/>
      <c r="D236" s="90"/>
      <c r="E236" s="90"/>
      <c r="F236" s="90"/>
      <c r="G236" s="90"/>
      <c r="H236" s="90"/>
      <c r="I236" s="90"/>
      <c r="J236" s="90"/>
      <c r="K236" s="90"/>
      <c r="L236" s="90"/>
      <c r="M236" s="90"/>
      <c r="N236" s="90"/>
      <c r="O236" s="90"/>
      <c r="P236" s="90"/>
      <c r="Q236" s="90"/>
      <c r="R236" s="90"/>
    </row>
  </sheetData>
  <mergeCells count="222">
    <mergeCell ref="O125:Q125"/>
    <mergeCell ref="O126:Q126"/>
    <mergeCell ref="O127:Q127"/>
    <mergeCell ref="O128:Q128"/>
    <mergeCell ref="C127:D127"/>
    <mergeCell ref="C117:D117"/>
    <mergeCell ref="C111:D111"/>
    <mergeCell ref="O122:Q123"/>
    <mergeCell ref="C129:D129"/>
    <mergeCell ref="C122:D123"/>
    <mergeCell ref="O129:Q129"/>
    <mergeCell ref="G92:G93"/>
    <mergeCell ref="C72:D72"/>
    <mergeCell ref="C73:D73"/>
    <mergeCell ref="C74:D74"/>
    <mergeCell ref="C75:D75"/>
    <mergeCell ref="C126:D126"/>
    <mergeCell ref="K76:O76"/>
    <mergeCell ref="K75:O75"/>
    <mergeCell ref="C78:D78"/>
    <mergeCell ref="C79:D79"/>
    <mergeCell ref="C80:D80"/>
    <mergeCell ref="K72:O72"/>
    <mergeCell ref="K73:O73"/>
    <mergeCell ref="K74:O74"/>
    <mergeCell ref="H92:I92"/>
    <mergeCell ref="E108:E109"/>
    <mergeCell ref="F108:F109"/>
    <mergeCell ref="C108:D109"/>
    <mergeCell ref="C114:D114"/>
    <mergeCell ref="C115:D115"/>
    <mergeCell ref="O124:Q124"/>
    <mergeCell ref="K85:O85"/>
    <mergeCell ref="C86:D86"/>
    <mergeCell ref="E86:F86"/>
    <mergeCell ref="B34:C34"/>
    <mergeCell ref="D34:E34"/>
    <mergeCell ref="B40:C40"/>
    <mergeCell ref="D40:E40"/>
    <mergeCell ref="D36:E36"/>
    <mergeCell ref="C70:D70"/>
    <mergeCell ref="C87:D87"/>
    <mergeCell ref="C81:D81"/>
    <mergeCell ref="E77:F77"/>
    <mergeCell ref="E78:F78"/>
    <mergeCell ref="C84:D84"/>
    <mergeCell ref="E84:F84"/>
    <mergeCell ref="C85:D85"/>
    <mergeCell ref="E85:F85"/>
    <mergeCell ref="B42:C42"/>
    <mergeCell ref="E54:K54"/>
    <mergeCell ref="F37:G37"/>
    <mergeCell ref="B38:C38"/>
    <mergeCell ref="D38:E38"/>
    <mergeCell ref="E73:F73"/>
    <mergeCell ref="C77:D77"/>
    <mergeCell ref="F36:G36"/>
    <mergeCell ref="B37:C37"/>
    <mergeCell ref="C71:D71"/>
    <mergeCell ref="B144:C144"/>
    <mergeCell ref="B92:B93"/>
    <mergeCell ref="C110:D110"/>
    <mergeCell ref="D92:E92"/>
    <mergeCell ref="C124:D124"/>
    <mergeCell ref="C125:D125"/>
    <mergeCell ref="E74:F74"/>
    <mergeCell ref="E75:F75"/>
    <mergeCell ref="C132:D132"/>
    <mergeCell ref="B143:C143"/>
    <mergeCell ref="B108:B109"/>
    <mergeCell ref="C116:D116"/>
    <mergeCell ref="E79:F79"/>
    <mergeCell ref="E80:F80"/>
    <mergeCell ref="E81:F81"/>
    <mergeCell ref="C82:D82"/>
    <mergeCell ref="E82:F82"/>
    <mergeCell ref="C83:D83"/>
    <mergeCell ref="E83:F83"/>
    <mergeCell ref="E76:F76"/>
    <mergeCell ref="C76:D76"/>
    <mergeCell ref="C88:D88"/>
    <mergeCell ref="E88:F88"/>
    <mergeCell ref="C92:C93"/>
    <mergeCell ref="F38:G38"/>
    <mergeCell ref="E44:K44"/>
    <mergeCell ref="D39:E39"/>
    <mergeCell ref="F39:G39"/>
    <mergeCell ref="B39:C39"/>
    <mergeCell ref="B36:C36"/>
    <mergeCell ref="D37:E37"/>
    <mergeCell ref="F40:G40"/>
    <mergeCell ref="K69:O69"/>
    <mergeCell ref="B67:B68"/>
    <mergeCell ref="G58:J58"/>
    <mergeCell ref="G59:J59"/>
    <mergeCell ref="G60:J60"/>
    <mergeCell ref="E62:K62"/>
    <mergeCell ref="G63:J63"/>
    <mergeCell ref="C46:J46"/>
    <mergeCell ref="E47:K47"/>
    <mergeCell ref="G52:J52"/>
    <mergeCell ref="G48:J48"/>
    <mergeCell ref="G49:J49"/>
    <mergeCell ref="G50:J50"/>
    <mergeCell ref="G51:J51"/>
    <mergeCell ref="AD67:AK67"/>
    <mergeCell ref="C43:J43"/>
    <mergeCell ref="C53:J53"/>
    <mergeCell ref="AB67:AB68"/>
    <mergeCell ref="G67:H67"/>
    <mergeCell ref="I67:J67"/>
    <mergeCell ref="X67:Y68"/>
    <mergeCell ref="Z67:AA68"/>
    <mergeCell ref="U67:V67"/>
    <mergeCell ref="K67:O68"/>
    <mergeCell ref="W67:W68"/>
    <mergeCell ref="G57:J57"/>
    <mergeCell ref="G45:J45"/>
    <mergeCell ref="G55:J55"/>
    <mergeCell ref="C67:D68"/>
    <mergeCell ref="M31:P54"/>
    <mergeCell ref="F34:G34"/>
    <mergeCell ref="B35:C35"/>
    <mergeCell ref="D33:E33"/>
    <mergeCell ref="D35:E35"/>
    <mergeCell ref="F35:G35"/>
    <mergeCell ref="D42:E42"/>
    <mergeCell ref="F42:G42"/>
    <mergeCell ref="E67:F68"/>
    <mergeCell ref="Y42:Z42"/>
    <mergeCell ref="G56:J56"/>
    <mergeCell ref="G61:J61"/>
    <mergeCell ref="B33:C33"/>
    <mergeCell ref="B4:B9"/>
    <mergeCell ref="C8:G8"/>
    <mergeCell ref="C9:G9"/>
    <mergeCell ref="C4:G4"/>
    <mergeCell ref="C5:G5"/>
    <mergeCell ref="C6:G6"/>
    <mergeCell ref="B13:D13"/>
    <mergeCell ref="B14:D14"/>
    <mergeCell ref="B15:D15"/>
    <mergeCell ref="B16:D16"/>
    <mergeCell ref="E13:G13"/>
    <mergeCell ref="F33:J33"/>
    <mergeCell ref="I16:K16"/>
    <mergeCell ref="I15:K15"/>
    <mergeCell ref="I17:K17"/>
    <mergeCell ref="E22:G22"/>
    <mergeCell ref="E23:G23"/>
    <mergeCell ref="E24:G24"/>
    <mergeCell ref="B22:D22"/>
    <mergeCell ref="I13:K13"/>
    <mergeCell ref="AB32:AD33"/>
    <mergeCell ref="C7:G7"/>
    <mergeCell ref="L17:N17"/>
    <mergeCell ref="E21:G21"/>
    <mergeCell ref="E19:G19"/>
    <mergeCell ref="E18:G18"/>
    <mergeCell ref="L13:N13"/>
    <mergeCell ref="L14:N14"/>
    <mergeCell ref="L15:N15"/>
    <mergeCell ref="L16:N16"/>
    <mergeCell ref="E14:G14"/>
    <mergeCell ref="E15:G15"/>
    <mergeCell ref="I14:K14"/>
    <mergeCell ref="B31:C32"/>
    <mergeCell ref="D31:E32"/>
    <mergeCell ref="E16:G16"/>
    <mergeCell ref="B21:D21"/>
    <mergeCell ref="B18:D18"/>
    <mergeCell ref="B19:D19"/>
    <mergeCell ref="B17:D17"/>
    <mergeCell ref="B23:D23"/>
    <mergeCell ref="C134:D134"/>
    <mergeCell ref="O134:Q134"/>
    <mergeCell ref="C135:D135"/>
    <mergeCell ref="O135:Q135"/>
    <mergeCell ref="F31:J32"/>
    <mergeCell ref="B41:C41"/>
    <mergeCell ref="D41:E41"/>
    <mergeCell ref="F41:G41"/>
    <mergeCell ref="O131:Q131"/>
    <mergeCell ref="C128:D128"/>
    <mergeCell ref="C130:D130"/>
    <mergeCell ref="C131:D131"/>
    <mergeCell ref="K31:K32"/>
    <mergeCell ref="C112:D112"/>
    <mergeCell ref="C113:D113"/>
    <mergeCell ref="M122:N122"/>
    <mergeCell ref="E122:H122"/>
    <mergeCell ref="I122:L122"/>
    <mergeCell ref="E87:F87"/>
    <mergeCell ref="K80:O80"/>
    <mergeCell ref="K81:O81"/>
    <mergeCell ref="K88:O88"/>
    <mergeCell ref="K84:O84"/>
    <mergeCell ref="K77:O77"/>
    <mergeCell ref="B122:B123"/>
    <mergeCell ref="E72:F72"/>
    <mergeCell ref="O130:Q130"/>
    <mergeCell ref="B24:D24"/>
    <mergeCell ref="B25:D25"/>
    <mergeCell ref="E27:G27"/>
    <mergeCell ref="O132:Q132"/>
    <mergeCell ref="C133:D133"/>
    <mergeCell ref="O133:Q133"/>
    <mergeCell ref="B27:D27"/>
    <mergeCell ref="E25:G25"/>
    <mergeCell ref="B26:D26"/>
    <mergeCell ref="K78:O78"/>
    <mergeCell ref="K86:O86"/>
    <mergeCell ref="K82:O82"/>
    <mergeCell ref="K83:O83"/>
    <mergeCell ref="K87:O87"/>
    <mergeCell ref="K79:O79"/>
    <mergeCell ref="K70:O70"/>
    <mergeCell ref="K71:O71"/>
    <mergeCell ref="C69:D69"/>
    <mergeCell ref="E71:F71"/>
    <mergeCell ref="E69:F69"/>
    <mergeCell ref="E70:F70"/>
  </mergeCells>
  <phoneticPr fontId="30" type="noConversion"/>
  <conditionalFormatting sqref="B57:J58 F57:F63">
    <cfRule type="expression" dxfId="179" priority="28">
      <formula>$K57="NOT YET"</formula>
    </cfRule>
  </conditionalFormatting>
  <conditionalFormatting sqref="B33:K56">
    <cfRule type="expression" dxfId="178" priority="2">
      <formula>$K33="NOT YET"</formula>
    </cfRule>
  </conditionalFormatting>
  <conditionalFormatting sqref="B59:K64">
    <cfRule type="expression" dxfId="177" priority="7">
      <formula>$K59="NOT YET"</formula>
    </cfRule>
  </conditionalFormatting>
  <conditionalFormatting sqref="B89:O89">
    <cfRule type="expression" dxfId="176" priority="59">
      <formula>$K89="NOT YET"</formula>
    </cfRule>
  </conditionalFormatting>
  <conditionalFormatting sqref="C69:C88">
    <cfRule type="containsErrors" dxfId="175" priority="52">
      <formula>ISERROR(C69)</formula>
    </cfRule>
  </conditionalFormatting>
  <conditionalFormatting sqref="C124:C135">
    <cfRule type="containsErrors" dxfId="174" priority="16">
      <formula>ISERROR(C124)</formula>
    </cfRule>
  </conditionalFormatting>
  <conditionalFormatting sqref="E69:E88">
    <cfRule type="containsErrors" dxfId="173" priority="68">
      <formula>ISERROR(E69)</formula>
    </cfRule>
  </conditionalFormatting>
  <conditionalFormatting sqref="E124:O135">
    <cfRule type="containsErrors" dxfId="172" priority="17">
      <formula>ISERROR(E124)</formula>
    </cfRule>
  </conditionalFormatting>
  <conditionalFormatting sqref="G61:J63">
    <cfRule type="expression" dxfId="171" priority="8">
      <formula>$K61="NOT YET"</formula>
    </cfRule>
  </conditionalFormatting>
  <conditionalFormatting sqref="G69:J88">
    <cfRule type="containsErrors" dxfId="170" priority="47">
      <formula>ISERROR(G69)</formula>
    </cfRule>
  </conditionalFormatting>
  <conditionalFormatting sqref="K57:K60 B58:F58">
    <cfRule type="expression" dxfId="169" priority="14">
      <formula>$K57="NOT YET"</formula>
    </cfRule>
  </conditionalFormatting>
  <conditionalFormatting sqref="M124:N136">
    <cfRule type="expression" dxfId="168" priority="15">
      <formula>$M124&lt;0</formula>
    </cfRule>
  </conditionalFormatting>
  <conditionalFormatting sqref="U69:U88">
    <cfRule type="containsErrors" dxfId="167" priority="108">
      <formula>ISERROR(U69)</formula>
    </cfRule>
  </conditionalFormatting>
  <conditionalFormatting sqref="W69:W88">
    <cfRule type="containsErrors" dxfId="166" priority="64">
      <formula>ISERROR(W69)</formula>
    </cfRule>
  </conditionalFormatting>
  <dataValidations count="4">
    <dataValidation type="list" allowBlank="1" showInputMessage="1" showErrorMessage="1" sqref="E22:G22" xr:uid="{00000000-0002-0000-0000-000000000000}">
      <formula1>"DRILLING,WORKOVER,WELLSERVICES,P&amp;A"</formula1>
    </dataValidation>
    <dataValidation type="list" allowBlank="1" showInputMessage="1" showErrorMessage="1" sqref="E21:G21" xr:uid="{00000000-0002-0000-0000-000001000000}">
      <formula1>"DIRECTIONAL,VERTICAL,HORIZONTAL"</formula1>
    </dataValidation>
    <dataValidation type="list" allowBlank="1" showInputMessage="1" showErrorMessage="1" sqref="E148" xr:uid="{00000000-0002-0000-0000-000002000000}">
      <formula1>OFFSET($V$42,E144,,E146,)</formula1>
    </dataValidation>
    <dataValidation type="list" allowBlank="1" showInputMessage="1" showErrorMessage="1" sqref="E150" xr:uid="{00000000-0002-0000-0000-000003000000}">
      <formula1>OFFSET($V$42,MATCH(E143,K43:K57,0)+1,,COUNTIF(L43:L57,VLOOKUP(E143,$K$43:$L$57,2,FALSE))-1,)</formula1>
    </dataValidation>
  </dataValidations>
  <pageMargins left="0.7" right="0.7" top="0.75" bottom="0.75" header="0.3" footer="0.3"/>
  <pageSetup paperSize="9" scale="59" orientation="portrait" horizontalDpi="1200" verticalDpi="1200" r:id="rId1"/>
  <colBreaks count="1" manualBreakCount="1">
    <brk id="17" max="1048575" man="1"/>
  </colBreaks>
  <ignoredErrors>
    <ignoredError sqref="H69:H89"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AV80"/>
  <sheetViews>
    <sheetView view="pageBreakPreview" zoomScale="55" zoomScaleSheetLayoutView="55" workbookViewId="0">
      <selection activeCell="H38" sqref="H38"/>
    </sheetView>
  </sheetViews>
  <sheetFormatPr defaultRowHeight="13.2"/>
  <cols>
    <col min="1" max="1" width="1.44140625" customWidth="1"/>
    <col min="2" max="2" width="9" customWidth="1"/>
    <col min="3" max="3" width="6.109375" customWidth="1"/>
    <col min="4" max="4" width="22.109375" customWidth="1"/>
    <col min="5" max="5" width="25.109375" customWidth="1"/>
    <col min="6" max="6" width="24.33203125" customWidth="1"/>
    <col min="7" max="7" width="23.44140625" style="6" customWidth="1"/>
    <col min="8" max="8" width="25.109375" customWidth="1"/>
    <col min="9" max="9" width="24.33203125" customWidth="1"/>
    <col min="10" max="10" width="23.44140625" style="6" customWidth="1"/>
    <col min="11" max="11" width="1.44140625" customWidth="1"/>
    <col min="14" max="15" width="10.33203125" bestFit="1" customWidth="1"/>
    <col min="16" max="16" width="9.33203125" bestFit="1" customWidth="1"/>
    <col min="17" max="17" width="10.33203125" bestFit="1" customWidth="1"/>
    <col min="18" max="29" width="9.33203125" bestFit="1" customWidth="1"/>
    <col min="30" max="30" width="11.33203125" bestFit="1" customWidth="1"/>
  </cols>
  <sheetData>
    <row r="1" spans="1:30" s="7" customFormat="1" ht="30" customHeight="1">
      <c r="A1" s="359"/>
      <c r="B1" s="350" t="str">
        <f>"MONITORING BUDGET PEMBORAN SUMUR "&amp;'1_INPUT'!E14&amp;""</f>
        <v>MONITORING BUDGET PEMBORAN SUMUR SPA-034</v>
      </c>
      <c r="C1" s="90"/>
      <c r="D1" s="350"/>
      <c r="E1" s="90"/>
      <c r="F1" s="350"/>
      <c r="G1" s="90"/>
      <c r="H1" s="350"/>
      <c r="I1" s="90"/>
      <c r="J1" s="350"/>
      <c r="K1" s="360"/>
    </row>
    <row r="2" spans="1:30" ht="3.9" customHeight="1">
      <c r="A2" s="90"/>
      <c r="B2" s="90"/>
      <c r="C2" s="90"/>
      <c r="D2" s="90"/>
      <c r="E2" s="90"/>
      <c r="F2" s="90"/>
      <c r="G2" s="361"/>
      <c r="H2" s="90"/>
      <c r="I2" s="90"/>
      <c r="J2" s="361"/>
      <c r="K2" s="90"/>
    </row>
    <row r="3" spans="1:30" ht="15" customHeight="1">
      <c r="A3" s="362"/>
      <c r="B3" s="676" t="s">
        <v>80</v>
      </c>
      <c r="C3" s="676"/>
      <c r="D3" s="366" t="str">
        <f>": "&amp;'1_INPUT'!$E$13&amp;""</f>
        <v>: 23-190-221-OO</v>
      </c>
      <c r="E3" s="90"/>
      <c r="F3" s="361"/>
      <c r="G3" s="362"/>
      <c r="H3" s="90"/>
      <c r="I3" s="361"/>
      <c r="J3" s="362"/>
      <c r="K3" s="90"/>
      <c r="N3">
        <v>6812.1951219512193</v>
      </c>
    </row>
    <row r="4" spans="1:30" ht="15" customHeight="1">
      <c r="A4" s="362"/>
      <c r="B4" s="676" t="s">
        <v>81</v>
      </c>
      <c r="C4" s="676"/>
      <c r="D4" s="482">
        <f>'1_INPUT'!$E$27</f>
        <v>470258.49276678503</v>
      </c>
      <c r="E4" s="362"/>
      <c r="F4" s="90"/>
      <c r="G4" s="362"/>
      <c r="H4" s="362"/>
      <c r="I4" s="90"/>
      <c r="J4" s="362"/>
      <c r="K4" s="90"/>
    </row>
    <row r="5" spans="1:30" ht="15" customHeight="1">
      <c r="A5" s="362"/>
      <c r="B5" s="676" t="s">
        <v>82</v>
      </c>
      <c r="C5" s="676"/>
      <c r="D5" s="367">
        <f>'1_INPUT'!$E$18</f>
        <v>44943.791666666664</v>
      </c>
      <c r="E5" s="90"/>
      <c r="F5" s="90"/>
      <c r="G5" s="90"/>
      <c r="H5" s="90"/>
      <c r="I5" s="90"/>
      <c r="J5" s="90"/>
      <c r="K5" s="90"/>
    </row>
    <row r="6" spans="1:30" ht="20.100000000000001" customHeight="1">
      <c r="A6" s="363"/>
      <c r="B6" s="677" t="s">
        <v>83</v>
      </c>
      <c r="C6" s="677"/>
      <c r="D6" s="677" t="s">
        <v>41</v>
      </c>
      <c r="E6" s="677" t="s">
        <v>47</v>
      </c>
      <c r="F6" s="677"/>
      <c r="G6" s="677"/>
      <c r="H6" s="677" t="s">
        <v>48</v>
      </c>
      <c r="I6" s="677"/>
      <c r="J6" s="677"/>
      <c r="K6" s="130"/>
    </row>
    <row r="7" spans="1:30" s="4" customFormat="1" ht="20.100000000000001" customHeight="1">
      <c r="A7" s="364"/>
      <c r="B7" s="678"/>
      <c r="C7" s="678"/>
      <c r="D7" s="678"/>
      <c r="E7" s="357" t="s">
        <v>42</v>
      </c>
      <c r="F7" s="357" t="s">
        <v>43</v>
      </c>
      <c r="G7" s="358" t="s">
        <v>44</v>
      </c>
      <c r="H7" s="357" t="s">
        <v>42</v>
      </c>
      <c r="I7" s="357" t="s">
        <v>43</v>
      </c>
      <c r="J7" s="358" t="s">
        <v>44</v>
      </c>
      <c r="K7" s="365"/>
    </row>
    <row r="8" spans="1:30" s="4" customFormat="1" ht="15" customHeight="1">
      <c r="A8" s="364"/>
      <c r="B8" s="545">
        <v>0</v>
      </c>
      <c r="C8" s="545">
        <v>0</v>
      </c>
      <c r="D8" s="546">
        <f>D5-1</f>
        <v>44942.791666666664</v>
      </c>
      <c r="E8" s="547">
        <v>18426.530510285531</v>
      </c>
      <c r="F8" s="548">
        <f>SUM($E$8:E8)</f>
        <v>18426.530510285531</v>
      </c>
      <c r="G8" s="549">
        <f>F8/$D$4</f>
        <v>3.9183833559011956E-2</v>
      </c>
      <c r="H8" s="550"/>
      <c r="I8" s="551">
        <f>H8</f>
        <v>0</v>
      </c>
      <c r="J8" s="549">
        <f t="shared" ref="J8:J22" si="0">I8/$D$4</f>
        <v>0</v>
      </c>
      <c r="K8" s="365"/>
      <c r="M8" s="4">
        <v>1</v>
      </c>
      <c r="N8" s="558">
        <v>4007.5601374570447</v>
      </c>
      <c r="O8" s="558"/>
      <c r="P8" s="558"/>
      <c r="Q8" s="558"/>
      <c r="R8" s="559">
        <v>281.3897017747563</v>
      </c>
      <c r="S8" s="559">
        <v>281.3897017747563</v>
      </c>
      <c r="T8" s="559">
        <v>36.293086564825686</v>
      </c>
      <c r="U8" s="558"/>
      <c r="V8" s="558"/>
      <c r="W8" s="558"/>
      <c r="X8" s="558"/>
      <c r="Y8" s="558"/>
      <c r="Z8" s="558"/>
      <c r="AA8" s="558"/>
      <c r="AB8" s="558"/>
      <c r="AC8" s="558"/>
      <c r="AD8" s="558">
        <f>SUM(N8:AC8)</f>
        <v>4606.6326275713827</v>
      </c>
    </row>
    <row r="9" spans="1:30" s="4" customFormat="1" ht="15" customHeight="1">
      <c r="A9" s="364"/>
      <c r="B9" s="545">
        <v>1</v>
      </c>
      <c r="C9" s="552">
        <v>0.20833333333333334</v>
      </c>
      <c r="D9" s="546">
        <f>D8+1</f>
        <v>44943.791666666664</v>
      </c>
      <c r="E9" s="547">
        <v>67163.513962288431</v>
      </c>
      <c r="F9" s="548">
        <f>F8+E9</f>
        <v>85590.044472573965</v>
      </c>
      <c r="G9" s="549">
        <f>F9/$D$4</f>
        <v>0.18200637689497418</v>
      </c>
      <c r="H9" s="553">
        <v>77734.929645344702</v>
      </c>
      <c r="I9" s="551">
        <f t="shared" ref="I9:I22" si="1">I8+H9</f>
        <v>77734.929645344702</v>
      </c>
      <c r="J9" s="549">
        <f t="shared" si="0"/>
        <v>0.16530255347008849</v>
      </c>
      <c r="K9" s="365"/>
      <c r="M9" s="4">
        <v>2</v>
      </c>
      <c r="N9" s="558">
        <v>4007.5601374570447</v>
      </c>
      <c r="O9" s="558"/>
      <c r="P9" s="558"/>
      <c r="Q9" s="558"/>
      <c r="R9" s="559">
        <v>281.3897017747563</v>
      </c>
      <c r="S9" s="559">
        <v>281.3897017747563</v>
      </c>
      <c r="T9" s="559">
        <v>36.293086564825686</v>
      </c>
      <c r="U9" s="558"/>
      <c r="V9" s="558"/>
      <c r="W9" s="558"/>
      <c r="X9" s="558"/>
      <c r="Y9" s="558"/>
      <c r="Z9" s="558"/>
      <c r="AA9" s="558"/>
      <c r="AB9" s="558"/>
      <c r="AC9" s="558"/>
      <c r="AD9" s="558">
        <f t="shared" ref="AD9:AD30" si="2">SUM(N9:AC9)</f>
        <v>4606.6326275713827</v>
      </c>
    </row>
    <row r="10" spans="1:30" s="4" customFormat="1" ht="15" customHeight="1">
      <c r="A10" s="364"/>
      <c r="B10" s="545">
        <f>B9+1</f>
        <v>2</v>
      </c>
      <c r="C10" s="552">
        <f>C9+1</f>
        <v>1.2083333333333333</v>
      </c>
      <c r="D10" s="546">
        <f>D9+1</f>
        <v>44944.791666666664</v>
      </c>
      <c r="E10" s="547">
        <v>12075.888170160164</v>
      </c>
      <c r="F10" s="548">
        <f t="shared" ref="F10:F27" si="3">F9+E10</f>
        <v>97665.932642734129</v>
      </c>
      <c r="G10" s="549">
        <f>F10/$D$4</f>
        <v>0.207685632784881</v>
      </c>
      <c r="H10" s="554">
        <v>6467.600836550836</v>
      </c>
      <c r="I10" s="551">
        <f t="shared" si="1"/>
        <v>84202.530481895534</v>
      </c>
      <c r="J10" s="549">
        <f t="shared" si="0"/>
        <v>0.17905584221666368</v>
      </c>
      <c r="K10" s="365"/>
      <c r="M10" s="4">
        <v>3</v>
      </c>
      <c r="N10" s="558">
        <v>4007.5601374570447</v>
      </c>
      <c r="O10" s="558"/>
      <c r="P10" s="558"/>
      <c r="Q10" s="558"/>
      <c r="R10" s="559">
        <v>281.3897017747563</v>
      </c>
      <c r="S10" s="559">
        <v>281.3897017747563</v>
      </c>
      <c r="T10" s="559">
        <v>36.293086564825686</v>
      </c>
      <c r="U10" s="558"/>
      <c r="V10" s="558"/>
      <c r="W10" s="558"/>
      <c r="X10" s="558"/>
      <c r="Y10" s="558"/>
      <c r="Z10" s="558"/>
      <c r="AA10" s="558"/>
      <c r="AB10" s="558"/>
      <c r="AC10" s="558"/>
      <c r="AD10" s="558">
        <f t="shared" si="2"/>
        <v>4606.6326275713827</v>
      </c>
    </row>
    <row r="11" spans="1:30" s="4" customFormat="1" ht="15" customHeight="1">
      <c r="A11" s="364"/>
      <c r="B11" s="545">
        <f t="shared" ref="B11:B26" si="4">B10+1</f>
        <v>3</v>
      </c>
      <c r="C11" s="552">
        <f t="shared" ref="C11:C32" si="5">C10+1</f>
        <v>2.208333333333333</v>
      </c>
      <c r="D11" s="546">
        <f t="shared" ref="D11:D69" si="6">D10+1</f>
        <v>44945.791666666664</v>
      </c>
      <c r="E11" s="547">
        <v>17725.800721247833</v>
      </c>
      <c r="F11" s="548">
        <f t="shared" si="3"/>
        <v>115391.73336398197</v>
      </c>
      <c r="G11" s="549">
        <f t="shared" ref="G11:G16" si="7">F11/$D$4</f>
        <v>0.24537937142840313</v>
      </c>
      <c r="H11" s="554">
        <v>6467.600836550836</v>
      </c>
      <c r="I11" s="551">
        <f t="shared" si="1"/>
        <v>90670.131318446365</v>
      </c>
      <c r="J11" s="549">
        <f t="shared" si="0"/>
        <v>0.19280913096323885</v>
      </c>
      <c r="K11" s="365"/>
      <c r="M11" s="4">
        <v>1</v>
      </c>
      <c r="N11" s="559">
        <v>39324.324324324327</v>
      </c>
      <c r="O11" s="559">
        <v>2967.9997184684676</v>
      </c>
      <c r="P11" s="558">
        <v>5138.6929523120507</v>
      </c>
      <c r="Q11" s="558">
        <v>6335.1627784500924</v>
      </c>
      <c r="R11" s="559">
        <v>281.3897017747563</v>
      </c>
      <c r="S11" s="559">
        <v>281.3897017747563</v>
      </c>
      <c r="T11" s="559">
        <v>36.293086564825686</v>
      </c>
      <c r="U11" s="559">
        <v>62.596313418681824</v>
      </c>
      <c r="V11" s="559">
        <v>119.37884957325753</v>
      </c>
      <c r="W11" s="559">
        <v>112.14376778093856</v>
      </c>
      <c r="X11" s="559">
        <v>4000.529196932433</v>
      </c>
      <c r="Y11" s="559">
        <v>4915.5405405405409</v>
      </c>
      <c r="Z11" s="559">
        <v>266.80389842789293</v>
      </c>
      <c r="AA11" s="559">
        <v>1137.8070175438595</v>
      </c>
      <c r="AB11" s="559">
        <v>289.30543207681353</v>
      </c>
      <c r="AC11" s="558">
        <v>1894.156682324747</v>
      </c>
      <c r="AD11" s="558">
        <f t="shared" si="2"/>
        <v>67163.513962288431</v>
      </c>
    </row>
    <row r="12" spans="1:30" s="4" customFormat="1" ht="15" customHeight="1">
      <c r="A12" s="364"/>
      <c r="B12" s="545">
        <f t="shared" si="4"/>
        <v>4</v>
      </c>
      <c r="C12" s="552">
        <f t="shared" si="5"/>
        <v>3.208333333333333</v>
      </c>
      <c r="D12" s="546">
        <f t="shared" si="6"/>
        <v>44946.791666666664</v>
      </c>
      <c r="E12" s="547">
        <v>7725.8007212478351</v>
      </c>
      <c r="F12" s="548">
        <f t="shared" si="3"/>
        <v>123117.53408522981</v>
      </c>
      <c r="G12" s="549">
        <f t="shared" si="7"/>
        <v>0.26180820969518864</v>
      </c>
      <c r="H12" s="554">
        <v>6467.600836550836</v>
      </c>
      <c r="I12" s="551">
        <f t="shared" si="1"/>
        <v>97137.732154997197</v>
      </c>
      <c r="J12" s="549">
        <f t="shared" si="0"/>
        <v>0.20656241970981404</v>
      </c>
      <c r="K12" s="365"/>
      <c r="M12" s="4">
        <v>2</v>
      </c>
      <c r="N12" s="559">
        <v>4350.0874489123307</v>
      </c>
      <c r="O12" s="558"/>
      <c r="P12" s="558">
        <v>5138.6929523120507</v>
      </c>
      <c r="Q12" s="558"/>
      <c r="R12" s="559">
        <v>281.3897017747563</v>
      </c>
      <c r="S12" s="559">
        <v>281.3897017747563</v>
      </c>
      <c r="T12" s="559">
        <v>36.293086564825686</v>
      </c>
      <c r="U12" s="559">
        <v>62.596313418681824</v>
      </c>
      <c r="V12" s="559">
        <v>119.37884957325753</v>
      </c>
      <c r="W12" s="559">
        <v>112.14376778093856</v>
      </c>
      <c r="X12" s="558"/>
      <c r="Y12" s="558"/>
      <c r="Z12" s="559">
        <v>266.80389842789293</v>
      </c>
      <c r="AA12" s="559">
        <v>1137.8070175438595</v>
      </c>
      <c r="AB12" s="559">
        <v>289.30543207681353</v>
      </c>
      <c r="AC12" s="558"/>
      <c r="AD12" s="558">
        <f t="shared" si="2"/>
        <v>12075.888170160164</v>
      </c>
    </row>
    <row r="13" spans="1:30" s="4" customFormat="1" ht="15" customHeight="1">
      <c r="A13" s="364"/>
      <c r="B13" s="545">
        <f t="shared" si="4"/>
        <v>5</v>
      </c>
      <c r="C13" s="552">
        <f t="shared" si="5"/>
        <v>4.208333333333333</v>
      </c>
      <c r="D13" s="546">
        <f t="shared" si="6"/>
        <v>44947.791666666664</v>
      </c>
      <c r="E13" s="547">
        <v>28960.93585638297</v>
      </c>
      <c r="F13" s="548">
        <f t="shared" si="3"/>
        <v>152078.46994161277</v>
      </c>
      <c r="G13" s="549">
        <f t="shared" si="7"/>
        <v>0.32339335127549296</v>
      </c>
      <c r="H13" s="554">
        <v>6467.600836550836</v>
      </c>
      <c r="I13" s="551">
        <f t="shared" si="1"/>
        <v>103605.33299154803</v>
      </c>
      <c r="J13" s="549">
        <f t="shared" si="0"/>
        <v>0.22031570845638923</v>
      </c>
      <c r="K13" s="365"/>
      <c r="M13" s="4">
        <v>3</v>
      </c>
      <c r="N13" s="558">
        <v>10000</v>
      </c>
      <c r="O13" s="558"/>
      <c r="P13" s="558">
        <v>5138.6929523120507</v>
      </c>
      <c r="Q13" s="558"/>
      <c r="R13" s="559">
        <v>281.3897017747563</v>
      </c>
      <c r="S13" s="559">
        <v>281.3897017747563</v>
      </c>
      <c r="T13" s="559">
        <v>36.293086564825686</v>
      </c>
      <c r="U13" s="559">
        <v>62.596313418681824</v>
      </c>
      <c r="V13" s="559">
        <v>119.37884957325753</v>
      </c>
      <c r="W13" s="559">
        <v>112.14376778093856</v>
      </c>
      <c r="X13" s="558"/>
      <c r="Y13" s="558"/>
      <c r="Z13" s="559">
        <v>266.80389842789293</v>
      </c>
      <c r="AA13" s="559">
        <v>1137.8070175438595</v>
      </c>
      <c r="AB13" s="559">
        <v>289.30543207681353</v>
      </c>
      <c r="AC13" s="558"/>
      <c r="AD13" s="558">
        <f t="shared" si="2"/>
        <v>17725.800721247833</v>
      </c>
    </row>
    <row r="14" spans="1:30" s="4" customFormat="1" ht="15" customHeight="1">
      <c r="A14" s="364"/>
      <c r="B14" s="545">
        <f t="shared" si="4"/>
        <v>6</v>
      </c>
      <c r="C14" s="552">
        <f t="shared" si="5"/>
        <v>5.208333333333333</v>
      </c>
      <c r="D14" s="546">
        <f t="shared" si="6"/>
        <v>44948.791666666664</v>
      </c>
      <c r="E14" s="547">
        <v>7725.8007212478351</v>
      </c>
      <c r="F14" s="548">
        <f t="shared" si="3"/>
        <v>159804.2706628606</v>
      </c>
      <c r="G14" s="549">
        <f t="shared" si="7"/>
        <v>0.33982218954227844</v>
      </c>
      <c r="H14" s="554">
        <v>6467.600836550836</v>
      </c>
      <c r="I14" s="551">
        <f t="shared" si="1"/>
        <v>110072.93382809886</v>
      </c>
      <c r="J14" s="549">
        <f t="shared" si="0"/>
        <v>0.2340689972029644</v>
      </c>
      <c r="K14" s="365"/>
      <c r="M14" s="4">
        <v>4</v>
      </c>
      <c r="N14" s="558"/>
      <c r="O14" s="558"/>
      <c r="P14" s="558">
        <v>5138.6929523120507</v>
      </c>
      <c r="Q14" s="558"/>
      <c r="R14" s="559">
        <v>281.3897017747563</v>
      </c>
      <c r="S14" s="559">
        <v>281.3897017747563</v>
      </c>
      <c r="T14" s="559">
        <v>36.293086564825686</v>
      </c>
      <c r="U14" s="559">
        <v>62.596313418681824</v>
      </c>
      <c r="V14" s="559">
        <v>119.37884957325753</v>
      </c>
      <c r="W14" s="559">
        <v>112.14376778093856</v>
      </c>
      <c r="X14" s="558"/>
      <c r="Y14" s="558"/>
      <c r="Z14" s="559">
        <v>266.80389842789293</v>
      </c>
      <c r="AA14" s="559">
        <v>1137.8070175438595</v>
      </c>
      <c r="AB14" s="559">
        <v>289.30543207681353</v>
      </c>
      <c r="AC14" s="558"/>
      <c r="AD14" s="558">
        <f t="shared" si="2"/>
        <v>7725.8007212478351</v>
      </c>
    </row>
    <row r="15" spans="1:30" s="4" customFormat="1" ht="15" customHeight="1">
      <c r="A15" s="364"/>
      <c r="B15" s="545">
        <f t="shared" si="4"/>
        <v>7</v>
      </c>
      <c r="C15" s="552">
        <f t="shared" si="5"/>
        <v>6.208333333333333</v>
      </c>
      <c r="D15" s="546">
        <f t="shared" si="6"/>
        <v>44949.791666666664</v>
      </c>
      <c r="E15" s="547">
        <v>38693.70612665324</v>
      </c>
      <c r="F15" s="548">
        <f t="shared" si="3"/>
        <v>198497.97678951384</v>
      </c>
      <c r="G15" s="549">
        <f t="shared" si="7"/>
        <v>0.42210397014127887</v>
      </c>
      <c r="H15" s="554">
        <v>25020.040836550837</v>
      </c>
      <c r="I15" s="551">
        <f t="shared" si="1"/>
        <v>135092.97466464969</v>
      </c>
      <c r="J15" s="549">
        <f t="shared" si="0"/>
        <v>0.28727386478407796</v>
      </c>
      <c r="K15" s="365"/>
      <c r="M15" s="4">
        <v>5</v>
      </c>
      <c r="N15" s="559">
        <v>21235.135135135137</v>
      </c>
      <c r="O15" s="558"/>
      <c r="P15" s="558">
        <v>5138.6929523120507</v>
      </c>
      <c r="Q15" s="558"/>
      <c r="R15" s="559">
        <v>281.3897017747563</v>
      </c>
      <c r="S15" s="559">
        <v>281.3897017747563</v>
      </c>
      <c r="T15" s="559">
        <v>36.293086564825686</v>
      </c>
      <c r="U15" s="559">
        <v>62.596313418681824</v>
      </c>
      <c r="V15" s="559">
        <v>119.37884957325753</v>
      </c>
      <c r="W15" s="559">
        <v>112.14376778093856</v>
      </c>
      <c r="X15" s="558"/>
      <c r="Y15" s="558"/>
      <c r="Z15" s="559">
        <v>266.80389842789293</v>
      </c>
      <c r="AA15" s="559">
        <v>1137.8070175438595</v>
      </c>
      <c r="AB15" s="559">
        <v>289.30543207681353</v>
      </c>
      <c r="AC15" s="558"/>
      <c r="AD15" s="558">
        <f t="shared" si="2"/>
        <v>28960.93585638297</v>
      </c>
    </row>
    <row r="16" spans="1:30" s="4" customFormat="1" ht="15" customHeight="1">
      <c r="A16" s="364"/>
      <c r="B16" s="545">
        <f t="shared" si="4"/>
        <v>8</v>
      </c>
      <c r="C16" s="552">
        <f t="shared" si="5"/>
        <v>7.208333333333333</v>
      </c>
      <c r="D16" s="546">
        <f t="shared" si="6"/>
        <v>44950.791666666664</v>
      </c>
      <c r="E16" s="547">
        <v>30539.989910437023</v>
      </c>
      <c r="F16" s="548">
        <f t="shared" si="3"/>
        <v>229037.96669995086</v>
      </c>
      <c r="G16" s="549">
        <f t="shared" si="7"/>
        <v>0.48704695443647733</v>
      </c>
      <c r="H16" s="554">
        <v>4853.580566280566</v>
      </c>
      <c r="I16" s="551">
        <f t="shared" si="1"/>
        <v>139946.55523093027</v>
      </c>
      <c r="J16" s="549">
        <f t="shared" si="0"/>
        <v>0.29759495550532006</v>
      </c>
      <c r="K16" s="365"/>
      <c r="M16" s="4">
        <v>6</v>
      </c>
      <c r="N16" s="558"/>
      <c r="O16" s="558"/>
      <c r="P16" s="558">
        <v>5138.6929523120507</v>
      </c>
      <c r="Q16" s="558"/>
      <c r="R16" s="559">
        <v>281.3897017747563</v>
      </c>
      <c r="S16" s="559">
        <v>281.3897017747563</v>
      </c>
      <c r="T16" s="559">
        <v>36.293086564825686</v>
      </c>
      <c r="U16" s="559">
        <v>62.596313418681824</v>
      </c>
      <c r="V16" s="559">
        <v>119.37884957325753</v>
      </c>
      <c r="W16" s="559">
        <v>112.14376778093856</v>
      </c>
      <c r="X16" s="558"/>
      <c r="Y16" s="558"/>
      <c r="Z16" s="559">
        <v>266.80389842789293</v>
      </c>
      <c r="AA16" s="559">
        <v>1137.8070175438595</v>
      </c>
      <c r="AB16" s="559">
        <v>289.30543207681353</v>
      </c>
      <c r="AC16" s="558"/>
      <c r="AD16" s="558">
        <f t="shared" si="2"/>
        <v>7725.8007212478351</v>
      </c>
    </row>
    <row r="17" spans="1:48" s="4" customFormat="1" ht="15" customHeight="1">
      <c r="A17" s="364"/>
      <c r="B17" s="545">
        <f t="shared" si="4"/>
        <v>9</v>
      </c>
      <c r="C17" s="552">
        <f t="shared" si="5"/>
        <v>8.2083333333333321</v>
      </c>
      <c r="D17" s="546">
        <f t="shared" si="6"/>
        <v>44951.791666666664</v>
      </c>
      <c r="E17" s="547">
        <v>7725.8007212478351</v>
      </c>
      <c r="F17" s="548">
        <f t="shared" si="3"/>
        <v>236763.76742119869</v>
      </c>
      <c r="G17" s="549">
        <f>F17/$D$4</f>
        <v>0.50347579270326281</v>
      </c>
      <c r="H17" s="554">
        <v>13267.600836550837</v>
      </c>
      <c r="I17" s="551">
        <f t="shared" si="1"/>
        <v>153214.15606748112</v>
      </c>
      <c r="J17" s="549">
        <f t="shared" si="0"/>
        <v>0.3258083765080762</v>
      </c>
      <c r="K17" s="365"/>
      <c r="M17" s="4">
        <v>7</v>
      </c>
      <c r="N17" s="559">
        <v>30967.905405405407</v>
      </c>
      <c r="O17" s="558"/>
      <c r="P17" s="558">
        <v>5138.6929523120507</v>
      </c>
      <c r="Q17" s="558"/>
      <c r="R17" s="559">
        <v>281.3897017747563</v>
      </c>
      <c r="S17" s="559">
        <v>281.3897017747563</v>
      </c>
      <c r="T17" s="559">
        <v>36.293086564825686</v>
      </c>
      <c r="U17" s="559">
        <v>62.596313418681824</v>
      </c>
      <c r="V17" s="559">
        <v>119.37884957325753</v>
      </c>
      <c r="W17" s="559">
        <v>112.14376778093856</v>
      </c>
      <c r="X17" s="558"/>
      <c r="Y17" s="558"/>
      <c r="Z17" s="559">
        <v>266.80389842789293</v>
      </c>
      <c r="AA17" s="559">
        <v>1137.8070175438595</v>
      </c>
      <c r="AB17" s="559">
        <v>289.30543207681353</v>
      </c>
      <c r="AC17" s="558"/>
      <c r="AD17" s="558">
        <f t="shared" si="2"/>
        <v>38693.70612665324</v>
      </c>
    </row>
    <row r="18" spans="1:48" s="4" customFormat="1" ht="15" customHeight="1">
      <c r="A18" s="555"/>
      <c r="B18" s="545">
        <f t="shared" si="4"/>
        <v>10</v>
      </c>
      <c r="C18" s="552">
        <f t="shared" si="5"/>
        <v>9.2083333333333321</v>
      </c>
      <c r="D18" s="546">
        <f t="shared" si="6"/>
        <v>44952.791666666664</v>
      </c>
      <c r="E18" s="547">
        <v>7725.8007212478351</v>
      </c>
      <c r="F18" s="548">
        <f t="shared" si="3"/>
        <v>244489.56814244651</v>
      </c>
      <c r="G18" s="549">
        <f>F18/$D$4</f>
        <v>0.51990463097004835</v>
      </c>
      <c r="H18" s="547">
        <v>8698.0653635778635</v>
      </c>
      <c r="I18" s="551">
        <f t="shared" si="1"/>
        <v>161912.22143105898</v>
      </c>
      <c r="J18" s="549">
        <f t="shared" si="0"/>
        <v>0.34430472585075883</v>
      </c>
      <c r="K18" s="365"/>
      <c r="M18" s="4">
        <v>8</v>
      </c>
      <c r="N18" s="558">
        <v>12000</v>
      </c>
      <c r="O18" s="559">
        <v>10814.18918918919</v>
      </c>
      <c r="P18" s="558">
        <v>5138.6929523120507</v>
      </c>
      <c r="Q18" s="558"/>
      <c r="R18" s="559">
        <v>281.3897017747563</v>
      </c>
      <c r="S18" s="559">
        <v>281.3897017747563</v>
      </c>
      <c r="T18" s="559">
        <v>36.293086564825686</v>
      </c>
      <c r="U18" s="559">
        <v>62.596313418681824</v>
      </c>
      <c r="V18" s="559">
        <v>119.37884957325753</v>
      </c>
      <c r="W18" s="559">
        <v>112.14376778093856</v>
      </c>
      <c r="X18" s="558"/>
      <c r="Y18" s="558"/>
      <c r="Z18" s="559">
        <v>266.80389842789293</v>
      </c>
      <c r="AA18" s="559">
        <v>1137.8070175438595</v>
      </c>
      <c r="AB18" s="559">
        <v>289.30543207681353</v>
      </c>
      <c r="AC18" s="558"/>
      <c r="AD18" s="558">
        <f t="shared" si="2"/>
        <v>30539.989910437023</v>
      </c>
    </row>
    <row r="19" spans="1:48" s="9" customFormat="1" ht="15" customHeight="1">
      <c r="A19" s="555"/>
      <c r="B19" s="545">
        <f t="shared" si="4"/>
        <v>11</v>
      </c>
      <c r="C19" s="552">
        <f t="shared" si="5"/>
        <v>10.208333333333332</v>
      </c>
      <c r="D19" s="546">
        <f t="shared" si="6"/>
        <v>44953.791666666664</v>
      </c>
      <c r="E19" s="547">
        <v>52065.725696527988</v>
      </c>
      <c r="F19" s="548">
        <f t="shared" si="3"/>
        <v>296555.2938389745</v>
      </c>
      <c r="G19" s="549">
        <f>F19/$D$4</f>
        <v>0.63062187796796465</v>
      </c>
      <c r="H19" s="547">
        <v>6733.0400257400252</v>
      </c>
      <c r="I19" s="551">
        <f t="shared" si="1"/>
        <v>168645.26145679899</v>
      </c>
      <c r="J19" s="549">
        <f t="shared" si="0"/>
        <v>0.358622468388753</v>
      </c>
      <c r="K19" s="556"/>
      <c r="M19" s="4">
        <v>9</v>
      </c>
      <c r="N19" s="558"/>
      <c r="O19" s="558"/>
      <c r="P19" s="558">
        <v>5138.6929523120507</v>
      </c>
      <c r="Q19" s="558"/>
      <c r="R19" s="559">
        <v>281.3897017747563</v>
      </c>
      <c r="S19" s="559">
        <v>281.3897017747563</v>
      </c>
      <c r="T19" s="559">
        <v>36.293086564825686</v>
      </c>
      <c r="U19" s="559">
        <v>62.596313418681824</v>
      </c>
      <c r="V19" s="559">
        <v>119.37884957325753</v>
      </c>
      <c r="W19" s="559">
        <v>112.14376778093856</v>
      </c>
      <c r="X19" s="558"/>
      <c r="Y19" s="558"/>
      <c r="Z19" s="559">
        <v>266.80389842789293</v>
      </c>
      <c r="AA19" s="559">
        <v>1137.8070175438595</v>
      </c>
      <c r="AB19" s="559">
        <v>289.30543207681353</v>
      </c>
      <c r="AC19" s="558"/>
      <c r="AD19" s="558">
        <f t="shared" si="2"/>
        <v>7725.8007212478351</v>
      </c>
      <c r="AE19" s="4"/>
      <c r="AF19" s="4"/>
      <c r="AG19" s="4"/>
      <c r="AH19" s="4"/>
      <c r="AI19" s="4"/>
      <c r="AJ19" s="4"/>
      <c r="AK19" s="4"/>
      <c r="AL19" s="4"/>
      <c r="AM19" s="4"/>
      <c r="AN19" s="4"/>
      <c r="AO19" s="4"/>
      <c r="AP19" s="4"/>
      <c r="AQ19" s="4"/>
      <c r="AR19" s="4"/>
      <c r="AS19" s="4"/>
      <c r="AT19" s="4"/>
      <c r="AU19" s="4"/>
      <c r="AV19" s="4"/>
    </row>
    <row r="20" spans="1:48" s="9" customFormat="1" ht="15" customHeight="1">
      <c r="A20" s="555"/>
      <c r="B20" s="545">
        <f t="shared" si="4"/>
        <v>12</v>
      </c>
      <c r="C20" s="552">
        <f t="shared" si="5"/>
        <v>11.208333333333332</v>
      </c>
      <c r="D20" s="546">
        <f t="shared" si="6"/>
        <v>44954.791666666664</v>
      </c>
      <c r="E20" s="547">
        <v>7725.8007212478351</v>
      </c>
      <c r="F20" s="548">
        <f t="shared" si="3"/>
        <v>304281.09456022235</v>
      </c>
      <c r="G20" s="549">
        <f>F20/$D$4</f>
        <v>0.64705071623475019</v>
      </c>
      <c r="H20" s="547">
        <v>6733.0400257400252</v>
      </c>
      <c r="I20" s="551">
        <f t="shared" si="1"/>
        <v>175378.30148253901</v>
      </c>
      <c r="J20" s="549">
        <f t="shared" si="0"/>
        <v>0.37294021092674717</v>
      </c>
      <c r="K20" s="556"/>
      <c r="M20" s="4">
        <v>10</v>
      </c>
      <c r="N20" s="558"/>
      <c r="O20" s="558"/>
      <c r="P20" s="558">
        <v>5138.6929523120507</v>
      </c>
      <c r="Q20" s="558"/>
      <c r="R20" s="559">
        <v>281.3897017747563</v>
      </c>
      <c r="S20" s="559">
        <v>281.3897017747563</v>
      </c>
      <c r="T20" s="559">
        <v>36.293086564825686</v>
      </c>
      <c r="U20" s="559">
        <v>62.596313418681824</v>
      </c>
      <c r="V20" s="559">
        <v>119.37884957325753</v>
      </c>
      <c r="W20" s="559">
        <v>112.14376778093856</v>
      </c>
      <c r="X20" s="558"/>
      <c r="Y20" s="558"/>
      <c r="Z20" s="559">
        <v>266.80389842789293</v>
      </c>
      <c r="AA20" s="559">
        <v>1137.8070175438595</v>
      </c>
      <c r="AB20" s="559">
        <v>289.30543207681353</v>
      </c>
      <c r="AC20" s="558"/>
      <c r="AD20" s="558">
        <f t="shared" si="2"/>
        <v>7725.8007212478351</v>
      </c>
      <c r="AE20" s="4"/>
      <c r="AF20" s="4"/>
      <c r="AG20" s="4"/>
      <c r="AH20" s="4"/>
      <c r="AI20" s="4"/>
      <c r="AJ20" s="4"/>
      <c r="AK20" s="4"/>
      <c r="AL20" s="4"/>
      <c r="AM20" s="4"/>
      <c r="AN20" s="4"/>
      <c r="AO20" s="4"/>
      <c r="AP20" s="4"/>
      <c r="AQ20" s="4"/>
      <c r="AR20" s="4"/>
      <c r="AS20" s="4"/>
      <c r="AT20" s="4"/>
      <c r="AU20" s="4"/>
      <c r="AV20" s="4"/>
    </row>
    <row r="21" spans="1:48" s="9" customFormat="1" ht="15" customHeight="1">
      <c r="A21" s="555"/>
      <c r="B21" s="545">
        <f t="shared" si="4"/>
        <v>13</v>
      </c>
      <c r="C21" s="552">
        <f t="shared" si="5"/>
        <v>12.208333333333332</v>
      </c>
      <c r="D21" s="546">
        <f t="shared" si="6"/>
        <v>44955.791666666664</v>
      </c>
      <c r="E21" s="547">
        <v>7725.8007212478351</v>
      </c>
      <c r="F21" s="548">
        <f t="shared" si="3"/>
        <v>312006.89528147021</v>
      </c>
      <c r="G21" s="549">
        <f t="shared" ref="G21:G24" si="8">F21/$D$4</f>
        <v>0.66347955450153573</v>
      </c>
      <c r="H21" s="547">
        <v>6733.0400257400252</v>
      </c>
      <c r="I21" s="551">
        <f t="shared" si="1"/>
        <v>182111.34150827903</v>
      </c>
      <c r="J21" s="549">
        <f t="shared" si="0"/>
        <v>0.38725795346474134</v>
      </c>
      <c r="K21" s="556"/>
      <c r="M21" s="4">
        <v>11</v>
      </c>
      <c r="N21" s="559">
        <v>20421.452432432437</v>
      </c>
      <c r="O21" s="559">
        <v>8188.7428131179922</v>
      </c>
      <c r="P21" s="558">
        <v>5138.6929523120507</v>
      </c>
      <c r="Q21" s="559">
        <v>15729.72972972973</v>
      </c>
      <c r="R21" s="559">
        <v>281.3897017747563</v>
      </c>
      <c r="S21" s="559">
        <v>281.3897017747563</v>
      </c>
      <c r="T21" s="559">
        <v>36.293086564825686</v>
      </c>
      <c r="U21" s="559">
        <v>62.596313418681824</v>
      </c>
      <c r="V21" s="559">
        <v>119.37884957325753</v>
      </c>
      <c r="W21" s="559">
        <v>112.14376778093856</v>
      </c>
      <c r="X21" s="558"/>
      <c r="Y21" s="558"/>
      <c r="Z21" s="559">
        <v>266.80389842789293</v>
      </c>
      <c r="AA21" s="559">
        <v>1137.8070175438595</v>
      </c>
      <c r="AB21" s="559">
        <v>289.30543207681353</v>
      </c>
      <c r="AC21" s="558"/>
      <c r="AD21" s="558">
        <f t="shared" si="2"/>
        <v>52065.725696527988</v>
      </c>
      <c r="AE21" s="4"/>
      <c r="AF21" s="4"/>
      <c r="AG21" s="4"/>
      <c r="AH21" s="4"/>
      <c r="AI21" s="4"/>
      <c r="AJ21" s="4"/>
      <c r="AK21" s="4"/>
      <c r="AL21" s="4"/>
      <c r="AM21" s="4"/>
      <c r="AN21" s="4"/>
      <c r="AO21" s="4"/>
      <c r="AP21" s="4"/>
      <c r="AQ21" s="4"/>
      <c r="AR21" s="4"/>
      <c r="AS21" s="4"/>
      <c r="AT21" s="4"/>
      <c r="AU21" s="4"/>
      <c r="AV21" s="4"/>
    </row>
    <row r="22" spans="1:48" s="9" customFormat="1" ht="15" customHeight="1">
      <c r="A22" s="555"/>
      <c r="B22" s="545">
        <f t="shared" si="4"/>
        <v>14</v>
      </c>
      <c r="C22" s="552">
        <f t="shared" si="5"/>
        <v>13.208333333333332</v>
      </c>
      <c r="D22" s="546">
        <f t="shared" si="6"/>
        <v>44956.791666666664</v>
      </c>
      <c r="E22" s="547">
        <v>26583.908689886175</v>
      </c>
      <c r="F22" s="548">
        <f t="shared" si="3"/>
        <v>338590.80397135636</v>
      </c>
      <c r="G22" s="549">
        <f t="shared" si="8"/>
        <v>0.72000997149300494</v>
      </c>
      <c r="H22" s="547">
        <v>6733.0400257400252</v>
      </c>
      <c r="I22" s="551">
        <f t="shared" si="1"/>
        <v>188844.38153401905</v>
      </c>
      <c r="J22" s="549">
        <f t="shared" si="0"/>
        <v>0.40157569600273546</v>
      </c>
      <c r="K22" s="556"/>
      <c r="M22" s="4">
        <v>12</v>
      </c>
      <c r="N22" s="558"/>
      <c r="O22" s="558"/>
      <c r="P22" s="558">
        <v>5138.6929523120507</v>
      </c>
      <c r="Q22" s="558"/>
      <c r="R22" s="559">
        <v>281.3897017747563</v>
      </c>
      <c r="S22" s="559">
        <v>281.3897017747563</v>
      </c>
      <c r="T22" s="559">
        <v>36.293086564825686</v>
      </c>
      <c r="U22" s="559">
        <v>62.596313418681824</v>
      </c>
      <c r="V22" s="559">
        <v>119.37884957325753</v>
      </c>
      <c r="W22" s="559">
        <v>112.14376778093856</v>
      </c>
      <c r="X22" s="558"/>
      <c r="Y22" s="558"/>
      <c r="Z22" s="559">
        <v>266.80389842789293</v>
      </c>
      <c r="AA22" s="559">
        <v>1137.8070175438595</v>
      </c>
      <c r="AB22" s="559">
        <v>289.30543207681353</v>
      </c>
      <c r="AC22" s="558"/>
      <c r="AD22" s="558">
        <f t="shared" si="2"/>
        <v>7725.8007212478351</v>
      </c>
      <c r="AE22" s="4"/>
      <c r="AF22" s="4"/>
      <c r="AG22" s="4"/>
      <c r="AH22" s="4"/>
      <c r="AI22" s="4"/>
      <c r="AJ22" s="4"/>
      <c r="AK22" s="4"/>
      <c r="AL22" s="4"/>
      <c r="AM22" s="4"/>
      <c r="AN22" s="4"/>
      <c r="AO22" s="4"/>
      <c r="AP22" s="4"/>
      <c r="AQ22" s="4"/>
      <c r="AR22" s="4"/>
      <c r="AS22" s="4"/>
      <c r="AT22" s="4"/>
      <c r="AU22" s="4"/>
      <c r="AV22" s="4"/>
    </row>
    <row r="23" spans="1:48" s="9" customFormat="1" ht="15" customHeight="1">
      <c r="A23" s="555"/>
      <c r="B23" s="545">
        <f t="shared" si="4"/>
        <v>15</v>
      </c>
      <c r="C23" s="552">
        <f t="shared" si="5"/>
        <v>14.208333333333332</v>
      </c>
      <c r="D23" s="546">
        <f t="shared" si="6"/>
        <v>44957.791666666664</v>
      </c>
      <c r="E23" s="547">
        <v>7725.8007212478351</v>
      </c>
      <c r="F23" s="548">
        <f t="shared" si="3"/>
        <v>346316.60469260422</v>
      </c>
      <c r="G23" s="549">
        <f t="shared" si="8"/>
        <v>0.73643880975979048</v>
      </c>
      <c r="H23" s="547">
        <v>7723.5200257400256</v>
      </c>
      <c r="I23" s="551">
        <f t="shared" ref="I23:I24" si="9">I22+H23</f>
        <v>196567.90155975908</v>
      </c>
      <c r="J23" s="549">
        <f t="shared" ref="J23:J24" si="10">I23/$D$4</f>
        <v>0.4179996843932447</v>
      </c>
      <c r="K23" s="556"/>
      <c r="M23" s="4">
        <v>13</v>
      </c>
      <c r="N23" s="558"/>
      <c r="O23" s="558"/>
      <c r="P23" s="558">
        <v>5138.6929523120507</v>
      </c>
      <c r="Q23" s="558"/>
      <c r="R23" s="559">
        <v>281.3897017747563</v>
      </c>
      <c r="S23" s="559">
        <v>281.3897017747563</v>
      </c>
      <c r="T23" s="559">
        <v>36.293086564825686</v>
      </c>
      <c r="U23" s="559">
        <v>62.596313418681824</v>
      </c>
      <c r="V23" s="559">
        <v>119.37884957325753</v>
      </c>
      <c r="W23" s="559">
        <v>112.14376778093856</v>
      </c>
      <c r="X23" s="558"/>
      <c r="Y23" s="558"/>
      <c r="Z23" s="559">
        <v>266.80389842789293</v>
      </c>
      <c r="AA23" s="559">
        <v>1137.8070175438595</v>
      </c>
      <c r="AB23" s="559">
        <v>289.30543207681353</v>
      </c>
      <c r="AC23" s="558"/>
      <c r="AD23" s="558">
        <f t="shared" si="2"/>
        <v>7725.8007212478351</v>
      </c>
      <c r="AE23" s="4"/>
      <c r="AF23" s="4"/>
      <c r="AG23" s="4"/>
      <c r="AH23" s="4"/>
      <c r="AI23" s="4"/>
      <c r="AJ23" s="4"/>
      <c r="AK23" s="4"/>
      <c r="AL23" s="4"/>
      <c r="AM23" s="4"/>
      <c r="AN23" s="4"/>
      <c r="AO23" s="4"/>
      <c r="AP23" s="4"/>
      <c r="AQ23" s="4"/>
      <c r="AR23" s="4"/>
      <c r="AS23" s="4"/>
      <c r="AT23" s="4"/>
      <c r="AU23" s="4"/>
      <c r="AV23" s="4"/>
    </row>
    <row r="24" spans="1:48" s="9" customFormat="1" ht="15" customHeight="1">
      <c r="A24" s="555"/>
      <c r="B24" s="545">
        <f t="shared" si="4"/>
        <v>16</v>
      </c>
      <c r="C24" s="552">
        <f t="shared" si="5"/>
        <v>15.208333333333332</v>
      </c>
      <c r="D24" s="546">
        <f t="shared" si="6"/>
        <v>44958.791666666664</v>
      </c>
      <c r="E24" s="547">
        <v>61725.800721247833</v>
      </c>
      <c r="F24" s="548">
        <f t="shared" si="3"/>
        <v>408042.40541385207</v>
      </c>
      <c r="G24" s="549">
        <f t="shared" si="8"/>
        <v>0.86769811006095376</v>
      </c>
      <c r="H24" s="547">
        <v>14893.040025740029</v>
      </c>
      <c r="I24" s="551">
        <f t="shared" si="9"/>
        <v>211460.94158549909</v>
      </c>
      <c r="J24" s="549">
        <f t="shared" si="10"/>
        <v>0.44966958563865594</v>
      </c>
      <c r="K24" s="556"/>
      <c r="M24" s="4">
        <v>14</v>
      </c>
      <c r="N24" s="559">
        <v>18858.107968638345</v>
      </c>
      <c r="O24" s="558"/>
      <c r="P24" s="558">
        <v>5138.6929523120507</v>
      </c>
      <c r="Q24" s="558"/>
      <c r="R24" s="559">
        <v>281.3897017747563</v>
      </c>
      <c r="S24" s="559">
        <v>281.3897017747563</v>
      </c>
      <c r="T24" s="559">
        <v>36.293086564825686</v>
      </c>
      <c r="U24" s="559">
        <v>62.596313418681824</v>
      </c>
      <c r="V24" s="559">
        <v>119.37884957325753</v>
      </c>
      <c r="W24" s="559">
        <v>112.14376778093856</v>
      </c>
      <c r="X24" s="558"/>
      <c r="Y24" s="558"/>
      <c r="Z24" s="559">
        <v>266.80389842789293</v>
      </c>
      <c r="AA24" s="559">
        <v>1137.8070175438595</v>
      </c>
      <c r="AB24" s="559">
        <v>289.30543207681353</v>
      </c>
      <c r="AC24" s="558"/>
      <c r="AD24" s="558">
        <f t="shared" si="2"/>
        <v>26583.908689886175</v>
      </c>
      <c r="AE24" s="4"/>
      <c r="AF24" s="4"/>
      <c r="AG24" s="4"/>
      <c r="AH24" s="4"/>
      <c r="AI24" s="4"/>
      <c r="AJ24" s="4"/>
      <c r="AK24" s="4"/>
      <c r="AL24" s="4"/>
      <c r="AM24" s="4"/>
      <c r="AN24" s="4"/>
      <c r="AO24" s="4"/>
      <c r="AP24" s="4"/>
      <c r="AQ24" s="4"/>
      <c r="AR24" s="4"/>
      <c r="AS24" s="4"/>
      <c r="AT24" s="4"/>
      <c r="AU24" s="4"/>
      <c r="AV24" s="4"/>
    </row>
    <row r="25" spans="1:48" s="9" customFormat="1" ht="15" customHeight="1">
      <c r="A25" s="555"/>
      <c r="B25" s="545">
        <f t="shared" si="4"/>
        <v>17</v>
      </c>
      <c r="C25" s="552">
        <f t="shared" si="5"/>
        <v>16.208333333333332</v>
      </c>
      <c r="D25" s="546">
        <f t="shared" si="6"/>
        <v>44959.791666666664</v>
      </c>
      <c r="E25" s="547">
        <v>7725.8007212478351</v>
      </c>
      <c r="F25" s="548">
        <f t="shared" si="3"/>
        <v>415768.20613509993</v>
      </c>
      <c r="G25" s="549">
        <f t="shared" ref="G25:G27" si="11">F25/$D$4</f>
        <v>0.8841269483277393</v>
      </c>
      <c r="H25" s="547">
        <v>6733.0400257400252</v>
      </c>
      <c r="I25" s="551">
        <f t="shared" ref="I25:I27" si="12">I24+H25</f>
        <v>218193.98161123911</v>
      </c>
      <c r="J25" s="549">
        <f t="shared" ref="J25:J27" si="13">I25/$D$4</f>
        <v>0.46398732817665006</v>
      </c>
      <c r="K25" s="556"/>
      <c r="M25" s="4">
        <v>15</v>
      </c>
      <c r="N25" s="558"/>
      <c r="O25" s="558"/>
      <c r="P25" s="558">
        <v>5138.6929523120507</v>
      </c>
      <c r="Q25" s="558"/>
      <c r="R25" s="559">
        <v>281.3897017747563</v>
      </c>
      <c r="S25" s="559">
        <v>281.3897017747563</v>
      </c>
      <c r="T25" s="559">
        <v>36.293086564825686</v>
      </c>
      <c r="U25" s="559">
        <v>62.596313418681824</v>
      </c>
      <c r="V25" s="559">
        <v>119.37884957325753</v>
      </c>
      <c r="W25" s="559">
        <v>112.14376778093856</v>
      </c>
      <c r="X25" s="558"/>
      <c r="Y25" s="558"/>
      <c r="Z25" s="559">
        <v>266.80389842789293</v>
      </c>
      <c r="AA25" s="559">
        <v>1137.8070175438595</v>
      </c>
      <c r="AB25" s="559">
        <v>289.30543207681353</v>
      </c>
      <c r="AC25" s="558"/>
      <c r="AD25" s="558">
        <f t="shared" si="2"/>
        <v>7725.8007212478351</v>
      </c>
      <c r="AE25" s="4"/>
      <c r="AF25" s="4"/>
      <c r="AG25" s="4"/>
      <c r="AH25" s="4"/>
      <c r="AI25" s="4"/>
      <c r="AJ25" s="4"/>
      <c r="AK25" s="4"/>
      <c r="AL25" s="4"/>
      <c r="AM25" s="4"/>
      <c r="AN25" s="4"/>
      <c r="AO25" s="4"/>
      <c r="AP25" s="4"/>
      <c r="AQ25" s="4"/>
      <c r="AR25" s="4"/>
      <c r="AS25" s="4"/>
      <c r="AT25" s="4"/>
      <c r="AU25" s="4"/>
      <c r="AV25" s="4"/>
    </row>
    <row r="26" spans="1:48" s="9" customFormat="1" ht="15" customHeight="1">
      <c r="A26" s="555"/>
      <c r="B26" s="545">
        <f t="shared" si="4"/>
        <v>18</v>
      </c>
      <c r="C26" s="552">
        <f t="shared" si="5"/>
        <v>17.208333333333332</v>
      </c>
      <c r="D26" s="546">
        <f t="shared" si="6"/>
        <v>44960.791666666664</v>
      </c>
      <c r="E26" s="547">
        <v>46764.485910437019</v>
      </c>
      <c r="F26" s="548">
        <f t="shared" si="3"/>
        <v>462532.69204553694</v>
      </c>
      <c r="G26" s="549">
        <f t="shared" si="11"/>
        <v>0.98357116173321391</v>
      </c>
      <c r="H26" s="547">
        <v>6842.5707207207206</v>
      </c>
      <c r="I26" s="551">
        <f t="shared" si="12"/>
        <v>225036.55233195983</v>
      </c>
      <c r="J26" s="549">
        <f t="shared" si="13"/>
        <v>0.47853798664634017</v>
      </c>
      <c r="K26" s="556"/>
      <c r="M26" s="4">
        <v>16</v>
      </c>
      <c r="N26" s="559">
        <v>54000</v>
      </c>
      <c r="O26" s="558"/>
      <c r="P26" s="558">
        <v>5138.6929523120507</v>
      </c>
      <c r="Q26" s="558"/>
      <c r="R26" s="559">
        <v>281.3897017747563</v>
      </c>
      <c r="S26" s="559">
        <v>281.3897017747563</v>
      </c>
      <c r="T26" s="559">
        <v>36.293086564825686</v>
      </c>
      <c r="U26" s="559">
        <v>62.596313418681824</v>
      </c>
      <c r="V26" s="559">
        <v>119.37884957325753</v>
      </c>
      <c r="W26" s="559">
        <v>112.14376778093856</v>
      </c>
      <c r="X26" s="558"/>
      <c r="Y26" s="558"/>
      <c r="Z26" s="559">
        <v>266.80389842789293</v>
      </c>
      <c r="AA26" s="559">
        <v>1137.8070175438595</v>
      </c>
      <c r="AB26" s="559">
        <v>289.30543207681353</v>
      </c>
      <c r="AC26" s="558"/>
      <c r="AD26" s="558">
        <f t="shared" si="2"/>
        <v>61725.800721247833</v>
      </c>
      <c r="AE26" s="4"/>
      <c r="AF26" s="4"/>
      <c r="AG26" s="4"/>
      <c r="AH26" s="4"/>
      <c r="AI26" s="4"/>
      <c r="AJ26" s="4"/>
      <c r="AK26" s="4"/>
      <c r="AL26" s="4"/>
      <c r="AM26" s="4"/>
      <c r="AN26" s="4"/>
      <c r="AO26" s="4"/>
      <c r="AP26" s="4"/>
      <c r="AQ26" s="4"/>
      <c r="AR26" s="4"/>
      <c r="AS26" s="4"/>
      <c r="AT26" s="4"/>
      <c r="AU26" s="4"/>
      <c r="AV26" s="4"/>
    </row>
    <row r="27" spans="1:48" s="9" customFormat="1" ht="15" customHeight="1">
      <c r="A27" s="555"/>
      <c r="B27" s="561">
        <v>18.708333333333329</v>
      </c>
      <c r="C27" s="552">
        <f t="shared" si="5"/>
        <v>18.208333333333332</v>
      </c>
      <c r="D27" s="546">
        <f t="shared" si="6"/>
        <v>44961.791666666664</v>
      </c>
      <c r="E27" s="547">
        <v>7725.8007212478351</v>
      </c>
      <c r="F27" s="548">
        <f t="shared" si="3"/>
        <v>470258.4927667848</v>
      </c>
      <c r="G27" s="549">
        <f t="shared" si="11"/>
        <v>0.99999999999999956</v>
      </c>
      <c r="H27" s="547">
        <v>6733.0400257400252</v>
      </c>
      <c r="I27" s="551">
        <f t="shared" si="12"/>
        <v>231769.59235769985</v>
      </c>
      <c r="J27" s="549">
        <f t="shared" si="13"/>
        <v>0.49285572918433435</v>
      </c>
      <c r="K27" s="556"/>
      <c r="M27" s="4">
        <v>17</v>
      </c>
      <c r="N27" s="558"/>
      <c r="O27" s="558"/>
      <c r="P27" s="558">
        <v>5138.6929523120507</v>
      </c>
      <c r="Q27" s="558"/>
      <c r="R27" s="559">
        <v>281.3897017747563</v>
      </c>
      <c r="S27" s="559">
        <v>281.3897017747563</v>
      </c>
      <c r="T27" s="559">
        <v>36.293086564825686</v>
      </c>
      <c r="U27" s="559">
        <v>62.596313418681824</v>
      </c>
      <c r="V27" s="559">
        <v>119.37884957325753</v>
      </c>
      <c r="W27" s="559">
        <v>112.14376778093856</v>
      </c>
      <c r="X27" s="558"/>
      <c r="Y27" s="558"/>
      <c r="Z27" s="559">
        <v>266.80389842789293</v>
      </c>
      <c r="AA27" s="559">
        <v>1137.8070175438595</v>
      </c>
      <c r="AB27" s="559">
        <v>289.30543207681353</v>
      </c>
      <c r="AC27" s="558"/>
      <c r="AD27" s="558">
        <f t="shared" si="2"/>
        <v>7725.8007212478351</v>
      </c>
      <c r="AE27" s="4"/>
      <c r="AF27" s="4"/>
      <c r="AG27" s="4"/>
      <c r="AH27" s="4"/>
      <c r="AI27" s="4"/>
      <c r="AJ27" s="4"/>
      <c r="AK27" s="4"/>
      <c r="AL27" s="4"/>
      <c r="AM27" s="4"/>
      <c r="AN27" s="4"/>
      <c r="AO27" s="4"/>
      <c r="AP27" s="4"/>
      <c r="AQ27" s="4"/>
      <c r="AR27" s="4"/>
      <c r="AS27" s="4"/>
      <c r="AT27" s="4"/>
      <c r="AU27" s="4"/>
      <c r="AV27" s="4"/>
    </row>
    <row r="28" spans="1:48" s="9" customFormat="1" ht="15" customHeight="1">
      <c r="B28" s="561"/>
      <c r="C28" s="552">
        <f t="shared" si="5"/>
        <v>19.208333333333332</v>
      </c>
      <c r="D28" s="546">
        <f t="shared" si="6"/>
        <v>44962.791666666664</v>
      </c>
      <c r="E28" s="547"/>
      <c r="F28" s="548"/>
      <c r="G28" s="549"/>
      <c r="H28" s="547">
        <v>6835.9324967824959</v>
      </c>
      <c r="I28" s="551">
        <f t="shared" ref="I28:I32" si="14">I27+H28</f>
        <v>238605.52485448236</v>
      </c>
      <c r="J28" s="549">
        <f t="shared" ref="J28:J32" si="15">I28/$D$4</f>
        <v>0.50739227153695199</v>
      </c>
      <c r="M28" s="4">
        <v>18</v>
      </c>
      <c r="N28" s="559">
        <v>5941.9351351351352</v>
      </c>
      <c r="O28" s="559">
        <v>33096.75005405405</v>
      </c>
      <c r="P28" s="558">
        <v>5138.6929523120507</v>
      </c>
      <c r="Q28" s="558"/>
      <c r="R28" s="559">
        <v>281.3897017747563</v>
      </c>
      <c r="S28" s="559">
        <v>281.3897017747563</v>
      </c>
      <c r="T28" s="559">
        <v>36.293086564825686</v>
      </c>
      <c r="U28" s="559">
        <v>62.596313418681824</v>
      </c>
      <c r="V28" s="559">
        <v>119.37884957325753</v>
      </c>
      <c r="W28" s="559">
        <v>112.14376778093856</v>
      </c>
      <c r="X28" s="558"/>
      <c r="Y28" s="558"/>
      <c r="Z28" s="559">
        <v>266.80389842789293</v>
      </c>
      <c r="AA28" s="559">
        <v>1137.8070175438595</v>
      </c>
      <c r="AB28" s="559">
        <v>289.30543207681353</v>
      </c>
      <c r="AC28" s="558"/>
      <c r="AD28" s="558">
        <f t="shared" si="2"/>
        <v>46764.485910437019</v>
      </c>
      <c r="AE28" s="4"/>
      <c r="AF28" s="4"/>
      <c r="AG28" s="4"/>
      <c r="AH28" s="4"/>
      <c r="AI28" s="4"/>
      <c r="AJ28" s="4"/>
      <c r="AK28" s="4"/>
      <c r="AL28" s="4"/>
      <c r="AM28" s="4"/>
      <c r="AN28" s="4"/>
      <c r="AO28" s="4"/>
      <c r="AP28" s="4"/>
      <c r="AQ28" s="4"/>
      <c r="AR28" s="4"/>
      <c r="AS28" s="4"/>
      <c r="AT28" s="4"/>
      <c r="AU28" s="4"/>
      <c r="AV28" s="4"/>
    </row>
    <row r="29" spans="1:48" s="9" customFormat="1" ht="15" customHeight="1">
      <c r="B29" s="561"/>
      <c r="C29" s="552">
        <f t="shared" si="5"/>
        <v>20.208333333333332</v>
      </c>
      <c r="D29" s="546">
        <f t="shared" si="6"/>
        <v>44963.791666666664</v>
      </c>
      <c r="E29" s="547"/>
      <c r="F29" s="548"/>
      <c r="G29" s="549"/>
      <c r="H29" s="547">
        <v>7097.8669240669242</v>
      </c>
      <c r="I29" s="551">
        <f t="shared" si="14"/>
        <v>245703.39177854927</v>
      </c>
      <c r="J29" s="549">
        <f t="shared" si="15"/>
        <v>0.52248581483971368</v>
      </c>
      <c r="M29" s="4">
        <v>18.899999999999999</v>
      </c>
      <c r="N29" s="558"/>
      <c r="O29" s="558"/>
      <c r="P29" s="558">
        <v>5138.6929523120507</v>
      </c>
      <c r="Q29" s="558"/>
      <c r="R29" s="559">
        <v>281.3897017747563</v>
      </c>
      <c r="S29" s="559">
        <v>281.3897017747563</v>
      </c>
      <c r="T29" s="559">
        <v>36.293086564825686</v>
      </c>
      <c r="U29" s="559">
        <v>62.596313418681824</v>
      </c>
      <c r="V29" s="559">
        <v>119.37884957325753</v>
      </c>
      <c r="W29" s="559">
        <v>112.14376778093856</v>
      </c>
      <c r="X29" s="558"/>
      <c r="Y29" s="558"/>
      <c r="Z29" s="559">
        <v>266.80389842789293</v>
      </c>
      <c r="AA29" s="559">
        <v>1137.8070175438595</v>
      </c>
      <c r="AB29" s="559">
        <v>289.30543207681353</v>
      </c>
      <c r="AC29" s="558"/>
      <c r="AD29" s="558">
        <f t="shared" si="2"/>
        <v>7725.8007212478351</v>
      </c>
      <c r="AE29" s="4"/>
      <c r="AF29" s="4"/>
      <c r="AG29" s="4"/>
      <c r="AH29" s="4"/>
      <c r="AI29" s="4"/>
      <c r="AJ29" s="4"/>
      <c r="AK29" s="4"/>
      <c r="AL29" s="4"/>
      <c r="AM29" s="4"/>
      <c r="AN29" s="4"/>
      <c r="AO29" s="4"/>
      <c r="AP29" s="4"/>
      <c r="AQ29" s="4"/>
      <c r="AR29" s="4"/>
      <c r="AS29" s="4"/>
      <c r="AT29" s="4"/>
      <c r="AU29" s="4"/>
      <c r="AV29" s="4"/>
    </row>
    <row r="30" spans="1:48" s="9" customFormat="1" ht="15" customHeight="1">
      <c r="B30" s="561"/>
      <c r="C30" s="552">
        <f t="shared" si="5"/>
        <v>21.208333333333332</v>
      </c>
      <c r="D30" s="546">
        <f t="shared" si="6"/>
        <v>44964.791666666664</v>
      </c>
      <c r="E30" s="547"/>
      <c r="F30" s="548"/>
      <c r="G30" s="549"/>
      <c r="H30" s="547">
        <v>32049.661647361645</v>
      </c>
      <c r="I30" s="551">
        <f t="shared" si="14"/>
        <v>277753.05342591088</v>
      </c>
      <c r="J30" s="549">
        <f t="shared" si="15"/>
        <v>0.59063910104363981</v>
      </c>
      <c r="M30" s="4">
        <v>1</v>
      </c>
      <c r="N30" s="558">
        <v>4007.5601374570447</v>
      </c>
      <c r="O30" s="558"/>
      <c r="P30" s="558"/>
      <c r="Q30" s="558"/>
      <c r="R30" s="559">
        <v>281.3897017747563</v>
      </c>
      <c r="S30" s="559">
        <v>281.3897017747563</v>
      </c>
      <c r="T30" s="559">
        <v>36.293086564825686</v>
      </c>
      <c r="U30" s="558"/>
      <c r="V30" s="558"/>
      <c r="W30" s="558"/>
      <c r="X30" s="558"/>
      <c r="Y30" s="558"/>
      <c r="Z30" s="558"/>
      <c r="AA30" s="558"/>
      <c r="AB30" s="558"/>
      <c r="AC30" s="558"/>
      <c r="AD30" s="558">
        <f t="shared" si="2"/>
        <v>4606.6326275713827</v>
      </c>
      <c r="AE30" s="4"/>
      <c r="AF30" s="4"/>
      <c r="AG30" s="4"/>
      <c r="AH30" s="4"/>
      <c r="AI30" s="4"/>
      <c r="AJ30" s="4"/>
      <c r="AK30" s="4"/>
      <c r="AL30" s="4"/>
      <c r="AM30" s="4"/>
      <c r="AN30" s="4"/>
      <c r="AO30" s="4"/>
      <c r="AP30" s="4"/>
      <c r="AQ30" s="4"/>
      <c r="AR30" s="4"/>
      <c r="AS30" s="4"/>
      <c r="AT30" s="4"/>
      <c r="AU30" s="4"/>
      <c r="AV30" s="4"/>
    </row>
    <row r="31" spans="1:48" s="9" customFormat="1" ht="15" customHeight="1">
      <c r="B31" s="561"/>
      <c r="C31" s="552">
        <f t="shared" si="5"/>
        <v>22.208333333333332</v>
      </c>
      <c r="D31" s="546">
        <f t="shared" si="6"/>
        <v>44965.791666666664</v>
      </c>
      <c r="E31" s="547"/>
      <c r="F31" s="548"/>
      <c r="G31" s="549"/>
      <c r="H31" s="547">
        <v>32921.643539253542</v>
      </c>
      <c r="I31" s="551">
        <f t="shared" si="14"/>
        <v>310674.69696516445</v>
      </c>
      <c r="J31" s="549">
        <f t="shared" si="15"/>
        <v>0.66064664805370599</v>
      </c>
      <c r="M31" s="16"/>
      <c r="N31" s="560"/>
      <c r="O31" s="560"/>
      <c r="P31" s="560"/>
      <c r="Q31" s="560"/>
      <c r="R31" s="560"/>
      <c r="S31" s="560"/>
      <c r="T31" s="560"/>
      <c r="U31" s="560"/>
      <c r="V31" s="560"/>
      <c r="W31" s="560"/>
      <c r="X31" s="560"/>
      <c r="Y31" s="560"/>
      <c r="Z31" s="560"/>
      <c r="AA31" s="560"/>
      <c r="AB31" s="560"/>
      <c r="AC31" s="560"/>
      <c r="AD31" s="559">
        <f>SUM(AD8:AD30)</f>
        <v>470258.49276678485</v>
      </c>
    </row>
    <row r="32" spans="1:48" s="9" customFormat="1" ht="15" customHeight="1">
      <c r="B32" s="561"/>
      <c r="C32" s="552">
        <f t="shared" si="5"/>
        <v>23.208333333333332</v>
      </c>
      <c r="D32" s="546">
        <f t="shared" si="6"/>
        <v>44966.791666666664</v>
      </c>
      <c r="E32" s="547"/>
      <c r="F32" s="548"/>
      <c r="G32" s="549"/>
      <c r="H32" s="547">
        <v>5243.1751608751611</v>
      </c>
      <c r="I32" s="551">
        <f t="shared" si="14"/>
        <v>315917.87212603958</v>
      </c>
      <c r="J32" s="549">
        <f t="shared" si="15"/>
        <v>0.67179620779908489</v>
      </c>
    </row>
    <row r="33" spans="2:16" s="9" customFormat="1" ht="15" customHeight="1">
      <c r="B33" s="561"/>
      <c r="C33" s="545"/>
      <c r="D33" s="546">
        <f t="shared" si="6"/>
        <v>44967.791666666664</v>
      </c>
      <c r="E33" s="547"/>
      <c r="F33" s="548"/>
      <c r="G33" s="549"/>
      <c r="H33" s="547"/>
      <c r="I33" s="551"/>
      <c r="J33" s="549"/>
      <c r="O33" s="9">
        <v>5496.8032094594573</v>
      </c>
      <c r="P33" s="9">
        <v>19</v>
      </c>
    </row>
    <row r="34" spans="2:16" s="9" customFormat="1" ht="15" customHeight="1">
      <c r="B34" s="561"/>
      <c r="C34" s="545"/>
      <c r="D34" s="546">
        <f t="shared" si="6"/>
        <v>44968.791666666664</v>
      </c>
      <c r="E34" s="547"/>
      <c r="F34" s="548"/>
      <c r="G34" s="549"/>
      <c r="H34" s="547"/>
      <c r="I34" s="551"/>
      <c r="J34" s="549"/>
      <c r="P34" s="9">
        <f>O33/P33</f>
        <v>289.30543207681353</v>
      </c>
    </row>
    <row r="35" spans="2:16" s="9" customFormat="1" ht="15" customHeight="1">
      <c r="B35" s="561"/>
      <c r="C35" s="545"/>
      <c r="D35" s="546">
        <f t="shared" si="6"/>
        <v>44969.791666666664</v>
      </c>
      <c r="E35" s="547"/>
      <c r="F35" s="548"/>
      <c r="G35" s="549"/>
      <c r="H35" s="547"/>
      <c r="I35" s="551"/>
      <c r="J35" s="549"/>
    </row>
    <row r="36" spans="2:16" s="9" customFormat="1" ht="15" customHeight="1">
      <c r="B36" s="561"/>
      <c r="C36" s="545"/>
      <c r="D36" s="546">
        <f t="shared" si="6"/>
        <v>44970.791666666664</v>
      </c>
      <c r="E36" s="547"/>
      <c r="F36" s="548"/>
      <c r="G36" s="549"/>
      <c r="H36" s="547"/>
      <c r="I36" s="551"/>
      <c r="J36" s="549"/>
    </row>
    <row r="37" spans="2:16" s="9" customFormat="1" ht="15" customHeight="1">
      <c r="B37" s="561"/>
      <c r="C37" s="545"/>
      <c r="D37" s="546">
        <f t="shared" si="6"/>
        <v>44971.791666666664</v>
      </c>
      <c r="E37" s="547"/>
      <c r="F37" s="548"/>
      <c r="G37" s="549"/>
      <c r="H37" s="547"/>
      <c r="I37" s="551"/>
      <c r="J37" s="549"/>
    </row>
    <row r="38" spans="2:16" s="9" customFormat="1" ht="15" customHeight="1">
      <c r="B38" s="561"/>
      <c r="C38" s="545"/>
      <c r="D38" s="546">
        <f t="shared" si="6"/>
        <v>44972.791666666664</v>
      </c>
      <c r="E38" s="547"/>
      <c r="F38" s="548"/>
      <c r="G38" s="549"/>
      <c r="H38" s="547"/>
      <c r="I38" s="551"/>
      <c r="J38" s="549"/>
    </row>
    <row r="39" spans="2:16" ht="15" customHeight="1">
      <c r="B39" s="561"/>
      <c r="C39" s="545"/>
      <c r="D39" s="546">
        <f t="shared" si="6"/>
        <v>44973.791666666664</v>
      </c>
      <c r="E39" s="547"/>
      <c r="F39" s="548"/>
      <c r="G39" s="549"/>
      <c r="H39" s="547"/>
      <c r="I39" s="551"/>
      <c r="J39" s="549"/>
    </row>
    <row r="40" spans="2:16" ht="15" customHeight="1">
      <c r="B40" s="561"/>
      <c r="C40" s="545"/>
      <c r="D40" s="546">
        <f t="shared" si="6"/>
        <v>44974.791666666664</v>
      </c>
      <c r="E40" s="547"/>
      <c r="F40" s="548"/>
      <c r="G40" s="549"/>
      <c r="H40" s="547"/>
      <c r="I40" s="551"/>
      <c r="J40" s="549"/>
    </row>
    <row r="41" spans="2:16" ht="15" customHeight="1">
      <c r="B41" s="561"/>
      <c r="C41" s="545"/>
      <c r="D41" s="546">
        <f t="shared" si="6"/>
        <v>44975.791666666664</v>
      </c>
      <c r="E41" s="547"/>
      <c r="F41" s="548"/>
      <c r="G41" s="549"/>
      <c r="H41" s="547"/>
      <c r="I41" s="551"/>
      <c r="J41" s="549"/>
    </row>
    <row r="42" spans="2:16" ht="15" customHeight="1">
      <c r="B42" s="561"/>
      <c r="C42" s="545"/>
      <c r="D42" s="546">
        <f t="shared" si="6"/>
        <v>44976.791666666664</v>
      </c>
      <c r="E42" s="547"/>
      <c r="F42" s="548"/>
      <c r="G42" s="549"/>
      <c r="H42" s="547"/>
      <c r="I42" s="551"/>
      <c r="J42" s="549"/>
    </row>
    <row r="43" spans="2:16" ht="15" customHeight="1">
      <c r="B43" s="561"/>
      <c r="C43" s="545"/>
      <c r="D43" s="546">
        <f t="shared" si="6"/>
        <v>44977.791666666664</v>
      </c>
      <c r="E43" s="547"/>
      <c r="F43" s="548"/>
      <c r="G43" s="549"/>
      <c r="H43" s="547"/>
      <c r="I43" s="551"/>
      <c r="J43" s="549"/>
    </row>
    <row r="44" spans="2:16" ht="15" customHeight="1">
      <c r="B44" s="561"/>
      <c r="C44" s="545"/>
      <c r="D44" s="546">
        <f t="shared" si="6"/>
        <v>44978.791666666664</v>
      </c>
      <c r="E44" s="547"/>
      <c r="F44" s="548"/>
      <c r="G44" s="549"/>
      <c r="H44" s="547"/>
      <c r="I44" s="551"/>
      <c r="J44" s="549"/>
    </row>
    <row r="45" spans="2:16" ht="15" customHeight="1">
      <c r="B45" s="561"/>
      <c r="C45" s="545"/>
      <c r="D45" s="546">
        <f t="shared" si="6"/>
        <v>44979.791666666664</v>
      </c>
      <c r="E45" s="547"/>
      <c r="F45" s="548"/>
      <c r="G45" s="549"/>
      <c r="H45" s="547"/>
      <c r="I45" s="551"/>
      <c r="J45" s="549"/>
    </row>
    <row r="46" spans="2:16" ht="15" customHeight="1">
      <c r="B46" s="561"/>
      <c r="C46" s="545"/>
      <c r="D46" s="546">
        <f t="shared" si="6"/>
        <v>44980.791666666664</v>
      </c>
      <c r="E46" s="547"/>
      <c r="F46" s="548"/>
      <c r="G46" s="549"/>
      <c r="H46" s="547"/>
      <c r="I46" s="551"/>
      <c r="J46" s="549"/>
    </row>
    <row r="47" spans="2:16" ht="15" customHeight="1">
      <c r="B47" s="561"/>
      <c r="C47" s="545"/>
      <c r="D47" s="546">
        <f t="shared" si="6"/>
        <v>44981.791666666664</v>
      </c>
      <c r="E47" s="547"/>
      <c r="F47" s="548"/>
      <c r="G47" s="549"/>
      <c r="H47" s="547"/>
      <c r="I47" s="551"/>
      <c r="J47" s="549"/>
    </row>
    <row r="48" spans="2:16" ht="15" customHeight="1">
      <c r="B48" s="561"/>
      <c r="C48" s="545"/>
      <c r="D48" s="546">
        <f t="shared" si="6"/>
        <v>44982.791666666664</v>
      </c>
      <c r="E48" s="547"/>
      <c r="F48" s="548"/>
      <c r="G48" s="549"/>
      <c r="H48" s="547"/>
      <c r="I48" s="551"/>
      <c r="J48" s="549"/>
    </row>
    <row r="49" spans="2:10" ht="15" customHeight="1">
      <c r="B49" s="561"/>
      <c r="C49" s="545"/>
      <c r="D49" s="546">
        <f t="shared" si="6"/>
        <v>44983.791666666664</v>
      </c>
      <c r="E49" s="547"/>
      <c r="F49" s="548"/>
      <c r="G49" s="549"/>
      <c r="H49" s="547"/>
      <c r="I49" s="551"/>
      <c r="J49" s="549"/>
    </row>
    <row r="50" spans="2:10" ht="15" customHeight="1">
      <c r="B50" s="561"/>
      <c r="C50" s="545"/>
      <c r="D50" s="546">
        <f t="shared" si="6"/>
        <v>44984.791666666664</v>
      </c>
      <c r="E50" s="547"/>
      <c r="F50" s="548"/>
      <c r="G50" s="549"/>
      <c r="H50" s="547"/>
      <c r="I50" s="551"/>
      <c r="J50" s="549"/>
    </row>
    <row r="51" spans="2:10" ht="15" customHeight="1">
      <c r="B51" s="561"/>
      <c r="C51" s="545"/>
      <c r="D51" s="546">
        <f t="shared" si="6"/>
        <v>44985.791666666664</v>
      </c>
      <c r="E51" s="547"/>
      <c r="F51" s="548"/>
      <c r="G51" s="549"/>
      <c r="H51" s="547"/>
      <c r="I51" s="551"/>
      <c r="J51" s="549"/>
    </row>
    <row r="52" spans="2:10" ht="15" customHeight="1">
      <c r="B52" s="561"/>
      <c r="C52" s="545"/>
      <c r="D52" s="546">
        <f t="shared" si="6"/>
        <v>44986.791666666664</v>
      </c>
      <c r="E52" s="547"/>
      <c r="F52" s="548"/>
      <c r="G52" s="549"/>
      <c r="H52" s="547"/>
      <c r="I52" s="551"/>
      <c r="J52" s="549"/>
    </row>
    <row r="53" spans="2:10" ht="15" customHeight="1">
      <c r="B53" s="561"/>
      <c r="C53" s="545"/>
      <c r="D53" s="546">
        <f t="shared" si="6"/>
        <v>44987.791666666664</v>
      </c>
      <c r="E53" s="547"/>
      <c r="F53" s="548"/>
      <c r="G53" s="549"/>
      <c r="H53" s="547"/>
      <c r="I53" s="551"/>
      <c r="J53" s="549"/>
    </row>
    <row r="54" spans="2:10" ht="15" customHeight="1">
      <c r="B54" s="561"/>
      <c r="C54" s="545"/>
      <c r="D54" s="546">
        <f t="shared" si="6"/>
        <v>44988.791666666664</v>
      </c>
      <c r="E54" s="547"/>
      <c r="F54" s="548"/>
      <c r="G54" s="549"/>
      <c r="H54" s="547"/>
      <c r="I54" s="551"/>
      <c r="J54" s="549"/>
    </row>
    <row r="55" spans="2:10" ht="15" customHeight="1">
      <c r="B55" s="561"/>
      <c r="C55" s="545"/>
      <c r="D55" s="546">
        <f t="shared" si="6"/>
        <v>44989.791666666664</v>
      </c>
      <c r="E55" s="547"/>
      <c r="F55" s="548"/>
      <c r="G55" s="549"/>
      <c r="H55" s="547"/>
      <c r="I55" s="551"/>
      <c r="J55" s="549"/>
    </row>
    <row r="56" spans="2:10" ht="15" customHeight="1">
      <c r="B56" s="561"/>
      <c r="C56" s="545"/>
      <c r="D56" s="546">
        <f t="shared" si="6"/>
        <v>44990.791666666664</v>
      </c>
      <c r="E56" s="547"/>
      <c r="F56" s="548"/>
      <c r="G56" s="549"/>
      <c r="H56" s="547"/>
      <c r="I56" s="551"/>
      <c r="J56" s="549"/>
    </row>
    <row r="57" spans="2:10" ht="15" customHeight="1">
      <c r="B57" s="561"/>
      <c r="C57" s="545"/>
      <c r="D57" s="546">
        <f t="shared" si="6"/>
        <v>44991.791666666664</v>
      </c>
      <c r="E57" s="547"/>
      <c r="F57" s="548"/>
      <c r="G57" s="549"/>
      <c r="H57" s="547"/>
      <c r="I57" s="551"/>
      <c r="J57" s="549"/>
    </row>
    <row r="58" spans="2:10" ht="15" customHeight="1">
      <c r="B58" s="561"/>
      <c r="C58" s="545"/>
      <c r="D58" s="546">
        <f t="shared" si="6"/>
        <v>44992.791666666664</v>
      </c>
      <c r="E58" s="547"/>
      <c r="F58" s="548"/>
      <c r="G58" s="549"/>
      <c r="H58" s="547"/>
      <c r="I58" s="551"/>
      <c r="J58" s="549"/>
    </row>
    <row r="59" spans="2:10" ht="15" customHeight="1">
      <c r="B59" s="561"/>
      <c r="C59" s="545"/>
      <c r="D59" s="546">
        <f t="shared" si="6"/>
        <v>44993.791666666664</v>
      </c>
      <c r="E59" s="547"/>
      <c r="F59" s="548"/>
      <c r="G59" s="549"/>
      <c r="H59" s="547"/>
      <c r="I59" s="551"/>
      <c r="J59" s="549"/>
    </row>
    <row r="60" spans="2:10" ht="15" customHeight="1">
      <c r="B60" s="561"/>
      <c r="C60" s="545"/>
      <c r="D60" s="546">
        <f t="shared" si="6"/>
        <v>44994.791666666664</v>
      </c>
      <c r="E60" s="547"/>
      <c r="F60" s="548"/>
      <c r="G60" s="549"/>
      <c r="H60" s="547"/>
      <c r="I60" s="551"/>
      <c r="J60" s="549"/>
    </row>
    <row r="61" spans="2:10" ht="15" customHeight="1">
      <c r="B61" s="561"/>
      <c r="C61" s="545"/>
      <c r="D61" s="546">
        <f t="shared" si="6"/>
        <v>44995.791666666664</v>
      </c>
      <c r="E61" s="547"/>
      <c r="F61" s="548"/>
      <c r="G61" s="549"/>
      <c r="H61" s="547"/>
      <c r="I61" s="551"/>
      <c r="J61" s="549"/>
    </row>
    <row r="62" spans="2:10" ht="15" customHeight="1">
      <c r="B62" s="561"/>
      <c r="C62" s="545"/>
      <c r="D62" s="546">
        <f t="shared" si="6"/>
        <v>44996.791666666664</v>
      </c>
      <c r="E62" s="547"/>
      <c r="F62" s="548"/>
      <c r="G62" s="549"/>
      <c r="H62" s="547"/>
      <c r="I62" s="551"/>
      <c r="J62" s="549"/>
    </row>
    <row r="63" spans="2:10" ht="15" customHeight="1">
      <c r="B63" s="561"/>
      <c r="C63" s="545"/>
      <c r="D63" s="546">
        <f t="shared" si="6"/>
        <v>44997.791666666664</v>
      </c>
      <c r="E63" s="547"/>
      <c r="F63" s="548"/>
      <c r="G63" s="549"/>
      <c r="H63" s="547"/>
      <c r="I63" s="551"/>
      <c r="J63" s="549"/>
    </row>
    <row r="64" spans="2:10" ht="15" customHeight="1">
      <c r="B64" s="561"/>
      <c r="C64" s="545"/>
      <c r="D64" s="546">
        <f t="shared" si="6"/>
        <v>44998.791666666664</v>
      </c>
      <c r="E64" s="547"/>
      <c r="F64" s="548"/>
      <c r="G64" s="549"/>
      <c r="H64" s="547"/>
      <c r="I64" s="551"/>
      <c r="J64" s="549"/>
    </row>
    <row r="65" spans="2:10" ht="15" customHeight="1">
      <c r="B65" s="561"/>
      <c r="C65" s="545"/>
      <c r="D65" s="546">
        <f t="shared" si="6"/>
        <v>44999.791666666664</v>
      </c>
      <c r="E65" s="547"/>
      <c r="F65" s="548"/>
      <c r="G65" s="549"/>
      <c r="H65" s="547"/>
      <c r="I65" s="551"/>
      <c r="J65" s="549"/>
    </row>
    <row r="66" spans="2:10" ht="15" customHeight="1">
      <c r="B66" s="561"/>
      <c r="C66" s="545"/>
      <c r="D66" s="546">
        <f t="shared" si="6"/>
        <v>45000.791666666664</v>
      </c>
      <c r="E66" s="547"/>
      <c r="F66" s="548"/>
      <c r="G66" s="549"/>
      <c r="H66" s="547"/>
      <c r="I66" s="551"/>
      <c r="J66" s="549"/>
    </row>
    <row r="67" spans="2:10" ht="15" customHeight="1">
      <c r="B67" s="561"/>
      <c r="C67" s="545"/>
      <c r="D67" s="546">
        <f t="shared" si="6"/>
        <v>45001.791666666664</v>
      </c>
      <c r="E67" s="547"/>
      <c r="F67" s="548"/>
      <c r="G67" s="549"/>
      <c r="H67" s="547"/>
      <c r="I67" s="551"/>
      <c r="J67" s="549"/>
    </row>
    <row r="68" spans="2:10" ht="15" customHeight="1">
      <c r="B68" s="561"/>
      <c r="C68" s="545"/>
      <c r="D68" s="546">
        <f t="shared" si="6"/>
        <v>45002.791666666664</v>
      </c>
      <c r="E68" s="547"/>
      <c r="F68" s="548"/>
      <c r="G68" s="549"/>
      <c r="H68" s="547"/>
      <c r="I68" s="551"/>
      <c r="J68" s="549"/>
    </row>
    <row r="69" spans="2:10" ht="15" customHeight="1">
      <c r="B69" s="561"/>
      <c r="C69" s="545"/>
      <c r="D69" s="546">
        <f t="shared" si="6"/>
        <v>45003.791666666664</v>
      </c>
      <c r="E69" s="547"/>
      <c r="F69" s="548"/>
      <c r="G69" s="549"/>
      <c r="H69" s="547"/>
      <c r="I69" s="551"/>
      <c r="J69" s="549"/>
    </row>
    <row r="70" spans="2:10">
      <c r="B70" s="545"/>
      <c r="C70" s="545"/>
      <c r="D70" s="546"/>
      <c r="E70" s="547"/>
      <c r="F70" s="548"/>
      <c r="G70" s="549"/>
      <c r="H70" s="547"/>
      <c r="I70" s="551"/>
      <c r="J70" s="549"/>
    </row>
    <row r="71" spans="2:10">
      <c r="B71" s="9"/>
      <c r="C71" s="9"/>
      <c r="D71" s="9"/>
      <c r="E71" s="9"/>
      <c r="F71" s="9"/>
      <c r="G71" s="557"/>
      <c r="H71" s="9"/>
      <c r="I71" s="9"/>
      <c r="J71" s="557"/>
    </row>
    <row r="72" spans="2:10">
      <c r="B72" s="9"/>
      <c r="C72" s="9"/>
      <c r="D72" s="9"/>
      <c r="E72" s="9"/>
      <c r="F72" s="9"/>
      <c r="G72" s="557"/>
      <c r="H72" s="9"/>
      <c r="I72" s="9"/>
      <c r="J72" s="557"/>
    </row>
    <row r="73" spans="2:10">
      <c r="B73" s="9"/>
      <c r="C73" s="9"/>
      <c r="D73" s="9"/>
      <c r="E73" s="9"/>
      <c r="F73" s="9"/>
      <c r="G73" s="557"/>
      <c r="H73" s="9"/>
      <c r="I73" s="9"/>
      <c r="J73" s="557"/>
    </row>
    <row r="74" spans="2:10">
      <c r="B74" s="9"/>
      <c r="C74" s="9"/>
      <c r="D74" s="9"/>
      <c r="E74" s="9"/>
      <c r="F74" s="9"/>
      <c r="G74" s="557"/>
      <c r="H74" s="9"/>
      <c r="I74" s="9"/>
      <c r="J74" s="557"/>
    </row>
    <row r="75" spans="2:10">
      <c r="B75" s="9"/>
      <c r="C75" s="9"/>
      <c r="D75" s="9"/>
      <c r="E75" s="9"/>
      <c r="F75" s="9"/>
      <c r="G75" s="557"/>
      <c r="H75" s="9"/>
      <c r="I75" s="9"/>
      <c r="J75" s="557"/>
    </row>
    <row r="76" spans="2:10">
      <c r="B76" s="9"/>
      <c r="C76" s="9"/>
      <c r="D76" s="9"/>
      <c r="E76" s="9"/>
      <c r="F76" s="9"/>
      <c r="G76" s="557"/>
      <c r="H76" s="9"/>
      <c r="I76" s="9"/>
      <c r="J76" s="557"/>
    </row>
    <row r="77" spans="2:10">
      <c r="B77" s="9"/>
      <c r="C77" s="9"/>
      <c r="D77" s="9"/>
      <c r="E77" s="9"/>
      <c r="F77" s="9"/>
      <c r="G77" s="557"/>
      <c r="H77" s="9"/>
      <c r="I77" s="9"/>
      <c r="J77" s="557"/>
    </row>
    <row r="78" spans="2:10">
      <c r="B78" s="9"/>
      <c r="C78" s="9"/>
      <c r="D78" s="9"/>
      <c r="E78" s="9"/>
      <c r="F78" s="9"/>
      <c r="G78" s="557"/>
      <c r="H78" s="9"/>
      <c r="I78" s="9"/>
      <c r="J78" s="557"/>
    </row>
    <row r="79" spans="2:10">
      <c r="B79" s="9"/>
      <c r="C79" s="9"/>
      <c r="D79" s="9"/>
      <c r="E79" s="9"/>
      <c r="F79" s="9"/>
      <c r="G79" s="557"/>
      <c r="H79" s="9"/>
      <c r="I79" s="9"/>
      <c r="J79" s="557"/>
    </row>
    <row r="80" spans="2:10">
      <c r="B80" s="9"/>
      <c r="C80" s="9"/>
      <c r="D80" s="9"/>
      <c r="E80" s="9"/>
      <c r="F80" s="9"/>
      <c r="G80" s="557"/>
      <c r="H80" s="9"/>
      <c r="I80" s="9"/>
      <c r="J80" s="557"/>
    </row>
  </sheetData>
  <mergeCells count="7">
    <mergeCell ref="B3:C3"/>
    <mergeCell ref="B4:C4"/>
    <mergeCell ref="B5:C5"/>
    <mergeCell ref="E6:G6"/>
    <mergeCell ref="H6:J6"/>
    <mergeCell ref="B6:C7"/>
    <mergeCell ref="D6:D7"/>
  </mergeCells>
  <phoneticPr fontId="30" type="noConversion"/>
  <pageMargins left="0.74791666666666701" right="0.74791666666666701" top="0.59027777777777801" bottom="0.59027777777777801" header="0.51180555555555596" footer="0.51180555555555596"/>
  <pageSetup scale="65" firstPageNumber="0" orientation="landscape" r:id="rId1"/>
  <headerFooter alignWithMargins="0"/>
  <ignoredErrors>
    <ignoredError sqref="F8:G8 G24 G9 I8 G10 G11 I11 G12 I12 G13 I13 G14 I14 G15 I15 G16 I16 G17 I17 G18 I18 G19 I19 G20 G21 I21 G22 I22 G23 I23 I24" emptyCellReferenc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CFFFF"/>
  </sheetPr>
  <dimension ref="A1:CL198"/>
  <sheetViews>
    <sheetView topLeftCell="A73" zoomScale="70" zoomScaleNormal="70" workbookViewId="0">
      <selection activeCell="L80" sqref="L80"/>
    </sheetView>
  </sheetViews>
  <sheetFormatPr defaultColWidth="9.109375" defaultRowHeight="13.2" outlineLevelCol="1"/>
  <cols>
    <col min="1" max="1" width="11.33203125" style="85" customWidth="1"/>
    <col min="2" max="2" width="7.6640625" style="85" customWidth="1"/>
    <col min="3" max="3" width="12.88671875" style="85" customWidth="1"/>
    <col min="4" max="4" width="23.5546875" style="85" customWidth="1"/>
    <col min="5" max="5" width="7.6640625" style="85" customWidth="1"/>
    <col min="6" max="6" width="11.33203125" style="85" customWidth="1"/>
    <col min="7" max="7" width="11.44140625" style="85" customWidth="1"/>
    <col min="8" max="8" width="10" style="85" customWidth="1"/>
    <col min="9" max="9" width="10.5546875" style="85" customWidth="1"/>
    <col min="10" max="10" width="10.6640625" style="85" customWidth="1"/>
    <col min="11" max="11" width="2.6640625" style="9" customWidth="1" outlineLevel="1"/>
    <col min="12" max="12" width="72.109375" style="85" customWidth="1" outlineLevel="1"/>
    <col min="13" max="13" width="10.33203125" style="526" hidden="1" customWidth="1" outlineLevel="1"/>
    <col min="14" max="14" width="11" style="485" customWidth="1" outlineLevel="1"/>
    <col min="15" max="16" width="11.6640625" style="85" customWidth="1" outlineLevel="1"/>
    <col min="17" max="17" width="11" style="527" customWidth="1" outlineLevel="1"/>
    <col min="18" max="18" width="4.109375" style="9" customWidth="1"/>
    <col min="19" max="20" width="10.6640625" style="85" customWidth="1" outlineLevel="1"/>
    <col min="21" max="21" width="33.109375" style="528" customWidth="1" outlineLevel="1"/>
    <col min="22" max="22" width="10.33203125" style="528" customWidth="1" outlineLevel="1"/>
    <col min="23" max="23" width="17.5546875" style="85" customWidth="1" outlineLevel="1"/>
    <col min="24" max="24" width="11.5546875" style="528" customWidth="1" outlineLevel="1"/>
    <col min="25" max="26" width="10.33203125" style="528" customWidth="1" outlineLevel="1"/>
    <col min="27" max="28" width="1.6640625" style="529" customWidth="1"/>
    <col min="29" max="29" width="10.6640625" style="530" customWidth="1" outlineLevel="1"/>
    <col min="30" max="51" width="8.5546875" style="421" customWidth="1" outlineLevel="1"/>
    <col min="52" max="52" width="8.5546875" style="421" customWidth="1"/>
    <col min="53" max="16384" width="9.109375" style="85"/>
  </cols>
  <sheetData>
    <row r="1" spans="1:90" ht="36" customHeight="1">
      <c r="A1" s="486" t="s">
        <v>267</v>
      </c>
      <c r="B1" s="487"/>
      <c r="C1" s="487"/>
      <c r="D1" s="487"/>
      <c r="E1" s="487"/>
      <c r="F1" s="487"/>
      <c r="G1" s="488"/>
      <c r="H1" s="488"/>
      <c r="I1" s="488"/>
      <c r="J1" s="488"/>
      <c r="K1" s="488"/>
      <c r="L1" s="488"/>
      <c r="M1" s="489"/>
      <c r="N1" s="489"/>
      <c r="O1" s="489"/>
      <c r="P1" s="489"/>
      <c r="Q1" s="490"/>
      <c r="R1" s="489"/>
      <c r="S1" s="489"/>
      <c r="T1" s="489"/>
      <c r="U1" s="489"/>
      <c r="V1" s="489"/>
      <c r="W1" s="489"/>
      <c r="X1" s="489"/>
      <c r="Y1" s="489"/>
      <c r="Z1" s="489"/>
      <c r="AA1" s="491"/>
      <c r="AB1" s="491"/>
      <c r="AC1" s="492"/>
      <c r="AD1" s="493"/>
      <c r="AE1" s="493"/>
      <c r="AF1" s="493"/>
      <c r="AG1" s="493"/>
      <c r="AH1" s="493"/>
      <c r="AI1" s="493"/>
      <c r="AJ1" s="493"/>
      <c r="AK1" s="493"/>
      <c r="AL1" s="493"/>
      <c r="AM1" s="493"/>
      <c r="AN1" s="493"/>
      <c r="AO1" s="493"/>
    </row>
    <row r="2" spans="1:90" ht="18" customHeight="1">
      <c r="A2" s="494" t="str">
        <f>""&amp;'1_INPUT'!B14&amp;" : "&amp;'1_INPUT'!E14&amp;""</f>
        <v>WELL : SPA-034</v>
      </c>
      <c r="B2" s="88"/>
      <c r="C2" s="495"/>
      <c r="D2" s="496"/>
      <c r="E2" s="497"/>
      <c r="F2" s="495"/>
      <c r="G2" s="488"/>
      <c r="H2" s="488"/>
      <c r="I2" s="488"/>
      <c r="J2" s="488"/>
      <c r="K2" s="488"/>
      <c r="L2" s="122"/>
      <c r="M2" s="88"/>
      <c r="N2" s="88"/>
      <c r="O2" s="86"/>
      <c r="P2" s="86"/>
      <c r="Q2" s="114"/>
      <c r="R2" s="498"/>
      <c r="S2" s="86"/>
      <c r="T2" s="86"/>
      <c r="U2" s="88"/>
      <c r="V2" s="123"/>
      <c r="W2" s="89"/>
      <c r="X2" s="88"/>
      <c r="Y2" s="88"/>
      <c r="Z2" s="88"/>
      <c r="AA2" s="491"/>
      <c r="AB2" s="491"/>
      <c r="AC2" s="492"/>
      <c r="AD2" s="493"/>
      <c r="AE2" s="493"/>
      <c r="AF2" s="493"/>
      <c r="AG2" s="493"/>
      <c r="AH2" s="493"/>
      <c r="AI2" s="493"/>
      <c r="AJ2" s="493"/>
      <c r="AK2" s="493"/>
      <c r="AL2" s="493"/>
      <c r="AM2" s="493"/>
      <c r="AN2" s="493"/>
      <c r="AO2" s="493"/>
    </row>
    <row r="3" spans="1:90" ht="18" customHeight="1">
      <c r="A3" s="494" t="str">
        <f>""&amp;'1_INPUT'!B15&amp;" : "&amp;'1_INPUT'!E15&amp;""</f>
        <v>LOCATION : SOPA</v>
      </c>
      <c r="B3" s="88"/>
      <c r="C3" s="495"/>
      <c r="D3" s="496"/>
      <c r="E3" s="122"/>
      <c r="F3" s="495"/>
      <c r="G3" s="488"/>
      <c r="H3" s="488"/>
      <c r="I3" s="488"/>
      <c r="J3" s="488"/>
      <c r="K3" s="488"/>
      <c r="L3" s="88"/>
      <c r="M3" s="88"/>
      <c r="N3" s="88"/>
      <c r="O3" s="86"/>
      <c r="P3" s="86"/>
      <c r="Q3" s="114"/>
      <c r="R3" s="498"/>
      <c r="S3" s="86"/>
      <c r="T3" s="86"/>
      <c r="U3" s="88"/>
      <c r="V3" s="88"/>
      <c r="W3" s="89"/>
      <c r="X3" s="88"/>
      <c r="Y3" s="88"/>
      <c r="Z3" s="88"/>
      <c r="AA3" s="491"/>
      <c r="AB3" s="491"/>
      <c r="AC3" s="492"/>
      <c r="AD3" s="493"/>
      <c r="AE3" s="493"/>
      <c r="AF3" s="493"/>
      <c r="AG3" s="493"/>
      <c r="AH3" s="493"/>
      <c r="AI3" s="493"/>
      <c r="AJ3" s="493"/>
      <c r="AK3" s="493"/>
      <c r="AL3" s="493"/>
      <c r="AM3" s="493"/>
      <c r="AN3" s="493"/>
      <c r="AO3" s="493"/>
    </row>
    <row r="4" spans="1:90" ht="18" customHeight="1">
      <c r="A4" s="494" t="str">
        <f>""&amp;'1_INPUT'!B18&amp;" : "&amp;TEXT('1_INPUT'!E18,"dd/mm/yyyy hh:mm"&amp;"")</f>
        <v>SPUD DATE : 17/01/2023 19:00</v>
      </c>
      <c r="B4" s="88"/>
      <c r="C4" s="499"/>
      <c r="D4" s="496"/>
      <c r="E4" s="88"/>
      <c r="F4" s="499"/>
      <c r="G4" s="488"/>
      <c r="H4" s="488"/>
      <c r="I4" s="488"/>
      <c r="J4" s="488"/>
      <c r="K4" s="488"/>
      <c r="L4" s="88"/>
      <c r="M4" s="87"/>
      <c r="N4" s="120"/>
      <c r="O4" s="89"/>
      <c r="P4" s="89"/>
      <c r="Q4" s="121"/>
      <c r="R4" s="498"/>
      <c r="S4" s="89"/>
      <c r="T4" s="89"/>
      <c r="U4" s="88"/>
      <c r="V4" s="122"/>
      <c r="W4" s="89"/>
      <c r="X4" s="88"/>
      <c r="Y4" s="88"/>
      <c r="Z4" s="88"/>
      <c r="AA4" s="491"/>
      <c r="AB4" s="491"/>
      <c r="AC4" s="492"/>
      <c r="AD4" s="493"/>
      <c r="AE4" s="493"/>
      <c r="AF4" s="493"/>
      <c r="AG4" s="493"/>
      <c r="AH4" s="493"/>
      <c r="AI4" s="500"/>
      <c r="AJ4" s="493"/>
      <c r="AK4" s="493"/>
      <c r="AL4" s="493"/>
      <c r="AM4" s="500"/>
      <c r="AN4" s="493"/>
      <c r="AO4" s="493"/>
      <c r="AP4" s="422"/>
      <c r="AR4" s="422"/>
    </row>
    <row r="5" spans="1:90" ht="26.7" customHeight="1">
      <c r="A5" s="501"/>
      <c r="B5" s="502"/>
      <c r="C5" s="503"/>
      <c r="D5" s="504"/>
      <c r="E5" s="504"/>
      <c r="F5" s="501"/>
      <c r="G5" s="501"/>
      <c r="H5" s="501"/>
      <c r="I5" s="501"/>
      <c r="J5" s="505"/>
      <c r="K5" s="498"/>
      <c r="L5" s="504"/>
      <c r="M5" s="506"/>
      <c r="N5" s="504"/>
      <c r="O5" s="504"/>
      <c r="P5" s="504"/>
      <c r="Q5" s="507"/>
      <c r="R5" s="498"/>
      <c r="S5" s="504"/>
      <c r="T5" s="504"/>
      <c r="U5" s="508"/>
      <c r="V5" s="508"/>
      <c r="W5" s="509"/>
      <c r="X5" s="508"/>
      <c r="Y5" s="508"/>
      <c r="Z5" s="508"/>
      <c r="AA5" s="491"/>
      <c r="AB5" s="491"/>
      <c r="AC5" s="492"/>
      <c r="AD5" s="493"/>
      <c r="AE5" s="493"/>
      <c r="AF5" s="493"/>
      <c r="AG5" s="493"/>
      <c r="AH5" s="493"/>
      <c r="AI5" s="493"/>
      <c r="AJ5" s="493"/>
      <c r="AK5" s="493"/>
      <c r="AL5" s="493"/>
      <c r="AM5" s="493"/>
      <c r="AN5" s="493"/>
      <c r="AO5" s="493"/>
    </row>
    <row r="6" spans="1:90" s="512" customFormat="1" ht="22.5" customHeight="1">
      <c r="A6" s="697" t="s">
        <v>297</v>
      </c>
      <c r="B6" s="683" t="s">
        <v>263</v>
      </c>
      <c r="C6" s="685" t="s">
        <v>47</v>
      </c>
      <c r="D6" s="686"/>
      <c r="E6" s="686"/>
      <c r="F6" s="686"/>
      <c r="G6" s="686"/>
      <c r="H6" s="686"/>
      <c r="I6" s="686"/>
      <c r="J6" s="687"/>
      <c r="K6" s="510"/>
      <c r="L6" s="681" t="s">
        <v>48</v>
      </c>
      <c r="M6" s="681"/>
      <c r="N6" s="681"/>
      <c r="O6" s="681"/>
      <c r="P6" s="681"/>
      <c r="Q6" s="681"/>
      <c r="R6" s="510"/>
      <c r="S6" s="682" t="s">
        <v>448</v>
      </c>
      <c r="T6" s="682"/>
      <c r="U6" s="682"/>
      <c r="V6" s="682"/>
      <c r="W6" s="682"/>
      <c r="X6" s="682"/>
      <c r="Y6" s="682"/>
      <c r="Z6" s="682"/>
      <c r="AA6" s="491"/>
      <c r="AB6" s="491"/>
      <c r="AC6" s="398" t="s">
        <v>224</v>
      </c>
      <c r="AD6" s="700" t="s">
        <v>272</v>
      </c>
      <c r="AE6" s="700"/>
      <c r="AF6" s="700"/>
      <c r="AG6" s="700"/>
      <c r="AH6" s="493"/>
      <c r="AI6" s="484" t="s">
        <v>336</v>
      </c>
      <c r="AJ6" s="493"/>
      <c r="AK6" s="693" t="s">
        <v>336</v>
      </c>
      <c r="AL6" s="694"/>
      <c r="AM6" s="694"/>
      <c r="AN6" s="694"/>
      <c r="AO6" s="694"/>
      <c r="AP6" s="695"/>
      <c r="AQ6" s="511"/>
      <c r="AR6" s="696" t="s">
        <v>398</v>
      </c>
      <c r="AS6" s="696"/>
      <c r="AT6" s="696"/>
      <c r="AU6" s="696"/>
      <c r="AV6" s="696"/>
      <c r="AW6" s="421"/>
      <c r="AX6" s="511"/>
      <c r="AY6" s="511"/>
      <c r="AZ6" s="511"/>
    </row>
    <row r="7" spans="1:90" s="515" customFormat="1" ht="42.75" customHeight="1">
      <c r="A7" s="698"/>
      <c r="B7" s="684"/>
      <c r="C7" s="702" t="s">
        <v>375</v>
      </c>
      <c r="D7" s="703" t="s">
        <v>46</v>
      </c>
      <c r="E7" s="688" t="s">
        <v>66</v>
      </c>
      <c r="F7" s="688" t="s">
        <v>49</v>
      </c>
      <c r="G7" s="679" t="s">
        <v>383</v>
      </c>
      <c r="H7" s="688" t="s">
        <v>256</v>
      </c>
      <c r="I7" s="688"/>
      <c r="J7" s="688" t="s">
        <v>52</v>
      </c>
      <c r="K7" s="513"/>
      <c r="L7" s="679" t="s">
        <v>266</v>
      </c>
      <c r="M7" s="679" t="s">
        <v>66</v>
      </c>
      <c r="N7" s="679" t="s">
        <v>227</v>
      </c>
      <c r="O7" s="679" t="s">
        <v>383</v>
      </c>
      <c r="P7" s="679" t="s">
        <v>52</v>
      </c>
      <c r="Q7" s="679" t="s">
        <v>53</v>
      </c>
      <c r="R7" s="513"/>
      <c r="S7" s="680" t="s">
        <v>50</v>
      </c>
      <c r="T7" s="680" t="s">
        <v>257</v>
      </c>
      <c r="U7" s="680" t="s">
        <v>271</v>
      </c>
      <c r="V7" s="701" t="s">
        <v>249</v>
      </c>
      <c r="W7" s="701"/>
      <c r="X7" s="680" t="s">
        <v>264</v>
      </c>
      <c r="Y7" s="680"/>
      <c r="Z7" s="680" t="s">
        <v>265</v>
      </c>
      <c r="AA7" s="491"/>
      <c r="AB7" s="491"/>
      <c r="AC7" s="398" t="s">
        <v>224</v>
      </c>
      <c r="AD7" s="691" t="s">
        <v>274</v>
      </c>
      <c r="AE7" s="692"/>
      <c r="AF7" s="691" t="s">
        <v>275</v>
      </c>
      <c r="AG7" s="692"/>
      <c r="AH7" s="493"/>
      <c r="AI7" s="689" t="s">
        <v>335</v>
      </c>
      <c r="AJ7" s="493"/>
      <c r="AK7" s="689" t="s">
        <v>259</v>
      </c>
      <c r="AL7" s="689" t="s">
        <v>374</v>
      </c>
      <c r="AM7" s="689" t="s">
        <v>374</v>
      </c>
      <c r="AN7" s="689" t="s">
        <v>377</v>
      </c>
      <c r="AO7" s="689" t="s">
        <v>377</v>
      </c>
      <c r="AP7" s="689" t="s">
        <v>376</v>
      </c>
      <c r="AQ7" s="514"/>
      <c r="AR7" s="696"/>
      <c r="AS7" s="696"/>
      <c r="AT7" s="696"/>
      <c r="AU7" s="696"/>
      <c r="AV7" s="696"/>
      <c r="AW7" s="421"/>
      <c r="AX7" s="514"/>
      <c r="AY7" s="514"/>
      <c r="AZ7" s="514"/>
    </row>
    <row r="8" spans="1:90" s="515" customFormat="1" ht="15">
      <c r="A8" s="699"/>
      <c r="B8" s="684"/>
      <c r="C8" s="702"/>
      <c r="D8" s="703"/>
      <c r="E8" s="688"/>
      <c r="F8" s="688"/>
      <c r="G8" s="679"/>
      <c r="H8" s="483" t="s">
        <v>50</v>
      </c>
      <c r="I8" s="483" t="s">
        <v>382</v>
      </c>
      <c r="J8" s="688"/>
      <c r="K8" s="513"/>
      <c r="L8" s="679"/>
      <c r="M8" s="679"/>
      <c r="N8" s="679"/>
      <c r="O8" s="679"/>
      <c r="P8" s="679" t="s">
        <v>52</v>
      </c>
      <c r="Q8" s="679" t="s">
        <v>52</v>
      </c>
      <c r="R8" s="513"/>
      <c r="S8" s="680" t="s">
        <v>50</v>
      </c>
      <c r="T8" s="680" t="s">
        <v>51</v>
      </c>
      <c r="U8" s="680"/>
      <c r="V8" s="113" t="s">
        <v>54</v>
      </c>
      <c r="W8" s="113" t="s">
        <v>55</v>
      </c>
      <c r="X8" s="680"/>
      <c r="Y8" s="680"/>
      <c r="Z8" s="680"/>
      <c r="AA8" s="491"/>
      <c r="AB8" s="491"/>
      <c r="AC8" s="398" t="s">
        <v>224</v>
      </c>
      <c r="AD8" s="423" t="s">
        <v>273</v>
      </c>
      <c r="AE8" s="423" t="s">
        <v>52</v>
      </c>
      <c r="AF8" s="423" t="s">
        <v>273</v>
      </c>
      <c r="AG8" s="423" t="s">
        <v>52</v>
      </c>
      <c r="AH8" s="493"/>
      <c r="AI8" s="690"/>
      <c r="AJ8" s="493"/>
      <c r="AK8" s="690"/>
      <c r="AL8" s="690"/>
      <c r="AM8" s="690"/>
      <c r="AN8" s="690"/>
      <c r="AO8" s="690"/>
      <c r="AP8" s="690"/>
      <c r="AQ8" s="514"/>
      <c r="AR8" s="424" t="s">
        <v>399</v>
      </c>
      <c r="AS8" s="424" t="s">
        <v>393</v>
      </c>
      <c r="AT8" s="424" t="s">
        <v>394</v>
      </c>
      <c r="AU8" s="424" t="s">
        <v>394</v>
      </c>
      <c r="AV8" s="424" t="s">
        <v>391</v>
      </c>
      <c r="AW8" s="421"/>
      <c r="AX8" s="424" t="s">
        <v>399</v>
      </c>
      <c r="AY8" s="514"/>
      <c r="AZ8" s="514"/>
      <c r="CK8" s="9"/>
      <c r="CL8" s="9"/>
    </row>
    <row r="9" spans="1:90" ht="17.100000000000001" customHeight="1">
      <c r="A9" s="206"/>
      <c r="B9" s="516"/>
      <c r="C9" s="207"/>
      <c r="D9" s="207"/>
      <c r="E9" s="207"/>
      <c r="F9" s="207"/>
      <c r="G9" s="207"/>
      <c r="H9" s="207"/>
      <c r="I9" s="207"/>
      <c r="J9" s="207"/>
      <c r="K9" s="517"/>
      <c r="L9" s="100"/>
      <c r="M9" s="101"/>
      <c r="N9" s="102"/>
      <c r="O9" s="102"/>
      <c r="P9" s="92"/>
      <c r="Q9" s="115"/>
      <c r="R9" s="517"/>
      <c r="S9" s="92"/>
      <c r="T9" s="92"/>
      <c r="U9" s="104"/>
      <c r="V9" s="92"/>
      <c r="W9" s="105"/>
      <c r="X9" s="92"/>
      <c r="Y9" s="92"/>
      <c r="Z9" s="92"/>
      <c r="AA9" s="491"/>
      <c r="AB9" s="491"/>
      <c r="AC9" s="398" t="s">
        <v>224</v>
      </c>
      <c r="AD9" s="425"/>
      <c r="AE9" s="425"/>
      <c r="AF9" s="425"/>
      <c r="AG9" s="425"/>
      <c r="AH9" s="493"/>
      <c r="AI9" s="425"/>
      <c r="AJ9" s="493"/>
      <c r="AK9" s="425"/>
      <c r="AL9" s="425"/>
      <c r="AM9" s="425"/>
      <c r="AN9" s="425"/>
      <c r="AO9" s="425"/>
      <c r="AP9" s="425"/>
      <c r="AR9" s="426"/>
      <c r="AS9" s="426"/>
      <c r="AT9" s="426"/>
      <c r="AU9" s="426"/>
      <c r="AX9" s="426"/>
      <c r="CK9" s="9"/>
      <c r="CL9" s="9"/>
    </row>
    <row r="10" spans="1:90" ht="23.25" customHeight="1">
      <c r="A10" s="204"/>
      <c r="B10" s="518"/>
      <c r="C10" s="208">
        <f>IF(D10&lt;&gt;"",MAX($C$9:C9)+1,"")</f>
        <v>1</v>
      </c>
      <c r="D10" s="519" t="s">
        <v>573</v>
      </c>
      <c r="E10" s="404"/>
      <c r="F10" s="405">
        <v>0</v>
      </c>
      <c r="G10" s="209">
        <f ca="1">IF(INDIRECT(ADDRESS(ROW()-1,COLUMN(B$7),,,))&lt;&gt;"",INDIRECT(ADDRESS(ROW(),COLUMN(F$7),,,)),INDIRECT(ADDRESS(ROW()-1,COLUMN(G$7),,,))+INDIRECT(ADDRESS(ROW(),COLUMN(F$7),,,)))</f>
        <v>0</v>
      </c>
      <c r="H10" s="210">
        <f>F10/24</f>
        <v>0</v>
      </c>
      <c r="I10" s="209">
        <f ca="1">INDIRECT(ADDRESS(ROW()-1,COLUMN(I$7),,,))+INDIRECT(ADDRESS(ROW(),COLUMN(H$7),,,))</f>
        <v>0</v>
      </c>
      <c r="J10" s="540">
        <v>0</v>
      </c>
      <c r="K10" s="188"/>
      <c r="L10" s="401" t="s">
        <v>573</v>
      </c>
      <c r="M10" s="402"/>
      <c r="N10" s="403"/>
      <c r="O10" s="95">
        <f ca="1">IF(INDIRECT(ADDRESS(ROW()-1,COLUMN(B$7),,,))&lt;&gt;"",INDIRECT(ADDRESS(ROW(),COLUMN(N$7),,,)),INDIRECT(ADDRESS(ROW()-1,COLUMN(O$7),,,))+INDIRECT(ADDRESS(ROW(),COLUMN(N$7),,,)))</f>
        <v>0</v>
      </c>
      <c r="P10" s="403">
        <v>0</v>
      </c>
      <c r="Q10" s="116"/>
      <c r="R10" s="517"/>
      <c r="S10" s="94">
        <f>$N10/24</f>
        <v>0</v>
      </c>
      <c r="T10" s="94">
        <f ca="1">IF($B9&lt;&gt;"",INDIRECT(ADDRESS(ROW(),COLUMN(S$7),,,)),INDIRECT(ADDRESS(ROW()-1,COLUMN(T$7),,,))+INDIRECT(ADDRESS(ROW(),COLUMN(S$7),,,)))</f>
        <v>0</v>
      </c>
      <c r="U10" s="106"/>
      <c r="V10" s="93"/>
      <c r="W10" s="107"/>
      <c r="X10" s="93"/>
      <c r="Y10" s="93"/>
      <c r="Z10" s="93"/>
      <c r="AA10" s="491"/>
      <c r="AB10" s="491"/>
      <c r="AC10" s="398" t="s">
        <v>224</v>
      </c>
      <c r="AD10" s="427">
        <f ca="1">$I10</f>
        <v>0</v>
      </c>
      <c r="AE10" s="427">
        <f t="shared" ref="AE10:AE194" ca="1" si="0">IF(INDIRECT(ADDRESS(ROW(),COLUMN($J10),,,))="",INDIRECT(ADDRESS(ROW()-1,COLUMN(AE$9),,,)),INDIRECT(ADDRESS(ROW(),COLUMN($J10),,,)))</f>
        <v>0</v>
      </c>
      <c r="AF10" s="427">
        <f t="shared" ref="AF10:AF134" ca="1" si="1">T10</f>
        <v>0</v>
      </c>
      <c r="AG10" s="427">
        <f t="shared" ref="AG10:AG191" ca="1" si="2">IF($P10=0,INDIRECT(ADDRESS(ROW()-1,COLUMN($AG$9),,,)),$P10)</f>
        <v>0</v>
      </c>
      <c r="AH10" s="493"/>
      <c r="AI10" s="427" t="str">
        <f t="shared" ref="AI10:AI191" ca="1" si="3">IFERROR(IF($F10="",INDIRECT(ADDRESS(ROW()-1,COLUMN($AI$9),,,)),(($J10-INDIRECT(ADDRESS(ROW()-1,COLUMN($J$9),,,)))/$F10)),"")</f>
        <v/>
      </c>
      <c r="AJ10" s="493"/>
      <c r="AK10" s="428">
        <f t="shared" ref="AK10:AK134" ca="1" si="4">IF(B10&lt;&gt;"",B10,INDIRECT(ADDRESS(ROW()+1,COLUMN($AK$9),,,)))</f>
        <v>1</v>
      </c>
      <c r="AL10" s="428">
        <f ca="1">IF(A10&lt;&gt;"",IFERROR(INDEX('1_INPUT'!$B$69:$E$89,MATCH($A10,'1_INPUT'!$E$69:$E$89,0),1),""),INDIRECT(ADDRESS(ROW()+1,COLUMN($AL$9),,,)))</f>
        <v>1</v>
      </c>
      <c r="AM10" s="428" t="str">
        <f ca="1">IF(AN10="","",MAX(INDIRECT(ADDRESS(9,COLUMN($AM$9),,,)):INDIRECT(ADDRESS(ROW()-1,COLUMN($AM$9),,,)))+1)</f>
        <v/>
      </c>
      <c r="AN10" s="429" t="str">
        <f>IF($AO10&lt;&gt;"",VLOOKUP($AK10,'1_INPUT'!$B$124:$D$136,2,FALSE),"")</f>
        <v/>
      </c>
      <c r="AO10" s="429" t="str">
        <f>IF(ISTEXT($A10),$A10,"")</f>
        <v/>
      </c>
      <c r="AP10" s="427">
        <f ca="1">SUMIF($AL$10:AL10,$AL10,$I$10:I10)</f>
        <v>0</v>
      </c>
      <c r="AR10" s="430" t="str">
        <f t="shared" ref="AR10:AR191" ca="1" si="5">IF(ISNUMBER($B10),$C10,INDIRECT(ADDRESS(ROW()+1,COLUMN($AR$9),,,)))</f>
        <v>PREPARATION</v>
      </c>
      <c r="AS10" s="430">
        <f ca="1">MATCH(AR10,'1_INPUT'!$V$43:$V$64,0)+1</f>
        <v>3</v>
      </c>
      <c r="AT10" s="430">
        <f ca="1">VLOOKUP(AR10,'1_INPUT'!$V$43:$W$64,2,FALSE)</f>
        <v>11</v>
      </c>
      <c r="AU10" s="430">
        <f ca="1">COUNTIF('1_INPUT'!$W$43:$W$64,AT10)-1</f>
        <v>1</v>
      </c>
      <c r="AV10" s="430" t="str">
        <f ca="1">OFFSET('1_INPUT'!$V$42,$AS10,,$AU10,)</f>
        <v>Preparation</v>
      </c>
      <c r="AX10" s="430" t="str">
        <f t="shared" ref="AX10:AX134" si="6">IF(A10&lt;&gt;"",""&amp;AR10&amp;"-"&amp;A10&amp;"","")</f>
        <v/>
      </c>
      <c r="CK10" s="9"/>
      <c r="CL10" s="9"/>
    </row>
    <row r="11" spans="1:90" s="522" customFormat="1" ht="24.75" customHeight="1">
      <c r="A11" s="205" t="s">
        <v>56</v>
      </c>
      <c r="B11" s="96">
        <f ca="1">MAX(INDIRECT(ADDRESS(ROW($B$9),COLUMN($B$9),,,)):INDIRECT(ADDRESS(ROW()-1,COLUMN($B$9),,,)))+1</f>
        <v>1</v>
      </c>
      <c r="C11" s="537" t="str">
        <f ca="1">VLOOKUP($B11,'1_INPUT'!$B$124:$D$136,2,FALSE)</f>
        <v>PREPARATION</v>
      </c>
      <c r="D11" s="538"/>
      <c r="E11" s="211"/>
      <c r="F11" s="212">
        <f ca="1">IF($B11=1,SUM(INDIRECT(ADDRESS(9,COLUMN(F$8),,,)):INDIRECT(ADDRESS(ROW()-1,COLUMN(F$8),,,))),SUM(INDIRECT(ADDRESS(MATCH($B11-1,$B$1:$B10,0)+1,COLUMN(F$8),,,)):INDIRECT(ADDRESS(ROW()-1,COLUMN(F$8),,,))))</f>
        <v>0</v>
      </c>
      <c r="G11" s="212">
        <f ca="1">IF($B11=1,MAX(INDIRECT(ADDRESS(9,COLUMN(G$8),,,)):INDIRECT(ADDRESS(ROW()-1,COLUMN(G$8),,,))),MAX(INDIRECT(ADDRESS(MATCH($B11-1,$B$1:$B10,0)+1,COLUMN(G$8),,,)):INDIRECT(ADDRESS(ROW()-1,COLUMN(G$8),,,))))</f>
        <v>0</v>
      </c>
      <c r="H11" s="212">
        <f ca="1">IF($B11=1,SUM(INDIRECT(ADDRESS(9,COLUMN(H$8),,,)):INDIRECT(ADDRESS(ROW()-1,COLUMN(H$8),,,))),SUM(INDIRECT(ADDRESS(MATCH($B11-1,$B$1:$B10,0)+1,COLUMN(H$8),,,)):INDIRECT(ADDRESS(ROW()-1,COLUMN(H$8),,,))))</f>
        <v>0</v>
      </c>
      <c r="I11" s="212">
        <f ca="1">IF($B11=1,MAX(INDIRECT(ADDRESS(9,COLUMN(I$8),,,)):INDIRECT(ADDRESS(ROW()-1,COLUMN(I$8),,,))),MAX(INDIRECT(ADDRESS(MATCH($B11-1,$B$1:$B10,0)+1,COLUMN(I$8),,,)):INDIRECT(ADDRESS(ROW()-1,COLUMN(I$8),,,))))</f>
        <v>0</v>
      </c>
      <c r="J11" s="541">
        <f ca="1">IF($B11=1,MAX(INDIRECT(ADDRESS(9,COLUMN(J$8),,,)):INDIRECT(ADDRESS(ROW()-1,COLUMN(J$8),,,))),MAX(INDIRECT(ADDRESS(MATCH($B11-1,$B$1:$B10,0)+1,COLUMN(J$8),,,)):INDIRECT(ADDRESS(ROW()-1,COLUMN(J$8),,,))))</f>
        <v>0</v>
      </c>
      <c r="K11" s="188"/>
      <c r="L11" s="103"/>
      <c r="M11" s="97"/>
      <c r="N11" s="97">
        <f ca="1">IF($B11=1,SUM(INDIRECT(ADDRESS(9,COLUMN(N$8),,,)):INDIRECT(ADDRESS(ROW()-1,COLUMN(N$8),,,))),SUM(INDIRECT(ADDRESS(MATCH($B11-1,$B$1:$B10,0)+1,COLUMN(N$8),,,)):INDIRECT(ADDRESS(ROW()-1,COLUMN(N$8),,,))))</f>
        <v>0</v>
      </c>
      <c r="O11" s="97">
        <f ca="1">IF($B11=1,MAX(INDIRECT(ADDRESS(9,COLUMN(O$8),,,)):INDIRECT(ADDRESS(ROW()-1,COLUMN(O$8),,,))),MAX(INDIRECT(ADDRESS(MATCH($B11-1,$B$1:$B10,0)+1,COLUMN(O$8),,,)):INDIRECT(ADDRESS(ROW()-1,COLUMN(O$8),,,))))</f>
        <v>0</v>
      </c>
      <c r="P11" s="118">
        <f ca="1">IFERROR(MAX(INDIRECT(ADDRESS(9,COLUMN(P$8),,,)):INDIRECT(ADDRESS(ROW()-1,COLUMN(P$8),,,))),"")</f>
        <v>0</v>
      </c>
      <c r="Q11" s="117"/>
      <c r="R11" s="517"/>
      <c r="S11" s="118">
        <f ca="1">IF($B11=1,SUM(INDIRECT(ADDRESS(9,COLUMN(S$8),,,)):INDIRECT(ADDRESS(ROW()-1,COLUMN(S$8),,,))),SUM(INDIRECT(ADDRESS(MATCH($B11-1,$B$1:$B10,0)+1,COLUMN(S$8),,,)):INDIRECT(ADDRESS(ROW()-1,COLUMN(S$8),,,))))</f>
        <v>0</v>
      </c>
      <c r="T11" s="118">
        <f ca="1">IF($B11=1,MAX(INDIRECT(ADDRESS(9,COLUMN(T$8),,,)):INDIRECT(ADDRESS(ROW()-1,COLUMN(T$8),,,))),MAX(INDIRECT(ADDRESS(MATCH($B11-1,$B$1:$B10,0)+1,COLUMN(T$8),,,)):INDIRECT(ADDRESS(ROW()-1,COLUMN(T$8),,,))))</f>
        <v>0</v>
      </c>
      <c r="U11" s="531">
        <f ca="1">IF($B11=1,MAX(INDIRECT(ADDRESS(9,COLUMN(U$8),,,)):INDIRECT(ADDRESS(ROW()-1,COLUMN(U$8),,,))),MAX(INDIRECT(ADDRESS(MATCH($B11-1,$B$1:$B10,0)+1,COLUMN(U$8),,,)):INDIRECT(ADDRESS(ROW()-1,COLUMN(U$8),,,))))</f>
        <v>0</v>
      </c>
      <c r="V11" s="97" t="str">
        <f t="shared" ref="V11:V134" ca="1" si="7">IFERROR(IF($AI11=0,($I11-T11)*24,(($P11-INDIRECT(ADDRESS(ROW()-1,COLUMN($P$9),,,)))/$AI11)-$N11+(INDIRECT(ADDRESS(ROW()-1,COLUMN(V$9),,,)))),"")</f>
        <v/>
      </c>
      <c r="W11" s="330" t="str">
        <f t="shared" ref="W11:W134" ca="1" si="8">IFERROR(IF(V11&gt;0,TIME(V11,(V11-ROUNDDOWN(V11,0))*60,0)+DAY((ROUNDDOWN(V11,0)/24)),TIME((-V11),((-V11)-ROUNDDOWN((-V11),0))*60,0)+DAY((ROUNDDOWN((-V11),0)/24))),"")</f>
        <v/>
      </c>
      <c r="X11" s="119">
        <f ca="1">IF($B11=1,MAX(INDIRECT(ADDRESS(9,COLUMN(X$8),,,)):INDIRECT(ADDRESS(ROW()-1,COLUMN(X$8),,,))),MAX(INDIRECT(ADDRESS(MATCH($B11-1,$B$1:$B10,0),COLUMN(X$8),,,)):INDIRECT(ADDRESS(ROW()-1,COLUMN(X$8),,,))))</f>
        <v>0</v>
      </c>
      <c r="Y11" s="109" t="s">
        <v>261</v>
      </c>
      <c r="Z11" s="109" t="s">
        <v>261</v>
      </c>
      <c r="AA11" s="491"/>
      <c r="AB11" s="491"/>
      <c r="AC11" s="398" t="s">
        <v>224</v>
      </c>
      <c r="AD11" s="427">
        <f t="shared" ref="AD11:AD191" ca="1" si="9">$I11</f>
        <v>0</v>
      </c>
      <c r="AE11" s="427">
        <f t="shared" ca="1" si="0"/>
        <v>0</v>
      </c>
      <c r="AF11" s="427">
        <f t="shared" ca="1" si="1"/>
        <v>0</v>
      </c>
      <c r="AG11" s="427">
        <f t="shared" ca="1" si="2"/>
        <v>0</v>
      </c>
      <c r="AH11" s="493"/>
      <c r="AI11" s="427" t="str">
        <f t="shared" ca="1" si="3"/>
        <v/>
      </c>
      <c r="AJ11" s="493"/>
      <c r="AK11" s="428">
        <f t="shared" ca="1" si="4"/>
        <v>1</v>
      </c>
      <c r="AL11" s="428">
        <f ca="1">IF(A11&lt;&gt;"",IFERROR(INDEX('1_INPUT'!$B$69:$E$89,MATCH($A11,'1_INPUT'!$E$69:$E$89,0),1),""),INDIRECT(ADDRESS(ROW()+1,COLUMN($AL$9),,,)))</f>
        <v>1</v>
      </c>
      <c r="AM11" s="428">
        <f ca="1">IF(AN11="","",MAX(INDIRECT(ADDRESS(9,COLUMN($AM$9),,,)):INDIRECT(ADDRESS(ROW()-1,COLUMN($AM$9),,,)))+1)</f>
        <v>1</v>
      </c>
      <c r="AN11" s="429" t="str">
        <f ca="1">IF($AO11&lt;&gt;"",VLOOKUP($AK11,'1_INPUT'!$B$124:$D$136,2,FALSE),"")</f>
        <v>PREPARATION</v>
      </c>
      <c r="AO11" s="429" t="str">
        <f t="shared" ref="AO11:AO191" si="10">IF(ISTEXT($A11),$A11,"")</f>
        <v>Preparation</v>
      </c>
      <c r="AP11" s="427">
        <f ca="1">SUMIF($AL$10:AL11,$AL11,$I$10:I11)</f>
        <v>0</v>
      </c>
      <c r="AQ11" s="520"/>
      <c r="AR11" s="430" t="str">
        <f t="shared" ca="1" si="5"/>
        <v>PREPARATION</v>
      </c>
      <c r="AS11" s="430">
        <f ca="1">MATCH(AR11,'1_INPUT'!$V$43:$V$64,0)+1</f>
        <v>3</v>
      </c>
      <c r="AT11" s="430">
        <f ca="1">VLOOKUP(AR11,'1_INPUT'!$V$43:$W$64,2,FALSE)</f>
        <v>11</v>
      </c>
      <c r="AU11" s="430">
        <f ca="1">COUNTIF('1_INPUT'!$W$43:$W$64,AT11)-1</f>
        <v>1</v>
      </c>
      <c r="AV11" s="430" t="str">
        <f ca="1">OFFSET('1_INPUT'!$V$42,$AS11,,$AU11,)</f>
        <v>Preparation</v>
      </c>
      <c r="AW11" s="421"/>
      <c r="AX11" s="430" t="str">
        <f t="shared" ca="1" si="6"/>
        <v>PREPARATION-Preparation</v>
      </c>
      <c r="AY11" s="520"/>
      <c r="AZ11" s="520"/>
      <c r="BA11" s="521"/>
      <c r="BB11" s="521"/>
      <c r="BC11" s="521"/>
      <c r="BD11" s="521"/>
      <c r="BE11" s="521"/>
      <c r="BF11" s="521"/>
      <c r="BG11" s="521"/>
      <c r="BH11" s="521"/>
      <c r="BI11" s="521"/>
      <c r="BJ11" s="521"/>
      <c r="BK11" s="521"/>
      <c r="BL11" s="521"/>
      <c r="BM11" s="521"/>
      <c r="BN11" s="521"/>
      <c r="BO11" s="521"/>
      <c r="BP11" s="521"/>
      <c r="BQ11" s="521"/>
      <c r="BR11" s="521"/>
      <c r="BS11" s="521"/>
      <c r="BT11" s="521"/>
      <c r="BU11" s="521"/>
      <c r="BV11" s="521"/>
      <c r="BW11" s="521"/>
      <c r="BX11" s="521"/>
      <c r="BY11" s="521"/>
      <c r="BZ11" s="521"/>
      <c r="CA11" s="521"/>
      <c r="CB11" s="521"/>
      <c r="CC11" s="521"/>
      <c r="CD11" s="521"/>
      <c r="CE11" s="521"/>
      <c r="CF11" s="521"/>
      <c r="CG11" s="521"/>
      <c r="CH11" s="521"/>
      <c r="CI11" s="521"/>
      <c r="CJ11" s="521"/>
      <c r="CK11" s="9"/>
      <c r="CL11" s="9"/>
    </row>
    <row r="12" spans="1:90" ht="41.4">
      <c r="A12" s="205"/>
      <c r="B12" s="516"/>
      <c r="C12" s="208">
        <f ca="1">IF(D12&lt;&gt;"",MAX($C$9:C11)+1,"")</f>
        <v>2</v>
      </c>
      <c r="D12" s="523" t="s">
        <v>613</v>
      </c>
      <c r="E12" s="406"/>
      <c r="F12" s="407">
        <v>4</v>
      </c>
      <c r="G12" s="209">
        <f ca="1">IF(INDIRECT(ADDRESS(ROW()-1,COLUMN(B$7),,,))&lt;&gt;"",INDIRECT(ADDRESS(ROW(),COLUMN(F$7),,,)),INDIRECT(ADDRESS(ROW()-1,COLUMN(G$7),,,))+INDIRECT(ADDRESS(ROW(),COLUMN(F$7),,,)))</f>
        <v>4</v>
      </c>
      <c r="H12" s="209">
        <f t="shared" ref="H12:H58" si="11">$F12/24</f>
        <v>0.16666666666666666</v>
      </c>
      <c r="I12" s="209">
        <f ca="1">INDIRECT(ADDRESS(ROW()-1,COLUMN(I$7),,,))+INDIRECT(ADDRESS(ROW(),COLUMN(H$7),,,))</f>
        <v>0.16666666666666666</v>
      </c>
      <c r="J12" s="540">
        <v>0</v>
      </c>
      <c r="K12" s="188"/>
      <c r="L12" s="525" t="s">
        <v>633</v>
      </c>
      <c r="M12" s="400" t="s">
        <v>124</v>
      </c>
      <c r="N12" s="407">
        <v>1</v>
      </c>
      <c r="O12" s="95">
        <f ca="1">IF(INDIRECT(ADDRESS(ROW()-1,COLUMN(B$7),,,))&lt;&gt;"",INDIRECT(ADDRESS(ROW(),COLUMN(N$7),,,)),INDIRECT(ADDRESS(ROW()-1,COLUMN(O$7),,,))+INDIRECT(ADDRESS(ROW(),COLUMN(N$7),,,)))</f>
        <v>1</v>
      </c>
      <c r="P12" s="403">
        <v>0</v>
      </c>
      <c r="Q12" s="116">
        <f>IF(N12&gt;0,VLOOKUP(M12,'3_TIME SUM'!$F$7:$G$128,2,FALSE),0)</f>
        <v>0</v>
      </c>
      <c r="R12" s="517"/>
      <c r="S12" s="94">
        <f t="shared" ref="S12:S193" si="12">$N12/24</f>
        <v>4.1666666666666664E-2</v>
      </c>
      <c r="T12" s="94">
        <f ca="1">INDIRECT(ADDRESS(ROW()-1,COLUMN(T$7),,,))+INDIRECT(ADDRESS(ROW(),COLUMN(S$7),,,))</f>
        <v>4.1666666666666664E-2</v>
      </c>
      <c r="U12" s="535">
        <f ca="1">$T12+'1_INPUT'!$E$18</f>
        <v>44943.833333333328</v>
      </c>
      <c r="V12" s="95">
        <f t="shared" ca="1" si="7"/>
        <v>3</v>
      </c>
      <c r="W12" s="110">
        <f t="shared" ca="1" si="8"/>
        <v>0.125</v>
      </c>
      <c r="X12" s="111">
        <f ca="1">IF(U12=0,"-",ROUNDUP(VALUE(U12),0))</f>
        <v>44944</v>
      </c>
      <c r="Y12" s="112" t="str">
        <f ca="1">IFERROR(IF(SUMIFS($N$9:$N12,$X$9:$X12,ROUNDUP(VALUE(U12),0),$Q$9:$Q12,"npt")=0,"-",SUMIFS($N$9:$N12,$X$9:$X12,ROUNDUP(VALUE(U12),0),$Q$9:$Q12,"npt")/SUMIFS($N$9:$N12,$X$9:$X12,ROUNDUP(VALUE(U12),0))),"")</f>
        <v>-</v>
      </c>
      <c r="Z12" s="112">
        <f ca="1">IFERROR(IF($N12=0,"-",SUMIF($Q$11:$Q12,"npt",$N$11:$N12)/(T12*24)),"")</f>
        <v>0</v>
      </c>
      <c r="AA12" s="491"/>
      <c r="AB12" s="491"/>
      <c r="AC12" s="398" t="s">
        <v>224</v>
      </c>
      <c r="AD12" s="427">
        <f t="shared" ca="1" si="9"/>
        <v>0.16666666666666666</v>
      </c>
      <c r="AE12" s="427">
        <f t="shared" ca="1" si="0"/>
        <v>0</v>
      </c>
      <c r="AF12" s="427">
        <f t="shared" ca="1" si="1"/>
        <v>4.1666666666666664E-2</v>
      </c>
      <c r="AG12" s="427">
        <f t="shared" ca="1" si="2"/>
        <v>0</v>
      </c>
      <c r="AH12" s="493"/>
      <c r="AI12" s="427">
        <f t="shared" ca="1" si="3"/>
        <v>0</v>
      </c>
      <c r="AJ12" s="493"/>
      <c r="AK12" s="428">
        <f t="shared" ca="1" si="4"/>
        <v>2</v>
      </c>
      <c r="AL12" s="428">
        <f ca="1">IF(A12&lt;&gt;"",IFERROR(INDEX('1_INPUT'!$B$69:$E$89,MATCH($A12,'1_INPUT'!$E$69:$E$89,0),1),""),INDIRECT(ADDRESS(ROW()+1,COLUMN($AL$9),,,)))</f>
        <v>2</v>
      </c>
      <c r="AM12" s="428" t="str">
        <f ca="1">IF(AN12="","",MAX(INDIRECT(ADDRESS(9,COLUMN($AM$9),,,)):INDIRECT(ADDRESS(ROW()-1,COLUMN($AM$9),,,)))+1)</f>
        <v/>
      </c>
      <c r="AN12" s="429" t="str">
        <f>IF($AO12&lt;&gt;"",VLOOKUP($AK12,'1_INPUT'!$B$124:$D$136,2,FALSE),"")</f>
        <v/>
      </c>
      <c r="AO12" s="429" t="str">
        <f t="shared" si="10"/>
        <v/>
      </c>
      <c r="AP12" s="427">
        <f ca="1">SUMIF($AL$10:AL12,$AL12,$I$10:I12)</f>
        <v>0.16666666666666666</v>
      </c>
      <c r="AR12" s="430" t="str">
        <f t="shared" ca="1" si="5"/>
        <v>WORKOVER SECTION</v>
      </c>
      <c r="AS12" s="430">
        <f ca="1">MATCH(AR12,'1_INPUT'!$V$43:$V$64,0)+1</f>
        <v>6</v>
      </c>
      <c r="AT12" s="430">
        <f ca="1">VLOOKUP(AR12,'1_INPUT'!$V$43:$W$64,2,FALSE)</f>
        <v>21</v>
      </c>
      <c r="AU12" s="430">
        <f ca="1">COUNTIF('1_INPUT'!$W$43:$W$64,AT12)-1</f>
        <v>5</v>
      </c>
      <c r="AV12" s="430" t="e">
        <f ca="1">OFFSET('1_INPUT'!$V$42,$AS12,,$AU12,)</f>
        <v>#VALUE!</v>
      </c>
      <c r="AX12" s="430" t="str">
        <f t="shared" si="6"/>
        <v/>
      </c>
      <c r="CK12" s="9"/>
      <c r="CL12" s="9"/>
    </row>
    <row r="13" spans="1:90" ht="41.4">
      <c r="A13" s="205"/>
      <c r="B13" s="516"/>
      <c r="C13" s="208" t="str">
        <f>IF(D13&lt;&gt;"",MAX($C$9:C12)+1,"")</f>
        <v/>
      </c>
      <c r="D13" s="523"/>
      <c r="E13" s="406"/>
      <c r="F13" s="407"/>
      <c r="G13" s="209">
        <f ca="1">IF(INDIRECT(ADDRESS(ROW()-1,COLUMN(B$7),,,))&lt;&gt;"",INDIRECT(ADDRESS(ROW(),COLUMN(F$7),,,)),INDIRECT(ADDRESS(ROW()-1,COLUMN(G$7),,,))+INDIRECT(ADDRESS(ROW(),COLUMN(F$7),,,)))</f>
        <v>4</v>
      </c>
      <c r="H13" s="209">
        <f t="shared" si="11"/>
        <v>0</v>
      </c>
      <c r="I13" s="209">
        <f ca="1">INDIRECT(ADDRESS(ROW()-1,COLUMN(I$7),,,))+INDIRECT(ADDRESS(ROW(),COLUMN(H$7),,,))</f>
        <v>0.16666666666666666</v>
      </c>
      <c r="J13" s="540">
        <v>0</v>
      </c>
      <c r="K13" s="188"/>
      <c r="L13" s="525" t="s">
        <v>634</v>
      </c>
      <c r="M13" s="400" t="s">
        <v>36</v>
      </c>
      <c r="N13" s="407">
        <v>2</v>
      </c>
      <c r="O13" s="95">
        <f ca="1">IF(INDIRECT(ADDRESS(ROW()-1,COLUMN(B$7),,,))&lt;&gt;"",INDIRECT(ADDRESS(ROW(),COLUMN(N$7),,,)),INDIRECT(ADDRESS(ROW()-1,COLUMN(O$7),,,))+INDIRECT(ADDRESS(ROW(),COLUMN(N$7),,,)))</f>
        <v>3</v>
      </c>
      <c r="P13" s="403">
        <v>0</v>
      </c>
      <c r="Q13" s="116">
        <f>IF(N13&gt;0,VLOOKUP(M13,'3_TIME SUM'!$F$7:$G$128,2,FALSE),0)</f>
        <v>0</v>
      </c>
      <c r="R13" s="517"/>
      <c r="S13" s="94">
        <f t="shared" si="12"/>
        <v>8.3333333333333329E-2</v>
      </c>
      <c r="T13" s="94">
        <f ca="1">INDIRECT(ADDRESS(ROW()-1,COLUMN(T$7),,,))+INDIRECT(ADDRESS(ROW(),COLUMN(S$7),,,))</f>
        <v>0.125</v>
      </c>
      <c r="U13" s="535">
        <f ca="1">$T13+'1_INPUT'!$E$18</f>
        <v>44943.916666666664</v>
      </c>
      <c r="V13" s="95">
        <f t="shared" ref="V13" ca="1" si="13">IFERROR(IF($AI13=0,($I13-T13)*24,(($P13-INDIRECT(ADDRESS(ROW()-1,COLUMN($P$9),,,)))/$AI13)-$N13+(INDIRECT(ADDRESS(ROW()-1,COLUMN(V$9),,,)))),"")</f>
        <v>0.99999999999999978</v>
      </c>
      <c r="W13" s="110">
        <f t="shared" ref="W13" ca="1" si="14">IFERROR(IF(V13&gt;0,TIME(V13,(V13-ROUNDDOWN(V13,0))*60,0)+DAY((ROUNDDOWN(V13,0)/24)),TIME((-V13),((-V13)-ROUNDDOWN((-V13),0))*60,0)+DAY((ROUNDDOWN((-V13),0)/24))),"")</f>
        <v>4.1666666666666664E-2</v>
      </c>
      <c r="X13" s="111">
        <f ca="1">IF(U13=0,"-",ROUNDUP(VALUE(U13),0))</f>
        <v>44944</v>
      </c>
      <c r="Y13" s="112" t="str">
        <f ca="1">IFERROR(IF(SUMIFS($N$9:$N13,$X$9:$X13,ROUNDUP(VALUE(U13),0),$Q$9:$Q13,"npt")=0,"-",SUMIFS($N$9:$N13,$X$9:$X13,ROUNDUP(VALUE(U13),0),$Q$9:$Q13,"npt")/SUMIFS($N$9:$N13,$X$9:$X13,ROUNDUP(VALUE(U13),0))),"")</f>
        <v>-</v>
      </c>
      <c r="Z13" s="112">
        <f ca="1">IFERROR(IF($N13=0,"-",SUMIF($Q$11:$Q13,"npt",$N$11:$N13)/(T13*24)),"")</f>
        <v>0</v>
      </c>
      <c r="AA13" s="491"/>
      <c r="AB13" s="491"/>
      <c r="AC13" s="398" t="s">
        <v>224</v>
      </c>
      <c r="AD13" s="427">
        <f t="shared" ca="1" si="9"/>
        <v>0.16666666666666666</v>
      </c>
      <c r="AE13" s="427">
        <f t="shared" ca="1" si="0"/>
        <v>0</v>
      </c>
      <c r="AF13" s="427">
        <f t="shared" ref="AF13" ca="1" si="15">T13</f>
        <v>0.125</v>
      </c>
      <c r="AG13" s="427">
        <f t="shared" ca="1" si="2"/>
        <v>0</v>
      </c>
      <c r="AH13" s="493"/>
      <c r="AI13" s="427">
        <f t="shared" ca="1" si="3"/>
        <v>0</v>
      </c>
      <c r="AJ13" s="493"/>
      <c r="AK13" s="428">
        <f t="shared" ref="AK13" ca="1" si="16">IF(B13&lt;&gt;"",B13,INDIRECT(ADDRESS(ROW()+1,COLUMN($AK$9),,,)))</f>
        <v>2</v>
      </c>
      <c r="AL13" s="428">
        <f ca="1">IF(A13&lt;&gt;"",IFERROR(INDEX('1_INPUT'!$B$69:$E$89,MATCH($A13,'1_INPUT'!$E$69:$E$89,0),1),""),INDIRECT(ADDRESS(ROW()+1,COLUMN($AL$9),,,)))</f>
        <v>2</v>
      </c>
      <c r="AM13" s="428" t="str">
        <f ca="1">IF(AN13="","",MAX(INDIRECT(ADDRESS(9,COLUMN($AM$9),,,)):INDIRECT(ADDRESS(ROW()-1,COLUMN($AM$9),,,)))+1)</f>
        <v/>
      </c>
      <c r="AN13" s="429" t="str">
        <f>IF($AO13&lt;&gt;"",VLOOKUP($AK13,'1_INPUT'!$B$124:$D$136,2,FALSE),"")</f>
        <v/>
      </c>
      <c r="AO13" s="429" t="str">
        <f t="shared" si="10"/>
        <v/>
      </c>
      <c r="AP13" s="427">
        <f ca="1">SUMIF($AL$10:AL13,$AL13,$I$10:I13)</f>
        <v>0.33333333333333331</v>
      </c>
      <c r="AR13" s="430" t="str">
        <f t="shared" ca="1" si="5"/>
        <v>WORKOVER SECTION</v>
      </c>
      <c r="AS13" s="430">
        <f ca="1">MATCH(AR13,'1_INPUT'!$V$43:$V$64,0)+1</f>
        <v>6</v>
      </c>
      <c r="AT13" s="430">
        <f ca="1">VLOOKUP(AR13,'1_INPUT'!$V$43:$W$64,2,FALSE)</f>
        <v>21</v>
      </c>
      <c r="AU13" s="430">
        <f ca="1">COUNTIF('1_INPUT'!$W$43:$W$64,AT13)-1</f>
        <v>5</v>
      </c>
      <c r="AV13" s="430" t="e">
        <f ca="1">OFFSET('1_INPUT'!$V$42,$AS13,,$AU13,)</f>
        <v>#VALUE!</v>
      </c>
      <c r="AX13" s="430" t="str">
        <f t="shared" ref="AX13" si="17">IF(A13&lt;&gt;"",""&amp;AR13&amp;"-"&amp;A13&amp;"","")</f>
        <v/>
      </c>
      <c r="CK13" s="9"/>
      <c r="CL13" s="9"/>
    </row>
    <row r="14" spans="1:90" ht="13.8">
      <c r="A14" s="205"/>
      <c r="B14" s="516"/>
      <c r="C14" s="208">
        <f ca="1">IF(D14&lt;&gt;"",MAX($C$9:C12)+1,"")</f>
        <v>3</v>
      </c>
      <c r="D14" s="523" t="s">
        <v>579</v>
      </c>
      <c r="E14" s="406"/>
      <c r="F14" s="407">
        <v>1</v>
      </c>
      <c r="G14" s="209">
        <f ca="1">IF(INDIRECT(ADDRESS(ROW()-1,COLUMN(B$7),,,))&lt;&gt;"",INDIRECT(ADDRESS(ROW(),COLUMN(F$7),,,)),INDIRECT(ADDRESS(ROW()-1,COLUMN(G$7),,,))+INDIRECT(ADDRESS(ROW(),COLUMN(F$7),,,)))</f>
        <v>5</v>
      </c>
      <c r="H14" s="209">
        <f t="shared" si="11"/>
        <v>4.1666666666666664E-2</v>
      </c>
      <c r="I14" s="209">
        <f ca="1">INDIRECT(ADDRESS(ROW()-1,COLUMN(I$7),,,))+INDIRECT(ADDRESS(ROW(),COLUMN(H$7),,,))</f>
        <v>0.20833333333333331</v>
      </c>
      <c r="J14" s="540">
        <v>0</v>
      </c>
      <c r="K14" s="188"/>
      <c r="L14" s="525" t="s">
        <v>635</v>
      </c>
      <c r="M14" s="400" t="s">
        <v>147</v>
      </c>
      <c r="N14" s="407">
        <v>1</v>
      </c>
      <c r="O14" s="95">
        <f ca="1">IF(INDIRECT(ADDRESS(ROW()-1,COLUMN(B$7),,,))&lt;&gt;"",INDIRECT(ADDRESS(ROW(),COLUMN(N$7),,,)),INDIRECT(ADDRESS(ROW()-1,COLUMN(O$7),,,))+INDIRECT(ADDRESS(ROW(),COLUMN(N$7),,,)))</f>
        <v>4</v>
      </c>
      <c r="P14" s="403">
        <v>0</v>
      </c>
      <c r="Q14" s="116">
        <f>IF(N14&gt;0,VLOOKUP(M14,'3_TIME SUM'!$F$7:$G$128,2,FALSE),0)</f>
        <v>0</v>
      </c>
      <c r="R14" s="517"/>
      <c r="S14" s="94">
        <f t="shared" si="12"/>
        <v>4.1666666666666664E-2</v>
      </c>
      <c r="T14" s="94">
        <f ca="1">INDIRECT(ADDRESS(ROW()-1,COLUMN(T$7),,,))+INDIRECT(ADDRESS(ROW(),COLUMN(S$7),,,))</f>
        <v>0.16666666666666666</v>
      </c>
      <c r="U14" s="535">
        <f ca="1">$T14+'1_INPUT'!$E$18</f>
        <v>44943.958333333328</v>
      </c>
      <c r="V14" s="95">
        <f ca="1">IFERROR(IF($AI14=0,($I14-T14)*24,(($P14-INDIRECT(ADDRESS(ROW()-1,COLUMN($P$9),,,)))/$AI14)-$N14+(INDIRECT(ADDRESS(ROW()-1,COLUMN(V$9),,,)))),"")</f>
        <v>0.99999999999999978</v>
      </c>
      <c r="W14" s="110">
        <f ca="1">IFERROR(IF(V14&gt;0,TIME(V14,(V14-ROUNDDOWN(V14,0))*60,0)+DAY((ROUNDDOWN(V14,0)/24)),TIME((-V14),((-V14)-ROUNDDOWN((-V14),0))*60,0)+DAY((ROUNDDOWN((-V14),0)/24))),"")</f>
        <v>4.1666666666666664E-2</v>
      </c>
      <c r="X14" s="111">
        <f ca="1">IF(U14=0,"-",ROUNDUP(VALUE(U14),0))</f>
        <v>44944</v>
      </c>
      <c r="Y14" s="112" t="str">
        <f ca="1">IFERROR(IF(SUMIFS($N$9:$N14,$X$9:$X14,ROUNDUP(VALUE(U14),0),$Q$9:$Q14,"npt")=0,"-",SUMIFS($N$9:$N14,$X$9:$X14,ROUNDUP(VALUE(U14),0),$Q$9:$Q14,"npt")/SUMIFS($N$9:$N14,$X$9:$X14,ROUNDUP(VALUE(U14),0))),"")</f>
        <v>-</v>
      </c>
      <c r="Z14" s="112">
        <f ca="1">IFERROR(IF($N14=0,"-",SUMIF($Q$11:$Q14,"npt",$N$11:$N14)/(T14*24)),"")</f>
        <v>0</v>
      </c>
      <c r="AA14" s="491"/>
      <c r="AB14" s="491"/>
      <c r="AC14" s="398" t="s">
        <v>224</v>
      </c>
      <c r="AD14" s="427">
        <f t="shared" ca="1" si="9"/>
        <v>0.20833333333333331</v>
      </c>
      <c r="AE14" s="427">
        <f t="shared" ca="1" si="0"/>
        <v>0</v>
      </c>
      <c r="AF14" s="427">
        <f ca="1">T14</f>
        <v>0.16666666666666666</v>
      </c>
      <c r="AG14" s="427">
        <f t="shared" ca="1" si="2"/>
        <v>0</v>
      </c>
      <c r="AH14" s="493"/>
      <c r="AI14" s="427">
        <f t="shared" ca="1" si="3"/>
        <v>0</v>
      </c>
      <c r="AJ14" s="493"/>
      <c r="AK14" s="428">
        <f ca="1">IF(B14&lt;&gt;"",B14,INDIRECT(ADDRESS(ROW()+1,COLUMN($AK$9),,,)))</f>
        <v>2</v>
      </c>
      <c r="AL14" s="428">
        <f ca="1">IF(A14&lt;&gt;"",IFERROR(INDEX('1_INPUT'!$B$69:$E$89,MATCH($A14,'1_INPUT'!$E$69:$E$89,0),1),""),INDIRECT(ADDRESS(ROW()+1,COLUMN($AL$9),,,)))</f>
        <v>2</v>
      </c>
      <c r="AM14" s="428" t="str">
        <f ca="1">IF(AN14="","",MAX(INDIRECT(ADDRESS(9,COLUMN($AM$9),,,)):INDIRECT(ADDRESS(ROW()-1,COLUMN($AM$9),,,)))+1)</f>
        <v/>
      </c>
      <c r="AN14" s="429" t="str">
        <f>IF($AO14&lt;&gt;"",VLOOKUP($AK14,'1_INPUT'!$B$124:$D$136,2,FALSE),"")</f>
        <v/>
      </c>
      <c r="AO14" s="429" t="str">
        <f t="shared" si="10"/>
        <v/>
      </c>
      <c r="AP14" s="427">
        <f ca="1">SUMIF($AL$10:AL14,$AL14,$I$10:I14)</f>
        <v>0.54166666666666663</v>
      </c>
      <c r="AR14" s="430" t="str">
        <f t="shared" ca="1" si="5"/>
        <v>WORKOVER SECTION</v>
      </c>
      <c r="AS14" s="430">
        <f ca="1">MATCH(AR14,'1_INPUT'!$V$43:$V$64,0)+1</f>
        <v>6</v>
      </c>
      <c r="AT14" s="430">
        <f ca="1">VLOOKUP(AR14,'1_INPUT'!$V$43:$W$64,2,FALSE)</f>
        <v>21</v>
      </c>
      <c r="AU14" s="430">
        <f ca="1">COUNTIF('1_INPUT'!$W$43:$W$64,AT14)-1</f>
        <v>5</v>
      </c>
      <c r="AV14" s="430" t="e">
        <f ca="1">OFFSET('1_INPUT'!$V$42,$AS14,,$AU14,)</f>
        <v>#VALUE!</v>
      </c>
      <c r="AX14" s="430" t="str">
        <f>IF(A14&lt;&gt;"",""&amp;AR14&amp;"-"&amp;A14&amp;"","")</f>
        <v/>
      </c>
      <c r="CK14" s="9"/>
      <c r="CL14" s="9"/>
    </row>
    <row r="15" spans="1:90" ht="13.8">
      <c r="A15" s="205"/>
      <c r="B15" s="516"/>
      <c r="C15" s="208">
        <f ca="1">IF(D15&lt;&gt;"",MAX($C$9:C14)+1,"")</f>
        <v>4</v>
      </c>
      <c r="D15" s="523" t="s">
        <v>615</v>
      </c>
      <c r="E15" s="406"/>
      <c r="F15" s="407">
        <v>4</v>
      </c>
      <c r="G15" s="209">
        <f t="shared" ref="G15:G21" ca="1" si="18">IF(INDIRECT(ADDRESS(ROW()-1,COLUMN(B$7),,,))&lt;&gt;"",INDIRECT(ADDRESS(ROW(),COLUMN(F$7),,,)),INDIRECT(ADDRESS(ROW()-1,COLUMN(G$7),,,))+INDIRECT(ADDRESS(ROW(),COLUMN(F$7),,,)))</f>
        <v>9</v>
      </c>
      <c r="H15" s="209">
        <f t="shared" si="11"/>
        <v>0.16666666666666666</v>
      </c>
      <c r="I15" s="209">
        <f t="shared" ref="I15:I21" ca="1" si="19">INDIRECT(ADDRESS(ROW()-1,COLUMN(I$7),,,))+INDIRECT(ADDRESS(ROW(),COLUMN(H$7),,,))</f>
        <v>0.375</v>
      </c>
      <c r="J15" s="540">
        <v>0</v>
      </c>
      <c r="K15" s="188"/>
      <c r="L15" s="525"/>
      <c r="M15" s="400"/>
      <c r="N15" s="407"/>
      <c r="O15" s="95">
        <f t="shared" ref="O15:O21" ca="1" si="20">IF(INDIRECT(ADDRESS(ROW()-1,COLUMN(B$7),,,))&lt;&gt;"",INDIRECT(ADDRESS(ROW(),COLUMN(N$7),,,)),INDIRECT(ADDRESS(ROW()-1,COLUMN(O$7),,,))+INDIRECT(ADDRESS(ROW(),COLUMN(N$7),,,)))</f>
        <v>4</v>
      </c>
      <c r="P15" s="403">
        <v>0</v>
      </c>
      <c r="Q15" s="116">
        <f>IF(N15&gt;0,VLOOKUP(M15,'3_TIME SUM'!$F$7:$G$128,2,FALSE),0)</f>
        <v>0</v>
      </c>
      <c r="R15" s="517"/>
      <c r="S15" s="94">
        <f t="shared" si="12"/>
        <v>0</v>
      </c>
      <c r="T15" s="94">
        <f t="shared" ref="T15:T21" ca="1" si="21">INDIRECT(ADDRESS(ROW()-1,COLUMN(T$7),,,))+INDIRECT(ADDRESS(ROW(),COLUMN(S$7),,,))</f>
        <v>0.16666666666666666</v>
      </c>
      <c r="U15" s="535">
        <f ca="1">$T15+'1_INPUT'!$E$18</f>
        <v>44943.958333333328</v>
      </c>
      <c r="V15" s="95">
        <f t="shared" ref="V15:V21" ca="1" si="22">IFERROR(IF($AI15=0,($I15-T15)*24,(($P15-INDIRECT(ADDRESS(ROW()-1,COLUMN($P$9),,,)))/$AI15)-$N15+(INDIRECT(ADDRESS(ROW()-1,COLUMN(V$9),,,)))),"")</f>
        <v>5</v>
      </c>
      <c r="W15" s="110">
        <f t="shared" ref="W15:W21" ca="1" si="23">IFERROR(IF(V15&gt;0,TIME(V15,(V15-ROUNDDOWN(V15,0))*60,0)+DAY((ROUNDDOWN(V15,0)/24)),TIME((-V15),((-V15)-ROUNDDOWN((-V15),0))*60,0)+DAY((ROUNDDOWN((-V15),0)/24))),"")</f>
        <v>0.20833333333333334</v>
      </c>
      <c r="X15" s="111">
        <f t="shared" ref="X15:X21" ca="1" si="24">IF(U15=0,"-",ROUNDUP(VALUE(U15),0))</f>
        <v>44944</v>
      </c>
      <c r="Y15" s="112" t="str">
        <f ca="1">IFERROR(IF(SUMIFS($N$9:$N15,$X$9:$X15,ROUNDUP(VALUE(U15),0),$Q$9:$Q15,"npt")=0,"-",SUMIFS($N$9:$N15,$X$9:$X15,ROUNDUP(VALUE(U15),0),$Q$9:$Q15,"npt")/SUMIFS($N$9:$N15,$X$9:$X15,ROUNDUP(VALUE(U15),0))),"")</f>
        <v>-</v>
      </c>
      <c r="Z15" s="112" t="str">
        <f>IFERROR(IF($N15=0,"-",SUMIF($Q$11:$Q15,"npt",$N$11:$N15)/(T15*24)),"")</f>
        <v>-</v>
      </c>
      <c r="AA15" s="491"/>
      <c r="AB15" s="491"/>
      <c r="AC15" s="398" t="s">
        <v>224</v>
      </c>
      <c r="AD15" s="427">
        <f t="shared" ca="1" si="9"/>
        <v>0.375</v>
      </c>
      <c r="AE15" s="427">
        <f t="shared" ca="1" si="0"/>
        <v>0</v>
      </c>
      <c r="AF15" s="427">
        <f t="shared" ref="AF15:AF21" ca="1" si="25">T15</f>
        <v>0.16666666666666666</v>
      </c>
      <c r="AG15" s="427">
        <f t="shared" ca="1" si="2"/>
        <v>0</v>
      </c>
      <c r="AH15" s="493"/>
      <c r="AI15" s="427">
        <f t="shared" ca="1" si="3"/>
        <v>0</v>
      </c>
      <c r="AJ15" s="493"/>
      <c r="AK15" s="428">
        <f t="shared" ref="AK15:AK21" ca="1" si="26">IF(B15&lt;&gt;"",B15,INDIRECT(ADDRESS(ROW()+1,COLUMN($AK$9),,,)))</f>
        <v>2</v>
      </c>
      <c r="AL15" s="428">
        <f ca="1">IF(A15&lt;&gt;"",IFERROR(INDEX('1_INPUT'!$B$69:$E$89,MATCH($A15,'1_INPUT'!$E$69:$E$89,0),1),""),INDIRECT(ADDRESS(ROW()+1,COLUMN($AL$9),,,)))</f>
        <v>2</v>
      </c>
      <c r="AM15" s="428" t="str">
        <f ca="1">IF(AN15="","",MAX(INDIRECT(ADDRESS(9,COLUMN($AM$9),,,)):INDIRECT(ADDRESS(ROW()-1,COLUMN($AM$9),,,)))+1)</f>
        <v/>
      </c>
      <c r="AN15" s="429" t="str">
        <f>IF($AO15&lt;&gt;"",VLOOKUP($AK15,'1_INPUT'!$B$124:$D$136,2,FALSE),"")</f>
        <v/>
      </c>
      <c r="AO15" s="429" t="str">
        <f t="shared" si="10"/>
        <v/>
      </c>
      <c r="AP15" s="427">
        <f ca="1">SUMIF($AL$10:AL15,$AL15,$I$10:I15)</f>
        <v>0.91666666666666663</v>
      </c>
      <c r="AR15" s="430" t="str">
        <f t="shared" ca="1" si="5"/>
        <v>WORKOVER SECTION</v>
      </c>
      <c r="AS15" s="430">
        <f ca="1">MATCH(AR15,'1_INPUT'!$V$43:$V$64,0)+1</f>
        <v>6</v>
      </c>
      <c r="AT15" s="430">
        <f ca="1">VLOOKUP(AR15,'1_INPUT'!$V$43:$W$64,2,FALSE)</f>
        <v>21</v>
      </c>
      <c r="AU15" s="430">
        <f ca="1">COUNTIF('1_INPUT'!$W$43:$W$64,AT15)-1</f>
        <v>5</v>
      </c>
      <c r="AV15" s="430" t="e">
        <f ca="1">OFFSET('1_INPUT'!$V$42,$AS15,,$AU15,)</f>
        <v>#VALUE!</v>
      </c>
      <c r="AX15" s="430" t="str">
        <f t="shared" ref="AX15:AX21" si="27">IF(A15&lt;&gt;"",""&amp;AR15&amp;"-"&amp;A15&amp;"","")</f>
        <v/>
      </c>
      <c r="CK15" s="9"/>
      <c r="CL15" s="9"/>
    </row>
    <row r="16" spans="1:90" ht="27.6">
      <c r="A16" s="205"/>
      <c r="B16" s="516"/>
      <c r="C16" s="208">
        <f ca="1">IF(D16&lt;&gt;"",MAX($C$9:C15)+1,"")</f>
        <v>5</v>
      </c>
      <c r="D16" s="523" t="s">
        <v>582</v>
      </c>
      <c r="E16" s="406"/>
      <c r="F16" s="407">
        <v>2</v>
      </c>
      <c r="G16" s="209">
        <f t="shared" ca="1" si="18"/>
        <v>11</v>
      </c>
      <c r="H16" s="209">
        <f t="shared" si="11"/>
        <v>8.3333333333333329E-2</v>
      </c>
      <c r="I16" s="209">
        <f t="shared" ca="1" si="19"/>
        <v>0.45833333333333331</v>
      </c>
      <c r="J16" s="540">
        <v>0</v>
      </c>
      <c r="K16" s="188"/>
      <c r="L16" s="525" t="s">
        <v>636</v>
      </c>
      <c r="M16" s="400" t="s">
        <v>184</v>
      </c>
      <c r="N16" s="407">
        <v>1</v>
      </c>
      <c r="O16" s="95">
        <f t="shared" ca="1" si="20"/>
        <v>5</v>
      </c>
      <c r="P16" s="403">
        <v>0</v>
      </c>
      <c r="Q16" s="116">
        <f>IF(N16&gt;0,VLOOKUP(M16,'3_TIME SUM'!$F$7:$G$128,2,FALSE),0)</f>
        <v>0</v>
      </c>
      <c r="R16" s="517"/>
      <c r="S16" s="94">
        <f t="shared" si="12"/>
        <v>4.1666666666666664E-2</v>
      </c>
      <c r="T16" s="94">
        <f t="shared" ca="1" si="21"/>
        <v>0.20833333333333331</v>
      </c>
      <c r="U16" s="539">
        <f ca="1">$T16+'1_INPUT'!$E$18</f>
        <v>44944</v>
      </c>
      <c r="V16" s="95">
        <f t="shared" ca="1" si="22"/>
        <v>6</v>
      </c>
      <c r="W16" s="110">
        <f t="shared" ca="1" si="23"/>
        <v>0.25</v>
      </c>
      <c r="X16" s="111">
        <f t="shared" ca="1" si="24"/>
        <v>44944</v>
      </c>
      <c r="Y16" s="112" t="str">
        <f ca="1">IFERROR(IF(SUMIFS($N$9:$N16,$X$9:$X16,ROUNDUP(VALUE(U16),0),$Q$9:$Q16,"npt")=0,"-",SUMIFS($N$9:$N16,$X$9:$X16,ROUNDUP(VALUE(U16),0),$Q$9:$Q16,"npt")/SUMIFS($N$9:$N16,$X$9:$X16,ROUNDUP(VALUE(U16),0))),"")</f>
        <v>-</v>
      </c>
      <c r="Z16" s="112">
        <f ca="1">IFERROR(IF($N16=0,"-",SUMIF($Q$11:$Q16,"npt",$N$11:$N16)/(T16*24)),"")</f>
        <v>0</v>
      </c>
      <c r="AA16" s="491"/>
      <c r="AB16" s="491"/>
      <c r="AC16" s="398" t="s">
        <v>224</v>
      </c>
      <c r="AD16" s="427">
        <f t="shared" ca="1" si="9"/>
        <v>0.45833333333333331</v>
      </c>
      <c r="AE16" s="427">
        <f t="shared" ca="1" si="0"/>
        <v>0</v>
      </c>
      <c r="AF16" s="427">
        <f t="shared" ca="1" si="25"/>
        <v>0.20833333333333331</v>
      </c>
      <c r="AG16" s="427">
        <f t="shared" ca="1" si="2"/>
        <v>0</v>
      </c>
      <c r="AH16" s="493"/>
      <c r="AI16" s="427">
        <f t="shared" ca="1" si="3"/>
        <v>0</v>
      </c>
      <c r="AJ16" s="493"/>
      <c r="AK16" s="428">
        <f t="shared" ca="1" si="26"/>
        <v>2</v>
      </c>
      <c r="AL16" s="428">
        <f ca="1">IF(A16&lt;&gt;"",IFERROR(INDEX('1_INPUT'!$B$69:$E$89,MATCH($A16,'1_INPUT'!$E$69:$E$89,0),1),""),INDIRECT(ADDRESS(ROW()+1,COLUMN($AL$9),,,)))</f>
        <v>2</v>
      </c>
      <c r="AM16" s="428" t="str">
        <f ca="1">IF(AN16="","",MAX(INDIRECT(ADDRESS(9,COLUMN($AM$9),,,)):INDIRECT(ADDRESS(ROW()-1,COLUMN($AM$9),,,)))+1)</f>
        <v/>
      </c>
      <c r="AN16" s="429" t="str">
        <f>IF($AO16&lt;&gt;"",VLOOKUP($AK16,'1_INPUT'!$B$124:$D$136,2,FALSE),"")</f>
        <v/>
      </c>
      <c r="AO16" s="429" t="str">
        <f t="shared" si="10"/>
        <v/>
      </c>
      <c r="AP16" s="427">
        <f ca="1">SUMIF($AL$10:AL16,$AL16,$I$10:I16)</f>
        <v>1.375</v>
      </c>
      <c r="AR16" s="430" t="str">
        <f t="shared" ca="1" si="5"/>
        <v>WORKOVER SECTION</v>
      </c>
      <c r="AS16" s="430">
        <f ca="1">MATCH(AR16,'1_INPUT'!$V$43:$V$64,0)+1</f>
        <v>6</v>
      </c>
      <c r="AT16" s="430">
        <f ca="1">VLOOKUP(AR16,'1_INPUT'!$V$43:$W$64,2,FALSE)</f>
        <v>21</v>
      </c>
      <c r="AU16" s="430">
        <f ca="1">COUNTIF('1_INPUT'!$W$43:$W$64,AT16)-1</f>
        <v>5</v>
      </c>
      <c r="AV16" s="430" t="e">
        <f ca="1">OFFSET('1_INPUT'!$V$42,$AS16,,$AU16,)</f>
        <v>#VALUE!</v>
      </c>
      <c r="AX16" s="430" t="str">
        <f t="shared" si="27"/>
        <v/>
      </c>
      <c r="CK16" s="9"/>
      <c r="CL16" s="9"/>
    </row>
    <row r="17" spans="1:90" ht="55.2">
      <c r="A17" s="205"/>
      <c r="B17" s="516"/>
      <c r="C17" s="208" t="str">
        <f>IF(D17&lt;&gt;"",MAX($C$9:C16)+1,"")</f>
        <v/>
      </c>
      <c r="D17" s="523"/>
      <c r="E17" s="406"/>
      <c r="F17" s="407"/>
      <c r="G17" s="209">
        <f t="shared" ref="G17" ca="1" si="28">IF(INDIRECT(ADDRESS(ROW()-1,COLUMN(B$7),,,))&lt;&gt;"",INDIRECT(ADDRESS(ROW(),COLUMN(F$7),,,)),INDIRECT(ADDRESS(ROW()-1,COLUMN(G$7),,,))+INDIRECT(ADDRESS(ROW(),COLUMN(F$7),,,)))</f>
        <v>11</v>
      </c>
      <c r="H17" s="209">
        <f t="shared" si="11"/>
        <v>0</v>
      </c>
      <c r="I17" s="209">
        <f t="shared" ref="I17" ca="1" si="29">INDIRECT(ADDRESS(ROW()-1,COLUMN(I$7),,,))+INDIRECT(ADDRESS(ROW(),COLUMN(H$7),,,))</f>
        <v>0.45833333333333331</v>
      </c>
      <c r="J17" s="540">
        <v>0</v>
      </c>
      <c r="K17" s="188"/>
      <c r="L17" s="525" t="s">
        <v>637</v>
      </c>
      <c r="M17" s="400" t="s">
        <v>184</v>
      </c>
      <c r="N17" s="407">
        <v>1</v>
      </c>
      <c r="O17" s="95">
        <f t="shared" ref="O17" ca="1" si="30">IF(INDIRECT(ADDRESS(ROW()-1,COLUMN(B$7),,,))&lt;&gt;"",INDIRECT(ADDRESS(ROW(),COLUMN(N$7),,,)),INDIRECT(ADDRESS(ROW()-1,COLUMN(O$7),,,))+INDIRECT(ADDRESS(ROW(),COLUMN(N$7),,,)))</f>
        <v>6</v>
      </c>
      <c r="P17" s="403">
        <v>0</v>
      </c>
      <c r="Q17" s="116">
        <f>IF(N17&gt;0,VLOOKUP(M17,'3_TIME SUM'!$F$7:$G$128,2,FALSE),0)</f>
        <v>0</v>
      </c>
      <c r="R17" s="517"/>
      <c r="S17" s="94">
        <f t="shared" si="12"/>
        <v>4.1666666666666664E-2</v>
      </c>
      <c r="T17" s="94">
        <f t="shared" ref="T17" ca="1" si="31">INDIRECT(ADDRESS(ROW()-1,COLUMN(T$7),,,))+INDIRECT(ADDRESS(ROW(),COLUMN(S$7),,,))</f>
        <v>0.24999999999999997</v>
      </c>
      <c r="U17" s="535">
        <f ca="1">$T17+'1_INPUT'!$E$18</f>
        <v>44944.041666666664</v>
      </c>
      <c r="V17" s="95">
        <f t="shared" ref="V17" ca="1" si="32">IFERROR(IF($AI17=0,($I17-T17)*24,(($P17-INDIRECT(ADDRESS(ROW()-1,COLUMN($P$9),,,)))/$AI17)-$N17+(INDIRECT(ADDRESS(ROW()-1,COLUMN(V$9),,,)))),"")</f>
        <v>5</v>
      </c>
      <c r="W17" s="110">
        <f t="shared" ref="W17" ca="1" si="33">IFERROR(IF(V17&gt;0,TIME(V17,(V17-ROUNDDOWN(V17,0))*60,0)+DAY((ROUNDDOWN(V17,0)/24)),TIME((-V17),((-V17)-ROUNDDOWN((-V17),0))*60,0)+DAY((ROUNDDOWN((-V17),0)/24))),"")</f>
        <v>0.20833333333333334</v>
      </c>
      <c r="X17" s="111">
        <f t="shared" ref="X17" ca="1" si="34">IF(U17=0,"-",ROUNDUP(VALUE(U17),0))</f>
        <v>44945</v>
      </c>
      <c r="Y17" s="112" t="str">
        <f ca="1">IFERROR(IF(SUMIFS($N$9:$N17,$X$9:$X17,ROUNDUP(VALUE(U17),0),$Q$9:$Q17,"npt")=0,"-",SUMIFS($N$9:$N17,$X$9:$X17,ROUNDUP(VALUE(U17),0),$Q$9:$Q17,"npt")/SUMIFS($N$9:$N17,$X$9:$X17,ROUNDUP(VALUE(U17),0))),"")</f>
        <v>-</v>
      </c>
      <c r="Z17" s="112">
        <f ca="1">IFERROR(IF($N17=0,"-",SUMIF($Q$11:$Q17,"npt",$N$11:$N17)/(T17*24)),"")</f>
        <v>0</v>
      </c>
      <c r="AA17" s="491"/>
      <c r="AB17" s="491"/>
      <c r="AC17" s="398" t="s">
        <v>224</v>
      </c>
      <c r="AD17" s="427">
        <f t="shared" ca="1" si="9"/>
        <v>0.45833333333333331</v>
      </c>
      <c r="AE17" s="427">
        <f t="shared" ca="1" si="0"/>
        <v>0</v>
      </c>
      <c r="AF17" s="427">
        <f t="shared" ref="AF17" ca="1" si="35">T17</f>
        <v>0.24999999999999997</v>
      </c>
      <c r="AG17" s="427">
        <f t="shared" ca="1" si="2"/>
        <v>0</v>
      </c>
      <c r="AH17" s="493"/>
      <c r="AI17" s="427">
        <f t="shared" ca="1" si="3"/>
        <v>0</v>
      </c>
      <c r="AJ17" s="493"/>
      <c r="AK17" s="428">
        <f t="shared" ref="AK17" ca="1" si="36">IF(B17&lt;&gt;"",B17,INDIRECT(ADDRESS(ROW()+1,COLUMN($AK$9),,,)))</f>
        <v>2</v>
      </c>
      <c r="AL17" s="428">
        <f ca="1">IF(A17&lt;&gt;"",IFERROR(INDEX('1_INPUT'!$B$69:$E$89,MATCH($A17,'1_INPUT'!$E$69:$E$89,0),1),""),INDIRECT(ADDRESS(ROW()+1,COLUMN($AL$9),,,)))</f>
        <v>2</v>
      </c>
      <c r="AM17" s="428" t="str">
        <f ca="1">IF(AN17="","",MAX(INDIRECT(ADDRESS(9,COLUMN($AM$9),,,)):INDIRECT(ADDRESS(ROW()-1,COLUMN($AM$9),,,)))+1)</f>
        <v/>
      </c>
      <c r="AN17" s="429" t="str">
        <f>IF($AO17&lt;&gt;"",VLOOKUP($AK17,'1_INPUT'!$B$124:$D$136,2,FALSE),"")</f>
        <v/>
      </c>
      <c r="AO17" s="429" t="str">
        <f t="shared" si="10"/>
        <v/>
      </c>
      <c r="AP17" s="427">
        <f ca="1">SUMIF($AL$10:AL17,$AL17,$I$10:I17)</f>
        <v>1.8333333333333333</v>
      </c>
      <c r="AR17" s="430" t="str">
        <f t="shared" ca="1" si="5"/>
        <v>WORKOVER SECTION</v>
      </c>
      <c r="AS17" s="430">
        <f ca="1">MATCH(AR17,'1_INPUT'!$V$43:$V$64,0)+1</f>
        <v>6</v>
      </c>
      <c r="AT17" s="430">
        <f ca="1">VLOOKUP(AR17,'1_INPUT'!$V$43:$W$64,2,FALSE)</f>
        <v>21</v>
      </c>
      <c r="AU17" s="430">
        <f ca="1">COUNTIF('1_INPUT'!$W$43:$W$64,AT17)-1</f>
        <v>5</v>
      </c>
      <c r="AV17" s="430" t="e">
        <f ca="1">OFFSET('1_INPUT'!$V$42,$AS17,,$AU17,)</f>
        <v>#VALUE!</v>
      </c>
      <c r="AX17" s="430" t="str">
        <f t="shared" ref="AX17" si="37">IF(A17&lt;&gt;"",""&amp;AR17&amp;"-"&amp;A17&amp;"","")</f>
        <v/>
      </c>
      <c r="CK17" s="9"/>
      <c r="CL17" s="9"/>
    </row>
    <row r="18" spans="1:90" ht="27.6">
      <c r="A18" s="205"/>
      <c r="B18" s="516"/>
      <c r="C18" s="208">
        <f ca="1">IF(D18&lt;&gt;"",MAX($C$9:C16)+1,"")</f>
        <v>6</v>
      </c>
      <c r="D18" s="523" t="s">
        <v>614</v>
      </c>
      <c r="E18" s="406"/>
      <c r="F18" s="407">
        <v>6</v>
      </c>
      <c r="G18" s="209">
        <f t="shared" ca="1" si="18"/>
        <v>17</v>
      </c>
      <c r="H18" s="209">
        <f t="shared" si="11"/>
        <v>0.25</v>
      </c>
      <c r="I18" s="209">
        <f t="shared" ca="1" si="19"/>
        <v>0.70833333333333326</v>
      </c>
      <c r="J18" s="540">
        <v>0</v>
      </c>
      <c r="K18" s="188"/>
      <c r="L18" s="525" t="s">
        <v>638</v>
      </c>
      <c r="M18" s="400" t="s">
        <v>185</v>
      </c>
      <c r="N18" s="407">
        <v>2</v>
      </c>
      <c r="O18" s="95">
        <f t="shared" ca="1" si="20"/>
        <v>8</v>
      </c>
      <c r="P18" s="403">
        <v>0</v>
      </c>
      <c r="Q18" s="116">
        <f>IF(N18&gt;0,VLOOKUP(M18,'3_TIME SUM'!$F$7:$G$128,2,FALSE),0)</f>
        <v>0</v>
      </c>
      <c r="R18" s="517"/>
      <c r="S18" s="94">
        <f t="shared" si="12"/>
        <v>8.3333333333333329E-2</v>
      </c>
      <c r="T18" s="94">
        <f t="shared" ca="1" si="21"/>
        <v>0.33333333333333331</v>
      </c>
      <c r="U18" s="535">
        <f ca="1">$T18+'1_INPUT'!$E$18</f>
        <v>44944.125</v>
      </c>
      <c r="V18" s="95">
        <f t="shared" ca="1" si="22"/>
        <v>8.9999999999999982</v>
      </c>
      <c r="W18" s="110">
        <f t="shared" ca="1" si="23"/>
        <v>0.375</v>
      </c>
      <c r="X18" s="111">
        <f t="shared" ca="1" si="24"/>
        <v>44945</v>
      </c>
      <c r="Y18" s="112" t="str">
        <f ca="1">IFERROR(IF(SUMIFS($N$9:$N18,$X$9:$X18,ROUNDUP(VALUE(U18),0),$Q$9:$Q18,"npt")=0,"-",SUMIFS($N$9:$N18,$X$9:$X18,ROUNDUP(VALUE(U18),0),$Q$9:$Q18,"npt")/SUMIFS($N$9:$N18,$X$9:$X18,ROUNDUP(VALUE(U18),0))),"")</f>
        <v>-</v>
      </c>
      <c r="Z18" s="112">
        <f ca="1">IFERROR(IF($N18=0,"-",SUMIF($Q$11:$Q18,"npt",$N$11:$N18)/(T18*24)),"")</f>
        <v>0</v>
      </c>
      <c r="AA18" s="491"/>
      <c r="AB18" s="491"/>
      <c r="AC18" s="398" t="s">
        <v>224</v>
      </c>
      <c r="AD18" s="427">
        <f t="shared" ca="1" si="9"/>
        <v>0.70833333333333326</v>
      </c>
      <c r="AE18" s="427">
        <f t="shared" ca="1" si="0"/>
        <v>0</v>
      </c>
      <c r="AF18" s="427">
        <f t="shared" ca="1" si="25"/>
        <v>0.33333333333333331</v>
      </c>
      <c r="AG18" s="427">
        <f t="shared" ca="1" si="2"/>
        <v>0</v>
      </c>
      <c r="AH18" s="493"/>
      <c r="AI18" s="427">
        <f t="shared" ca="1" si="3"/>
        <v>0</v>
      </c>
      <c r="AJ18" s="493"/>
      <c r="AK18" s="428">
        <f t="shared" ca="1" si="26"/>
        <v>2</v>
      </c>
      <c r="AL18" s="428">
        <f ca="1">IF(A18&lt;&gt;"",IFERROR(INDEX('1_INPUT'!$B$69:$E$89,MATCH($A18,'1_INPUT'!$E$69:$E$89,0),1),""),INDIRECT(ADDRESS(ROW()+1,COLUMN($AL$9),,,)))</f>
        <v>2</v>
      </c>
      <c r="AM18" s="428" t="str">
        <f ca="1">IF(AN18="","",MAX(INDIRECT(ADDRESS(9,COLUMN($AM$9),,,)):INDIRECT(ADDRESS(ROW()-1,COLUMN($AM$9),,,)))+1)</f>
        <v/>
      </c>
      <c r="AN18" s="429" t="str">
        <f>IF($AO18&lt;&gt;"",VLOOKUP($AK18,'1_INPUT'!$B$124:$D$136,2,FALSE),"")</f>
        <v/>
      </c>
      <c r="AO18" s="429" t="str">
        <f t="shared" si="10"/>
        <v/>
      </c>
      <c r="AP18" s="427">
        <f ca="1">SUMIF($AL$10:AL18,$AL18,$I$10:I18)</f>
        <v>2.5416666666666665</v>
      </c>
      <c r="AR18" s="430" t="str">
        <f t="shared" ca="1" si="5"/>
        <v>WORKOVER SECTION</v>
      </c>
      <c r="AS18" s="430">
        <f ca="1">MATCH(AR18,'1_INPUT'!$V$43:$V$64,0)+1</f>
        <v>6</v>
      </c>
      <c r="AT18" s="430">
        <f ca="1">VLOOKUP(AR18,'1_INPUT'!$V$43:$W$64,2,FALSE)</f>
        <v>21</v>
      </c>
      <c r="AU18" s="430">
        <f ca="1">COUNTIF('1_INPUT'!$W$43:$W$64,AT18)-1</f>
        <v>5</v>
      </c>
      <c r="AV18" s="430" t="e">
        <f ca="1">OFFSET('1_INPUT'!$V$42,$AS18,,$AU18,)</f>
        <v>#VALUE!</v>
      </c>
      <c r="AX18" s="430" t="str">
        <f t="shared" si="27"/>
        <v/>
      </c>
      <c r="CK18" s="9"/>
      <c r="CL18" s="9"/>
    </row>
    <row r="19" spans="1:90" ht="69">
      <c r="A19" s="205"/>
      <c r="B19" s="516"/>
      <c r="C19" s="208" t="str">
        <f>IF(D19&lt;&gt;"",MAX($C$9:C17)+1,"")</f>
        <v/>
      </c>
      <c r="D19" s="523"/>
      <c r="E19" s="406"/>
      <c r="F19" s="407"/>
      <c r="G19" s="209">
        <f t="shared" ref="G19" ca="1" si="38">IF(INDIRECT(ADDRESS(ROW()-1,COLUMN(B$7),,,))&lt;&gt;"",INDIRECT(ADDRESS(ROW(),COLUMN(F$7),,,)),INDIRECT(ADDRESS(ROW()-1,COLUMN(G$7),,,))+INDIRECT(ADDRESS(ROW(),COLUMN(F$7),,,)))</f>
        <v>17</v>
      </c>
      <c r="H19" s="209">
        <f t="shared" si="11"/>
        <v>0</v>
      </c>
      <c r="I19" s="209">
        <f t="shared" ref="I19" ca="1" si="39">INDIRECT(ADDRESS(ROW()-1,COLUMN(I$7),,,))+INDIRECT(ADDRESS(ROW(),COLUMN(H$7),,,))</f>
        <v>0.70833333333333326</v>
      </c>
      <c r="J19" s="540">
        <v>0</v>
      </c>
      <c r="K19" s="188"/>
      <c r="L19" s="525" t="s">
        <v>639</v>
      </c>
      <c r="M19" s="400" t="s">
        <v>19</v>
      </c>
      <c r="N19" s="407">
        <v>1</v>
      </c>
      <c r="O19" s="95">
        <f t="shared" ref="O19" ca="1" si="40">IF(INDIRECT(ADDRESS(ROW()-1,COLUMN(B$7),,,))&lt;&gt;"",INDIRECT(ADDRESS(ROW(),COLUMN(N$7),,,)),INDIRECT(ADDRESS(ROW()-1,COLUMN(O$7),,,))+INDIRECT(ADDRESS(ROW(),COLUMN(N$7),,,)))</f>
        <v>9</v>
      </c>
      <c r="P19" s="403">
        <v>0</v>
      </c>
      <c r="Q19" s="116">
        <f>IF(N19&gt;0,VLOOKUP(M19,'3_TIME SUM'!$F$7:$G$128,2,FALSE),0)</f>
        <v>0</v>
      </c>
      <c r="R19" s="517"/>
      <c r="S19" s="94">
        <f t="shared" si="12"/>
        <v>4.1666666666666664E-2</v>
      </c>
      <c r="T19" s="94">
        <f t="shared" ref="T19" ca="1" si="41">INDIRECT(ADDRESS(ROW()-1,COLUMN(T$7),,,))+INDIRECT(ADDRESS(ROW(),COLUMN(S$7),,,))</f>
        <v>0.375</v>
      </c>
      <c r="U19" s="535">
        <f ca="1">$T19+'1_INPUT'!$E$18</f>
        <v>44944.166666666664</v>
      </c>
      <c r="V19" s="95">
        <f t="shared" ref="V19" ca="1" si="42">IFERROR(IF($AI19=0,($I19-T19)*24,(($P19-INDIRECT(ADDRESS(ROW()-1,COLUMN($P$9),,,)))/$AI19)-$N19+(INDIRECT(ADDRESS(ROW()-1,COLUMN(V$9),,,)))),"")</f>
        <v>7.9999999999999982</v>
      </c>
      <c r="W19" s="110">
        <f t="shared" ref="W19" ca="1" si="43">IFERROR(IF(V19&gt;0,TIME(V19,(V19-ROUNDDOWN(V19,0))*60,0)+DAY((ROUNDDOWN(V19,0)/24)),TIME((-V19),((-V19)-ROUNDDOWN((-V19),0))*60,0)+DAY((ROUNDDOWN((-V19),0)/24))),"")</f>
        <v>0.33333333333333331</v>
      </c>
      <c r="X19" s="111">
        <f t="shared" ref="X19" ca="1" si="44">IF(U19=0,"-",ROUNDUP(VALUE(U19),0))</f>
        <v>44945</v>
      </c>
      <c r="Y19" s="112" t="str">
        <f ca="1">IFERROR(IF(SUMIFS($N$9:$N19,$X$9:$X19,ROUNDUP(VALUE(U19),0),$Q$9:$Q19,"npt")=0,"-",SUMIFS($N$9:$N19,$X$9:$X19,ROUNDUP(VALUE(U19),0),$Q$9:$Q19,"npt")/SUMIFS($N$9:$N19,$X$9:$X19,ROUNDUP(VALUE(U19),0))),"")</f>
        <v>-</v>
      </c>
      <c r="Z19" s="112">
        <f ca="1">IFERROR(IF($N19=0,"-",SUMIF($Q$11:$Q19,"npt",$N$11:$N19)/(T19*24)),"")</f>
        <v>0</v>
      </c>
      <c r="AA19" s="491"/>
      <c r="AB19" s="491"/>
      <c r="AC19" s="398" t="s">
        <v>224</v>
      </c>
      <c r="AD19" s="427">
        <f t="shared" ca="1" si="9"/>
        <v>0.70833333333333326</v>
      </c>
      <c r="AE19" s="427">
        <f t="shared" ca="1" si="0"/>
        <v>0</v>
      </c>
      <c r="AF19" s="427">
        <f t="shared" ref="AF19" ca="1" si="45">T19</f>
        <v>0.375</v>
      </c>
      <c r="AG19" s="427">
        <f t="shared" ca="1" si="2"/>
        <v>0</v>
      </c>
      <c r="AH19" s="493"/>
      <c r="AI19" s="427">
        <f t="shared" ca="1" si="3"/>
        <v>0</v>
      </c>
      <c r="AJ19" s="493"/>
      <c r="AK19" s="428">
        <f t="shared" ref="AK19" ca="1" si="46">IF(B19&lt;&gt;"",B19,INDIRECT(ADDRESS(ROW()+1,COLUMN($AK$9),,,)))</f>
        <v>2</v>
      </c>
      <c r="AL19" s="428">
        <f ca="1">IF(A19&lt;&gt;"",IFERROR(INDEX('1_INPUT'!$B$69:$E$89,MATCH($A19,'1_INPUT'!$E$69:$E$89,0),1),""),INDIRECT(ADDRESS(ROW()+1,COLUMN($AL$9),,,)))</f>
        <v>2</v>
      </c>
      <c r="AM19" s="428" t="str">
        <f ca="1">IF(AN19="","",MAX(INDIRECT(ADDRESS(9,COLUMN($AM$9),,,)):INDIRECT(ADDRESS(ROW()-1,COLUMN($AM$9),,,)))+1)</f>
        <v/>
      </c>
      <c r="AN19" s="429" t="str">
        <f>IF($AO19&lt;&gt;"",VLOOKUP($AK19,'1_INPUT'!$B$124:$D$136,2,FALSE),"")</f>
        <v/>
      </c>
      <c r="AO19" s="429" t="str">
        <f t="shared" si="10"/>
        <v/>
      </c>
      <c r="AP19" s="427">
        <f ca="1">SUMIF($AL$10:AL19,$AL19,$I$10:I19)</f>
        <v>3.25</v>
      </c>
      <c r="AR19" s="430" t="str">
        <f t="shared" ca="1" si="5"/>
        <v>WORKOVER SECTION</v>
      </c>
      <c r="AS19" s="430">
        <f ca="1">MATCH(AR19,'1_INPUT'!$V$43:$V$64,0)+1</f>
        <v>6</v>
      </c>
      <c r="AT19" s="430">
        <f ca="1">VLOOKUP(AR19,'1_INPUT'!$V$43:$W$64,2,FALSE)</f>
        <v>21</v>
      </c>
      <c r="AU19" s="430">
        <f ca="1">COUNTIF('1_INPUT'!$W$43:$W$64,AT19)-1</f>
        <v>5</v>
      </c>
      <c r="AV19" s="430" t="e">
        <f ca="1">OFFSET('1_INPUT'!$V$42,$AS19,,$AU19,)</f>
        <v>#VALUE!</v>
      </c>
      <c r="AX19" s="430" t="str">
        <f t="shared" ref="AX19" si="47">IF(A19&lt;&gt;"",""&amp;AR19&amp;"-"&amp;A19&amp;"","")</f>
        <v/>
      </c>
      <c r="CK19" s="9"/>
      <c r="CL19" s="9"/>
    </row>
    <row r="20" spans="1:90" ht="13.8">
      <c r="A20" s="205"/>
      <c r="B20" s="516"/>
      <c r="C20" s="208">
        <f ca="1">IF(D20&lt;&gt;"",MAX($C$9:C18)+1,"")</f>
        <v>7</v>
      </c>
      <c r="D20" s="523" t="s">
        <v>583</v>
      </c>
      <c r="E20" s="406"/>
      <c r="F20" s="407">
        <v>1</v>
      </c>
      <c r="G20" s="209">
        <f t="shared" ca="1" si="18"/>
        <v>18</v>
      </c>
      <c r="H20" s="209">
        <f t="shared" si="11"/>
        <v>4.1666666666666664E-2</v>
      </c>
      <c r="I20" s="209">
        <f t="shared" ca="1" si="19"/>
        <v>0.74999999999999989</v>
      </c>
      <c r="J20" s="540">
        <v>1112</v>
      </c>
      <c r="K20" s="188"/>
      <c r="L20" s="525"/>
      <c r="M20" s="400"/>
      <c r="N20" s="407"/>
      <c r="O20" s="95">
        <f t="shared" ca="1" si="20"/>
        <v>9</v>
      </c>
      <c r="P20" s="403">
        <v>1814.13</v>
      </c>
      <c r="Q20" s="116">
        <f>IF(N20&gt;0,VLOOKUP(M20,'3_TIME SUM'!$F$7:$G$128,2,FALSE),0)</f>
        <v>0</v>
      </c>
      <c r="R20" s="517"/>
      <c r="S20" s="94">
        <f t="shared" si="12"/>
        <v>0</v>
      </c>
      <c r="T20" s="94">
        <f t="shared" ca="1" si="21"/>
        <v>0.375</v>
      </c>
      <c r="U20" s="535">
        <f ca="1">$T20+'1_INPUT'!$E$18</f>
        <v>44944.166666666664</v>
      </c>
      <c r="V20" s="95">
        <f t="shared" ca="1" si="22"/>
        <v>9.6314118705035945</v>
      </c>
      <c r="W20" s="110">
        <f t="shared" ca="1" si="23"/>
        <v>0.40069444444444446</v>
      </c>
      <c r="X20" s="111">
        <f t="shared" ca="1" si="24"/>
        <v>44945</v>
      </c>
      <c r="Y20" s="112" t="str">
        <f ca="1">IFERROR(IF(SUMIFS($N$9:$N20,$X$9:$X20,ROUNDUP(VALUE(U20),0),$Q$9:$Q20,"npt")=0,"-",SUMIFS($N$9:$N20,$X$9:$X20,ROUNDUP(VALUE(U20),0),$Q$9:$Q20,"npt")/SUMIFS($N$9:$N20,$X$9:$X20,ROUNDUP(VALUE(U20),0))),"")</f>
        <v>-</v>
      </c>
      <c r="Z20" s="112" t="str">
        <f>IFERROR(IF($N20=0,"-",SUMIF($Q$11:$Q20,"npt",$N$11:$N20)/(T20*24)),"")</f>
        <v>-</v>
      </c>
      <c r="AA20" s="491"/>
      <c r="AB20" s="491"/>
      <c r="AC20" s="398" t="s">
        <v>224</v>
      </c>
      <c r="AD20" s="427">
        <f t="shared" ca="1" si="9"/>
        <v>0.74999999999999989</v>
      </c>
      <c r="AE20" s="427">
        <f t="shared" ca="1" si="0"/>
        <v>1112</v>
      </c>
      <c r="AF20" s="427">
        <f t="shared" ca="1" si="25"/>
        <v>0.375</v>
      </c>
      <c r="AG20" s="427">
        <f t="shared" ca="1" si="2"/>
        <v>1814.13</v>
      </c>
      <c r="AH20" s="493"/>
      <c r="AI20" s="427">
        <f t="shared" ca="1" si="3"/>
        <v>1112</v>
      </c>
      <c r="AJ20" s="493"/>
      <c r="AK20" s="428">
        <f t="shared" ca="1" si="26"/>
        <v>2</v>
      </c>
      <c r="AL20" s="428">
        <f ca="1">IF(A20&lt;&gt;"",IFERROR(INDEX('1_INPUT'!$B$69:$E$89,MATCH($A20,'1_INPUT'!$E$69:$E$89,0),1),""),INDIRECT(ADDRESS(ROW()+1,COLUMN($AL$9),,,)))</f>
        <v>2</v>
      </c>
      <c r="AM20" s="428" t="str">
        <f ca="1">IF(AN20="","",MAX(INDIRECT(ADDRESS(9,COLUMN($AM$9),,,)):INDIRECT(ADDRESS(ROW()-1,COLUMN($AM$9),,,)))+1)</f>
        <v/>
      </c>
      <c r="AN20" s="429" t="str">
        <f>IF($AO20&lt;&gt;"",VLOOKUP($AK20,'1_INPUT'!$B$124:$D$136,2,FALSE),"")</f>
        <v/>
      </c>
      <c r="AO20" s="429" t="str">
        <f t="shared" si="10"/>
        <v/>
      </c>
      <c r="AP20" s="427">
        <f ca="1">SUMIF($AL$10:AL20,$AL20,$I$10:I20)</f>
        <v>4</v>
      </c>
      <c r="AR20" s="430" t="str">
        <f t="shared" ca="1" si="5"/>
        <v>WORKOVER SECTION</v>
      </c>
      <c r="AS20" s="430">
        <f ca="1">MATCH(AR20,'1_INPUT'!$V$43:$V$64,0)+1</f>
        <v>6</v>
      </c>
      <c r="AT20" s="430">
        <f ca="1">VLOOKUP(AR20,'1_INPUT'!$V$43:$W$64,2,FALSE)</f>
        <v>21</v>
      </c>
      <c r="AU20" s="430">
        <f ca="1">COUNTIF('1_INPUT'!$W$43:$W$64,AT20)-1</f>
        <v>5</v>
      </c>
      <c r="AV20" s="430" t="e">
        <f ca="1">OFFSET('1_INPUT'!$V$42,$AS20,,$AU20,)</f>
        <v>#VALUE!</v>
      </c>
      <c r="AX20" s="430" t="str">
        <f t="shared" si="27"/>
        <v/>
      </c>
      <c r="CK20" s="9"/>
      <c r="CL20" s="9"/>
    </row>
    <row r="21" spans="1:90" ht="27.6">
      <c r="A21" s="205"/>
      <c r="B21" s="516"/>
      <c r="C21" s="208">
        <f ca="1">IF(D21&lt;&gt;"",MAX($C$9:C20)+1,"")</f>
        <v>8</v>
      </c>
      <c r="D21" s="523" t="s">
        <v>584</v>
      </c>
      <c r="E21" s="406"/>
      <c r="F21" s="407">
        <v>2</v>
      </c>
      <c r="G21" s="209">
        <f t="shared" ca="1" si="18"/>
        <v>20</v>
      </c>
      <c r="H21" s="209">
        <f t="shared" si="11"/>
        <v>8.3333333333333329E-2</v>
      </c>
      <c r="I21" s="209">
        <f t="shared" ca="1" si="19"/>
        <v>0.83333333333333326</v>
      </c>
      <c r="J21" s="540">
        <v>1112</v>
      </c>
      <c r="K21" s="188"/>
      <c r="L21" s="525"/>
      <c r="M21" s="400"/>
      <c r="N21" s="407"/>
      <c r="O21" s="95">
        <f t="shared" ca="1" si="20"/>
        <v>9</v>
      </c>
      <c r="P21" s="403">
        <v>1814.13</v>
      </c>
      <c r="Q21" s="116">
        <f>IF(N21&gt;0,VLOOKUP(M21,'3_TIME SUM'!$F$7:$G$128,2,FALSE),0)</f>
        <v>0</v>
      </c>
      <c r="R21" s="517"/>
      <c r="S21" s="94">
        <f t="shared" si="12"/>
        <v>0</v>
      </c>
      <c r="T21" s="94">
        <f t="shared" ca="1" si="21"/>
        <v>0.375</v>
      </c>
      <c r="U21" s="535">
        <f ca="1">$T21+'1_INPUT'!$E$18</f>
        <v>44944.166666666664</v>
      </c>
      <c r="V21" s="95">
        <f t="shared" ca="1" si="22"/>
        <v>10.999999999999998</v>
      </c>
      <c r="W21" s="110">
        <f t="shared" ca="1" si="23"/>
        <v>0.45833333333333331</v>
      </c>
      <c r="X21" s="111">
        <f t="shared" ca="1" si="24"/>
        <v>44945</v>
      </c>
      <c r="Y21" s="112" t="str">
        <f ca="1">IFERROR(IF(SUMIFS($N$9:$N21,$X$9:$X21,ROUNDUP(VALUE(U21),0),$Q$9:$Q21,"npt")=0,"-",SUMIFS($N$9:$N21,$X$9:$X21,ROUNDUP(VALUE(U21),0),$Q$9:$Q21,"npt")/SUMIFS($N$9:$N21,$X$9:$X21,ROUNDUP(VALUE(U21),0))),"")</f>
        <v>-</v>
      </c>
      <c r="Z21" s="112" t="str">
        <f>IFERROR(IF($N21=0,"-",SUMIF($Q$11:$Q21,"npt",$N$11:$N21)/(T21*24)),"")</f>
        <v>-</v>
      </c>
      <c r="AA21" s="491"/>
      <c r="AB21" s="491"/>
      <c r="AC21" s="398" t="s">
        <v>224</v>
      </c>
      <c r="AD21" s="427">
        <f t="shared" ca="1" si="9"/>
        <v>0.83333333333333326</v>
      </c>
      <c r="AE21" s="427">
        <f t="shared" ca="1" si="0"/>
        <v>1112</v>
      </c>
      <c r="AF21" s="427">
        <f t="shared" ca="1" si="25"/>
        <v>0.375</v>
      </c>
      <c r="AG21" s="427">
        <f t="shared" ca="1" si="2"/>
        <v>1814.13</v>
      </c>
      <c r="AH21" s="493"/>
      <c r="AI21" s="427">
        <f t="shared" ca="1" si="3"/>
        <v>0</v>
      </c>
      <c r="AJ21" s="493"/>
      <c r="AK21" s="428">
        <f t="shared" ca="1" si="26"/>
        <v>2</v>
      </c>
      <c r="AL21" s="428">
        <f ca="1">IF(A21&lt;&gt;"",IFERROR(INDEX('1_INPUT'!$B$69:$E$89,MATCH($A21,'1_INPUT'!$E$69:$E$89,0),1),""),INDIRECT(ADDRESS(ROW()+1,COLUMN($AL$9),,,)))</f>
        <v>2</v>
      </c>
      <c r="AM21" s="428" t="str">
        <f ca="1">IF(AN21="","",MAX(INDIRECT(ADDRESS(9,COLUMN($AM$9),,,)):INDIRECT(ADDRESS(ROW()-1,COLUMN($AM$9),,,)))+1)</f>
        <v/>
      </c>
      <c r="AN21" s="429" t="str">
        <f>IF($AO21&lt;&gt;"",VLOOKUP($AK21,'1_INPUT'!$B$124:$D$136,2,FALSE),"")</f>
        <v/>
      </c>
      <c r="AO21" s="429" t="str">
        <f t="shared" si="10"/>
        <v/>
      </c>
      <c r="AP21" s="427">
        <f ca="1">SUMIF($AL$10:AL21,$AL21,$I$10:I21)</f>
        <v>4.833333333333333</v>
      </c>
      <c r="AR21" s="430" t="str">
        <f t="shared" ca="1" si="5"/>
        <v>WORKOVER SECTION</v>
      </c>
      <c r="AS21" s="430">
        <f ca="1">MATCH(AR21,'1_INPUT'!$V$43:$V$64,0)+1</f>
        <v>6</v>
      </c>
      <c r="AT21" s="430">
        <f ca="1">VLOOKUP(AR21,'1_INPUT'!$V$43:$W$64,2,FALSE)</f>
        <v>21</v>
      </c>
      <c r="AU21" s="430">
        <f ca="1">COUNTIF('1_INPUT'!$W$43:$W$64,AT21)-1</f>
        <v>5</v>
      </c>
      <c r="AV21" s="430" t="e">
        <f ca="1">OFFSET('1_INPUT'!$V$42,$AS21,,$AU21,)</f>
        <v>#VALUE!</v>
      </c>
      <c r="AX21" s="430" t="str">
        <f t="shared" si="27"/>
        <v/>
      </c>
      <c r="CK21" s="9"/>
      <c r="CL21" s="9"/>
    </row>
    <row r="22" spans="1:90" ht="41.4">
      <c r="A22" s="205"/>
      <c r="B22" s="516"/>
      <c r="C22" s="208">
        <f ca="1">IF(D22&lt;&gt;"",MAX($C$9:C21)+1,"")</f>
        <v>9</v>
      </c>
      <c r="D22" s="523" t="s">
        <v>585</v>
      </c>
      <c r="E22" s="406"/>
      <c r="F22" s="407">
        <v>4.5</v>
      </c>
      <c r="G22" s="209">
        <f t="shared" ref="G22:G137" ca="1" si="48">IF(INDIRECT(ADDRESS(ROW()-1,COLUMN(B$7),,,))&lt;&gt;"",INDIRECT(ADDRESS(ROW(),COLUMN(F$7),,,)),INDIRECT(ADDRESS(ROW()-1,COLUMN(G$7),,,))+INDIRECT(ADDRESS(ROW(),COLUMN(F$7),,,)))</f>
        <v>24.5</v>
      </c>
      <c r="H22" s="209">
        <f t="shared" si="11"/>
        <v>0.1875</v>
      </c>
      <c r="I22" s="209">
        <f t="shared" ref="I22:I137" ca="1" si="49">INDIRECT(ADDRESS(ROW()-1,COLUMN(I$7),,,))+INDIRECT(ADDRESS(ROW(),COLUMN(H$7),,,))</f>
        <v>1.0208333333333333</v>
      </c>
      <c r="J22" s="540">
        <v>1112</v>
      </c>
      <c r="K22" s="188"/>
      <c r="L22" s="525" t="s">
        <v>640</v>
      </c>
      <c r="M22" s="400" t="s">
        <v>124</v>
      </c>
      <c r="N22" s="407">
        <v>1</v>
      </c>
      <c r="O22" s="95">
        <f t="shared" ref="O22:O137" ca="1" si="50">IF(INDIRECT(ADDRESS(ROW()-1,COLUMN(B$7),,,))&lt;&gt;"",INDIRECT(ADDRESS(ROW(),COLUMN(N$7),,,)),INDIRECT(ADDRESS(ROW()-1,COLUMN(O$7),,,))+INDIRECT(ADDRESS(ROW(),COLUMN(N$7),,,)))</f>
        <v>10</v>
      </c>
      <c r="P22" s="403">
        <v>1814.13</v>
      </c>
      <c r="Q22" s="116">
        <f>IF(N22&gt;0,VLOOKUP(M22,'3_TIME SUM'!$F$7:$G$128,2,FALSE),0)</f>
        <v>0</v>
      </c>
      <c r="R22" s="517"/>
      <c r="S22" s="94">
        <f t="shared" si="12"/>
        <v>4.1666666666666664E-2</v>
      </c>
      <c r="T22" s="94">
        <f t="shared" ref="T22:T137" ca="1" si="51">INDIRECT(ADDRESS(ROW()-1,COLUMN(T$7),,,))+INDIRECT(ADDRESS(ROW(),COLUMN(S$7),,,))</f>
        <v>0.41666666666666669</v>
      </c>
      <c r="U22" s="535">
        <f ca="1">$T22+'1_INPUT'!$E$18</f>
        <v>44944.208333333328</v>
      </c>
      <c r="V22" s="95">
        <f t="shared" ca="1" si="7"/>
        <v>14.499999999999996</v>
      </c>
      <c r="W22" s="110">
        <f t="shared" ca="1" si="8"/>
        <v>0.60416666666666663</v>
      </c>
      <c r="X22" s="111">
        <f t="shared" ref="X22:X137" ca="1" si="52">IF(U22=0,"-",ROUNDUP(VALUE(U22),0))</f>
        <v>44945</v>
      </c>
      <c r="Y22" s="112" t="str">
        <f ca="1">IFERROR(IF(SUMIFS($N$9:$N22,$X$9:$X22,ROUNDUP(VALUE(U22),0),$Q$9:$Q22,"npt")=0,"-",SUMIFS($N$9:$N22,$X$9:$X22,ROUNDUP(VALUE(U22),0),$Q$9:$Q22,"npt")/SUMIFS($N$9:$N22,$X$9:$X22,ROUNDUP(VALUE(U22),0))),"")</f>
        <v>-</v>
      </c>
      <c r="Z22" s="112">
        <f ca="1">IFERROR(IF($N22=0,"-",SUMIF($Q$11:$Q22,"npt",$N$11:$N22)/(T22*24)),"")</f>
        <v>0</v>
      </c>
      <c r="AA22" s="491"/>
      <c r="AB22" s="491"/>
      <c r="AC22" s="398" t="s">
        <v>224</v>
      </c>
      <c r="AD22" s="427">
        <f t="shared" ca="1" si="9"/>
        <v>1.0208333333333333</v>
      </c>
      <c r="AE22" s="427">
        <f t="shared" ca="1" si="0"/>
        <v>1112</v>
      </c>
      <c r="AF22" s="427">
        <f t="shared" ca="1" si="1"/>
        <v>0.41666666666666669</v>
      </c>
      <c r="AG22" s="427">
        <f t="shared" ca="1" si="2"/>
        <v>1814.13</v>
      </c>
      <c r="AH22" s="493"/>
      <c r="AI22" s="427">
        <f t="shared" ca="1" si="3"/>
        <v>0</v>
      </c>
      <c r="AJ22" s="493"/>
      <c r="AK22" s="428">
        <f t="shared" ca="1" si="4"/>
        <v>2</v>
      </c>
      <c r="AL22" s="428">
        <f ca="1">IF(A22&lt;&gt;"",IFERROR(INDEX('1_INPUT'!$B$69:$E$89,MATCH($A22,'1_INPUT'!$E$69:$E$89,0),1),""),INDIRECT(ADDRESS(ROW()+1,COLUMN($AL$9),,,)))</f>
        <v>2</v>
      </c>
      <c r="AM22" s="428" t="str">
        <f ca="1">IF(AN22="","",MAX(INDIRECT(ADDRESS(9,COLUMN($AM$9),,,)):INDIRECT(ADDRESS(ROW()-1,COLUMN($AM$9),,,)))+1)</f>
        <v/>
      </c>
      <c r="AN22" s="429" t="str">
        <f>IF($AO22&lt;&gt;"",VLOOKUP($AK22,'1_INPUT'!$B$124:$D$136,2,FALSE),"")</f>
        <v/>
      </c>
      <c r="AO22" s="429" t="str">
        <f t="shared" si="10"/>
        <v/>
      </c>
      <c r="AP22" s="427">
        <f ca="1">SUMIF($AL$10:AL22,$AL22,$I$10:I22)</f>
        <v>5.8541666666666661</v>
      </c>
      <c r="AR22" s="430" t="str">
        <f t="shared" ca="1" si="5"/>
        <v>WORKOVER SECTION</v>
      </c>
      <c r="AS22" s="430">
        <f ca="1">MATCH(AR22,'1_INPUT'!$V$43:$V$64,0)+1</f>
        <v>6</v>
      </c>
      <c r="AT22" s="430">
        <f ca="1">VLOOKUP(AR22,'1_INPUT'!$V$43:$W$64,2,FALSE)</f>
        <v>21</v>
      </c>
      <c r="AU22" s="430">
        <f ca="1">COUNTIF('1_INPUT'!$W$43:$W$64,AT22)-1</f>
        <v>5</v>
      </c>
      <c r="AV22" s="430" t="e">
        <f ca="1">OFFSET('1_INPUT'!$V$42,$AS22,,$AU22,)</f>
        <v>#VALUE!</v>
      </c>
      <c r="AX22" s="430" t="str">
        <f t="shared" si="6"/>
        <v/>
      </c>
      <c r="CK22" s="9"/>
      <c r="CL22" s="9"/>
    </row>
    <row r="23" spans="1:90" ht="73.5" customHeight="1">
      <c r="A23" s="205"/>
      <c r="B23" s="516"/>
      <c r="C23" s="208" t="str">
        <f>IF(D23&lt;&gt;"",MAX($C$9:C22)+1,"")</f>
        <v/>
      </c>
      <c r="D23" s="523"/>
      <c r="E23" s="406"/>
      <c r="F23" s="407"/>
      <c r="G23" s="209">
        <f t="shared" ref="G23" ca="1" si="53">IF(INDIRECT(ADDRESS(ROW()-1,COLUMN(B$7),,,))&lt;&gt;"",INDIRECT(ADDRESS(ROW(),COLUMN(F$7),,,)),INDIRECT(ADDRESS(ROW()-1,COLUMN(G$7),,,))+INDIRECT(ADDRESS(ROW(),COLUMN(F$7),,,)))</f>
        <v>24.5</v>
      </c>
      <c r="H23" s="209">
        <f t="shared" si="11"/>
        <v>0</v>
      </c>
      <c r="I23" s="209">
        <f t="shared" ref="I23" ca="1" si="54">INDIRECT(ADDRESS(ROW()-1,COLUMN(I$7),,,))+INDIRECT(ADDRESS(ROW(),COLUMN(H$7),,,))</f>
        <v>1.0208333333333333</v>
      </c>
      <c r="J23" s="540">
        <v>1112</v>
      </c>
      <c r="K23" s="188"/>
      <c r="L23" s="525" t="s">
        <v>643</v>
      </c>
      <c r="M23" s="400" t="s">
        <v>553</v>
      </c>
      <c r="N23" s="407">
        <v>12.5</v>
      </c>
      <c r="O23" s="95">
        <f t="shared" ref="O23" ca="1" si="55">IF(INDIRECT(ADDRESS(ROW()-1,COLUMN(B$7),,,))&lt;&gt;"",INDIRECT(ADDRESS(ROW(),COLUMN(N$7),,,)),INDIRECT(ADDRESS(ROW()-1,COLUMN(O$7),,,))+INDIRECT(ADDRESS(ROW(),COLUMN(N$7),,,)))</f>
        <v>22.5</v>
      </c>
      <c r="P23" s="403">
        <v>1814.13</v>
      </c>
      <c r="Q23" s="116">
        <f>IF(N23&gt;0,VLOOKUP(M23,'3_TIME SUM'!$F$7:$G$128,2,FALSE),0)</f>
        <v>0</v>
      </c>
      <c r="R23" s="517"/>
      <c r="S23" s="94">
        <f t="shared" si="12"/>
        <v>0.52083333333333337</v>
      </c>
      <c r="T23" s="94">
        <f t="shared" ref="T23" ca="1" si="56">INDIRECT(ADDRESS(ROW()-1,COLUMN(T$7),,,))+INDIRECT(ADDRESS(ROW(),COLUMN(S$7),,,))</f>
        <v>0.9375</v>
      </c>
      <c r="U23" s="535">
        <f ca="1">$T23+'1_INPUT'!$E$18</f>
        <v>44944.729166666664</v>
      </c>
      <c r="V23" s="95">
        <f t="shared" ref="V23" ca="1" si="57">IFERROR(IF($AI23=0,($I23-T23)*24,(($P23-INDIRECT(ADDRESS(ROW()-1,COLUMN($P$9),,,)))/$AI23)-$N23+(INDIRECT(ADDRESS(ROW()-1,COLUMN(V$9),,,)))),"")</f>
        <v>1.9999999999999982</v>
      </c>
      <c r="W23" s="110">
        <f t="shared" ref="W23" ca="1" si="58">IFERROR(IF(V23&gt;0,TIME(V23,(V23-ROUNDDOWN(V23,0))*60,0)+DAY((ROUNDDOWN(V23,0)/24)),TIME((-V23),((-V23)-ROUNDDOWN((-V23),0))*60,0)+DAY((ROUNDDOWN((-V23),0)/24))),"")</f>
        <v>8.3333333333333329E-2</v>
      </c>
      <c r="X23" s="111">
        <f t="shared" ref="X23" ca="1" si="59">IF(U23=0,"-",ROUNDUP(VALUE(U23),0))</f>
        <v>44945</v>
      </c>
      <c r="Y23" s="112" t="str">
        <f ca="1">IFERROR(IF(SUMIFS($N$9:$N23,$X$9:$X23,ROUNDUP(VALUE(U23),0),$Q$9:$Q23,"npt")=0,"-",SUMIFS($N$9:$N23,$X$9:$X23,ROUNDUP(VALUE(U23),0),$Q$9:$Q23,"npt")/SUMIFS($N$9:$N23,$X$9:$X23,ROUNDUP(VALUE(U23),0))),"")</f>
        <v>-</v>
      </c>
      <c r="Z23" s="112">
        <f ca="1">IFERROR(IF($N23=0,"-",SUMIF($Q$11:$Q23,"npt",$N$11:$N23)/(T23*24)),"")</f>
        <v>0</v>
      </c>
      <c r="AA23" s="491"/>
      <c r="AB23" s="491"/>
      <c r="AC23" s="398" t="s">
        <v>224</v>
      </c>
      <c r="AD23" s="427">
        <f t="shared" ca="1" si="9"/>
        <v>1.0208333333333333</v>
      </c>
      <c r="AE23" s="427">
        <f t="shared" ca="1" si="0"/>
        <v>1112</v>
      </c>
      <c r="AF23" s="427">
        <f t="shared" ref="AF23" ca="1" si="60">T23</f>
        <v>0.9375</v>
      </c>
      <c r="AG23" s="427">
        <f t="shared" ca="1" si="2"/>
        <v>1814.13</v>
      </c>
      <c r="AH23" s="493"/>
      <c r="AI23" s="427">
        <f t="shared" ca="1" si="3"/>
        <v>0</v>
      </c>
      <c r="AJ23" s="493"/>
      <c r="AK23" s="428">
        <f t="shared" ref="AK23" ca="1" si="61">IF(B23&lt;&gt;"",B23,INDIRECT(ADDRESS(ROW()+1,COLUMN($AK$9),,,)))</f>
        <v>2</v>
      </c>
      <c r="AL23" s="428">
        <f ca="1">IF(A23&lt;&gt;"",IFERROR(INDEX('1_INPUT'!$B$69:$E$89,MATCH($A23,'1_INPUT'!$E$69:$E$89,0),1),""),INDIRECT(ADDRESS(ROW()+1,COLUMN($AL$9),,,)))</f>
        <v>2</v>
      </c>
      <c r="AM23" s="428" t="str">
        <f ca="1">IF(AN23="","",MAX(INDIRECT(ADDRESS(9,COLUMN($AM$9),,,)):INDIRECT(ADDRESS(ROW()-1,COLUMN($AM$9),,,)))+1)</f>
        <v/>
      </c>
      <c r="AN23" s="429" t="str">
        <f>IF($AO23&lt;&gt;"",VLOOKUP($AK23,'1_INPUT'!$B$124:$D$136,2,FALSE),"")</f>
        <v/>
      </c>
      <c r="AO23" s="429" t="str">
        <f t="shared" si="10"/>
        <v/>
      </c>
      <c r="AP23" s="427">
        <f ca="1">SUMIF($AL$10:AL23,$AL23,$I$10:I23)</f>
        <v>6.8749999999999991</v>
      </c>
      <c r="AR23" s="430" t="str">
        <f t="shared" ca="1" si="5"/>
        <v>WORKOVER SECTION</v>
      </c>
      <c r="AS23" s="430">
        <f ca="1">MATCH(AR23,'1_INPUT'!$V$43:$V$64,0)+1</f>
        <v>6</v>
      </c>
      <c r="AT23" s="430">
        <f ca="1">VLOOKUP(AR23,'1_INPUT'!$V$43:$W$64,2,FALSE)</f>
        <v>21</v>
      </c>
      <c r="AU23" s="430">
        <f ca="1">COUNTIF('1_INPUT'!$W$43:$W$64,AT23)-1</f>
        <v>5</v>
      </c>
      <c r="AV23" s="430" t="e">
        <f ca="1">OFFSET('1_INPUT'!$V$42,$AS23,,$AU23,)</f>
        <v>#VALUE!</v>
      </c>
      <c r="AX23" s="430" t="str">
        <f t="shared" ref="AX23" si="62">IF(A23&lt;&gt;"",""&amp;AR23&amp;"-"&amp;A23&amp;"","")</f>
        <v/>
      </c>
      <c r="CK23" s="9"/>
      <c r="CL23" s="9"/>
    </row>
    <row r="24" spans="1:90" ht="303.60000000000002">
      <c r="A24" s="205" t="s">
        <v>341</v>
      </c>
      <c r="B24" s="516"/>
      <c r="C24" s="208" t="str">
        <f>IF(D24&lt;&gt;"",MAX($C$9:C23)+1,"")</f>
        <v/>
      </c>
      <c r="D24" s="523"/>
      <c r="E24" s="406"/>
      <c r="F24" s="407"/>
      <c r="G24" s="209">
        <f t="shared" ref="G24" ca="1" si="63">IF(INDIRECT(ADDRESS(ROW()-1,COLUMN(B$7),,,))&lt;&gt;"",INDIRECT(ADDRESS(ROW(),COLUMN(F$7),,,)),INDIRECT(ADDRESS(ROW()-1,COLUMN(G$7),,,))+INDIRECT(ADDRESS(ROW(),COLUMN(F$7),,,)))</f>
        <v>24.5</v>
      </c>
      <c r="H24" s="209">
        <f t="shared" si="11"/>
        <v>0</v>
      </c>
      <c r="I24" s="209">
        <f t="shared" ref="I24" ca="1" si="64">INDIRECT(ADDRESS(ROW()-1,COLUMN(I$7),,,))+INDIRECT(ADDRESS(ROW(),COLUMN(H$7),,,))</f>
        <v>1.0208333333333333</v>
      </c>
      <c r="J24" s="540">
        <v>1112</v>
      </c>
      <c r="K24" s="188"/>
      <c r="L24" s="525" t="s">
        <v>644</v>
      </c>
      <c r="M24" s="400" t="s">
        <v>553</v>
      </c>
      <c r="N24" s="407">
        <v>5.5</v>
      </c>
      <c r="O24" s="95">
        <f t="shared" ref="O24" ca="1" si="65">IF(INDIRECT(ADDRESS(ROW()-1,COLUMN(B$7),,,))&lt;&gt;"",INDIRECT(ADDRESS(ROW(),COLUMN(N$7),,,)),INDIRECT(ADDRESS(ROW()-1,COLUMN(O$7),,,))+INDIRECT(ADDRESS(ROW(),COLUMN(N$7),,,)))</f>
        <v>28</v>
      </c>
      <c r="P24" s="403">
        <v>1814.13</v>
      </c>
      <c r="Q24" s="116">
        <f>IF(N24&gt;0,VLOOKUP(M24,'3_TIME SUM'!$F$7:$G$128,2,FALSE),0)</f>
        <v>0</v>
      </c>
      <c r="R24" s="517"/>
      <c r="S24" s="94">
        <f t="shared" si="12"/>
        <v>0.22916666666666666</v>
      </c>
      <c r="T24" s="94">
        <f t="shared" ref="T24" ca="1" si="66">INDIRECT(ADDRESS(ROW()-1,COLUMN(T$7),,,))+INDIRECT(ADDRESS(ROW(),COLUMN(S$7),,,))</f>
        <v>1.1666666666666667</v>
      </c>
      <c r="U24" s="535">
        <f ca="1">$T24+'1_INPUT'!$E$18</f>
        <v>44944.958333333328</v>
      </c>
      <c r="V24" s="95">
        <f t="shared" ref="V24" ca="1" si="67">IFERROR(IF($AI24=0,($I24-T24)*24,(($P24-INDIRECT(ADDRESS(ROW()-1,COLUMN($P$9),,,)))/$AI24)-$N24+(INDIRECT(ADDRESS(ROW()-1,COLUMN(V$9),,,)))),"")</f>
        <v>-3.5000000000000036</v>
      </c>
      <c r="W24" s="110">
        <f t="shared" ref="W24" ca="1" si="68">IFERROR(IF(V24&gt;0,TIME(V24,(V24-ROUNDDOWN(V24,0))*60,0)+DAY((ROUNDDOWN(V24,0)/24)),TIME((-V24),((-V24)-ROUNDDOWN((-V24),0))*60,0)+DAY((ROUNDDOWN((-V24),0)/24))),"")</f>
        <v>0.14583333333333334</v>
      </c>
      <c r="X24" s="111">
        <f t="shared" ref="X24" ca="1" si="69">IF(U24=0,"-",ROUNDUP(VALUE(U24),0))</f>
        <v>44945</v>
      </c>
      <c r="Y24" s="112" t="str">
        <f ca="1">IFERROR(IF(SUMIFS($N$9:$N24,$X$9:$X24,ROUNDUP(VALUE(U24),0),$Q$9:$Q24,"npt")=0,"-",SUMIFS($N$9:$N24,$X$9:$X24,ROUNDUP(VALUE(U24),0),$Q$9:$Q24,"npt")/SUMIFS($N$9:$N24,$X$9:$X24,ROUNDUP(VALUE(U24),0))),"")</f>
        <v>-</v>
      </c>
      <c r="Z24" s="112">
        <f ca="1">IFERROR(IF($N24=0,"-",SUMIF($Q$11:$Q24,"npt",$N$11:$N24)/(T24*24)),"")</f>
        <v>0</v>
      </c>
      <c r="AA24" s="491"/>
      <c r="AB24" s="491"/>
      <c r="AC24" s="398" t="s">
        <v>224</v>
      </c>
      <c r="AD24" s="427">
        <f t="shared" ca="1" si="9"/>
        <v>1.0208333333333333</v>
      </c>
      <c r="AE24" s="427">
        <f t="shared" ca="1" si="0"/>
        <v>1112</v>
      </c>
      <c r="AF24" s="427">
        <f t="shared" ref="AF24" ca="1" si="70">T24</f>
        <v>1.1666666666666667</v>
      </c>
      <c r="AG24" s="427">
        <f t="shared" ca="1" si="2"/>
        <v>1814.13</v>
      </c>
      <c r="AH24" s="493"/>
      <c r="AI24" s="427">
        <f t="shared" ca="1" si="3"/>
        <v>0</v>
      </c>
      <c r="AJ24" s="493"/>
      <c r="AK24" s="428">
        <f t="shared" ref="AK24" ca="1" si="71">IF(B24&lt;&gt;"",B24,INDIRECT(ADDRESS(ROW()+1,COLUMN($AK$9),,,)))</f>
        <v>2</v>
      </c>
      <c r="AL24" s="428">
        <f ca="1">IF(A24&lt;&gt;"",IFERROR(INDEX('1_INPUT'!$B$69:$E$89,MATCH($A24,'1_INPUT'!$E$69:$E$89,0),1),""),INDIRECT(ADDRESS(ROW()+1,COLUMN($AL$9),,,)))</f>
        <v>2</v>
      </c>
      <c r="AM24" s="428">
        <f ca="1">IF(AN24="","",MAX(INDIRECT(ADDRESS(9,COLUMN($AM$9),,,)):INDIRECT(ADDRESS(ROW()-1,COLUMN($AM$9),,,)))+1)</f>
        <v>2</v>
      </c>
      <c r="AN24" s="429" t="str">
        <f ca="1">IF($AO24&lt;&gt;"",VLOOKUP($AK24,'1_INPUT'!$B$124:$D$136,2,FALSE),"")</f>
        <v>WORKOVER SECTION</v>
      </c>
      <c r="AO24" s="429" t="str">
        <f t="shared" si="10"/>
        <v>PreSPUD</v>
      </c>
      <c r="AP24" s="427">
        <f ca="1">SUMIF($AL$10:AL24,$AL24,$I$10:I24)</f>
        <v>7.8958333333333321</v>
      </c>
      <c r="AR24" s="430" t="str">
        <f t="shared" ca="1" si="5"/>
        <v>WORKOVER SECTION</v>
      </c>
      <c r="AS24" s="430">
        <f ca="1">MATCH(AR24,'1_INPUT'!$V$43:$V$64,0)+1</f>
        <v>6</v>
      </c>
      <c r="AT24" s="430">
        <f ca="1">VLOOKUP(AR24,'1_INPUT'!$V$43:$W$64,2,FALSE)</f>
        <v>21</v>
      </c>
      <c r="AU24" s="430">
        <f ca="1">COUNTIF('1_INPUT'!$W$43:$W$64,AT24)-1</f>
        <v>5</v>
      </c>
      <c r="AV24" s="430" t="e">
        <f ca="1">OFFSET('1_INPUT'!$V$42,$AS24,,$AU24,)</f>
        <v>#VALUE!</v>
      </c>
      <c r="AX24" s="430" t="str">
        <f t="shared" ref="AX24" ca="1" si="72">IF(A24&lt;&gt;"",""&amp;AR24&amp;"-"&amp;A24&amp;"","")</f>
        <v>WORKOVER SECTION-PreSPUD</v>
      </c>
      <c r="CK24" s="9"/>
      <c r="CL24" s="9"/>
    </row>
    <row r="25" spans="1:90" ht="27.6">
      <c r="A25" s="205"/>
      <c r="B25" s="516"/>
      <c r="C25" s="208">
        <f ca="1">IF(D25&lt;&gt;"",MAX($C$9:C22)+1,"")</f>
        <v>10</v>
      </c>
      <c r="D25" s="523" t="s">
        <v>605</v>
      </c>
      <c r="E25" s="406"/>
      <c r="F25" s="407">
        <v>7</v>
      </c>
      <c r="G25" s="209">
        <f t="shared" ca="1" si="48"/>
        <v>31.5</v>
      </c>
      <c r="H25" s="209">
        <f t="shared" si="11"/>
        <v>0.29166666666666669</v>
      </c>
      <c r="I25" s="209">
        <f t="shared" ca="1" si="49"/>
        <v>1.3125</v>
      </c>
      <c r="J25" s="540">
        <v>1112</v>
      </c>
      <c r="K25" s="188"/>
      <c r="L25" s="525" t="s">
        <v>645</v>
      </c>
      <c r="M25" s="400" t="s">
        <v>146</v>
      </c>
      <c r="N25" s="407">
        <v>1</v>
      </c>
      <c r="O25" s="95">
        <f t="shared" ca="1" si="50"/>
        <v>29</v>
      </c>
      <c r="P25" s="403">
        <v>1814.13</v>
      </c>
      <c r="Q25" s="116">
        <f>IF(N25&gt;0,VLOOKUP(M25,'3_TIME SUM'!$F$7:$G$128,2,FALSE),0)</f>
        <v>0</v>
      </c>
      <c r="R25" s="517"/>
      <c r="S25" s="94">
        <f t="shared" si="12"/>
        <v>4.1666666666666664E-2</v>
      </c>
      <c r="T25" s="94">
        <f t="shared" ca="1" si="51"/>
        <v>1.2083333333333335</v>
      </c>
      <c r="U25" s="539">
        <f ca="1">$T25+'1_INPUT'!$E$18</f>
        <v>44945</v>
      </c>
      <c r="V25" s="95">
        <f t="shared" ref="V25" ca="1" si="73">IFERROR(IF($AI25=0,($I25-T25)*24,(($P25-INDIRECT(ADDRESS(ROW()-1,COLUMN($P$9),,,)))/$AI25)-$N25+(INDIRECT(ADDRESS(ROW()-1,COLUMN(V$9),,,)))),"")</f>
        <v>2.4999999999999964</v>
      </c>
      <c r="W25" s="110">
        <f t="shared" ref="W25" ca="1" si="74">IFERROR(IF(V25&gt;0,TIME(V25,(V25-ROUNDDOWN(V25,0))*60,0)+DAY((ROUNDDOWN(V25,0)/24)),TIME((-V25),((-V25)-ROUNDDOWN((-V25),0))*60,0)+DAY((ROUNDDOWN((-V25),0)/24))),"")</f>
        <v>0.10416666666666667</v>
      </c>
      <c r="X25" s="111">
        <f t="shared" ca="1" si="52"/>
        <v>44945</v>
      </c>
      <c r="Y25" s="112" t="str">
        <f ca="1">IFERROR(IF(SUMIFS($N$9:$N25,$X$9:$X25,ROUNDUP(VALUE(U25),0),$Q$9:$Q25,"npt")=0,"-",SUMIFS($N$9:$N25,$X$9:$X25,ROUNDUP(VALUE(U25),0),$Q$9:$Q25,"npt")/SUMIFS($N$9:$N25,$X$9:$X25,ROUNDUP(VALUE(U25),0))),"")</f>
        <v>-</v>
      </c>
      <c r="Z25" s="112">
        <f ca="1">IFERROR(IF($N25=0,"-",SUMIF($Q$11:$Q25,"npt",$N$11:$N25)/(T25*24)),"")</f>
        <v>0</v>
      </c>
      <c r="AA25" s="491"/>
      <c r="AB25" s="491"/>
      <c r="AC25" s="398" t="s">
        <v>224</v>
      </c>
      <c r="AD25" s="427">
        <f t="shared" ca="1" si="9"/>
        <v>1.3125</v>
      </c>
      <c r="AE25" s="427">
        <f t="shared" ca="1" si="0"/>
        <v>1112</v>
      </c>
      <c r="AF25" s="427">
        <f t="shared" ref="AF25" ca="1" si="75">T25</f>
        <v>1.2083333333333335</v>
      </c>
      <c r="AG25" s="427">
        <f t="shared" ca="1" si="2"/>
        <v>1814.13</v>
      </c>
      <c r="AH25" s="493"/>
      <c r="AI25" s="427">
        <f t="shared" ca="1" si="3"/>
        <v>0</v>
      </c>
      <c r="AJ25" s="493"/>
      <c r="AK25" s="428">
        <f t="shared" ref="AK25" ca="1" si="76">IF(B25&lt;&gt;"",B25,INDIRECT(ADDRESS(ROW()+1,COLUMN($AK$9),,,)))</f>
        <v>2</v>
      </c>
      <c r="AL25" s="428">
        <f ca="1">IF(A25&lt;&gt;"",IFERROR(INDEX('1_INPUT'!$B$69:$E$89,MATCH($A25,'1_INPUT'!$E$69:$E$89,0),1),""),INDIRECT(ADDRESS(ROW()+1,COLUMN($AL$9),,,)))</f>
        <v>3</v>
      </c>
      <c r="AM25" s="428" t="str">
        <f ca="1">IF(AN25="","",MAX(INDIRECT(ADDRESS(9,COLUMN($AM$9),,,)):INDIRECT(ADDRESS(ROW()-1,COLUMN($AM$9),,,)))+1)</f>
        <v/>
      </c>
      <c r="AN25" s="429" t="str">
        <f>IF($AO25&lt;&gt;"",VLOOKUP($AK25,'1_INPUT'!$B$124:$D$136,2,FALSE),"")</f>
        <v/>
      </c>
      <c r="AO25" s="429" t="str">
        <f t="shared" si="10"/>
        <v/>
      </c>
      <c r="AP25" s="427">
        <f ca="1">SUMIF($AL$10:AL25,$AL25,$I$10:I25)</f>
        <v>1.3125</v>
      </c>
      <c r="AR25" s="430" t="str">
        <f t="shared" ca="1" si="5"/>
        <v>WORKOVER SECTION</v>
      </c>
      <c r="AS25" s="430">
        <f ca="1">MATCH(AR25,'1_INPUT'!$V$43:$V$64,0)+1</f>
        <v>6</v>
      </c>
      <c r="AT25" s="430">
        <f ca="1">VLOOKUP(AR25,'1_INPUT'!$V$43:$W$64,2,FALSE)</f>
        <v>21</v>
      </c>
      <c r="AU25" s="430">
        <f ca="1">COUNTIF('1_INPUT'!$W$43:$W$64,AT25)-1</f>
        <v>5</v>
      </c>
      <c r="AV25" s="430" t="e">
        <f ca="1">OFFSET('1_INPUT'!$V$42,$AS25,,$AU25,)</f>
        <v>#VALUE!</v>
      </c>
      <c r="AX25" s="430" t="str">
        <f t="shared" ref="AX25" si="77">IF(A25&lt;&gt;"",""&amp;AR25&amp;"-"&amp;A25&amp;"","")</f>
        <v/>
      </c>
      <c r="CK25" s="9"/>
      <c r="CL25" s="9"/>
    </row>
    <row r="26" spans="1:90" ht="102.6" customHeight="1">
      <c r="A26" s="205"/>
      <c r="B26" s="516"/>
      <c r="C26" s="208" t="str">
        <f>IF(D26&lt;&gt;"",MAX($C$9:C23)+1,"")</f>
        <v/>
      </c>
      <c r="D26" s="523"/>
      <c r="E26" s="406"/>
      <c r="F26" s="407"/>
      <c r="G26" s="209">
        <f t="shared" ref="G26" ca="1" si="78">IF(INDIRECT(ADDRESS(ROW()-1,COLUMN(B$7),,,))&lt;&gt;"",INDIRECT(ADDRESS(ROW(),COLUMN(F$7),,,)),INDIRECT(ADDRESS(ROW()-1,COLUMN(G$7),,,))+INDIRECT(ADDRESS(ROW(),COLUMN(F$7),,,)))</f>
        <v>31.5</v>
      </c>
      <c r="H26" s="209">
        <f t="shared" si="11"/>
        <v>0</v>
      </c>
      <c r="I26" s="209">
        <f t="shared" ref="I26" ca="1" si="79">INDIRECT(ADDRESS(ROW()-1,COLUMN(I$7),,,))+INDIRECT(ADDRESS(ROW(),COLUMN(H$7),,,))</f>
        <v>1.3125</v>
      </c>
      <c r="J26" s="540">
        <v>1112</v>
      </c>
      <c r="K26" s="188"/>
      <c r="L26" s="525" t="s">
        <v>646</v>
      </c>
      <c r="M26" s="400" t="s">
        <v>146</v>
      </c>
      <c r="N26" s="407">
        <v>21.5</v>
      </c>
      <c r="O26" s="95">
        <f t="shared" ref="O26" ca="1" si="80">IF(INDIRECT(ADDRESS(ROW()-1,COLUMN(B$7),,,))&lt;&gt;"",INDIRECT(ADDRESS(ROW(),COLUMN(N$7),,,)),INDIRECT(ADDRESS(ROW()-1,COLUMN(O$7),,,))+INDIRECT(ADDRESS(ROW(),COLUMN(N$7),,,)))</f>
        <v>50.5</v>
      </c>
      <c r="P26" s="403">
        <v>2335.3000000000002</v>
      </c>
      <c r="Q26" s="116">
        <f>IF(N26&gt;0,VLOOKUP(M26,'3_TIME SUM'!$F$7:$G$128,2,FALSE),0)</f>
        <v>0</v>
      </c>
      <c r="R26" s="517"/>
      <c r="S26" s="94">
        <f t="shared" si="12"/>
        <v>0.89583333333333337</v>
      </c>
      <c r="T26" s="94">
        <f t="shared" ref="T26" ca="1" si="81">INDIRECT(ADDRESS(ROW()-1,COLUMN(T$7),,,))+INDIRECT(ADDRESS(ROW(),COLUMN(S$7),,,))</f>
        <v>2.104166666666667</v>
      </c>
      <c r="U26" s="535">
        <f ca="1">$T26+'1_INPUT'!$E$18</f>
        <v>44945.895833333328</v>
      </c>
      <c r="V26" s="95">
        <f t="shared" ref="V26" ca="1" si="82">IFERROR(IF($AI26=0,($I26-T26)*24,(($P26-INDIRECT(ADDRESS(ROW()-1,COLUMN($P$9),,,)))/$AI26)-$N26+(INDIRECT(ADDRESS(ROW()-1,COLUMN(V$9),,,)))),"")</f>
        <v>-19.000000000000007</v>
      </c>
      <c r="W26" s="110">
        <f t="shared" ref="W26" ca="1" si="83">IFERROR(IF(V26&gt;0,TIME(V26,(V26-ROUNDDOWN(V26,0))*60,0)+DAY((ROUNDDOWN(V26,0)/24)),TIME((-V26),((-V26)-ROUNDDOWN((-V26),0))*60,0)+DAY((ROUNDDOWN((-V26),0)/24))),"")</f>
        <v>0.79166666666666663</v>
      </c>
      <c r="X26" s="111">
        <f t="shared" ref="X26" ca="1" si="84">IF(U26=0,"-",ROUNDUP(VALUE(U26),0))</f>
        <v>44946</v>
      </c>
      <c r="Y26" s="112" t="str">
        <f ca="1">IFERROR(IF(SUMIFS($N$9:$N26,$X$9:$X26,ROUNDUP(VALUE(U26),0),$Q$9:$Q26,"npt")=0,"-",SUMIFS($N$9:$N26,$X$9:$X26,ROUNDUP(VALUE(U26),0),$Q$9:$Q26,"npt")/SUMIFS($N$9:$N26,$X$9:$X26,ROUNDUP(VALUE(U26),0))),"")</f>
        <v>-</v>
      </c>
      <c r="Z26" s="112">
        <f ca="1">IFERROR(IF($N26=0,"-",SUMIF($Q$11:$Q26,"npt",$N$11:$N26)/(T26*24)),"")</f>
        <v>0</v>
      </c>
      <c r="AA26" s="491"/>
      <c r="AB26" s="491"/>
      <c r="AC26" s="398" t="s">
        <v>224</v>
      </c>
      <c r="AD26" s="427">
        <f t="shared" ca="1" si="9"/>
        <v>1.3125</v>
      </c>
      <c r="AE26" s="427">
        <f t="shared" ca="1" si="0"/>
        <v>1112</v>
      </c>
      <c r="AF26" s="427">
        <f t="shared" ref="AF26" ca="1" si="85">T26</f>
        <v>2.104166666666667</v>
      </c>
      <c r="AG26" s="427">
        <f t="shared" ca="1" si="2"/>
        <v>2335.3000000000002</v>
      </c>
      <c r="AH26" s="493"/>
      <c r="AI26" s="427">
        <f t="shared" ca="1" si="3"/>
        <v>0</v>
      </c>
      <c r="AJ26" s="493"/>
      <c r="AK26" s="428">
        <f t="shared" ref="AK26" ca="1" si="86">IF(B26&lt;&gt;"",B26,INDIRECT(ADDRESS(ROW()+1,COLUMN($AK$9),,,)))</f>
        <v>2</v>
      </c>
      <c r="AL26" s="428">
        <f ca="1">IF(A26&lt;&gt;"",IFERROR(INDEX('1_INPUT'!$B$69:$E$89,MATCH($A26,'1_INPUT'!$E$69:$E$89,0),1),""),INDIRECT(ADDRESS(ROW()+1,COLUMN($AL$9),,,)))</f>
        <v>3</v>
      </c>
      <c r="AM26" s="428" t="str">
        <f ca="1">IF(AN26="","",MAX(INDIRECT(ADDRESS(9,COLUMN($AM$9),,,)):INDIRECT(ADDRESS(ROW()-1,COLUMN($AM$9),,,)))+1)</f>
        <v/>
      </c>
      <c r="AN26" s="429" t="str">
        <f>IF($AO26&lt;&gt;"",VLOOKUP($AK26,'1_INPUT'!$B$124:$D$136,2,FALSE),"")</f>
        <v/>
      </c>
      <c r="AO26" s="429" t="str">
        <f t="shared" si="10"/>
        <v/>
      </c>
      <c r="AP26" s="427">
        <f ca="1">SUMIF($AL$10:AL26,$AL26,$I$10:I26)</f>
        <v>2.625</v>
      </c>
      <c r="AR26" s="430" t="str">
        <f t="shared" ca="1" si="5"/>
        <v>WORKOVER SECTION</v>
      </c>
      <c r="AS26" s="430">
        <f ca="1">MATCH(AR26,'1_INPUT'!$V$43:$V$64,0)+1</f>
        <v>6</v>
      </c>
      <c r="AT26" s="430">
        <f ca="1">VLOOKUP(AR26,'1_INPUT'!$V$43:$W$64,2,FALSE)</f>
        <v>21</v>
      </c>
      <c r="AU26" s="430">
        <f ca="1">COUNTIF('1_INPUT'!$W$43:$W$64,AT26)-1</f>
        <v>5</v>
      </c>
      <c r="AV26" s="430" t="e">
        <f ca="1">OFFSET('1_INPUT'!$V$42,$AS26,,$AU26,)</f>
        <v>#VALUE!</v>
      </c>
      <c r="AX26" s="430" t="str">
        <f t="shared" ref="AX26" si="87">IF(A26&lt;&gt;"",""&amp;AR26&amp;"-"&amp;A26&amp;"","")</f>
        <v/>
      </c>
      <c r="CK26" s="9"/>
      <c r="CL26" s="9"/>
    </row>
    <row r="27" spans="1:90" ht="27.6">
      <c r="A27" s="205"/>
      <c r="B27" s="516"/>
      <c r="C27" s="208" t="str">
        <f>IF(D27&lt;&gt;"",MAX($C$9:C24)+1,"")</f>
        <v/>
      </c>
      <c r="D27" s="523"/>
      <c r="E27" s="406"/>
      <c r="F27" s="407"/>
      <c r="G27" s="209">
        <f t="shared" ref="G27:G28" ca="1" si="88">IF(INDIRECT(ADDRESS(ROW()-1,COLUMN(B$7),,,))&lt;&gt;"",INDIRECT(ADDRESS(ROW(),COLUMN(F$7),,,)),INDIRECT(ADDRESS(ROW()-1,COLUMN(G$7),,,))+INDIRECT(ADDRESS(ROW(),COLUMN(F$7),,,)))</f>
        <v>31.5</v>
      </c>
      <c r="H27" s="209">
        <f t="shared" si="11"/>
        <v>0</v>
      </c>
      <c r="I27" s="209">
        <f t="shared" ref="I27:I28" ca="1" si="89">INDIRECT(ADDRESS(ROW()-1,COLUMN(I$7),,,))+INDIRECT(ADDRESS(ROW(),COLUMN(H$7),,,))</f>
        <v>1.3125</v>
      </c>
      <c r="J27" s="540">
        <v>1112</v>
      </c>
      <c r="K27" s="188"/>
      <c r="L27" s="525" t="s">
        <v>647</v>
      </c>
      <c r="M27" s="400" t="s">
        <v>36</v>
      </c>
      <c r="N27" s="407">
        <v>1</v>
      </c>
      <c r="O27" s="95">
        <f t="shared" ref="O27:O28" ca="1" si="90">IF(INDIRECT(ADDRESS(ROW()-1,COLUMN(B$7),,,))&lt;&gt;"",INDIRECT(ADDRESS(ROW(),COLUMN(N$7),,,)),INDIRECT(ADDRESS(ROW()-1,COLUMN(O$7),,,))+INDIRECT(ADDRESS(ROW(),COLUMN(N$7),,,)))</f>
        <v>51.5</v>
      </c>
      <c r="P27" s="403">
        <v>2335.3000000000002</v>
      </c>
      <c r="Q27" s="116">
        <f>IF(N27&gt;0,VLOOKUP(M27,'3_TIME SUM'!$F$7:$G$128,2,FALSE),0)</f>
        <v>0</v>
      </c>
      <c r="R27" s="517"/>
      <c r="S27" s="94">
        <f t="shared" si="12"/>
        <v>4.1666666666666664E-2</v>
      </c>
      <c r="T27" s="94">
        <f t="shared" ref="T27:T28" ca="1" si="91">INDIRECT(ADDRESS(ROW()-1,COLUMN(T$7),,,))+INDIRECT(ADDRESS(ROW(),COLUMN(S$7),,,))</f>
        <v>2.1458333333333335</v>
      </c>
      <c r="U27" s="535">
        <f ca="1">$T27+'1_INPUT'!$E$18</f>
        <v>44945.9375</v>
      </c>
      <c r="V27" s="95">
        <f t="shared" ref="V27:V28" ca="1" si="92">IFERROR(IF($AI27=0,($I27-T27)*24,(($P27-INDIRECT(ADDRESS(ROW()-1,COLUMN($P$9),,,)))/$AI27)-$N27+(INDIRECT(ADDRESS(ROW()-1,COLUMN(V$9),,,)))),"")</f>
        <v>-20.000000000000004</v>
      </c>
      <c r="W27" s="110">
        <f t="shared" ref="W27:W28" ca="1" si="93">IFERROR(IF(V27&gt;0,TIME(V27,(V27-ROUNDDOWN(V27,0))*60,0)+DAY((ROUNDDOWN(V27,0)/24)),TIME((-V27),((-V27)-ROUNDDOWN((-V27),0))*60,0)+DAY((ROUNDDOWN((-V27),0)/24))),"")</f>
        <v>0.83333333333333337</v>
      </c>
      <c r="X27" s="111">
        <f t="shared" ref="X27:X28" ca="1" si="94">IF(U27=0,"-",ROUNDUP(VALUE(U27),0))</f>
        <v>44946</v>
      </c>
      <c r="Y27" s="112" t="str">
        <f ca="1">IFERROR(IF(SUMIFS($N$9:$N27,$X$9:$X27,ROUNDUP(VALUE(U27),0),$Q$9:$Q27,"npt")=0,"-",SUMIFS($N$9:$N27,$X$9:$X27,ROUNDUP(VALUE(U27),0),$Q$9:$Q27,"npt")/SUMIFS($N$9:$N27,$X$9:$X27,ROUNDUP(VALUE(U27),0))),"")</f>
        <v>-</v>
      </c>
      <c r="Z27" s="112">
        <f ca="1">IFERROR(IF($N27=0,"-",SUMIF($Q$11:$Q27,"npt",$N$11:$N27)/(T27*24)),"")</f>
        <v>0</v>
      </c>
      <c r="AA27" s="491"/>
      <c r="AB27" s="491"/>
      <c r="AC27" s="398" t="s">
        <v>224</v>
      </c>
      <c r="AD27" s="427">
        <f t="shared" ca="1" si="9"/>
        <v>1.3125</v>
      </c>
      <c r="AE27" s="427">
        <f t="shared" ca="1" si="0"/>
        <v>1112</v>
      </c>
      <c r="AF27" s="427">
        <f t="shared" ref="AF27:AF28" ca="1" si="95">T27</f>
        <v>2.1458333333333335</v>
      </c>
      <c r="AG27" s="427">
        <f t="shared" ca="1" si="2"/>
        <v>2335.3000000000002</v>
      </c>
      <c r="AH27" s="493"/>
      <c r="AI27" s="427">
        <f t="shared" ca="1" si="3"/>
        <v>0</v>
      </c>
      <c r="AJ27" s="493"/>
      <c r="AK27" s="428">
        <f t="shared" ref="AK27:AK28" ca="1" si="96">IF(B27&lt;&gt;"",B27,INDIRECT(ADDRESS(ROW()+1,COLUMN($AK$9),,,)))</f>
        <v>2</v>
      </c>
      <c r="AL27" s="428">
        <f ca="1">IF(A27&lt;&gt;"",IFERROR(INDEX('1_INPUT'!$B$69:$E$89,MATCH($A27,'1_INPUT'!$E$69:$E$89,0),1),""),INDIRECT(ADDRESS(ROW()+1,COLUMN($AL$9),,,)))</f>
        <v>3</v>
      </c>
      <c r="AM27" s="428" t="str">
        <f ca="1">IF(AN27="","",MAX(INDIRECT(ADDRESS(9,COLUMN($AM$9),,,)):INDIRECT(ADDRESS(ROW()-1,COLUMN($AM$9),,,)))+1)</f>
        <v/>
      </c>
      <c r="AN27" s="429" t="str">
        <f>IF($AO27&lt;&gt;"",VLOOKUP($AK27,'1_INPUT'!$B$124:$D$136,2,FALSE),"")</f>
        <v/>
      </c>
      <c r="AO27" s="429" t="str">
        <f t="shared" si="10"/>
        <v/>
      </c>
      <c r="AP27" s="427">
        <f ca="1">SUMIF($AL$10:AL27,$AL27,$I$10:I27)</f>
        <v>3.9375</v>
      </c>
      <c r="AR27" s="430" t="str">
        <f t="shared" ca="1" si="5"/>
        <v>WORKOVER SECTION</v>
      </c>
      <c r="AS27" s="430">
        <f ca="1">MATCH(AR27,'1_INPUT'!$V$43:$V$64,0)+1</f>
        <v>6</v>
      </c>
      <c r="AT27" s="430">
        <f ca="1">VLOOKUP(AR27,'1_INPUT'!$V$43:$W$64,2,FALSE)</f>
        <v>21</v>
      </c>
      <c r="AU27" s="430">
        <f ca="1">COUNTIF('1_INPUT'!$W$43:$W$64,AT27)-1</f>
        <v>5</v>
      </c>
      <c r="AV27" s="430" t="e">
        <f ca="1">OFFSET('1_INPUT'!$V$42,$AS27,,$AU27,)</f>
        <v>#VALUE!</v>
      </c>
      <c r="AX27" s="430" t="str">
        <f t="shared" ref="AX27:AX28" si="97">IF(A27&lt;&gt;"",""&amp;AR27&amp;"-"&amp;A27&amp;"","")</f>
        <v/>
      </c>
      <c r="CK27" s="9"/>
      <c r="CL27" s="9"/>
    </row>
    <row r="28" spans="1:90" ht="41.4">
      <c r="A28" s="205"/>
      <c r="B28" s="516"/>
      <c r="C28" s="208" t="str">
        <f>IF(D28&lt;&gt;"",MAX($C$9:C25)+1,"")</f>
        <v/>
      </c>
      <c r="D28" s="523"/>
      <c r="E28" s="406"/>
      <c r="F28" s="407"/>
      <c r="G28" s="209">
        <f t="shared" ca="1" si="88"/>
        <v>31.5</v>
      </c>
      <c r="H28" s="209">
        <f t="shared" si="11"/>
        <v>0</v>
      </c>
      <c r="I28" s="209">
        <f t="shared" ca="1" si="89"/>
        <v>1.3125</v>
      </c>
      <c r="J28" s="540">
        <v>1112</v>
      </c>
      <c r="K28" s="188"/>
      <c r="L28" s="525" t="s">
        <v>648</v>
      </c>
      <c r="M28" s="400" t="s">
        <v>130</v>
      </c>
      <c r="N28" s="407">
        <v>1.5</v>
      </c>
      <c r="O28" s="95">
        <f t="shared" ca="1" si="90"/>
        <v>53</v>
      </c>
      <c r="P28" s="403">
        <v>2335.6999999999998</v>
      </c>
      <c r="Q28" s="116">
        <f>IF(N28&gt;0,VLOOKUP(M28,'3_TIME SUM'!$F$7:$G$128,2,FALSE),0)</f>
        <v>0</v>
      </c>
      <c r="R28" s="517"/>
      <c r="S28" s="94">
        <f t="shared" si="12"/>
        <v>6.25E-2</v>
      </c>
      <c r="T28" s="94">
        <f t="shared" ca="1" si="91"/>
        <v>2.2083333333333335</v>
      </c>
      <c r="U28" s="539">
        <f ca="1">$T28+'1_INPUT'!$E$18</f>
        <v>44946</v>
      </c>
      <c r="V28" s="95">
        <f t="shared" ca="1" si="92"/>
        <v>-21.500000000000004</v>
      </c>
      <c r="W28" s="110">
        <f t="shared" ca="1" si="93"/>
        <v>0.89583333333333337</v>
      </c>
      <c r="X28" s="111">
        <f t="shared" ca="1" si="94"/>
        <v>44946</v>
      </c>
      <c r="Y28" s="112" t="str">
        <f ca="1">IFERROR(IF(SUMIFS($N$9:$N28,$X$9:$X28,ROUNDUP(VALUE(U28),0),$Q$9:$Q28,"npt")=0,"-",SUMIFS($N$9:$N28,$X$9:$X28,ROUNDUP(VALUE(U28),0),$Q$9:$Q28,"npt")/SUMIFS($N$9:$N28,$X$9:$X28,ROUNDUP(VALUE(U28),0))),"")</f>
        <v>-</v>
      </c>
      <c r="Z28" s="112">
        <f ca="1">IFERROR(IF($N28=0,"-",SUMIF($Q$11:$Q28,"npt",$N$11:$N28)/(T28*24)),"")</f>
        <v>0</v>
      </c>
      <c r="AA28" s="491"/>
      <c r="AB28" s="491"/>
      <c r="AC28" s="398" t="s">
        <v>224</v>
      </c>
      <c r="AD28" s="427">
        <f t="shared" ca="1" si="9"/>
        <v>1.3125</v>
      </c>
      <c r="AE28" s="427">
        <f t="shared" ca="1" si="0"/>
        <v>1112</v>
      </c>
      <c r="AF28" s="427">
        <f t="shared" ca="1" si="95"/>
        <v>2.2083333333333335</v>
      </c>
      <c r="AG28" s="427">
        <f t="shared" ca="1" si="2"/>
        <v>2335.6999999999998</v>
      </c>
      <c r="AH28" s="493"/>
      <c r="AI28" s="427">
        <f t="shared" ca="1" si="3"/>
        <v>0</v>
      </c>
      <c r="AJ28" s="493"/>
      <c r="AK28" s="428">
        <f t="shared" ca="1" si="96"/>
        <v>2</v>
      </c>
      <c r="AL28" s="428">
        <f ca="1">IF(A28&lt;&gt;"",IFERROR(INDEX('1_INPUT'!$B$69:$E$89,MATCH($A28,'1_INPUT'!$E$69:$E$89,0),1),""),INDIRECT(ADDRESS(ROW()+1,COLUMN($AL$9),,,)))</f>
        <v>3</v>
      </c>
      <c r="AM28" s="428" t="str">
        <f ca="1">IF(AN28="","",MAX(INDIRECT(ADDRESS(9,COLUMN($AM$9),,,)):INDIRECT(ADDRESS(ROW()-1,COLUMN($AM$9),,,)))+1)</f>
        <v/>
      </c>
      <c r="AN28" s="429" t="str">
        <f>IF($AO28&lt;&gt;"",VLOOKUP($AK28,'1_INPUT'!$B$124:$D$136,2,FALSE),"")</f>
        <v/>
      </c>
      <c r="AO28" s="429" t="str">
        <f t="shared" si="10"/>
        <v/>
      </c>
      <c r="AP28" s="427">
        <f ca="1">SUMIF($AL$10:AL28,$AL28,$I$10:I28)</f>
        <v>5.25</v>
      </c>
      <c r="AR28" s="430" t="str">
        <f t="shared" ca="1" si="5"/>
        <v>WORKOVER SECTION</v>
      </c>
      <c r="AS28" s="430">
        <f ca="1">MATCH(AR28,'1_INPUT'!$V$43:$V$64,0)+1</f>
        <v>6</v>
      </c>
      <c r="AT28" s="430">
        <f ca="1">VLOOKUP(AR28,'1_INPUT'!$V$43:$W$64,2,FALSE)</f>
        <v>21</v>
      </c>
      <c r="AU28" s="430">
        <f ca="1">COUNTIF('1_INPUT'!$W$43:$W$64,AT28)-1</f>
        <v>5</v>
      </c>
      <c r="AV28" s="430" t="e">
        <f ca="1">OFFSET('1_INPUT'!$V$42,$AS28,,$AU28,)</f>
        <v>#VALUE!</v>
      </c>
      <c r="AX28" s="430" t="str">
        <f t="shared" si="97"/>
        <v/>
      </c>
      <c r="CK28" s="9"/>
      <c r="CL28" s="9"/>
    </row>
    <row r="29" spans="1:90" ht="13.8">
      <c r="A29" s="205"/>
      <c r="B29" s="516"/>
      <c r="C29" s="208" t="str">
        <f>IF(D29&lt;&gt;"",MAX($C$9:C26)+1,"")</f>
        <v/>
      </c>
      <c r="D29" s="523"/>
      <c r="E29" s="406"/>
      <c r="F29" s="407"/>
      <c r="G29" s="209">
        <f t="shared" ref="G29:G30" ca="1" si="98">IF(INDIRECT(ADDRESS(ROW()-1,COLUMN(B$7),,,))&lt;&gt;"",INDIRECT(ADDRESS(ROW(),COLUMN(F$7),,,)),INDIRECT(ADDRESS(ROW()-1,COLUMN(G$7),,,))+INDIRECT(ADDRESS(ROW(),COLUMN(F$7),,,)))</f>
        <v>31.5</v>
      </c>
      <c r="H29" s="209">
        <f t="shared" si="11"/>
        <v>0</v>
      </c>
      <c r="I29" s="209">
        <f t="shared" ref="I29:I30" ca="1" si="99">INDIRECT(ADDRESS(ROW()-1,COLUMN(I$7),,,))+INDIRECT(ADDRESS(ROW(),COLUMN(H$7),,,))</f>
        <v>1.3125</v>
      </c>
      <c r="J29" s="540">
        <v>1112</v>
      </c>
      <c r="K29" s="188"/>
      <c r="L29" s="525" t="s">
        <v>649</v>
      </c>
      <c r="M29" s="400" t="s">
        <v>146</v>
      </c>
      <c r="N29" s="407">
        <v>1</v>
      </c>
      <c r="O29" s="95">
        <f t="shared" ref="O29:O30" ca="1" si="100">IF(INDIRECT(ADDRESS(ROW()-1,COLUMN(B$7),,,))&lt;&gt;"",INDIRECT(ADDRESS(ROW(),COLUMN(N$7),,,)),INDIRECT(ADDRESS(ROW()-1,COLUMN(O$7),,,))+INDIRECT(ADDRESS(ROW(),COLUMN(N$7),,,)))</f>
        <v>54</v>
      </c>
      <c r="P29" s="403">
        <v>2335.6999999999998</v>
      </c>
      <c r="Q29" s="116">
        <f>IF(N29&gt;0,VLOOKUP(M29,'3_TIME SUM'!$F$7:$G$128,2,FALSE),0)</f>
        <v>0</v>
      </c>
      <c r="R29" s="517"/>
      <c r="S29" s="94">
        <f t="shared" si="12"/>
        <v>4.1666666666666664E-2</v>
      </c>
      <c r="T29" s="94">
        <f t="shared" ref="T29:T30" ca="1" si="101">INDIRECT(ADDRESS(ROW()-1,COLUMN(T$7),,,))+INDIRECT(ADDRESS(ROW(),COLUMN(S$7),,,))</f>
        <v>2.25</v>
      </c>
      <c r="U29" s="535">
        <f ca="1">$T29+'1_INPUT'!$E$18</f>
        <v>44946.041666666664</v>
      </c>
      <c r="V29" s="95">
        <f t="shared" ref="V29:V30" ca="1" si="102">IFERROR(IF($AI29=0,($I29-T29)*24,(($P29-INDIRECT(ADDRESS(ROW()-1,COLUMN($P$9),,,)))/$AI29)-$N29+(INDIRECT(ADDRESS(ROW()-1,COLUMN(V$9),,,)))),"")</f>
        <v>-22.5</v>
      </c>
      <c r="W29" s="110">
        <f t="shared" ref="W29:W30" ca="1" si="103">IFERROR(IF(V29&gt;0,TIME(V29,(V29-ROUNDDOWN(V29,0))*60,0)+DAY((ROUNDDOWN(V29,0)/24)),TIME((-V29),((-V29)-ROUNDDOWN((-V29),0))*60,0)+DAY((ROUNDDOWN((-V29),0)/24))),"")</f>
        <v>0.9375</v>
      </c>
      <c r="X29" s="111">
        <f t="shared" ref="X29:X30" ca="1" si="104">IF(U29=0,"-",ROUNDUP(VALUE(U29),0))</f>
        <v>44947</v>
      </c>
      <c r="Y29" s="112" t="str">
        <f ca="1">IFERROR(IF(SUMIFS($N$9:$N29,$X$9:$X29,ROUNDUP(VALUE(U29),0),$Q$9:$Q29,"npt")=0,"-",SUMIFS($N$9:$N29,$X$9:$X29,ROUNDUP(VALUE(U29),0),$Q$9:$Q29,"npt")/SUMIFS($N$9:$N29,$X$9:$X29,ROUNDUP(VALUE(U29),0))),"")</f>
        <v>-</v>
      </c>
      <c r="Z29" s="112">
        <f ca="1">IFERROR(IF($N29=0,"-",SUMIF($Q$11:$Q29,"npt",$N$11:$N29)/(T29*24)),"")</f>
        <v>0</v>
      </c>
      <c r="AA29" s="491"/>
      <c r="AB29" s="491"/>
      <c r="AC29" s="398" t="s">
        <v>224</v>
      </c>
      <c r="AD29" s="427">
        <f t="shared" ca="1" si="9"/>
        <v>1.3125</v>
      </c>
      <c r="AE29" s="427">
        <f t="shared" ca="1" si="0"/>
        <v>1112</v>
      </c>
      <c r="AF29" s="427">
        <f t="shared" ref="AF29:AF30" ca="1" si="105">T29</f>
        <v>2.25</v>
      </c>
      <c r="AG29" s="427">
        <f t="shared" ca="1" si="2"/>
        <v>2335.6999999999998</v>
      </c>
      <c r="AH29" s="493"/>
      <c r="AI29" s="427">
        <f t="shared" ca="1" si="3"/>
        <v>0</v>
      </c>
      <c r="AJ29" s="493"/>
      <c r="AK29" s="428">
        <f t="shared" ref="AK29:AK30" ca="1" si="106">IF(B29&lt;&gt;"",B29,INDIRECT(ADDRESS(ROW()+1,COLUMN($AK$9),,,)))</f>
        <v>2</v>
      </c>
      <c r="AL29" s="428">
        <f ca="1">IF(A29&lt;&gt;"",IFERROR(INDEX('1_INPUT'!$B$69:$E$89,MATCH($A29,'1_INPUT'!$E$69:$E$89,0),1),""),INDIRECT(ADDRESS(ROW()+1,COLUMN($AL$9),,,)))</f>
        <v>3</v>
      </c>
      <c r="AM29" s="428" t="str">
        <f ca="1">IF(AN29="","",MAX(INDIRECT(ADDRESS(9,COLUMN($AM$9),,,)):INDIRECT(ADDRESS(ROW()-1,COLUMN($AM$9),,,)))+1)</f>
        <v/>
      </c>
      <c r="AN29" s="429" t="str">
        <f>IF($AO29&lt;&gt;"",VLOOKUP($AK29,'1_INPUT'!$B$124:$D$136,2,FALSE),"")</f>
        <v/>
      </c>
      <c r="AO29" s="429" t="str">
        <f t="shared" si="10"/>
        <v/>
      </c>
      <c r="AP29" s="427">
        <f ca="1">SUMIF($AL$10:AL29,$AL29,$I$10:I29)</f>
        <v>6.5625</v>
      </c>
      <c r="AR29" s="430" t="str">
        <f t="shared" ca="1" si="5"/>
        <v>WORKOVER SECTION</v>
      </c>
      <c r="AS29" s="430">
        <f ca="1">MATCH(AR29,'1_INPUT'!$V$43:$V$64,0)+1</f>
        <v>6</v>
      </c>
      <c r="AT29" s="430">
        <f ca="1">VLOOKUP(AR29,'1_INPUT'!$V$43:$W$64,2,FALSE)</f>
        <v>21</v>
      </c>
      <c r="AU29" s="430">
        <f ca="1">COUNTIF('1_INPUT'!$W$43:$W$64,AT29)-1</f>
        <v>5</v>
      </c>
      <c r="AV29" s="430" t="e">
        <f ca="1">OFFSET('1_INPUT'!$V$42,$AS29,,$AU29,)</f>
        <v>#VALUE!</v>
      </c>
      <c r="AX29" s="430" t="str">
        <f t="shared" ref="AX29:AX30" si="107">IF(A29&lt;&gt;"",""&amp;AR29&amp;"-"&amp;A29&amp;"","")</f>
        <v/>
      </c>
      <c r="CK29" s="9"/>
      <c r="CL29" s="9"/>
    </row>
    <row r="30" spans="1:90" ht="55.2">
      <c r="A30" s="205"/>
      <c r="B30" s="516"/>
      <c r="C30" s="208" t="str">
        <f>IF(D30&lt;&gt;"",MAX($C$9:C27)+1,"")</f>
        <v/>
      </c>
      <c r="D30" s="523"/>
      <c r="E30" s="406"/>
      <c r="F30" s="407"/>
      <c r="G30" s="209">
        <f t="shared" ca="1" si="98"/>
        <v>31.5</v>
      </c>
      <c r="H30" s="209">
        <f t="shared" si="11"/>
        <v>0</v>
      </c>
      <c r="I30" s="209">
        <f t="shared" ca="1" si="99"/>
        <v>1.3125</v>
      </c>
      <c r="J30" s="540">
        <v>1112</v>
      </c>
      <c r="K30" s="188"/>
      <c r="L30" s="525" t="s">
        <v>650</v>
      </c>
      <c r="M30" s="400" t="s">
        <v>130</v>
      </c>
      <c r="N30" s="407">
        <v>4.5</v>
      </c>
      <c r="O30" s="95">
        <f t="shared" ca="1" si="100"/>
        <v>58.5</v>
      </c>
      <c r="P30" s="403">
        <v>2372</v>
      </c>
      <c r="Q30" s="116">
        <f>IF(N30&gt;0,VLOOKUP(M30,'3_TIME SUM'!$F$7:$G$128,2,FALSE),0)</f>
        <v>0</v>
      </c>
      <c r="R30" s="517"/>
      <c r="S30" s="94">
        <f t="shared" si="12"/>
        <v>0.1875</v>
      </c>
      <c r="T30" s="94">
        <f t="shared" ca="1" si="101"/>
        <v>2.4375</v>
      </c>
      <c r="U30" s="535">
        <f ca="1">$T30+'1_INPUT'!$E$18</f>
        <v>44946.229166666664</v>
      </c>
      <c r="V30" s="95">
        <f t="shared" ca="1" si="102"/>
        <v>-27</v>
      </c>
      <c r="W30" s="110">
        <f t="shared" ca="1" si="103"/>
        <v>1.125</v>
      </c>
      <c r="X30" s="111">
        <f t="shared" ca="1" si="104"/>
        <v>44947</v>
      </c>
      <c r="Y30" s="112" t="str">
        <f ca="1">IFERROR(IF(SUMIFS($N$9:$N30,$X$9:$X30,ROUNDUP(VALUE(U30),0),$Q$9:$Q30,"npt")=0,"-",SUMIFS($N$9:$N30,$X$9:$X30,ROUNDUP(VALUE(U30),0),$Q$9:$Q30,"npt")/SUMIFS($N$9:$N30,$X$9:$X30,ROUNDUP(VALUE(U30),0))),"")</f>
        <v>-</v>
      </c>
      <c r="Z30" s="112">
        <f ca="1">IFERROR(IF($N30=0,"-",SUMIF($Q$11:$Q30,"npt",$N$11:$N30)/(T30*24)),"")</f>
        <v>0</v>
      </c>
      <c r="AA30" s="491"/>
      <c r="AB30" s="491"/>
      <c r="AC30" s="398" t="s">
        <v>224</v>
      </c>
      <c r="AD30" s="427">
        <f t="shared" ca="1" si="9"/>
        <v>1.3125</v>
      </c>
      <c r="AE30" s="427">
        <f t="shared" ca="1" si="0"/>
        <v>1112</v>
      </c>
      <c r="AF30" s="427">
        <f t="shared" ca="1" si="105"/>
        <v>2.4375</v>
      </c>
      <c r="AG30" s="427">
        <f t="shared" ca="1" si="2"/>
        <v>2372</v>
      </c>
      <c r="AH30" s="493"/>
      <c r="AI30" s="427">
        <f t="shared" ca="1" si="3"/>
        <v>0</v>
      </c>
      <c r="AJ30" s="493"/>
      <c r="AK30" s="428">
        <f t="shared" ca="1" si="106"/>
        <v>2</v>
      </c>
      <c r="AL30" s="428">
        <f ca="1">IF(A30&lt;&gt;"",IFERROR(INDEX('1_INPUT'!$B$69:$E$89,MATCH($A30,'1_INPUT'!$E$69:$E$89,0),1),""),INDIRECT(ADDRESS(ROW()+1,COLUMN($AL$9),,,)))</f>
        <v>3</v>
      </c>
      <c r="AM30" s="428" t="str">
        <f ca="1">IF(AN30="","",MAX(INDIRECT(ADDRESS(9,COLUMN($AM$9),,,)):INDIRECT(ADDRESS(ROW()-1,COLUMN($AM$9),,,)))+1)</f>
        <v/>
      </c>
      <c r="AN30" s="429" t="str">
        <f>IF($AO30&lt;&gt;"",VLOOKUP($AK30,'1_INPUT'!$B$124:$D$136,2,FALSE),"")</f>
        <v/>
      </c>
      <c r="AO30" s="429" t="str">
        <f t="shared" si="10"/>
        <v/>
      </c>
      <c r="AP30" s="427">
        <f ca="1">SUMIF($AL$10:AL30,$AL30,$I$10:I30)</f>
        <v>7.875</v>
      </c>
      <c r="AR30" s="430" t="str">
        <f t="shared" ca="1" si="5"/>
        <v>WORKOVER SECTION</v>
      </c>
      <c r="AS30" s="430">
        <f ca="1">MATCH(AR30,'1_INPUT'!$V$43:$V$64,0)+1</f>
        <v>6</v>
      </c>
      <c r="AT30" s="430">
        <f ca="1">VLOOKUP(AR30,'1_INPUT'!$V$43:$W$64,2,FALSE)</f>
        <v>21</v>
      </c>
      <c r="AU30" s="430">
        <f ca="1">COUNTIF('1_INPUT'!$W$43:$W$64,AT30)-1</f>
        <v>5</v>
      </c>
      <c r="AV30" s="430" t="e">
        <f ca="1">OFFSET('1_INPUT'!$V$42,$AS30,,$AU30,)</f>
        <v>#VALUE!</v>
      </c>
      <c r="AX30" s="430" t="str">
        <f t="shared" si="107"/>
        <v/>
      </c>
      <c r="CK30" s="9"/>
      <c r="CL30" s="9"/>
    </row>
    <row r="31" spans="1:90" ht="41.4">
      <c r="A31" s="205"/>
      <c r="B31" s="516"/>
      <c r="C31" s="208">
        <f ca="1">IF(D31&lt;&gt;"",MAX($C$9:C25)+1,"")</f>
        <v>11</v>
      </c>
      <c r="D31" s="523" t="s">
        <v>587</v>
      </c>
      <c r="E31" s="406"/>
      <c r="F31" s="407">
        <v>2</v>
      </c>
      <c r="G31" s="209">
        <f t="shared" ref="G31:G33" ca="1" si="108">IF(INDIRECT(ADDRESS(ROW()-1,COLUMN(B$7),,,))&lt;&gt;"",INDIRECT(ADDRESS(ROW(),COLUMN(F$7),,,)),INDIRECT(ADDRESS(ROW()-1,COLUMN(G$7),,,))+INDIRECT(ADDRESS(ROW(),COLUMN(F$7),,,)))</f>
        <v>33.5</v>
      </c>
      <c r="H31" s="209">
        <f t="shared" si="11"/>
        <v>8.3333333333333329E-2</v>
      </c>
      <c r="I31" s="209">
        <f t="shared" ref="I31:I33" ca="1" si="109">INDIRECT(ADDRESS(ROW()-1,COLUMN(I$7),,,))+INDIRECT(ADDRESS(ROW(),COLUMN(H$7),,,))</f>
        <v>1.3958333333333333</v>
      </c>
      <c r="J31" s="540">
        <v>1112</v>
      </c>
      <c r="K31" s="188"/>
      <c r="L31" s="525" t="s">
        <v>651</v>
      </c>
      <c r="M31" s="400" t="s">
        <v>36</v>
      </c>
      <c r="N31" s="407">
        <v>0.5</v>
      </c>
      <c r="O31" s="95">
        <f t="shared" ref="O31:O33" ca="1" si="110">IF(INDIRECT(ADDRESS(ROW()-1,COLUMN(B$7),,,))&lt;&gt;"",INDIRECT(ADDRESS(ROW(),COLUMN(N$7),,,)),INDIRECT(ADDRESS(ROW()-1,COLUMN(O$7),,,))+INDIRECT(ADDRESS(ROW(),COLUMN(N$7),,,)))</f>
        <v>59</v>
      </c>
      <c r="P31" s="403">
        <v>2372</v>
      </c>
      <c r="Q31" s="116">
        <f>IF(N31&gt;0,VLOOKUP(M31,'3_TIME SUM'!$F$7:$G$128,2,FALSE),0)</f>
        <v>0</v>
      </c>
      <c r="R31" s="517"/>
      <c r="S31" s="94">
        <f t="shared" si="12"/>
        <v>2.0833333333333332E-2</v>
      </c>
      <c r="T31" s="94">
        <f t="shared" ref="T31:T33" ca="1" si="111">INDIRECT(ADDRESS(ROW()-1,COLUMN(T$7),,,))+INDIRECT(ADDRESS(ROW(),COLUMN(S$7),,,))</f>
        <v>2.4583333333333335</v>
      </c>
      <c r="U31" s="535">
        <f ca="1">$T31+'1_INPUT'!$E$18</f>
        <v>44946.25</v>
      </c>
      <c r="V31" s="95">
        <f t="shared" ref="V31:V33" ca="1" si="112">IFERROR(IF($AI31=0,($I31-T31)*24,(($P31-INDIRECT(ADDRESS(ROW()-1,COLUMN($P$9),,,)))/$AI31)-$N31+(INDIRECT(ADDRESS(ROW()-1,COLUMN(V$9),,,)))),"")</f>
        <v>-25.500000000000007</v>
      </c>
      <c r="W31" s="110">
        <f t="shared" ref="W31:W33" ca="1" si="113">IFERROR(IF(V31&gt;0,TIME(V31,(V31-ROUNDDOWN(V31,0))*60,0)+DAY((ROUNDDOWN(V31,0)/24)),TIME((-V31),((-V31)-ROUNDDOWN((-V31),0))*60,0)+DAY((ROUNDDOWN((-V31),0)/24))),"")</f>
        <v>1.0625</v>
      </c>
      <c r="X31" s="111">
        <f t="shared" ref="X31:X33" ca="1" si="114">IF(U31=0,"-",ROUNDUP(VALUE(U31),0))</f>
        <v>44947</v>
      </c>
      <c r="Y31" s="112" t="str">
        <f ca="1">IFERROR(IF(SUMIFS($N$9:$N31,$X$9:$X31,ROUNDUP(VALUE(U31),0),$Q$9:$Q31,"npt")=0,"-",SUMIFS($N$9:$N31,$X$9:$X31,ROUNDUP(VALUE(U31),0),$Q$9:$Q31,"npt")/SUMIFS($N$9:$N31,$X$9:$X31,ROUNDUP(VALUE(U31),0))),"")</f>
        <v>-</v>
      </c>
      <c r="Z31" s="112">
        <f ca="1">IFERROR(IF($N31=0,"-",SUMIF($Q$11:$Q31,"npt",$N$11:$N31)/(T31*24)),"")</f>
        <v>0</v>
      </c>
      <c r="AA31" s="491"/>
      <c r="AB31" s="491"/>
      <c r="AC31" s="398" t="s">
        <v>224</v>
      </c>
      <c r="AD31" s="427">
        <f t="shared" ca="1" si="9"/>
        <v>1.3958333333333333</v>
      </c>
      <c r="AE31" s="427">
        <f t="shared" ca="1" si="0"/>
        <v>1112</v>
      </c>
      <c r="AF31" s="427">
        <f t="shared" ref="AF31:AF33" ca="1" si="115">T31</f>
        <v>2.4583333333333335</v>
      </c>
      <c r="AG31" s="427">
        <f t="shared" ca="1" si="2"/>
        <v>2372</v>
      </c>
      <c r="AH31" s="493"/>
      <c r="AI31" s="427">
        <f t="shared" ca="1" si="3"/>
        <v>0</v>
      </c>
      <c r="AJ31" s="493"/>
      <c r="AK31" s="428">
        <f t="shared" ref="AK31:AK33" ca="1" si="116">IF(B31&lt;&gt;"",B31,INDIRECT(ADDRESS(ROW()+1,COLUMN($AK$9),,,)))</f>
        <v>2</v>
      </c>
      <c r="AL31" s="428">
        <f ca="1">IF(A31&lt;&gt;"",IFERROR(INDEX('1_INPUT'!$B$69:$E$89,MATCH($A31,'1_INPUT'!$E$69:$E$89,0),1),""),INDIRECT(ADDRESS(ROW()+1,COLUMN($AL$9),,,)))</f>
        <v>3</v>
      </c>
      <c r="AM31" s="428" t="str">
        <f ca="1">IF(AN31="","",MAX(INDIRECT(ADDRESS(9,COLUMN($AM$9),,,)):INDIRECT(ADDRESS(ROW()-1,COLUMN($AM$9),,,)))+1)</f>
        <v/>
      </c>
      <c r="AN31" s="429" t="str">
        <f>IF($AO31&lt;&gt;"",VLOOKUP($AK31,'1_INPUT'!$B$124:$D$136,2,FALSE),"")</f>
        <v/>
      </c>
      <c r="AO31" s="429" t="str">
        <f t="shared" si="10"/>
        <v/>
      </c>
      <c r="AP31" s="427">
        <f ca="1">SUMIF($AL$10:AL31,$AL31,$I$10:I31)</f>
        <v>9.2708333333333339</v>
      </c>
      <c r="AR31" s="430" t="str">
        <f t="shared" ca="1" si="5"/>
        <v>WORKOVER SECTION</v>
      </c>
      <c r="AS31" s="430">
        <f ca="1">MATCH(AR31,'1_INPUT'!$V$43:$V$64,0)+1</f>
        <v>6</v>
      </c>
      <c r="AT31" s="430">
        <f ca="1">VLOOKUP(AR31,'1_INPUT'!$V$43:$W$64,2,FALSE)</f>
        <v>21</v>
      </c>
      <c r="AU31" s="430">
        <f ca="1">COUNTIF('1_INPUT'!$W$43:$W$64,AT31)-1</f>
        <v>5</v>
      </c>
      <c r="AV31" s="430" t="e">
        <f ca="1">OFFSET('1_INPUT'!$V$42,$AS31,,$AU31,)</f>
        <v>#VALUE!</v>
      </c>
      <c r="AX31" s="430" t="str">
        <f t="shared" ref="AX31:AX33" si="117">IF(A31&lt;&gt;"",""&amp;AR31&amp;"-"&amp;A31&amp;"","")</f>
        <v/>
      </c>
      <c r="CK31" s="9"/>
      <c r="CL31" s="9"/>
    </row>
    <row r="32" spans="1:90" ht="27.6">
      <c r="A32" s="205"/>
      <c r="B32" s="516"/>
      <c r="C32" s="208" t="str">
        <f>IF(D32&lt;&gt;"",MAX($C$9:C26)+1,"")</f>
        <v/>
      </c>
      <c r="D32" s="523"/>
      <c r="E32" s="406"/>
      <c r="F32" s="407"/>
      <c r="G32" s="209">
        <f t="shared" ref="G32" ca="1" si="118">IF(INDIRECT(ADDRESS(ROW()-1,COLUMN(B$7),,,))&lt;&gt;"",INDIRECT(ADDRESS(ROW(),COLUMN(F$7),,,)),INDIRECT(ADDRESS(ROW()-1,COLUMN(G$7),,,))+INDIRECT(ADDRESS(ROW(),COLUMN(F$7),,,)))</f>
        <v>33.5</v>
      </c>
      <c r="H32" s="209">
        <f t="shared" si="11"/>
        <v>0</v>
      </c>
      <c r="I32" s="209">
        <f t="shared" ref="I32" ca="1" si="119">INDIRECT(ADDRESS(ROW()-1,COLUMN(I$7),,,))+INDIRECT(ADDRESS(ROW(),COLUMN(H$7),,,))</f>
        <v>1.3958333333333333</v>
      </c>
      <c r="J32" s="540">
        <v>1112</v>
      </c>
      <c r="K32" s="188"/>
      <c r="L32" s="525" t="s">
        <v>652</v>
      </c>
      <c r="M32" s="400" t="s">
        <v>146</v>
      </c>
      <c r="N32" s="407">
        <v>1</v>
      </c>
      <c r="O32" s="95">
        <f t="shared" ref="O32" ca="1" si="120">IF(INDIRECT(ADDRESS(ROW()-1,COLUMN(B$7),,,))&lt;&gt;"",INDIRECT(ADDRESS(ROW(),COLUMN(N$7),,,)),INDIRECT(ADDRESS(ROW()-1,COLUMN(O$7),,,))+INDIRECT(ADDRESS(ROW(),COLUMN(N$7),,,)))</f>
        <v>60</v>
      </c>
      <c r="P32" s="403">
        <v>2372</v>
      </c>
      <c r="Q32" s="116">
        <f>IF(N32&gt;0,VLOOKUP(M32,'3_TIME SUM'!$F$7:$G$128,2,FALSE),0)</f>
        <v>0</v>
      </c>
      <c r="R32" s="517"/>
      <c r="S32" s="94">
        <f t="shared" si="12"/>
        <v>4.1666666666666664E-2</v>
      </c>
      <c r="T32" s="94">
        <f t="shared" ref="T32" ca="1" si="121">INDIRECT(ADDRESS(ROW()-1,COLUMN(T$7),,,))+INDIRECT(ADDRESS(ROW(),COLUMN(S$7),,,))</f>
        <v>2.5</v>
      </c>
      <c r="U32" s="535">
        <f ca="1">$T32+'1_INPUT'!$E$18</f>
        <v>44946.291666666664</v>
      </c>
      <c r="V32" s="95">
        <f t="shared" ref="V32" ca="1" si="122">IFERROR(IF($AI32=0,($I32-T32)*24,(($P32-INDIRECT(ADDRESS(ROW()-1,COLUMN($P$9),,,)))/$AI32)-$N32+(INDIRECT(ADDRESS(ROW()-1,COLUMN(V$9),,,)))),"")</f>
        <v>-26.5</v>
      </c>
      <c r="W32" s="110">
        <f t="shared" ref="W32" ca="1" si="123">IFERROR(IF(V32&gt;0,TIME(V32,(V32-ROUNDDOWN(V32,0))*60,0)+DAY((ROUNDDOWN(V32,0)/24)),TIME((-V32),((-V32)-ROUNDDOWN((-V32),0))*60,0)+DAY((ROUNDDOWN((-V32),0)/24))),"")</f>
        <v>1.1041666666666667</v>
      </c>
      <c r="X32" s="111">
        <f t="shared" ref="X32" ca="1" si="124">IF(U32=0,"-",ROUNDUP(VALUE(U32),0))</f>
        <v>44947</v>
      </c>
      <c r="Y32" s="112" t="str">
        <f ca="1">IFERROR(IF(SUMIFS($N$9:$N32,$X$9:$X32,ROUNDUP(VALUE(U32),0),$Q$9:$Q32,"npt")=0,"-",SUMIFS($N$9:$N32,$X$9:$X32,ROUNDUP(VALUE(U32),0),$Q$9:$Q32,"npt")/SUMIFS($N$9:$N32,$X$9:$X32,ROUNDUP(VALUE(U32),0))),"")</f>
        <v>-</v>
      </c>
      <c r="Z32" s="112">
        <f ca="1">IFERROR(IF($N32=0,"-",SUMIF($Q$11:$Q32,"npt",$N$11:$N32)/(T32*24)),"")</f>
        <v>0</v>
      </c>
      <c r="AA32" s="491"/>
      <c r="AB32" s="491"/>
      <c r="AC32" s="398" t="s">
        <v>224</v>
      </c>
      <c r="AD32" s="427">
        <f t="shared" ca="1" si="9"/>
        <v>1.3958333333333333</v>
      </c>
      <c r="AE32" s="427">
        <f t="shared" ca="1" si="0"/>
        <v>1112</v>
      </c>
      <c r="AF32" s="427">
        <f t="shared" ref="AF32" ca="1" si="125">T32</f>
        <v>2.5</v>
      </c>
      <c r="AG32" s="427">
        <f t="shared" ca="1" si="2"/>
        <v>2372</v>
      </c>
      <c r="AH32" s="493"/>
      <c r="AI32" s="427">
        <f t="shared" ca="1" si="3"/>
        <v>0</v>
      </c>
      <c r="AJ32" s="493"/>
      <c r="AK32" s="428">
        <f t="shared" ref="AK32" ca="1" si="126">IF(B32&lt;&gt;"",B32,INDIRECT(ADDRESS(ROW()+1,COLUMN($AK$9),,,)))</f>
        <v>2</v>
      </c>
      <c r="AL32" s="428">
        <f ca="1">IF(A32&lt;&gt;"",IFERROR(INDEX('1_INPUT'!$B$69:$E$89,MATCH($A32,'1_INPUT'!$E$69:$E$89,0),1),""),INDIRECT(ADDRESS(ROW()+1,COLUMN($AL$9),,,)))</f>
        <v>3</v>
      </c>
      <c r="AM32" s="428" t="str">
        <f ca="1">IF(AN32="","",MAX(INDIRECT(ADDRESS(9,COLUMN($AM$9),,,)):INDIRECT(ADDRESS(ROW()-1,COLUMN($AM$9),,,)))+1)</f>
        <v/>
      </c>
      <c r="AN32" s="429" t="str">
        <f>IF($AO32&lt;&gt;"",VLOOKUP($AK32,'1_INPUT'!$B$124:$D$136,2,FALSE),"")</f>
        <v/>
      </c>
      <c r="AO32" s="429" t="str">
        <f t="shared" si="10"/>
        <v/>
      </c>
      <c r="AP32" s="427">
        <f ca="1">SUMIF($AL$10:AL32,$AL32,$I$10:I32)</f>
        <v>10.666666666666668</v>
      </c>
      <c r="AR32" s="430" t="str">
        <f t="shared" ca="1" si="5"/>
        <v>WORKOVER SECTION</v>
      </c>
      <c r="AS32" s="430">
        <f ca="1">MATCH(AR32,'1_INPUT'!$V$43:$V$64,0)+1</f>
        <v>6</v>
      </c>
      <c r="AT32" s="430">
        <f ca="1">VLOOKUP(AR32,'1_INPUT'!$V$43:$W$64,2,FALSE)</f>
        <v>21</v>
      </c>
      <c r="AU32" s="430">
        <f ca="1">COUNTIF('1_INPUT'!$W$43:$W$64,AT32)-1</f>
        <v>5</v>
      </c>
      <c r="AV32" s="430" t="e">
        <f ca="1">OFFSET('1_INPUT'!$V$42,$AS32,,$AU32,)</f>
        <v>#VALUE!</v>
      </c>
      <c r="AX32" s="430" t="str">
        <f t="shared" ref="AX32" si="127">IF(A32&lt;&gt;"",""&amp;AR32&amp;"-"&amp;A32&amp;"","")</f>
        <v/>
      </c>
      <c r="CK32" s="9"/>
      <c r="CL32" s="9"/>
    </row>
    <row r="33" spans="1:90" ht="27.6">
      <c r="A33" s="205"/>
      <c r="B33" s="516"/>
      <c r="C33" s="208">
        <f ca="1">IF(D33&lt;&gt;"",MAX($C$9:C31)+1,"")</f>
        <v>12</v>
      </c>
      <c r="D33" s="523" t="s">
        <v>620</v>
      </c>
      <c r="E33" s="406"/>
      <c r="F33" s="407">
        <v>7</v>
      </c>
      <c r="G33" s="209">
        <f t="shared" ca="1" si="108"/>
        <v>40.5</v>
      </c>
      <c r="H33" s="209">
        <f t="shared" si="11"/>
        <v>0.29166666666666669</v>
      </c>
      <c r="I33" s="209">
        <f t="shared" ca="1" si="109"/>
        <v>1.6875</v>
      </c>
      <c r="J33" s="540">
        <v>1112</v>
      </c>
      <c r="K33" s="188"/>
      <c r="L33" s="525" t="s">
        <v>653</v>
      </c>
      <c r="M33" s="400" t="s">
        <v>95</v>
      </c>
      <c r="N33" s="407">
        <v>1</v>
      </c>
      <c r="O33" s="95">
        <f t="shared" ca="1" si="110"/>
        <v>61</v>
      </c>
      <c r="P33" s="403">
        <v>2372</v>
      </c>
      <c r="Q33" s="116">
        <f>IF(N33&gt;0,VLOOKUP(M33,'3_TIME SUM'!$F$7:$G$128,2,FALSE),0)</f>
        <v>0</v>
      </c>
      <c r="R33" s="517"/>
      <c r="S33" s="94">
        <f t="shared" si="12"/>
        <v>4.1666666666666664E-2</v>
      </c>
      <c r="T33" s="94">
        <f t="shared" ca="1" si="111"/>
        <v>2.5416666666666665</v>
      </c>
      <c r="U33" s="535">
        <f ca="1">$T33+'1_INPUT'!$E$18</f>
        <v>44946.333333333328</v>
      </c>
      <c r="V33" s="95">
        <f t="shared" ca="1" si="112"/>
        <v>-20.499999999999996</v>
      </c>
      <c r="W33" s="110">
        <f t="shared" ca="1" si="113"/>
        <v>0.85416666666666663</v>
      </c>
      <c r="X33" s="111">
        <f t="shared" ca="1" si="114"/>
        <v>44947</v>
      </c>
      <c r="Y33" s="112" t="str">
        <f ca="1">IFERROR(IF(SUMIFS($N$9:$N33,$X$9:$X33,ROUNDUP(VALUE(U33),0),$Q$9:$Q33,"npt")=0,"-",SUMIFS($N$9:$N33,$X$9:$X33,ROUNDUP(VALUE(U33),0),$Q$9:$Q33,"npt")/SUMIFS($N$9:$N33,$X$9:$X33,ROUNDUP(VALUE(U33),0))),"")</f>
        <v>-</v>
      </c>
      <c r="Z33" s="112">
        <f ca="1">IFERROR(IF($N33=0,"-",SUMIF($Q$11:$Q33,"npt",$N$11:$N33)/(T33*24)),"")</f>
        <v>0</v>
      </c>
      <c r="AA33" s="491"/>
      <c r="AB33" s="491"/>
      <c r="AC33" s="398" t="s">
        <v>224</v>
      </c>
      <c r="AD33" s="427">
        <f t="shared" ca="1" si="9"/>
        <v>1.6875</v>
      </c>
      <c r="AE33" s="427">
        <f t="shared" ca="1" si="0"/>
        <v>1112</v>
      </c>
      <c r="AF33" s="427">
        <f t="shared" ca="1" si="115"/>
        <v>2.5416666666666665</v>
      </c>
      <c r="AG33" s="427">
        <f t="shared" ca="1" si="2"/>
        <v>2372</v>
      </c>
      <c r="AH33" s="493"/>
      <c r="AI33" s="427">
        <f t="shared" ca="1" si="3"/>
        <v>0</v>
      </c>
      <c r="AJ33" s="493"/>
      <c r="AK33" s="428">
        <f t="shared" ca="1" si="116"/>
        <v>2</v>
      </c>
      <c r="AL33" s="428">
        <f ca="1">IF(A33&lt;&gt;"",IFERROR(INDEX('1_INPUT'!$B$69:$E$89,MATCH($A33,'1_INPUT'!$E$69:$E$89,0),1),""),INDIRECT(ADDRESS(ROW()+1,COLUMN($AL$9),,,)))</f>
        <v>3</v>
      </c>
      <c r="AM33" s="428" t="str">
        <f ca="1">IF(AN33="","",MAX(INDIRECT(ADDRESS(9,COLUMN($AM$9),,,)):INDIRECT(ADDRESS(ROW()-1,COLUMN($AM$9),,,)))+1)</f>
        <v/>
      </c>
      <c r="AN33" s="429" t="str">
        <f>IF($AO33&lt;&gt;"",VLOOKUP($AK33,'1_INPUT'!$B$124:$D$136,2,FALSE),"")</f>
        <v/>
      </c>
      <c r="AO33" s="429" t="str">
        <f t="shared" si="10"/>
        <v/>
      </c>
      <c r="AP33" s="427">
        <f ca="1">SUMIF($AL$10:AL33,$AL33,$I$10:I33)</f>
        <v>12.354166666666668</v>
      </c>
      <c r="AR33" s="430" t="str">
        <f t="shared" ca="1" si="5"/>
        <v>WORKOVER SECTION</v>
      </c>
      <c r="AS33" s="430">
        <f ca="1">MATCH(AR33,'1_INPUT'!$V$43:$V$64,0)+1</f>
        <v>6</v>
      </c>
      <c r="AT33" s="430">
        <f ca="1">VLOOKUP(AR33,'1_INPUT'!$V$43:$W$64,2,FALSE)</f>
        <v>21</v>
      </c>
      <c r="AU33" s="430">
        <f ca="1">COUNTIF('1_INPUT'!$W$43:$W$64,AT33)-1</f>
        <v>5</v>
      </c>
      <c r="AV33" s="430" t="e">
        <f ca="1">OFFSET('1_INPUT'!$V$42,$AS33,,$AU33,)</f>
        <v>#VALUE!</v>
      </c>
      <c r="AX33" s="430" t="str">
        <f t="shared" si="117"/>
        <v/>
      </c>
      <c r="CK33" s="9"/>
      <c r="CL33" s="9"/>
    </row>
    <row r="34" spans="1:90" ht="41.4">
      <c r="A34" s="205"/>
      <c r="B34" s="516"/>
      <c r="C34" s="208" t="str">
        <f>IF(D34&lt;&gt;"",MAX($C$9:C32)+1,"")</f>
        <v/>
      </c>
      <c r="D34" s="523"/>
      <c r="E34" s="406"/>
      <c r="F34" s="407"/>
      <c r="G34" s="209">
        <f t="shared" ref="G34" ca="1" si="128">IF(INDIRECT(ADDRESS(ROW()-1,COLUMN(B$7),,,))&lt;&gt;"",INDIRECT(ADDRESS(ROW(),COLUMN(F$7),,,)),INDIRECT(ADDRESS(ROW()-1,COLUMN(G$7),,,))+INDIRECT(ADDRESS(ROW(),COLUMN(F$7),,,)))</f>
        <v>40.5</v>
      </c>
      <c r="H34" s="209">
        <f t="shared" si="11"/>
        <v>0</v>
      </c>
      <c r="I34" s="209">
        <f t="shared" ref="I34" ca="1" si="129">INDIRECT(ADDRESS(ROW()-1,COLUMN(I$7),,,))+INDIRECT(ADDRESS(ROW(),COLUMN(H$7),,,))</f>
        <v>1.6875</v>
      </c>
      <c r="J34" s="540">
        <v>1112</v>
      </c>
      <c r="K34" s="188"/>
      <c r="L34" s="525" t="s">
        <v>654</v>
      </c>
      <c r="M34" s="400" t="s">
        <v>146</v>
      </c>
      <c r="N34" s="407">
        <v>13</v>
      </c>
      <c r="O34" s="95">
        <f t="shared" ref="O34" ca="1" si="130">IF(INDIRECT(ADDRESS(ROW()-1,COLUMN(B$7),,,))&lt;&gt;"",INDIRECT(ADDRESS(ROW(),COLUMN(N$7),,,)),INDIRECT(ADDRESS(ROW()-1,COLUMN(O$7),,,))+INDIRECT(ADDRESS(ROW(),COLUMN(N$7),,,)))</f>
        <v>74</v>
      </c>
      <c r="P34" s="403">
        <v>2372</v>
      </c>
      <c r="Q34" s="116">
        <f>IF(N34&gt;0,VLOOKUP(M34,'3_TIME SUM'!$F$7:$G$128,2,FALSE),0)</f>
        <v>0</v>
      </c>
      <c r="R34" s="517"/>
      <c r="S34" s="94">
        <f t="shared" si="12"/>
        <v>0.54166666666666663</v>
      </c>
      <c r="T34" s="94">
        <f t="shared" ref="T34" ca="1" si="131">INDIRECT(ADDRESS(ROW()-1,COLUMN(T$7),,,))+INDIRECT(ADDRESS(ROW(),COLUMN(S$7),,,))</f>
        <v>3.083333333333333</v>
      </c>
      <c r="U34" s="535">
        <f ca="1">$T34+'1_INPUT'!$E$18</f>
        <v>44946.875</v>
      </c>
      <c r="V34" s="95">
        <f t="shared" ref="V34" ca="1" si="132">IFERROR(IF($AI34=0,($I34-T34)*24,(($P34-INDIRECT(ADDRESS(ROW()-1,COLUMN($P$9),,,)))/$AI34)-$N34+(INDIRECT(ADDRESS(ROW()-1,COLUMN(V$9),,,)))),"")</f>
        <v>-33.499999999999993</v>
      </c>
      <c r="W34" s="110">
        <f t="shared" ref="W34" ca="1" si="133">IFERROR(IF(V34&gt;0,TIME(V34,(V34-ROUNDDOWN(V34,0))*60,0)+DAY((ROUNDDOWN(V34,0)/24)),TIME((-V34),((-V34)-ROUNDDOWN((-V34),0))*60,0)+DAY((ROUNDDOWN((-V34),0)/24))),"")</f>
        <v>1.3958333333333333</v>
      </c>
      <c r="X34" s="111">
        <f t="shared" ref="X34" ca="1" si="134">IF(U34=0,"-",ROUNDUP(VALUE(U34),0))</f>
        <v>44947</v>
      </c>
      <c r="Y34" s="112" t="str">
        <f ca="1">IFERROR(IF(SUMIFS($N$9:$N34,$X$9:$X34,ROUNDUP(VALUE(U34),0),$Q$9:$Q34,"npt")=0,"-",SUMIFS($N$9:$N34,$X$9:$X34,ROUNDUP(VALUE(U34),0),$Q$9:$Q34,"npt")/SUMIFS($N$9:$N34,$X$9:$X34,ROUNDUP(VALUE(U34),0))),"")</f>
        <v>-</v>
      </c>
      <c r="Z34" s="112">
        <f ca="1">IFERROR(IF($N34=0,"-",SUMIF($Q$11:$Q34,"npt",$N$11:$N34)/(T34*24)),"")</f>
        <v>0</v>
      </c>
      <c r="AA34" s="491"/>
      <c r="AB34" s="491"/>
      <c r="AC34" s="398" t="s">
        <v>224</v>
      </c>
      <c r="AD34" s="427">
        <f t="shared" ca="1" si="9"/>
        <v>1.6875</v>
      </c>
      <c r="AE34" s="427">
        <f t="shared" ca="1" si="0"/>
        <v>1112</v>
      </c>
      <c r="AF34" s="427">
        <f t="shared" ref="AF34" ca="1" si="135">T34</f>
        <v>3.083333333333333</v>
      </c>
      <c r="AG34" s="427">
        <f t="shared" ca="1" si="2"/>
        <v>2372</v>
      </c>
      <c r="AH34" s="493"/>
      <c r="AI34" s="427">
        <f t="shared" ca="1" si="3"/>
        <v>0</v>
      </c>
      <c r="AJ34" s="493"/>
      <c r="AK34" s="428">
        <f t="shared" ref="AK34" ca="1" si="136">IF(B34&lt;&gt;"",B34,INDIRECT(ADDRESS(ROW()+1,COLUMN($AK$9),,,)))</f>
        <v>2</v>
      </c>
      <c r="AL34" s="428">
        <f ca="1">IF(A34&lt;&gt;"",IFERROR(INDEX('1_INPUT'!$B$69:$E$89,MATCH($A34,'1_INPUT'!$E$69:$E$89,0),1),""),INDIRECT(ADDRESS(ROW()+1,COLUMN($AL$9),,,)))</f>
        <v>3</v>
      </c>
      <c r="AM34" s="428" t="str">
        <f ca="1">IF(AN34="","",MAX(INDIRECT(ADDRESS(9,COLUMN($AM$9),,,)):INDIRECT(ADDRESS(ROW()-1,COLUMN($AM$9),,,)))+1)</f>
        <v/>
      </c>
      <c r="AN34" s="429" t="str">
        <f>IF($AO34&lt;&gt;"",VLOOKUP($AK34,'1_INPUT'!$B$124:$D$136,2,FALSE),"")</f>
        <v/>
      </c>
      <c r="AO34" s="429" t="str">
        <f t="shared" si="10"/>
        <v/>
      </c>
      <c r="AP34" s="427">
        <f ca="1">SUMIF($AL$10:AL34,$AL34,$I$10:I34)</f>
        <v>14.041666666666668</v>
      </c>
      <c r="AR34" s="430" t="str">
        <f t="shared" ca="1" si="5"/>
        <v>WORKOVER SECTION</v>
      </c>
      <c r="AS34" s="430">
        <f ca="1">MATCH(AR34,'1_INPUT'!$V$43:$V$64,0)+1</f>
        <v>6</v>
      </c>
      <c r="AT34" s="430">
        <f ca="1">VLOOKUP(AR34,'1_INPUT'!$V$43:$W$64,2,FALSE)</f>
        <v>21</v>
      </c>
      <c r="AU34" s="430">
        <f ca="1">COUNTIF('1_INPUT'!$W$43:$W$64,AT34)-1</f>
        <v>5</v>
      </c>
      <c r="AV34" s="430" t="e">
        <f ca="1">OFFSET('1_INPUT'!$V$42,$AS34,,$AU34,)</f>
        <v>#VALUE!</v>
      </c>
      <c r="AX34" s="430" t="str">
        <f t="shared" ref="AX34" si="137">IF(A34&lt;&gt;"",""&amp;AR34&amp;"-"&amp;A34&amp;"","")</f>
        <v/>
      </c>
      <c r="CK34" s="9"/>
      <c r="CL34" s="9"/>
    </row>
    <row r="35" spans="1:90" ht="13.8">
      <c r="A35" s="205"/>
      <c r="B35" s="516"/>
      <c r="C35" s="208" t="str">
        <f>IF(D35&lt;&gt;"",MAX($C$9:C33)+1,"")</f>
        <v/>
      </c>
      <c r="D35" s="523"/>
      <c r="E35" s="406"/>
      <c r="F35" s="407"/>
      <c r="G35" s="209">
        <f t="shared" ref="G35" ca="1" si="138">IF(INDIRECT(ADDRESS(ROW()-1,COLUMN(B$7),,,))&lt;&gt;"",INDIRECT(ADDRESS(ROW(),COLUMN(F$7),,,)),INDIRECT(ADDRESS(ROW()-1,COLUMN(G$7),,,))+INDIRECT(ADDRESS(ROW(),COLUMN(F$7),,,)))</f>
        <v>40.5</v>
      </c>
      <c r="H35" s="209">
        <f t="shared" si="11"/>
        <v>0</v>
      </c>
      <c r="I35" s="209">
        <f t="shared" ref="I35" ca="1" si="139">INDIRECT(ADDRESS(ROW()-1,COLUMN(I$7),,,))+INDIRECT(ADDRESS(ROW(),COLUMN(H$7),,,))</f>
        <v>1.6875</v>
      </c>
      <c r="J35" s="540">
        <v>1112</v>
      </c>
      <c r="K35" s="188"/>
      <c r="L35" s="525" t="s">
        <v>655</v>
      </c>
      <c r="M35" s="400" t="s">
        <v>37</v>
      </c>
      <c r="N35" s="407">
        <v>1</v>
      </c>
      <c r="O35" s="95">
        <f t="shared" ref="O35" ca="1" si="140">IF(INDIRECT(ADDRESS(ROW()-1,COLUMN(B$7),,,))&lt;&gt;"",INDIRECT(ADDRESS(ROW(),COLUMN(N$7),,,)),INDIRECT(ADDRESS(ROW()-1,COLUMN(O$7),,,))+INDIRECT(ADDRESS(ROW(),COLUMN(N$7),,,)))</f>
        <v>75</v>
      </c>
      <c r="P35" s="403">
        <v>2372</v>
      </c>
      <c r="Q35" s="116">
        <f>IF(N35&gt;0,VLOOKUP(M35,'3_TIME SUM'!$F$7:$G$128,2,FALSE),0)</f>
        <v>0</v>
      </c>
      <c r="R35" s="517"/>
      <c r="S35" s="94">
        <f t="shared" si="12"/>
        <v>4.1666666666666664E-2</v>
      </c>
      <c r="T35" s="94">
        <f t="shared" ref="T35" ca="1" si="141">INDIRECT(ADDRESS(ROW()-1,COLUMN(T$7),,,))+INDIRECT(ADDRESS(ROW(),COLUMN(S$7),,,))</f>
        <v>3.1249999999999996</v>
      </c>
      <c r="U35" s="535">
        <f ca="1">$T35+'1_INPUT'!$E$18</f>
        <v>44946.916666666664</v>
      </c>
      <c r="V35" s="95">
        <f t="shared" ref="V35" ca="1" si="142">IFERROR(IF($AI35=0,($I35-T35)*24,(($P35-INDIRECT(ADDRESS(ROW()-1,COLUMN($P$9),,,)))/$AI35)-$N35+(INDIRECT(ADDRESS(ROW()-1,COLUMN(V$9),,,)))),"")</f>
        <v>-34.499999999999986</v>
      </c>
      <c r="W35" s="110">
        <f t="shared" ref="W35" ca="1" si="143">IFERROR(IF(V35&gt;0,TIME(V35,(V35-ROUNDDOWN(V35,0))*60,0)+DAY((ROUNDDOWN(V35,0)/24)),TIME((-V35),((-V35)-ROUNDDOWN((-V35),0))*60,0)+DAY((ROUNDDOWN((-V35),0)/24))),"")</f>
        <v>1.4375</v>
      </c>
      <c r="X35" s="111">
        <f t="shared" ref="X35" ca="1" si="144">IF(U35=0,"-",ROUNDUP(VALUE(U35),0))</f>
        <v>44947</v>
      </c>
      <c r="Y35" s="112" t="str">
        <f ca="1">IFERROR(IF(SUMIFS($N$9:$N35,$X$9:$X35,ROUNDUP(VALUE(U35),0),$Q$9:$Q35,"npt")=0,"-",SUMIFS($N$9:$N35,$X$9:$X35,ROUNDUP(VALUE(U35),0),$Q$9:$Q35,"npt")/SUMIFS($N$9:$N35,$X$9:$X35,ROUNDUP(VALUE(U35),0))),"")</f>
        <v>-</v>
      </c>
      <c r="Z35" s="112">
        <f ca="1">IFERROR(IF($N35=0,"-",SUMIF($Q$11:$Q35,"npt",$N$11:$N35)/(T35*24)),"")</f>
        <v>0</v>
      </c>
      <c r="AA35" s="491"/>
      <c r="AB35" s="491"/>
      <c r="AC35" s="398" t="s">
        <v>224</v>
      </c>
      <c r="AD35" s="427">
        <f t="shared" ca="1" si="9"/>
        <v>1.6875</v>
      </c>
      <c r="AE35" s="427">
        <f t="shared" ca="1" si="0"/>
        <v>1112</v>
      </c>
      <c r="AF35" s="427">
        <f t="shared" ref="AF35" ca="1" si="145">T35</f>
        <v>3.1249999999999996</v>
      </c>
      <c r="AG35" s="427">
        <f t="shared" ca="1" si="2"/>
        <v>2372</v>
      </c>
      <c r="AH35" s="493"/>
      <c r="AI35" s="427">
        <f t="shared" ca="1" si="3"/>
        <v>0</v>
      </c>
      <c r="AJ35" s="493"/>
      <c r="AK35" s="428">
        <f t="shared" ref="AK35" ca="1" si="146">IF(B35&lt;&gt;"",B35,INDIRECT(ADDRESS(ROW()+1,COLUMN($AK$9),,,)))</f>
        <v>2</v>
      </c>
      <c r="AL35" s="428">
        <f ca="1">IF(A35&lt;&gt;"",IFERROR(INDEX('1_INPUT'!$B$69:$E$89,MATCH($A35,'1_INPUT'!$E$69:$E$89,0),1),""),INDIRECT(ADDRESS(ROW()+1,COLUMN($AL$9),,,)))</f>
        <v>3</v>
      </c>
      <c r="AM35" s="428" t="str">
        <f ca="1">IF(AN35="","",MAX(INDIRECT(ADDRESS(9,COLUMN($AM$9),,,)):INDIRECT(ADDRESS(ROW()-1,COLUMN($AM$9),,,)))+1)</f>
        <v/>
      </c>
      <c r="AN35" s="429" t="str">
        <f>IF($AO35&lt;&gt;"",VLOOKUP($AK35,'1_INPUT'!$B$124:$D$136,2,FALSE),"")</f>
        <v/>
      </c>
      <c r="AO35" s="429" t="str">
        <f t="shared" si="10"/>
        <v/>
      </c>
      <c r="AP35" s="427">
        <f ca="1">SUMIF($AL$10:AL35,$AL35,$I$10:I35)</f>
        <v>15.729166666666668</v>
      </c>
      <c r="AR35" s="430" t="str">
        <f t="shared" ca="1" si="5"/>
        <v>WORKOVER SECTION</v>
      </c>
      <c r="AS35" s="430">
        <f ca="1">MATCH(AR35,'1_INPUT'!$V$43:$V$64,0)+1</f>
        <v>6</v>
      </c>
      <c r="AT35" s="430">
        <f ca="1">VLOOKUP(AR35,'1_INPUT'!$V$43:$W$64,2,FALSE)</f>
        <v>21</v>
      </c>
      <c r="AU35" s="430">
        <f ca="1">COUNTIF('1_INPUT'!$W$43:$W$64,AT35)-1</f>
        <v>5</v>
      </c>
      <c r="AV35" s="430" t="e">
        <f ca="1">OFFSET('1_INPUT'!$V$42,$AS35,,$AU35,)</f>
        <v>#VALUE!</v>
      </c>
      <c r="AX35" s="430" t="str">
        <f t="shared" ref="AX35" si="147">IF(A35&lt;&gt;"",""&amp;AR35&amp;"-"&amp;A35&amp;"","")</f>
        <v/>
      </c>
      <c r="CK35" s="9"/>
      <c r="CL35" s="9"/>
    </row>
    <row r="36" spans="1:90" ht="41.4">
      <c r="A36" s="205"/>
      <c r="B36" s="516"/>
      <c r="C36" s="208">
        <f ca="1">IF(D36&lt;&gt;"",MAX($C$9:C33)+1,"")</f>
        <v>13</v>
      </c>
      <c r="D36" s="523" t="s">
        <v>616</v>
      </c>
      <c r="E36" s="406"/>
      <c r="F36" s="407">
        <v>6</v>
      </c>
      <c r="G36" s="209">
        <f t="shared" ref="G36" ca="1" si="148">IF(INDIRECT(ADDRESS(ROW()-1,COLUMN(B$7),,,))&lt;&gt;"",INDIRECT(ADDRESS(ROW(),COLUMN(F$7),,,)),INDIRECT(ADDRESS(ROW()-1,COLUMN(G$7),,,))+INDIRECT(ADDRESS(ROW(),COLUMN(F$7),,,)))</f>
        <v>46.5</v>
      </c>
      <c r="H36" s="209">
        <f t="shared" si="11"/>
        <v>0.25</v>
      </c>
      <c r="I36" s="209">
        <f t="shared" ref="I36" ca="1" si="149">INDIRECT(ADDRESS(ROW()-1,COLUMN(I$7),,,))+INDIRECT(ADDRESS(ROW(),COLUMN(H$7),,,))</f>
        <v>1.9375</v>
      </c>
      <c r="J36" s="540">
        <v>1112</v>
      </c>
      <c r="K36" s="188"/>
      <c r="L36" s="525" t="s">
        <v>656</v>
      </c>
      <c r="M36" s="400" t="s">
        <v>146</v>
      </c>
      <c r="N36" s="407">
        <v>2</v>
      </c>
      <c r="O36" s="95">
        <f t="shared" ref="O36" ca="1" si="150">IF(INDIRECT(ADDRESS(ROW()-1,COLUMN(B$7),,,))&lt;&gt;"",INDIRECT(ADDRESS(ROW(),COLUMN(N$7),,,)),INDIRECT(ADDRESS(ROW()-1,COLUMN(O$7),,,))+INDIRECT(ADDRESS(ROW(),COLUMN(N$7),,,)))</f>
        <v>77</v>
      </c>
      <c r="P36" s="403">
        <v>2372</v>
      </c>
      <c r="Q36" s="116">
        <f>IF(N36&gt;0,VLOOKUP(M36,'3_TIME SUM'!$F$7:$G$128,2,FALSE),0)</f>
        <v>0</v>
      </c>
      <c r="R36" s="517"/>
      <c r="S36" s="94">
        <f t="shared" si="12"/>
        <v>8.3333333333333329E-2</v>
      </c>
      <c r="T36" s="94">
        <f t="shared" ref="T36" ca="1" si="151">INDIRECT(ADDRESS(ROW()-1,COLUMN(T$7),,,))+INDIRECT(ADDRESS(ROW(),COLUMN(S$7),,,))</f>
        <v>3.208333333333333</v>
      </c>
      <c r="U36" s="539">
        <f ca="1">$T36+'1_INPUT'!$E$18</f>
        <v>44947</v>
      </c>
      <c r="V36" s="95">
        <f t="shared" ref="V36" ca="1" si="152">IFERROR(IF($AI36=0,($I36-T36)*24,(($P36-INDIRECT(ADDRESS(ROW()-1,COLUMN($P$9),,,)))/$AI36)-$N36+(INDIRECT(ADDRESS(ROW()-1,COLUMN(V$9),,,)))),"")</f>
        <v>-30.499999999999993</v>
      </c>
      <c r="W36" s="110">
        <f t="shared" ref="W36" ca="1" si="153">IFERROR(IF(V36&gt;0,TIME(V36,(V36-ROUNDDOWN(V36,0))*60,0)+DAY((ROUNDDOWN(V36,0)/24)),TIME((-V36),((-V36)-ROUNDDOWN((-V36),0))*60,0)+DAY((ROUNDDOWN((-V36),0)/24))),"")</f>
        <v>1.2708333333333333</v>
      </c>
      <c r="X36" s="111">
        <f t="shared" ref="X36" ca="1" si="154">IF(U36=0,"-",ROUNDUP(VALUE(U36),0))</f>
        <v>44947</v>
      </c>
      <c r="Y36" s="112" t="str">
        <f ca="1">IFERROR(IF(SUMIFS($N$9:$N36,$X$9:$X36,ROUNDUP(VALUE(U36),0),$Q$9:$Q36,"npt")=0,"-",SUMIFS($N$9:$N36,$X$9:$X36,ROUNDUP(VALUE(U36),0),$Q$9:$Q36,"npt")/SUMIFS($N$9:$N36,$X$9:$X36,ROUNDUP(VALUE(U36),0))),"")</f>
        <v>-</v>
      </c>
      <c r="Z36" s="112">
        <f ca="1">IFERROR(IF($N36=0,"-",SUMIF($Q$11:$Q36,"npt",$N$11:$N36)/(T36*24)),"")</f>
        <v>0</v>
      </c>
      <c r="AA36" s="491"/>
      <c r="AB36" s="491"/>
      <c r="AC36" s="398" t="s">
        <v>224</v>
      </c>
      <c r="AD36" s="427">
        <f t="shared" ca="1" si="9"/>
        <v>1.9375</v>
      </c>
      <c r="AE36" s="427">
        <f t="shared" ca="1" si="0"/>
        <v>1112</v>
      </c>
      <c r="AF36" s="427">
        <f t="shared" ref="AF36" ca="1" si="155">T36</f>
        <v>3.208333333333333</v>
      </c>
      <c r="AG36" s="427">
        <f t="shared" ca="1" si="2"/>
        <v>2372</v>
      </c>
      <c r="AH36" s="493"/>
      <c r="AI36" s="427">
        <f t="shared" ca="1" si="3"/>
        <v>0</v>
      </c>
      <c r="AJ36" s="493"/>
      <c r="AK36" s="428">
        <f t="shared" ref="AK36" ca="1" si="156">IF(B36&lt;&gt;"",B36,INDIRECT(ADDRESS(ROW()+1,COLUMN($AK$9),,,)))</f>
        <v>2</v>
      </c>
      <c r="AL36" s="428">
        <f ca="1">IF(A36&lt;&gt;"",IFERROR(INDEX('1_INPUT'!$B$69:$E$89,MATCH($A36,'1_INPUT'!$E$69:$E$89,0),1),""),INDIRECT(ADDRESS(ROW()+1,COLUMN($AL$9),,,)))</f>
        <v>3</v>
      </c>
      <c r="AM36" s="428" t="str">
        <f ca="1">IF(AN36="","",MAX(INDIRECT(ADDRESS(9,COLUMN($AM$9),,,)):INDIRECT(ADDRESS(ROW()-1,COLUMN($AM$9),,,)))+1)</f>
        <v/>
      </c>
      <c r="AN36" s="429" t="str">
        <f>IF($AO36&lt;&gt;"",VLOOKUP($AK36,'1_INPUT'!$B$124:$D$136,2,FALSE),"")</f>
        <v/>
      </c>
      <c r="AO36" s="429" t="str">
        <f t="shared" si="10"/>
        <v/>
      </c>
      <c r="AP36" s="427">
        <f ca="1">SUMIF($AL$10:AL36,$AL36,$I$10:I36)</f>
        <v>17.666666666666668</v>
      </c>
      <c r="AR36" s="430" t="str">
        <f t="shared" ca="1" si="5"/>
        <v>WORKOVER SECTION</v>
      </c>
      <c r="AS36" s="430">
        <f ca="1">MATCH(AR36,'1_INPUT'!$V$43:$V$64,0)+1</f>
        <v>6</v>
      </c>
      <c r="AT36" s="430">
        <f ca="1">VLOOKUP(AR36,'1_INPUT'!$V$43:$W$64,2,FALSE)</f>
        <v>21</v>
      </c>
      <c r="AU36" s="430">
        <f ca="1">COUNTIF('1_INPUT'!$W$43:$W$64,AT36)-1</f>
        <v>5</v>
      </c>
      <c r="AV36" s="430" t="e">
        <f ca="1">OFFSET('1_INPUT'!$V$42,$AS36,,$AU36,)</f>
        <v>#VALUE!</v>
      </c>
      <c r="AX36" s="430" t="str">
        <f t="shared" ref="AX36" si="157">IF(A36&lt;&gt;"",""&amp;AR36&amp;"-"&amp;A36&amp;"","")</f>
        <v/>
      </c>
      <c r="CK36" s="9"/>
      <c r="CL36" s="9"/>
    </row>
    <row r="37" spans="1:90" ht="55.2">
      <c r="A37" s="205"/>
      <c r="B37" s="516"/>
      <c r="C37" s="208" t="str">
        <f>IF(D37&lt;&gt;"",MAX($C$9:C34)+1,"")</f>
        <v/>
      </c>
      <c r="D37" s="523"/>
      <c r="E37" s="406"/>
      <c r="F37" s="407"/>
      <c r="G37" s="209">
        <f t="shared" ref="G37:G39" ca="1" si="158">IF(INDIRECT(ADDRESS(ROW()-1,COLUMN(B$7),,,))&lt;&gt;"",INDIRECT(ADDRESS(ROW(),COLUMN(F$7),,,)),INDIRECT(ADDRESS(ROW()-1,COLUMN(G$7),,,))+INDIRECT(ADDRESS(ROW(),COLUMN(F$7),,,)))</f>
        <v>46.5</v>
      </c>
      <c r="H37" s="209">
        <f t="shared" si="11"/>
        <v>0</v>
      </c>
      <c r="I37" s="209">
        <f t="shared" ref="I37:I39" ca="1" si="159">INDIRECT(ADDRESS(ROW()-1,COLUMN(I$7),,,))+INDIRECT(ADDRESS(ROW(),COLUMN(H$7),,,))</f>
        <v>1.9375</v>
      </c>
      <c r="J37" s="540">
        <v>1112</v>
      </c>
      <c r="K37" s="188"/>
      <c r="L37" s="525" t="s">
        <v>657</v>
      </c>
      <c r="M37" s="400" t="s">
        <v>146</v>
      </c>
      <c r="N37" s="407">
        <v>9</v>
      </c>
      <c r="O37" s="95">
        <f t="shared" ref="O37:O39" ca="1" si="160">IF(INDIRECT(ADDRESS(ROW()-1,COLUMN(B$7),,,))&lt;&gt;"",INDIRECT(ADDRESS(ROW(),COLUMN(N$7),,,)),INDIRECT(ADDRESS(ROW()-1,COLUMN(O$7),,,))+INDIRECT(ADDRESS(ROW(),COLUMN(N$7),,,)))</f>
        <v>86</v>
      </c>
      <c r="P37" s="403">
        <v>2372</v>
      </c>
      <c r="Q37" s="116">
        <f>IF(N37&gt;0,VLOOKUP(M37,'3_TIME SUM'!$F$7:$G$128,2,FALSE),0)</f>
        <v>0</v>
      </c>
      <c r="R37" s="517"/>
      <c r="S37" s="94">
        <f t="shared" si="12"/>
        <v>0.375</v>
      </c>
      <c r="T37" s="94">
        <f t="shared" ref="T37:T39" ca="1" si="161">INDIRECT(ADDRESS(ROW()-1,COLUMN(T$7),,,))+INDIRECT(ADDRESS(ROW(),COLUMN(S$7),,,))</f>
        <v>3.583333333333333</v>
      </c>
      <c r="U37" s="535">
        <f ca="1">$T37+'1_INPUT'!$E$18</f>
        <v>44947.375</v>
      </c>
      <c r="V37" s="95">
        <f t="shared" ref="V37:V39" ca="1" si="162">IFERROR(IF($AI37=0,($I37-T37)*24,(($P37-INDIRECT(ADDRESS(ROW()-1,COLUMN($P$9),,,)))/$AI37)-$N37+(INDIRECT(ADDRESS(ROW()-1,COLUMN(V$9),,,)))),"")</f>
        <v>-39.499999999999993</v>
      </c>
      <c r="W37" s="110">
        <f t="shared" ref="W37:W39" ca="1" si="163">IFERROR(IF(V37&gt;0,TIME(V37,(V37-ROUNDDOWN(V37,0))*60,0)+DAY((ROUNDDOWN(V37,0)/24)),TIME((-V37),((-V37)-ROUNDDOWN((-V37),0))*60,0)+DAY((ROUNDDOWN((-V37),0)/24))),"")</f>
        <v>1.6458333333333333</v>
      </c>
      <c r="X37" s="111">
        <f t="shared" ref="X37:X39" ca="1" si="164">IF(U37=0,"-",ROUNDUP(VALUE(U37),0))</f>
        <v>44948</v>
      </c>
      <c r="Y37" s="112" t="str">
        <f ca="1">IFERROR(IF(SUMIFS($N$9:$N37,$X$9:$X37,ROUNDUP(VALUE(U37),0),$Q$9:$Q37,"npt")=0,"-",SUMIFS($N$9:$N37,$X$9:$X37,ROUNDUP(VALUE(U37),0),$Q$9:$Q37,"npt")/SUMIFS($N$9:$N37,$X$9:$X37,ROUNDUP(VALUE(U37),0))),"")</f>
        <v>-</v>
      </c>
      <c r="Z37" s="112">
        <f ca="1">IFERROR(IF($N37=0,"-",SUMIF($Q$11:$Q37,"npt",$N$11:$N37)/(T37*24)),"")</f>
        <v>0</v>
      </c>
      <c r="AA37" s="491"/>
      <c r="AB37" s="491"/>
      <c r="AC37" s="398" t="s">
        <v>224</v>
      </c>
      <c r="AD37" s="427">
        <f t="shared" ca="1" si="9"/>
        <v>1.9375</v>
      </c>
      <c r="AE37" s="427">
        <f t="shared" ca="1" si="0"/>
        <v>1112</v>
      </c>
      <c r="AF37" s="427">
        <f t="shared" ref="AF37:AF39" ca="1" si="165">T37</f>
        <v>3.583333333333333</v>
      </c>
      <c r="AG37" s="427">
        <f t="shared" ca="1" si="2"/>
        <v>2372</v>
      </c>
      <c r="AH37" s="493"/>
      <c r="AI37" s="427">
        <f t="shared" ca="1" si="3"/>
        <v>0</v>
      </c>
      <c r="AJ37" s="493"/>
      <c r="AK37" s="428">
        <f t="shared" ref="AK37:AK39" ca="1" si="166">IF(B37&lt;&gt;"",B37,INDIRECT(ADDRESS(ROW()+1,COLUMN($AK$9),,,)))</f>
        <v>2</v>
      </c>
      <c r="AL37" s="428">
        <f ca="1">IF(A37&lt;&gt;"",IFERROR(INDEX('1_INPUT'!$B$69:$E$89,MATCH($A37,'1_INPUT'!$E$69:$E$89,0),1),""),INDIRECT(ADDRESS(ROW()+1,COLUMN($AL$9),,,)))</f>
        <v>3</v>
      </c>
      <c r="AM37" s="428" t="str">
        <f ca="1">IF(AN37="","",MAX(INDIRECT(ADDRESS(9,COLUMN($AM$9),,,)):INDIRECT(ADDRESS(ROW()-1,COLUMN($AM$9),,,)))+1)</f>
        <v/>
      </c>
      <c r="AN37" s="429" t="str">
        <f>IF($AO37&lt;&gt;"",VLOOKUP($AK37,'1_INPUT'!$B$124:$D$136,2,FALSE),"")</f>
        <v/>
      </c>
      <c r="AO37" s="429" t="str">
        <f t="shared" si="10"/>
        <v/>
      </c>
      <c r="AP37" s="427">
        <f ca="1">SUMIF($AL$10:AL37,$AL37,$I$10:I37)</f>
        <v>19.604166666666668</v>
      </c>
      <c r="AR37" s="430" t="str">
        <f t="shared" ca="1" si="5"/>
        <v>WORKOVER SECTION</v>
      </c>
      <c r="AS37" s="430">
        <f ca="1">MATCH(AR37,'1_INPUT'!$V$43:$V$64,0)+1</f>
        <v>6</v>
      </c>
      <c r="AT37" s="430">
        <f ca="1">VLOOKUP(AR37,'1_INPUT'!$V$43:$W$64,2,FALSE)</f>
        <v>21</v>
      </c>
      <c r="AU37" s="430">
        <f ca="1">COUNTIF('1_INPUT'!$W$43:$W$64,AT37)-1</f>
        <v>5</v>
      </c>
      <c r="AV37" s="430" t="e">
        <f ca="1">OFFSET('1_INPUT'!$V$42,$AS37,,$AU37,)</f>
        <v>#VALUE!</v>
      </c>
      <c r="AX37" s="430" t="str">
        <f t="shared" ref="AX37:AX39" si="167">IF(A37&lt;&gt;"",""&amp;AR37&amp;"-"&amp;A37&amp;"","")</f>
        <v/>
      </c>
      <c r="CK37" s="9"/>
      <c r="CL37" s="9"/>
    </row>
    <row r="38" spans="1:90" ht="55.2">
      <c r="A38" s="205"/>
      <c r="B38" s="516"/>
      <c r="C38" s="208" t="str">
        <f>IF(D38&lt;&gt;"",MAX($C$9:C35)+1,"")</f>
        <v/>
      </c>
      <c r="D38" s="523"/>
      <c r="E38" s="406"/>
      <c r="F38" s="407"/>
      <c r="G38" s="209">
        <f t="shared" ca="1" si="158"/>
        <v>46.5</v>
      </c>
      <c r="H38" s="209">
        <f t="shared" si="11"/>
        <v>0</v>
      </c>
      <c r="I38" s="209">
        <f t="shared" ca="1" si="159"/>
        <v>1.9375</v>
      </c>
      <c r="J38" s="540">
        <v>1112</v>
      </c>
      <c r="K38" s="188"/>
      <c r="L38" s="525" t="s">
        <v>658</v>
      </c>
      <c r="M38" s="400" t="s">
        <v>130</v>
      </c>
      <c r="N38" s="407">
        <v>3</v>
      </c>
      <c r="O38" s="95">
        <f t="shared" ca="1" si="160"/>
        <v>89</v>
      </c>
      <c r="P38" s="403">
        <v>2372</v>
      </c>
      <c r="Q38" s="116">
        <f>IF(N38&gt;0,VLOOKUP(M38,'3_TIME SUM'!$F$7:$G$128,2,FALSE),0)</f>
        <v>0</v>
      </c>
      <c r="R38" s="517"/>
      <c r="S38" s="94">
        <f t="shared" si="12"/>
        <v>0.125</v>
      </c>
      <c r="T38" s="94">
        <f t="shared" ca="1" si="161"/>
        <v>3.708333333333333</v>
      </c>
      <c r="U38" s="535">
        <f ca="1">$T38+'1_INPUT'!$E$18</f>
        <v>44947.5</v>
      </c>
      <c r="V38" s="95">
        <f t="shared" ca="1" si="162"/>
        <v>-42.499999999999993</v>
      </c>
      <c r="W38" s="110">
        <f t="shared" ca="1" si="163"/>
        <v>1.7708333333333333</v>
      </c>
      <c r="X38" s="111">
        <f t="shared" ca="1" si="164"/>
        <v>44948</v>
      </c>
      <c r="Y38" s="112" t="str">
        <f ca="1">IFERROR(IF(SUMIFS($N$9:$N38,$X$9:$X38,ROUNDUP(VALUE(U38),0),$Q$9:$Q38,"npt")=0,"-",SUMIFS($N$9:$N38,$X$9:$X38,ROUNDUP(VALUE(U38),0),$Q$9:$Q38,"npt")/SUMIFS($N$9:$N38,$X$9:$X38,ROUNDUP(VALUE(U38),0))),"")</f>
        <v>-</v>
      </c>
      <c r="Z38" s="112">
        <f ca="1">IFERROR(IF($N38=0,"-",SUMIF($Q$11:$Q38,"npt",$N$11:$N38)/(T38*24)),"")</f>
        <v>0</v>
      </c>
      <c r="AA38" s="491"/>
      <c r="AB38" s="491"/>
      <c r="AC38" s="398" t="s">
        <v>224</v>
      </c>
      <c r="AD38" s="427">
        <f t="shared" ca="1" si="9"/>
        <v>1.9375</v>
      </c>
      <c r="AE38" s="427">
        <f t="shared" ca="1" si="0"/>
        <v>1112</v>
      </c>
      <c r="AF38" s="427">
        <f t="shared" ca="1" si="165"/>
        <v>3.708333333333333</v>
      </c>
      <c r="AG38" s="427">
        <f t="shared" ca="1" si="2"/>
        <v>2372</v>
      </c>
      <c r="AH38" s="493"/>
      <c r="AI38" s="427">
        <f t="shared" ca="1" si="3"/>
        <v>0</v>
      </c>
      <c r="AJ38" s="493"/>
      <c r="AK38" s="428">
        <f t="shared" ca="1" si="166"/>
        <v>2</v>
      </c>
      <c r="AL38" s="428">
        <f ca="1">IF(A38&lt;&gt;"",IFERROR(INDEX('1_INPUT'!$B$69:$E$89,MATCH($A38,'1_INPUT'!$E$69:$E$89,0),1),""),INDIRECT(ADDRESS(ROW()+1,COLUMN($AL$9),,,)))</f>
        <v>3</v>
      </c>
      <c r="AM38" s="428" t="str">
        <f ca="1">IF(AN38="","",MAX(INDIRECT(ADDRESS(9,COLUMN($AM$9),,,)):INDIRECT(ADDRESS(ROW()-1,COLUMN($AM$9),,,)))+1)</f>
        <v/>
      </c>
      <c r="AN38" s="429" t="str">
        <f>IF($AO38&lt;&gt;"",VLOOKUP($AK38,'1_INPUT'!$B$124:$D$136,2,FALSE),"")</f>
        <v/>
      </c>
      <c r="AO38" s="429" t="str">
        <f t="shared" si="10"/>
        <v/>
      </c>
      <c r="AP38" s="427">
        <f ca="1">SUMIF($AL$10:AL38,$AL38,$I$10:I38)</f>
        <v>21.541666666666668</v>
      </c>
      <c r="AR38" s="430" t="str">
        <f t="shared" ca="1" si="5"/>
        <v>WORKOVER SECTION</v>
      </c>
      <c r="AS38" s="430">
        <f ca="1">MATCH(AR38,'1_INPUT'!$V$43:$V$64,0)+1</f>
        <v>6</v>
      </c>
      <c r="AT38" s="430">
        <f ca="1">VLOOKUP(AR38,'1_INPUT'!$V$43:$W$64,2,FALSE)</f>
        <v>21</v>
      </c>
      <c r="AU38" s="430">
        <f ca="1">COUNTIF('1_INPUT'!$W$43:$W$64,AT38)-1</f>
        <v>5</v>
      </c>
      <c r="AV38" s="430" t="e">
        <f ca="1">OFFSET('1_INPUT'!$V$42,$AS38,,$AU38,)</f>
        <v>#VALUE!</v>
      </c>
      <c r="AX38" s="430" t="str">
        <f t="shared" si="167"/>
        <v/>
      </c>
      <c r="CK38" s="9"/>
      <c r="CL38" s="9"/>
    </row>
    <row r="39" spans="1:90" ht="41.4">
      <c r="A39" s="205"/>
      <c r="B39" s="516"/>
      <c r="C39" s="208" t="str">
        <f>IF(D39&lt;&gt;"",MAX($C$9:C36)+1,"")</f>
        <v/>
      </c>
      <c r="D39" s="523"/>
      <c r="E39" s="406"/>
      <c r="F39" s="407"/>
      <c r="G39" s="209">
        <f t="shared" ca="1" si="158"/>
        <v>46.5</v>
      </c>
      <c r="H39" s="209">
        <f t="shared" si="11"/>
        <v>0</v>
      </c>
      <c r="I39" s="209">
        <f t="shared" ca="1" si="159"/>
        <v>1.9375</v>
      </c>
      <c r="J39" s="540">
        <v>1112</v>
      </c>
      <c r="K39" s="188"/>
      <c r="L39" s="525" t="s">
        <v>659</v>
      </c>
      <c r="M39" s="400" t="s">
        <v>146</v>
      </c>
      <c r="N39" s="407">
        <v>1</v>
      </c>
      <c r="O39" s="95">
        <f t="shared" ca="1" si="160"/>
        <v>90</v>
      </c>
      <c r="P39" s="403">
        <v>2372</v>
      </c>
      <c r="Q39" s="116">
        <f>IF(N39&gt;0,VLOOKUP(M39,'3_TIME SUM'!$F$7:$G$128,2,FALSE),0)</f>
        <v>0</v>
      </c>
      <c r="R39" s="517"/>
      <c r="S39" s="94">
        <f t="shared" si="12"/>
        <v>4.1666666666666664E-2</v>
      </c>
      <c r="T39" s="94">
        <f t="shared" ca="1" si="161"/>
        <v>3.7499999999999996</v>
      </c>
      <c r="U39" s="535">
        <f ca="1">$T39+'1_INPUT'!$E$18</f>
        <v>44947.541666666664</v>
      </c>
      <c r="V39" s="95">
        <f t="shared" ca="1" si="162"/>
        <v>-43.499999999999986</v>
      </c>
      <c r="W39" s="110">
        <f t="shared" ca="1" si="163"/>
        <v>1.8125</v>
      </c>
      <c r="X39" s="111">
        <f t="shared" ca="1" si="164"/>
        <v>44948</v>
      </c>
      <c r="Y39" s="112" t="str">
        <f ca="1">IFERROR(IF(SUMIFS($N$9:$N39,$X$9:$X39,ROUNDUP(VALUE(U39),0),$Q$9:$Q39,"npt")=0,"-",SUMIFS($N$9:$N39,$X$9:$X39,ROUNDUP(VALUE(U39),0),$Q$9:$Q39,"npt")/SUMIFS($N$9:$N39,$X$9:$X39,ROUNDUP(VALUE(U39),0))),"")</f>
        <v>-</v>
      </c>
      <c r="Z39" s="112">
        <f ca="1">IFERROR(IF($N39=0,"-",SUMIF($Q$11:$Q39,"npt",$N$11:$N39)/(T39*24)),"")</f>
        <v>0</v>
      </c>
      <c r="AA39" s="491"/>
      <c r="AB39" s="491"/>
      <c r="AC39" s="398" t="s">
        <v>224</v>
      </c>
      <c r="AD39" s="427">
        <f t="shared" ca="1" si="9"/>
        <v>1.9375</v>
      </c>
      <c r="AE39" s="427">
        <f t="shared" ca="1" si="0"/>
        <v>1112</v>
      </c>
      <c r="AF39" s="427">
        <f t="shared" ca="1" si="165"/>
        <v>3.7499999999999996</v>
      </c>
      <c r="AG39" s="427">
        <f t="shared" ca="1" si="2"/>
        <v>2372</v>
      </c>
      <c r="AH39" s="493"/>
      <c r="AI39" s="427">
        <f t="shared" ca="1" si="3"/>
        <v>0</v>
      </c>
      <c r="AJ39" s="493"/>
      <c r="AK39" s="428">
        <f t="shared" ca="1" si="166"/>
        <v>2</v>
      </c>
      <c r="AL39" s="428">
        <f ca="1">IF(A39&lt;&gt;"",IFERROR(INDEX('1_INPUT'!$B$69:$E$89,MATCH($A39,'1_INPUT'!$E$69:$E$89,0),1),""),INDIRECT(ADDRESS(ROW()+1,COLUMN($AL$9),,,)))</f>
        <v>3</v>
      </c>
      <c r="AM39" s="428" t="str">
        <f ca="1">IF(AN39="","",MAX(INDIRECT(ADDRESS(9,COLUMN($AM$9),,,)):INDIRECT(ADDRESS(ROW()-1,COLUMN($AM$9),,,)))+1)</f>
        <v/>
      </c>
      <c r="AN39" s="429" t="str">
        <f>IF($AO39&lt;&gt;"",VLOOKUP($AK39,'1_INPUT'!$B$124:$D$136,2,FALSE),"")</f>
        <v/>
      </c>
      <c r="AO39" s="429" t="str">
        <f t="shared" si="10"/>
        <v/>
      </c>
      <c r="AP39" s="427">
        <f ca="1">SUMIF($AL$10:AL39,$AL39,$I$10:I39)</f>
        <v>23.479166666666668</v>
      </c>
      <c r="AR39" s="430" t="str">
        <f t="shared" ca="1" si="5"/>
        <v>WORKOVER SECTION</v>
      </c>
      <c r="AS39" s="430">
        <f ca="1">MATCH(AR39,'1_INPUT'!$V$43:$V$64,0)+1</f>
        <v>6</v>
      </c>
      <c r="AT39" s="430">
        <f ca="1">VLOOKUP(AR39,'1_INPUT'!$V$43:$W$64,2,FALSE)</f>
        <v>21</v>
      </c>
      <c r="AU39" s="430">
        <f ca="1">COUNTIF('1_INPUT'!$W$43:$W$64,AT39)-1</f>
        <v>5</v>
      </c>
      <c r="AV39" s="430" t="e">
        <f ca="1">OFFSET('1_INPUT'!$V$42,$AS39,,$AU39,)</f>
        <v>#VALUE!</v>
      </c>
      <c r="AX39" s="430" t="str">
        <f t="shared" si="167"/>
        <v/>
      </c>
      <c r="CK39" s="9"/>
      <c r="CL39" s="9"/>
    </row>
    <row r="40" spans="1:90" ht="55.2">
      <c r="A40" s="205"/>
      <c r="B40" s="516"/>
      <c r="C40" s="208">
        <f ca="1">IF(D40&lt;&gt;"",MAX($C$9:C36)+1,"")</f>
        <v>14</v>
      </c>
      <c r="D40" s="523" t="s">
        <v>617</v>
      </c>
      <c r="E40" s="406"/>
      <c r="F40" s="407">
        <v>6</v>
      </c>
      <c r="G40" s="209">
        <f t="shared" ca="1" si="48"/>
        <v>52.5</v>
      </c>
      <c r="H40" s="209">
        <f t="shared" si="11"/>
        <v>0.25</v>
      </c>
      <c r="I40" s="209">
        <f t="shared" ca="1" si="49"/>
        <v>2.1875</v>
      </c>
      <c r="J40" s="540">
        <v>1112</v>
      </c>
      <c r="K40" s="188"/>
      <c r="L40" s="525" t="s">
        <v>660</v>
      </c>
      <c r="M40" s="400" t="s">
        <v>197</v>
      </c>
      <c r="N40" s="407">
        <v>2</v>
      </c>
      <c r="O40" s="95">
        <f t="shared" ca="1" si="50"/>
        <v>92</v>
      </c>
      <c r="P40" s="403">
        <v>2372</v>
      </c>
      <c r="Q40" s="116">
        <f>IF(N40&gt;0,VLOOKUP(M40,'3_TIME SUM'!$F$7:$G$128,2,FALSE),0)</f>
        <v>0</v>
      </c>
      <c r="R40" s="517"/>
      <c r="S40" s="94">
        <f t="shared" si="12"/>
        <v>8.3333333333333329E-2</v>
      </c>
      <c r="T40" s="94">
        <f t="shared" ca="1" si="51"/>
        <v>3.833333333333333</v>
      </c>
      <c r="U40" s="535">
        <f ca="1">$T40+'1_INPUT'!$E$18</f>
        <v>44947.625</v>
      </c>
      <c r="V40" s="95">
        <f t="shared" ca="1" si="7"/>
        <v>-39.499999999999993</v>
      </c>
      <c r="W40" s="110">
        <f t="shared" ca="1" si="8"/>
        <v>1.6458333333333333</v>
      </c>
      <c r="X40" s="111">
        <f t="shared" ca="1" si="52"/>
        <v>44948</v>
      </c>
      <c r="Y40" s="112" t="str">
        <f ca="1">IFERROR(IF(SUMIFS($N$9:$N40,$X$9:$X40,ROUNDUP(VALUE(U40),0),$Q$9:$Q40,"npt")=0,"-",SUMIFS($N$9:$N40,$X$9:$X40,ROUNDUP(VALUE(U40),0),$Q$9:$Q40,"npt")/SUMIFS($N$9:$N40,$X$9:$X40,ROUNDUP(VALUE(U40),0))),"")</f>
        <v>-</v>
      </c>
      <c r="Z40" s="112">
        <f ca="1">IFERROR(IF($N40=0,"-",SUMIF($Q$11:$Q40,"npt",$N$11:$N40)/(T40*24)),"")</f>
        <v>0</v>
      </c>
      <c r="AA40" s="491"/>
      <c r="AB40" s="491"/>
      <c r="AC40" s="398" t="s">
        <v>224</v>
      </c>
      <c r="AD40" s="427">
        <f t="shared" ca="1" si="9"/>
        <v>2.1875</v>
      </c>
      <c r="AE40" s="427">
        <f t="shared" ca="1" si="0"/>
        <v>1112</v>
      </c>
      <c r="AF40" s="427">
        <f t="shared" ca="1" si="1"/>
        <v>3.833333333333333</v>
      </c>
      <c r="AG40" s="427">
        <f t="shared" ca="1" si="2"/>
        <v>2372</v>
      </c>
      <c r="AH40" s="493"/>
      <c r="AI40" s="427">
        <f t="shared" ca="1" si="3"/>
        <v>0</v>
      </c>
      <c r="AJ40" s="493"/>
      <c r="AK40" s="428">
        <f t="shared" ca="1" si="4"/>
        <v>2</v>
      </c>
      <c r="AL40" s="428">
        <f ca="1">IF(A40&lt;&gt;"",IFERROR(INDEX('1_INPUT'!$B$69:$E$89,MATCH($A40,'1_INPUT'!$E$69:$E$89,0),1),""),INDIRECT(ADDRESS(ROW()+1,COLUMN($AL$9),,,)))</f>
        <v>3</v>
      </c>
      <c r="AM40" s="428" t="str">
        <f ca="1">IF(AN40="","",MAX(INDIRECT(ADDRESS(9,COLUMN($AM$9),,,)):INDIRECT(ADDRESS(ROW()-1,COLUMN($AM$9),,,)))+1)</f>
        <v/>
      </c>
      <c r="AN40" s="429" t="str">
        <f>IF($AO40&lt;&gt;"",VLOOKUP($AK40,'1_INPUT'!$B$124:$D$136,2,FALSE),"")</f>
        <v/>
      </c>
      <c r="AO40" s="429" t="str">
        <f t="shared" si="10"/>
        <v/>
      </c>
      <c r="AP40" s="427">
        <f ca="1">SUMIF($AL$10:AL40,$AL40,$I$10:I40)</f>
        <v>25.666666666666668</v>
      </c>
      <c r="AR40" s="430" t="str">
        <f t="shared" ca="1" si="5"/>
        <v>WORKOVER SECTION</v>
      </c>
      <c r="AS40" s="430">
        <f ca="1">MATCH(AR40,'1_INPUT'!$V$43:$V$64,0)+1</f>
        <v>6</v>
      </c>
      <c r="AT40" s="430">
        <f ca="1">VLOOKUP(AR40,'1_INPUT'!$V$43:$W$64,2,FALSE)</f>
        <v>21</v>
      </c>
      <c r="AU40" s="430">
        <f ca="1">COUNTIF('1_INPUT'!$W$43:$W$64,AT40)-1</f>
        <v>5</v>
      </c>
      <c r="AV40" s="430" t="e">
        <f ca="1">OFFSET('1_INPUT'!$V$42,$AS40,,$AU40,)</f>
        <v>#VALUE!</v>
      </c>
      <c r="AX40" s="430" t="str">
        <f t="shared" si="6"/>
        <v/>
      </c>
      <c r="CK40" s="9"/>
      <c r="CL40" s="9"/>
    </row>
    <row r="41" spans="1:90" ht="55.2">
      <c r="A41" s="205"/>
      <c r="B41" s="516"/>
      <c r="C41" s="208" t="str">
        <f>IF(D41&lt;&gt;"",MAX($C$9:C37)+1,"")</f>
        <v/>
      </c>
      <c r="D41" s="523"/>
      <c r="E41" s="406"/>
      <c r="F41" s="407"/>
      <c r="G41" s="209">
        <f t="shared" ref="G41:G42" ca="1" si="168">IF(INDIRECT(ADDRESS(ROW()-1,COLUMN(B$7),,,))&lt;&gt;"",INDIRECT(ADDRESS(ROW(),COLUMN(F$7),,,)),INDIRECT(ADDRESS(ROW()-1,COLUMN(G$7),,,))+INDIRECT(ADDRESS(ROW(),COLUMN(F$7),,,)))</f>
        <v>52.5</v>
      </c>
      <c r="H41" s="209">
        <f t="shared" si="11"/>
        <v>0</v>
      </c>
      <c r="I41" s="209">
        <f t="shared" ref="I41:I42" ca="1" si="169">INDIRECT(ADDRESS(ROW()-1,COLUMN(I$7),,,))+INDIRECT(ADDRESS(ROW(),COLUMN(H$7),,,))</f>
        <v>2.1875</v>
      </c>
      <c r="J41" s="540">
        <v>1112</v>
      </c>
      <c r="K41" s="188"/>
      <c r="L41" s="525" t="s">
        <v>661</v>
      </c>
      <c r="M41" s="400" t="s">
        <v>197</v>
      </c>
      <c r="N41" s="407">
        <v>1</v>
      </c>
      <c r="O41" s="95">
        <f t="shared" ref="O41:O42" ca="1" si="170">IF(INDIRECT(ADDRESS(ROW()-1,COLUMN(B$7),,,))&lt;&gt;"",INDIRECT(ADDRESS(ROW(),COLUMN(N$7),,,)),INDIRECT(ADDRESS(ROW()-1,COLUMN(O$7),,,))+INDIRECT(ADDRESS(ROW(),COLUMN(N$7),,,)))</f>
        <v>93</v>
      </c>
      <c r="P41" s="403">
        <v>2372</v>
      </c>
      <c r="Q41" s="116">
        <f>IF(N41&gt;0,VLOOKUP(M41,'3_TIME SUM'!$F$7:$G$128,2,FALSE),0)</f>
        <v>0</v>
      </c>
      <c r="R41" s="517"/>
      <c r="S41" s="94">
        <f t="shared" si="12"/>
        <v>4.1666666666666664E-2</v>
      </c>
      <c r="T41" s="94">
        <f t="shared" ref="T41:T42" ca="1" si="171">INDIRECT(ADDRESS(ROW()-1,COLUMN(T$7),,,))+INDIRECT(ADDRESS(ROW(),COLUMN(S$7),,,))</f>
        <v>3.8749999999999996</v>
      </c>
      <c r="U41" s="535">
        <f ca="1">$T41+'1_INPUT'!$E$18</f>
        <v>44947.666666666664</v>
      </c>
      <c r="V41" s="95">
        <f t="shared" ref="V41:V42" ca="1" si="172">IFERROR(IF($AI41=0,($I41-T41)*24,(($P41-INDIRECT(ADDRESS(ROW()-1,COLUMN($P$9),,,)))/$AI41)-$N41+(INDIRECT(ADDRESS(ROW()-1,COLUMN(V$9),,,)))),"")</f>
        <v>-40.499999999999986</v>
      </c>
      <c r="W41" s="110">
        <f t="shared" ref="W41:W42" ca="1" si="173">IFERROR(IF(V41&gt;0,TIME(V41,(V41-ROUNDDOWN(V41,0))*60,0)+DAY((ROUNDDOWN(V41,0)/24)),TIME((-V41),((-V41)-ROUNDDOWN((-V41),0))*60,0)+DAY((ROUNDDOWN((-V41),0)/24))),"")</f>
        <v>1.6875</v>
      </c>
      <c r="X41" s="111">
        <f t="shared" ref="X41:X42" ca="1" si="174">IF(U41=0,"-",ROUNDUP(VALUE(U41),0))</f>
        <v>44948</v>
      </c>
      <c r="Y41" s="112" t="str">
        <f ca="1">IFERROR(IF(SUMIFS($N$9:$N41,$X$9:$X41,ROUNDUP(VALUE(U41),0),$Q$9:$Q41,"npt")=0,"-",SUMIFS($N$9:$N41,$X$9:$X41,ROUNDUP(VALUE(U41),0),$Q$9:$Q41,"npt")/SUMIFS($N$9:$N41,$X$9:$X41,ROUNDUP(VALUE(U41),0))),"")</f>
        <v>-</v>
      </c>
      <c r="Z41" s="112">
        <f ca="1">IFERROR(IF($N41=0,"-",SUMIF($Q$11:$Q41,"npt",$N$11:$N41)/(T41*24)),"")</f>
        <v>0</v>
      </c>
      <c r="AA41" s="491"/>
      <c r="AB41" s="491"/>
      <c r="AC41" s="398" t="s">
        <v>224</v>
      </c>
      <c r="AD41" s="427">
        <f t="shared" ca="1" si="9"/>
        <v>2.1875</v>
      </c>
      <c r="AE41" s="427">
        <f t="shared" ca="1" si="0"/>
        <v>1112</v>
      </c>
      <c r="AF41" s="427">
        <f t="shared" ref="AF41:AF42" ca="1" si="175">T41</f>
        <v>3.8749999999999996</v>
      </c>
      <c r="AG41" s="427">
        <f t="shared" ca="1" si="2"/>
        <v>2372</v>
      </c>
      <c r="AH41" s="493"/>
      <c r="AI41" s="427">
        <f t="shared" ca="1" si="3"/>
        <v>0</v>
      </c>
      <c r="AJ41" s="493"/>
      <c r="AK41" s="428">
        <f t="shared" ref="AK41:AK42" ca="1" si="176">IF(B41&lt;&gt;"",B41,INDIRECT(ADDRESS(ROW()+1,COLUMN($AK$9),,,)))</f>
        <v>2</v>
      </c>
      <c r="AL41" s="428">
        <f ca="1">IF(A41&lt;&gt;"",IFERROR(INDEX('1_INPUT'!$B$69:$E$89,MATCH($A41,'1_INPUT'!$E$69:$E$89,0),1),""),INDIRECT(ADDRESS(ROW()+1,COLUMN($AL$9),,,)))</f>
        <v>3</v>
      </c>
      <c r="AM41" s="428" t="str">
        <f ca="1">IF(AN41="","",MAX(INDIRECT(ADDRESS(9,COLUMN($AM$9),,,)):INDIRECT(ADDRESS(ROW()-1,COLUMN($AM$9),,,)))+1)</f>
        <v/>
      </c>
      <c r="AN41" s="429" t="str">
        <f>IF($AO41&lt;&gt;"",VLOOKUP($AK41,'1_INPUT'!$B$124:$D$136,2,FALSE),"")</f>
        <v/>
      </c>
      <c r="AO41" s="429" t="str">
        <f t="shared" si="10"/>
        <v/>
      </c>
      <c r="AP41" s="427">
        <f ca="1">SUMIF($AL$10:AL41,$AL41,$I$10:I41)</f>
        <v>27.854166666666668</v>
      </c>
      <c r="AR41" s="430" t="str">
        <f t="shared" ca="1" si="5"/>
        <v>WORKOVER SECTION</v>
      </c>
      <c r="AS41" s="430">
        <f ca="1">MATCH(AR41,'1_INPUT'!$V$43:$V$64,0)+1</f>
        <v>6</v>
      </c>
      <c r="AT41" s="430">
        <f ca="1">VLOOKUP(AR41,'1_INPUT'!$V$43:$W$64,2,FALSE)</f>
        <v>21</v>
      </c>
      <c r="AU41" s="430">
        <f ca="1">COUNTIF('1_INPUT'!$W$43:$W$64,AT41)-1</f>
        <v>5</v>
      </c>
      <c r="AV41" s="430" t="e">
        <f ca="1">OFFSET('1_INPUT'!$V$42,$AS41,,$AU41,)</f>
        <v>#VALUE!</v>
      </c>
      <c r="AX41" s="430" t="str">
        <f t="shared" ref="AX41:AX42" si="177">IF(A41&lt;&gt;"",""&amp;AR41&amp;"-"&amp;A41&amp;"","")</f>
        <v/>
      </c>
      <c r="CK41" s="9"/>
      <c r="CL41" s="9"/>
    </row>
    <row r="42" spans="1:90" ht="193.2">
      <c r="A42" s="205"/>
      <c r="B42" s="516"/>
      <c r="C42" s="208" t="str">
        <f>IF(D42&lt;&gt;"",MAX($C$9:C38)+1,"")</f>
        <v/>
      </c>
      <c r="D42" s="523"/>
      <c r="E42" s="406"/>
      <c r="F42" s="407"/>
      <c r="G42" s="209">
        <f t="shared" ca="1" si="168"/>
        <v>52.5</v>
      </c>
      <c r="H42" s="209">
        <f t="shared" si="11"/>
        <v>0</v>
      </c>
      <c r="I42" s="209">
        <f t="shared" ca="1" si="169"/>
        <v>2.1875</v>
      </c>
      <c r="J42" s="540">
        <v>1112</v>
      </c>
      <c r="K42" s="188"/>
      <c r="L42" s="525" t="s">
        <v>662</v>
      </c>
      <c r="M42" s="400" t="s">
        <v>197</v>
      </c>
      <c r="N42" s="407">
        <v>3</v>
      </c>
      <c r="O42" s="95">
        <f t="shared" ca="1" si="170"/>
        <v>96</v>
      </c>
      <c r="P42" s="403">
        <v>2372</v>
      </c>
      <c r="Q42" s="116">
        <f>IF(N42&gt;0,VLOOKUP(M42,'3_TIME SUM'!$F$7:$G$128,2,FALSE),0)</f>
        <v>0</v>
      </c>
      <c r="R42" s="517"/>
      <c r="S42" s="94">
        <f t="shared" si="12"/>
        <v>0.125</v>
      </c>
      <c r="T42" s="94">
        <f t="shared" ca="1" si="171"/>
        <v>3.9999999999999996</v>
      </c>
      <c r="U42" s="535">
        <f ca="1">$T42+'1_INPUT'!$E$18</f>
        <v>44947.791666666664</v>
      </c>
      <c r="V42" s="95">
        <f t="shared" ca="1" si="172"/>
        <v>-43.499999999999986</v>
      </c>
      <c r="W42" s="110">
        <f t="shared" ca="1" si="173"/>
        <v>1.8125</v>
      </c>
      <c r="X42" s="111">
        <f t="shared" ca="1" si="174"/>
        <v>44948</v>
      </c>
      <c r="Y42" s="112" t="str">
        <f ca="1">IFERROR(IF(SUMIFS($N$9:$N42,$X$9:$X42,ROUNDUP(VALUE(U42),0),$Q$9:$Q42,"npt")=0,"-",SUMIFS($N$9:$N42,$X$9:$X42,ROUNDUP(VALUE(U42),0),$Q$9:$Q42,"npt")/SUMIFS($N$9:$N42,$X$9:$X42,ROUNDUP(VALUE(U42),0))),"")</f>
        <v>-</v>
      </c>
      <c r="Z42" s="112">
        <f ca="1">IFERROR(IF($N42=0,"-",SUMIF($Q$11:$Q42,"npt",$N$11:$N42)/(T42*24)),"")</f>
        <v>0</v>
      </c>
      <c r="AA42" s="491"/>
      <c r="AB42" s="491"/>
      <c r="AC42" s="398" t="s">
        <v>224</v>
      </c>
      <c r="AD42" s="427">
        <f t="shared" ca="1" si="9"/>
        <v>2.1875</v>
      </c>
      <c r="AE42" s="427">
        <f t="shared" ca="1" si="0"/>
        <v>1112</v>
      </c>
      <c r="AF42" s="427">
        <f t="shared" ca="1" si="175"/>
        <v>3.9999999999999996</v>
      </c>
      <c r="AG42" s="427">
        <f t="shared" ca="1" si="2"/>
        <v>2372</v>
      </c>
      <c r="AH42" s="493"/>
      <c r="AI42" s="427">
        <f t="shared" ca="1" si="3"/>
        <v>0</v>
      </c>
      <c r="AJ42" s="493"/>
      <c r="AK42" s="428">
        <f t="shared" ca="1" si="176"/>
        <v>2</v>
      </c>
      <c r="AL42" s="428">
        <f ca="1">IF(A42&lt;&gt;"",IFERROR(INDEX('1_INPUT'!$B$69:$E$89,MATCH($A42,'1_INPUT'!$E$69:$E$89,0),1),""),INDIRECT(ADDRESS(ROW()+1,COLUMN($AL$9),,,)))</f>
        <v>3</v>
      </c>
      <c r="AM42" s="428" t="str">
        <f ca="1">IF(AN42="","",MAX(INDIRECT(ADDRESS(9,COLUMN($AM$9),,,)):INDIRECT(ADDRESS(ROW()-1,COLUMN($AM$9),,,)))+1)</f>
        <v/>
      </c>
      <c r="AN42" s="429" t="str">
        <f>IF($AO42&lt;&gt;"",VLOOKUP($AK42,'1_INPUT'!$B$124:$D$136,2,FALSE),"")</f>
        <v/>
      </c>
      <c r="AO42" s="429" t="str">
        <f t="shared" si="10"/>
        <v/>
      </c>
      <c r="AP42" s="427">
        <f ca="1">SUMIF($AL$10:AL42,$AL42,$I$10:I42)</f>
        <v>30.041666666666668</v>
      </c>
      <c r="AR42" s="430" t="str">
        <f t="shared" ca="1" si="5"/>
        <v>WORKOVER SECTION</v>
      </c>
      <c r="AS42" s="430">
        <f ca="1">MATCH(AR42,'1_INPUT'!$V$43:$V$64,0)+1</f>
        <v>6</v>
      </c>
      <c r="AT42" s="430">
        <f ca="1">VLOOKUP(AR42,'1_INPUT'!$V$43:$W$64,2,FALSE)</f>
        <v>21</v>
      </c>
      <c r="AU42" s="430">
        <f ca="1">COUNTIF('1_INPUT'!$W$43:$W$64,AT42)-1</f>
        <v>5</v>
      </c>
      <c r="AV42" s="430" t="e">
        <f ca="1">OFFSET('1_INPUT'!$V$42,$AS42,,$AU42,)</f>
        <v>#VALUE!</v>
      </c>
      <c r="AX42" s="430" t="str">
        <f t="shared" si="177"/>
        <v/>
      </c>
      <c r="CK42" s="9"/>
      <c r="CL42" s="9"/>
    </row>
    <row r="43" spans="1:90" ht="27.6">
      <c r="A43" s="205"/>
      <c r="B43" s="516"/>
      <c r="C43" s="208">
        <f ca="1">IF(D43&lt;&gt;"",MAX($C$9:C40)+1,"")</f>
        <v>15</v>
      </c>
      <c r="D43" s="523" t="s">
        <v>586</v>
      </c>
      <c r="E43" s="406"/>
      <c r="F43" s="407">
        <v>8</v>
      </c>
      <c r="G43" s="209">
        <f t="shared" ca="1" si="48"/>
        <v>60.5</v>
      </c>
      <c r="H43" s="209">
        <f t="shared" si="11"/>
        <v>0.33333333333333331</v>
      </c>
      <c r="I43" s="209">
        <f t="shared" ca="1" si="49"/>
        <v>2.5208333333333335</v>
      </c>
      <c r="J43" s="540">
        <v>1112</v>
      </c>
      <c r="K43" s="188"/>
      <c r="L43" s="532" t="s">
        <v>663</v>
      </c>
      <c r="M43" s="400" t="s">
        <v>93</v>
      </c>
      <c r="N43" s="407">
        <v>5</v>
      </c>
      <c r="O43" s="95">
        <f t="shared" ca="1" si="50"/>
        <v>101</v>
      </c>
      <c r="P43" s="403">
        <v>2372</v>
      </c>
      <c r="Q43" s="116">
        <f>IF(N43&gt;0,VLOOKUP(M43,'3_TIME SUM'!$F$7:$G$128,2,FALSE),0)</f>
        <v>0</v>
      </c>
      <c r="R43" s="517"/>
      <c r="S43" s="94">
        <f t="shared" si="12"/>
        <v>0.20833333333333334</v>
      </c>
      <c r="T43" s="94">
        <f t="shared" ca="1" si="51"/>
        <v>4.208333333333333</v>
      </c>
      <c r="U43" s="539">
        <f ca="1">$T43+'1_INPUT'!$E$18</f>
        <v>44948</v>
      </c>
      <c r="V43" s="95">
        <f t="shared" ca="1" si="7"/>
        <v>-40.499999999999986</v>
      </c>
      <c r="W43" s="110">
        <f t="shared" ca="1" si="8"/>
        <v>1.6875</v>
      </c>
      <c r="X43" s="111">
        <f t="shared" ca="1" si="52"/>
        <v>44948</v>
      </c>
      <c r="Y43" s="112" t="str">
        <f ca="1">IFERROR(IF(SUMIFS($N$9:$N43,$X$9:$X43,ROUNDUP(VALUE(U43),0),$Q$9:$Q43,"npt")=0,"-",SUMIFS($N$9:$N43,$X$9:$X43,ROUNDUP(VALUE(U43),0),$Q$9:$Q43,"npt")/SUMIFS($N$9:$N43,$X$9:$X43,ROUNDUP(VALUE(U43),0))),"")</f>
        <v>-</v>
      </c>
      <c r="Z43" s="112">
        <f ca="1">IFERROR(IF($N43=0,"-",SUMIF($Q$11:$Q43,"npt",$N$11:$N43)/(T43*24)),"")</f>
        <v>0</v>
      </c>
      <c r="AA43" s="491"/>
      <c r="AB43" s="491"/>
      <c r="AC43" s="398" t="s">
        <v>224</v>
      </c>
      <c r="AD43" s="427">
        <f t="shared" ca="1" si="9"/>
        <v>2.5208333333333335</v>
      </c>
      <c r="AE43" s="427">
        <f t="shared" ca="1" si="0"/>
        <v>1112</v>
      </c>
      <c r="AF43" s="427">
        <f t="shared" ca="1" si="1"/>
        <v>4.208333333333333</v>
      </c>
      <c r="AG43" s="427">
        <f t="shared" ca="1" si="2"/>
        <v>2372</v>
      </c>
      <c r="AH43" s="493"/>
      <c r="AI43" s="427">
        <f t="shared" ca="1" si="3"/>
        <v>0</v>
      </c>
      <c r="AJ43" s="493"/>
      <c r="AK43" s="428">
        <f t="shared" ca="1" si="4"/>
        <v>2</v>
      </c>
      <c r="AL43" s="428">
        <f ca="1">IF(A43&lt;&gt;"",IFERROR(INDEX('1_INPUT'!$B$69:$E$89,MATCH($A43,'1_INPUT'!$E$69:$E$89,0),1),""),INDIRECT(ADDRESS(ROW()+1,COLUMN($AL$9),,,)))</f>
        <v>3</v>
      </c>
      <c r="AM43" s="428" t="str">
        <f ca="1">IF(AN43="","",MAX(INDIRECT(ADDRESS(9,COLUMN($AM$9),,,)):INDIRECT(ADDRESS(ROW()-1,COLUMN($AM$9),,,)))+1)</f>
        <v/>
      </c>
      <c r="AN43" s="429" t="str">
        <f>IF($AO43&lt;&gt;"",VLOOKUP($AK43,'1_INPUT'!$B$124:$D$136,2,FALSE),"")</f>
        <v/>
      </c>
      <c r="AO43" s="429" t="str">
        <f t="shared" si="10"/>
        <v/>
      </c>
      <c r="AP43" s="427">
        <f ca="1">SUMIF($AL$10:AL43,$AL43,$I$10:I43)</f>
        <v>32.5625</v>
      </c>
      <c r="AR43" s="430" t="str">
        <f t="shared" ca="1" si="5"/>
        <v>WORKOVER SECTION</v>
      </c>
      <c r="AS43" s="430">
        <f ca="1">MATCH(AR43,'1_INPUT'!$V$43:$V$64,0)+1</f>
        <v>6</v>
      </c>
      <c r="AT43" s="430">
        <f ca="1">VLOOKUP(AR43,'1_INPUT'!$V$43:$W$64,2,FALSE)</f>
        <v>21</v>
      </c>
      <c r="AU43" s="430">
        <f ca="1">COUNTIF('1_INPUT'!$W$43:$W$64,AT43)-1</f>
        <v>5</v>
      </c>
      <c r="AV43" s="430" t="e">
        <f ca="1">OFFSET('1_INPUT'!$V$42,$AS43,,$AU43,)</f>
        <v>#VALUE!</v>
      </c>
      <c r="AX43" s="430" t="str">
        <f t="shared" si="6"/>
        <v/>
      </c>
      <c r="CK43" s="9"/>
      <c r="CL43" s="9"/>
    </row>
    <row r="44" spans="1:90" ht="41.4">
      <c r="A44" s="205"/>
      <c r="B44" s="516"/>
      <c r="C44" s="208" t="str">
        <f>IF(D44&lt;&gt;"",MAX($C$9:C41)+1,"")</f>
        <v/>
      </c>
      <c r="D44" s="523"/>
      <c r="E44" s="406"/>
      <c r="F44" s="407"/>
      <c r="G44" s="209">
        <f t="shared" ref="G44:G50" ca="1" si="178">IF(INDIRECT(ADDRESS(ROW()-1,COLUMN(B$7),,,))&lt;&gt;"",INDIRECT(ADDRESS(ROW(),COLUMN(F$7),,,)),INDIRECT(ADDRESS(ROW()-1,COLUMN(G$7),,,))+INDIRECT(ADDRESS(ROW(),COLUMN(F$7),,,)))</f>
        <v>60.5</v>
      </c>
      <c r="H44" s="209">
        <f t="shared" si="11"/>
        <v>0</v>
      </c>
      <c r="I44" s="209">
        <f t="shared" ref="I44:I50" ca="1" si="179">INDIRECT(ADDRESS(ROW()-1,COLUMN(I$7),,,))+INDIRECT(ADDRESS(ROW(),COLUMN(H$7),,,))</f>
        <v>2.5208333333333335</v>
      </c>
      <c r="J44" s="540">
        <v>1112</v>
      </c>
      <c r="K44" s="188"/>
      <c r="L44" s="532" t="s">
        <v>664</v>
      </c>
      <c r="M44" s="400" t="s">
        <v>93</v>
      </c>
      <c r="N44" s="407">
        <v>11</v>
      </c>
      <c r="O44" s="95">
        <f t="shared" ref="O44:O50" ca="1" si="180">IF(INDIRECT(ADDRESS(ROW()-1,COLUMN(B$7),,,))&lt;&gt;"",INDIRECT(ADDRESS(ROW(),COLUMN(N$7),,,)),INDIRECT(ADDRESS(ROW()-1,COLUMN(O$7),,,))+INDIRECT(ADDRESS(ROW(),COLUMN(N$7),,,)))</f>
        <v>112</v>
      </c>
      <c r="P44" s="403">
        <v>2372</v>
      </c>
      <c r="Q44" s="116">
        <f>IF(N44&gt;0,VLOOKUP(M44,'3_TIME SUM'!$F$7:$G$128,2,FALSE),0)</f>
        <v>0</v>
      </c>
      <c r="R44" s="517"/>
      <c r="S44" s="94">
        <f t="shared" si="12"/>
        <v>0.45833333333333331</v>
      </c>
      <c r="T44" s="94">
        <f t="shared" ref="T44:T50" ca="1" si="181">INDIRECT(ADDRESS(ROW()-1,COLUMN(T$7),,,))+INDIRECT(ADDRESS(ROW(),COLUMN(S$7),,,))</f>
        <v>4.6666666666666661</v>
      </c>
      <c r="U44" s="535">
        <f ca="1">$T44+'1_INPUT'!$E$18</f>
        <v>44948.458333333328</v>
      </c>
      <c r="V44" s="95">
        <f t="shared" ref="V44:V50" ca="1" si="182">IFERROR(IF($AI44=0,($I44-T44)*24,(($P44-INDIRECT(ADDRESS(ROW()-1,COLUMN($P$9),,,)))/$AI44)-$N44+(INDIRECT(ADDRESS(ROW()-1,COLUMN(V$9),,,)))),"")</f>
        <v>-51.499999999999986</v>
      </c>
      <c r="W44" s="110">
        <f t="shared" ref="W44:W50" ca="1" si="183">IFERROR(IF(V44&gt;0,TIME(V44,(V44-ROUNDDOWN(V44,0))*60,0)+DAY((ROUNDDOWN(V44,0)/24)),TIME((-V44),((-V44)-ROUNDDOWN((-V44),0))*60,0)+DAY((ROUNDDOWN((-V44),0)/24))),"")</f>
        <v>2.1458333333333335</v>
      </c>
      <c r="X44" s="111">
        <f t="shared" ref="X44:X50" ca="1" si="184">IF(U44=0,"-",ROUNDUP(VALUE(U44),0))</f>
        <v>44949</v>
      </c>
      <c r="Y44" s="112" t="str">
        <f ca="1">IFERROR(IF(SUMIFS($N$9:$N44,$X$9:$X44,ROUNDUP(VALUE(U44),0),$Q$9:$Q44,"npt")=0,"-",SUMIFS($N$9:$N44,$X$9:$X44,ROUNDUP(VALUE(U44),0),$Q$9:$Q44,"npt")/SUMIFS($N$9:$N44,$X$9:$X44,ROUNDUP(VALUE(U44),0))),"")</f>
        <v>-</v>
      </c>
      <c r="Z44" s="112">
        <f ca="1">IFERROR(IF($N44=0,"-",SUMIF($Q$11:$Q44,"npt",$N$11:$N44)/(T44*24)),"")</f>
        <v>0</v>
      </c>
      <c r="AA44" s="491"/>
      <c r="AB44" s="491"/>
      <c r="AC44" s="398" t="s">
        <v>224</v>
      </c>
      <c r="AD44" s="427">
        <f t="shared" ca="1" si="9"/>
        <v>2.5208333333333335</v>
      </c>
      <c r="AE44" s="427">
        <f t="shared" ca="1" si="0"/>
        <v>1112</v>
      </c>
      <c r="AF44" s="427">
        <f t="shared" ref="AF44:AF50" ca="1" si="185">T44</f>
        <v>4.6666666666666661</v>
      </c>
      <c r="AG44" s="427">
        <f t="shared" ca="1" si="2"/>
        <v>2372</v>
      </c>
      <c r="AH44" s="493"/>
      <c r="AI44" s="427">
        <f t="shared" ca="1" si="3"/>
        <v>0</v>
      </c>
      <c r="AJ44" s="493"/>
      <c r="AK44" s="428">
        <f t="shared" ref="AK44:AK50" ca="1" si="186">IF(B44&lt;&gt;"",B44,INDIRECT(ADDRESS(ROW()+1,COLUMN($AK$9),,,)))</f>
        <v>2</v>
      </c>
      <c r="AL44" s="428">
        <f ca="1">IF(A44&lt;&gt;"",IFERROR(INDEX('1_INPUT'!$B$69:$E$89,MATCH($A44,'1_INPUT'!$E$69:$E$89,0),1),""),INDIRECT(ADDRESS(ROW()+1,COLUMN($AL$9),,,)))</f>
        <v>3</v>
      </c>
      <c r="AM44" s="428" t="str">
        <f ca="1">IF(AN44="","",MAX(INDIRECT(ADDRESS(9,COLUMN($AM$9),,,)):INDIRECT(ADDRESS(ROW()-1,COLUMN($AM$9),,,)))+1)</f>
        <v/>
      </c>
      <c r="AN44" s="429" t="str">
        <f>IF($AO44&lt;&gt;"",VLOOKUP($AK44,'1_INPUT'!$B$124:$D$136,2,FALSE),"")</f>
        <v/>
      </c>
      <c r="AO44" s="429" t="str">
        <f t="shared" si="10"/>
        <v/>
      </c>
      <c r="AP44" s="427">
        <f ca="1">SUMIF($AL$10:AL44,$AL44,$I$10:I44)</f>
        <v>35.083333333333336</v>
      </c>
      <c r="AR44" s="430" t="str">
        <f t="shared" ca="1" si="5"/>
        <v>WORKOVER SECTION</v>
      </c>
      <c r="AS44" s="430">
        <f ca="1">MATCH(AR44,'1_INPUT'!$V$43:$V$64,0)+1</f>
        <v>6</v>
      </c>
      <c r="AT44" s="430">
        <f ca="1">VLOOKUP(AR44,'1_INPUT'!$V$43:$W$64,2,FALSE)</f>
        <v>21</v>
      </c>
      <c r="AU44" s="430">
        <f ca="1">COUNTIF('1_INPUT'!$W$43:$W$64,AT44)-1</f>
        <v>5</v>
      </c>
      <c r="AV44" s="430" t="e">
        <f ca="1">OFFSET('1_INPUT'!$V$42,$AS44,,$AU44,)</f>
        <v>#VALUE!</v>
      </c>
      <c r="AX44" s="430" t="str">
        <f t="shared" ref="AX44:AX50" si="187">IF(A44&lt;&gt;"",""&amp;AR44&amp;"-"&amp;A44&amp;"","")</f>
        <v/>
      </c>
      <c r="CK44" s="9"/>
      <c r="CL44" s="9"/>
    </row>
    <row r="45" spans="1:90" ht="69">
      <c r="A45" s="205"/>
      <c r="B45" s="516"/>
      <c r="C45" s="208" t="str">
        <f>IF(D45&lt;&gt;"",MAX($C$9:C42)+1,"")</f>
        <v/>
      </c>
      <c r="D45" s="523"/>
      <c r="E45" s="406"/>
      <c r="F45" s="407"/>
      <c r="G45" s="209">
        <f t="shared" ca="1" si="178"/>
        <v>60.5</v>
      </c>
      <c r="H45" s="209">
        <f t="shared" si="11"/>
        <v>0</v>
      </c>
      <c r="I45" s="209">
        <f t="shared" ca="1" si="179"/>
        <v>2.5208333333333335</v>
      </c>
      <c r="J45" s="540">
        <v>1112</v>
      </c>
      <c r="K45" s="188"/>
      <c r="L45" s="532" t="s">
        <v>665</v>
      </c>
      <c r="M45" s="400" t="s">
        <v>146</v>
      </c>
      <c r="N45" s="407">
        <v>2</v>
      </c>
      <c r="O45" s="95">
        <f t="shared" ca="1" si="180"/>
        <v>114</v>
      </c>
      <c r="P45" s="403">
        <v>2372</v>
      </c>
      <c r="Q45" s="116">
        <f>IF(N45&gt;0,VLOOKUP(M45,'3_TIME SUM'!$F$7:$G$128,2,FALSE),0)</f>
        <v>0</v>
      </c>
      <c r="R45" s="517"/>
      <c r="S45" s="94">
        <f t="shared" si="12"/>
        <v>8.3333333333333329E-2</v>
      </c>
      <c r="T45" s="94">
        <f t="shared" ca="1" si="181"/>
        <v>4.7499999999999991</v>
      </c>
      <c r="U45" s="535">
        <f ca="1">$T45+'1_INPUT'!$E$18</f>
        <v>44948.541666666664</v>
      </c>
      <c r="V45" s="95">
        <f t="shared" ca="1" si="182"/>
        <v>-53.499999999999972</v>
      </c>
      <c r="W45" s="110">
        <f t="shared" ca="1" si="183"/>
        <v>2.2291666666666665</v>
      </c>
      <c r="X45" s="111">
        <f t="shared" ca="1" si="184"/>
        <v>44949</v>
      </c>
      <c r="Y45" s="112" t="str">
        <f ca="1">IFERROR(IF(SUMIFS($N$9:$N45,$X$9:$X45,ROUNDUP(VALUE(U45),0),$Q$9:$Q45,"npt")=0,"-",SUMIFS($N$9:$N45,$X$9:$X45,ROUNDUP(VALUE(U45),0),$Q$9:$Q45,"npt")/SUMIFS($N$9:$N45,$X$9:$X45,ROUNDUP(VALUE(U45),0))),"")</f>
        <v>-</v>
      </c>
      <c r="Z45" s="112">
        <f ca="1">IFERROR(IF($N45=0,"-",SUMIF($Q$11:$Q45,"npt",$N$11:$N45)/(T45*24)),"")</f>
        <v>0</v>
      </c>
      <c r="AA45" s="491"/>
      <c r="AB45" s="491"/>
      <c r="AC45" s="398" t="s">
        <v>224</v>
      </c>
      <c r="AD45" s="427">
        <f t="shared" ca="1" si="9"/>
        <v>2.5208333333333335</v>
      </c>
      <c r="AE45" s="427">
        <f t="shared" ca="1" si="0"/>
        <v>1112</v>
      </c>
      <c r="AF45" s="427">
        <f t="shared" ca="1" si="185"/>
        <v>4.7499999999999991</v>
      </c>
      <c r="AG45" s="427">
        <f t="shared" ca="1" si="2"/>
        <v>2372</v>
      </c>
      <c r="AH45" s="493"/>
      <c r="AI45" s="427">
        <f t="shared" ca="1" si="3"/>
        <v>0</v>
      </c>
      <c r="AJ45" s="493"/>
      <c r="AK45" s="428">
        <f t="shared" ca="1" si="186"/>
        <v>2</v>
      </c>
      <c r="AL45" s="428">
        <f ca="1">IF(A45&lt;&gt;"",IFERROR(INDEX('1_INPUT'!$B$69:$E$89,MATCH($A45,'1_INPUT'!$E$69:$E$89,0),1),""),INDIRECT(ADDRESS(ROW()+1,COLUMN($AL$9),,,)))</f>
        <v>3</v>
      </c>
      <c r="AM45" s="428" t="str">
        <f ca="1">IF(AN45="","",MAX(INDIRECT(ADDRESS(9,COLUMN($AM$9),,,)):INDIRECT(ADDRESS(ROW()-1,COLUMN($AM$9),,,)))+1)</f>
        <v/>
      </c>
      <c r="AN45" s="429" t="str">
        <f>IF($AO45&lt;&gt;"",VLOOKUP($AK45,'1_INPUT'!$B$124:$D$136,2,FALSE),"")</f>
        <v/>
      </c>
      <c r="AO45" s="429" t="str">
        <f t="shared" si="10"/>
        <v/>
      </c>
      <c r="AP45" s="427">
        <f ca="1">SUMIF($AL$10:AL45,$AL45,$I$10:I45)</f>
        <v>37.604166666666671</v>
      </c>
      <c r="AR45" s="430" t="str">
        <f t="shared" ca="1" si="5"/>
        <v>WORKOVER SECTION</v>
      </c>
      <c r="AS45" s="430">
        <f ca="1">MATCH(AR45,'1_INPUT'!$V$43:$V$64,0)+1</f>
        <v>6</v>
      </c>
      <c r="AT45" s="430">
        <f ca="1">VLOOKUP(AR45,'1_INPUT'!$V$43:$W$64,2,FALSE)</f>
        <v>21</v>
      </c>
      <c r="AU45" s="430">
        <f ca="1">COUNTIF('1_INPUT'!$W$43:$W$64,AT45)-1</f>
        <v>5</v>
      </c>
      <c r="AV45" s="430" t="e">
        <f ca="1">OFFSET('1_INPUT'!$V$42,$AS45,,$AU45,)</f>
        <v>#VALUE!</v>
      </c>
      <c r="AX45" s="430" t="str">
        <f t="shared" si="187"/>
        <v/>
      </c>
      <c r="CK45" s="9"/>
      <c r="CL45" s="9"/>
    </row>
    <row r="46" spans="1:90" ht="13.8">
      <c r="A46" s="205"/>
      <c r="B46" s="516"/>
      <c r="C46" s="208" t="str">
        <f>IF(D46&lt;&gt;"",MAX($C$9:C43)+1,"")</f>
        <v/>
      </c>
      <c r="D46" s="523"/>
      <c r="E46" s="406"/>
      <c r="F46" s="407"/>
      <c r="G46" s="209">
        <f t="shared" ca="1" si="178"/>
        <v>60.5</v>
      </c>
      <c r="H46" s="209">
        <f t="shared" si="11"/>
        <v>0</v>
      </c>
      <c r="I46" s="209">
        <f t="shared" ca="1" si="179"/>
        <v>2.5208333333333335</v>
      </c>
      <c r="J46" s="540">
        <v>1112</v>
      </c>
      <c r="K46" s="188"/>
      <c r="L46" s="532" t="s">
        <v>666</v>
      </c>
      <c r="M46" s="400" t="s">
        <v>36</v>
      </c>
      <c r="N46" s="407">
        <v>2</v>
      </c>
      <c r="O46" s="95">
        <f t="shared" ca="1" si="180"/>
        <v>116</v>
      </c>
      <c r="P46" s="403">
        <v>2372</v>
      </c>
      <c r="Q46" s="116">
        <f>IF(N46&gt;0,VLOOKUP(M46,'3_TIME SUM'!$F$7:$G$128,2,FALSE),0)</f>
        <v>0</v>
      </c>
      <c r="R46" s="517"/>
      <c r="S46" s="94">
        <f t="shared" si="12"/>
        <v>8.3333333333333329E-2</v>
      </c>
      <c r="T46" s="94">
        <f t="shared" ca="1" si="181"/>
        <v>4.8333333333333321</v>
      </c>
      <c r="U46" s="535">
        <f ca="1">$T46+'1_INPUT'!$E$18</f>
        <v>44948.625</v>
      </c>
      <c r="V46" s="95">
        <f t="shared" ca="1" si="182"/>
        <v>-55.499999999999972</v>
      </c>
      <c r="W46" s="110">
        <f t="shared" ca="1" si="183"/>
        <v>2.3125</v>
      </c>
      <c r="X46" s="111">
        <f t="shared" ca="1" si="184"/>
        <v>44949</v>
      </c>
      <c r="Y46" s="112" t="str">
        <f ca="1">IFERROR(IF(SUMIFS($N$9:$N46,$X$9:$X46,ROUNDUP(VALUE(U46),0),$Q$9:$Q46,"npt")=0,"-",SUMIFS($N$9:$N46,$X$9:$X46,ROUNDUP(VALUE(U46),0),$Q$9:$Q46,"npt")/SUMIFS($N$9:$N46,$X$9:$X46,ROUNDUP(VALUE(U46),0))),"")</f>
        <v>-</v>
      </c>
      <c r="Z46" s="112">
        <f ca="1">IFERROR(IF($N46=0,"-",SUMIF($Q$11:$Q46,"npt",$N$11:$N46)/(T46*24)),"")</f>
        <v>0</v>
      </c>
      <c r="AA46" s="491"/>
      <c r="AB46" s="491"/>
      <c r="AC46" s="398" t="s">
        <v>224</v>
      </c>
      <c r="AD46" s="427">
        <f t="shared" ca="1" si="9"/>
        <v>2.5208333333333335</v>
      </c>
      <c r="AE46" s="427">
        <f t="shared" ca="1" si="0"/>
        <v>1112</v>
      </c>
      <c r="AF46" s="427">
        <f t="shared" ca="1" si="185"/>
        <v>4.8333333333333321</v>
      </c>
      <c r="AG46" s="427">
        <f t="shared" ca="1" si="2"/>
        <v>2372</v>
      </c>
      <c r="AH46" s="493"/>
      <c r="AI46" s="427">
        <f t="shared" ca="1" si="3"/>
        <v>0</v>
      </c>
      <c r="AJ46" s="493"/>
      <c r="AK46" s="428">
        <f t="shared" ca="1" si="186"/>
        <v>2</v>
      </c>
      <c r="AL46" s="428">
        <f ca="1">IF(A46&lt;&gt;"",IFERROR(INDEX('1_INPUT'!$B$69:$E$89,MATCH($A46,'1_INPUT'!$E$69:$E$89,0),1),""),INDIRECT(ADDRESS(ROW()+1,COLUMN($AL$9),,,)))</f>
        <v>3</v>
      </c>
      <c r="AM46" s="428" t="str">
        <f ca="1">IF(AN46="","",MAX(INDIRECT(ADDRESS(9,COLUMN($AM$9),,,)):INDIRECT(ADDRESS(ROW()-1,COLUMN($AM$9),,,)))+1)</f>
        <v/>
      </c>
      <c r="AN46" s="429" t="str">
        <f>IF($AO46&lt;&gt;"",VLOOKUP($AK46,'1_INPUT'!$B$124:$D$136,2,FALSE),"")</f>
        <v/>
      </c>
      <c r="AO46" s="429" t="str">
        <f t="shared" si="10"/>
        <v/>
      </c>
      <c r="AP46" s="427">
        <f ca="1">SUMIF($AL$10:AL46,$AL46,$I$10:I46)</f>
        <v>40.125000000000007</v>
      </c>
      <c r="AR46" s="430" t="str">
        <f t="shared" ca="1" si="5"/>
        <v>WORKOVER SECTION</v>
      </c>
      <c r="AS46" s="430">
        <f ca="1">MATCH(AR46,'1_INPUT'!$V$43:$V$64,0)+1</f>
        <v>6</v>
      </c>
      <c r="AT46" s="430">
        <f ca="1">VLOOKUP(AR46,'1_INPUT'!$V$43:$W$64,2,FALSE)</f>
        <v>21</v>
      </c>
      <c r="AU46" s="430">
        <f ca="1">COUNTIF('1_INPUT'!$W$43:$W$64,AT46)-1</f>
        <v>5</v>
      </c>
      <c r="AV46" s="430" t="e">
        <f ca="1">OFFSET('1_INPUT'!$V$42,$AS46,,$AU46,)</f>
        <v>#VALUE!</v>
      </c>
      <c r="AX46" s="430" t="str">
        <f t="shared" si="187"/>
        <v/>
      </c>
      <c r="CK46" s="9"/>
      <c r="CL46" s="9"/>
    </row>
    <row r="47" spans="1:90" ht="55.2">
      <c r="A47" s="205"/>
      <c r="B47" s="516"/>
      <c r="C47" s="208" t="str">
        <f>IF(D47&lt;&gt;"",MAX($C$9:C46)+1,"")</f>
        <v/>
      </c>
      <c r="D47" s="523"/>
      <c r="E47" s="406"/>
      <c r="F47" s="407"/>
      <c r="G47" s="209">
        <f t="shared" ca="1" si="178"/>
        <v>60.5</v>
      </c>
      <c r="H47" s="209">
        <f t="shared" si="11"/>
        <v>0</v>
      </c>
      <c r="I47" s="209">
        <f t="shared" ca="1" si="179"/>
        <v>2.5208333333333335</v>
      </c>
      <c r="J47" s="540">
        <v>1112</v>
      </c>
      <c r="K47" s="188"/>
      <c r="L47" s="532" t="s">
        <v>669</v>
      </c>
      <c r="M47" s="400" t="s">
        <v>197</v>
      </c>
      <c r="N47" s="407">
        <v>2</v>
      </c>
      <c r="O47" s="95">
        <f t="shared" ca="1" si="180"/>
        <v>118</v>
      </c>
      <c r="P47" s="403">
        <v>2372</v>
      </c>
      <c r="Q47" s="116">
        <f>IF(N47&gt;0,VLOOKUP(M47,'3_TIME SUM'!$F$7:$G$128,2,FALSE),0)</f>
        <v>0</v>
      </c>
      <c r="R47" s="517"/>
      <c r="S47" s="94">
        <f t="shared" si="12"/>
        <v>8.3333333333333329E-2</v>
      </c>
      <c r="T47" s="94">
        <f t="shared" ca="1" si="181"/>
        <v>4.9166666666666652</v>
      </c>
      <c r="U47" s="535">
        <f ca="1">$T47+'1_INPUT'!$E$18</f>
        <v>44948.708333333328</v>
      </c>
      <c r="V47" s="95">
        <f t="shared" ca="1" si="182"/>
        <v>-57.499999999999957</v>
      </c>
      <c r="W47" s="110">
        <f t="shared" ca="1" si="183"/>
        <v>2.3958333333333335</v>
      </c>
      <c r="X47" s="111">
        <f t="shared" ca="1" si="184"/>
        <v>44949</v>
      </c>
      <c r="Y47" s="112" t="str">
        <f ca="1">IFERROR(IF(SUMIFS($N$9:$N47,$X$9:$X47,ROUNDUP(VALUE(U47),0),$Q$9:$Q47,"npt")=0,"-",SUMIFS($N$9:$N47,$X$9:$X47,ROUNDUP(VALUE(U47),0),$Q$9:$Q47,"npt")/SUMIFS($N$9:$N47,$X$9:$X47,ROUNDUP(VALUE(U47),0))),"")</f>
        <v>-</v>
      </c>
      <c r="Z47" s="112">
        <f ca="1">IFERROR(IF($N47=0,"-",SUMIF($Q$11:$Q47,"npt",$N$11:$N47)/(T47*24)),"")</f>
        <v>0</v>
      </c>
      <c r="AA47" s="491"/>
      <c r="AB47" s="491"/>
      <c r="AC47" s="398" t="s">
        <v>224</v>
      </c>
      <c r="AD47" s="427">
        <f t="shared" ca="1" si="9"/>
        <v>2.5208333333333335</v>
      </c>
      <c r="AE47" s="427">
        <f t="shared" ca="1" si="0"/>
        <v>1112</v>
      </c>
      <c r="AF47" s="427">
        <f t="shared" ca="1" si="185"/>
        <v>4.9166666666666652</v>
      </c>
      <c r="AG47" s="427">
        <f t="shared" ca="1" si="2"/>
        <v>2372</v>
      </c>
      <c r="AH47" s="493"/>
      <c r="AI47" s="427">
        <f t="shared" ca="1" si="3"/>
        <v>0</v>
      </c>
      <c r="AJ47" s="493"/>
      <c r="AK47" s="428">
        <f t="shared" ca="1" si="186"/>
        <v>2</v>
      </c>
      <c r="AL47" s="428">
        <f ca="1">IF(A47&lt;&gt;"",IFERROR(INDEX('1_INPUT'!$B$69:$E$89,MATCH($A47,'1_INPUT'!$E$69:$E$89,0),1),""),INDIRECT(ADDRESS(ROW()+1,COLUMN($AL$9),,,)))</f>
        <v>3</v>
      </c>
      <c r="AM47" s="428" t="str">
        <f ca="1">IF(AN47="","",MAX(INDIRECT(ADDRESS(9,COLUMN($AM$9),,,)):INDIRECT(ADDRESS(ROW()-1,COLUMN($AM$9),,,)))+1)</f>
        <v/>
      </c>
      <c r="AN47" s="429" t="str">
        <f>IF($AO47&lt;&gt;"",VLOOKUP($AK47,'1_INPUT'!$B$124:$D$136,2,FALSE),"")</f>
        <v/>
      </c>
      <c r="AO47" s="429" t="str">
        <f t="shared" si="10"/>
        <v/>
      </c>
      <c r="AP47" s="427">
        <f ca="1">SUMIF($AL$10:AL47,$AL47,$I$10:I47)</f>
        <v>42.645833333333343</v>
      </c>
      <c r="AR47" s="430" t="str">
        <f t="shared" ca="1" si="5"/>
        <v>WORKOVER SECTION</v>
      </c>
      <c r="AS47" s="430">
        <f ca="1">MATCH(AR47,'1_INPUT'!$V$43:$V$64,0)+1</f>
        <v>6</v>
      </c>
      <c r="AT47" s="430">
        <f ca="1">VLOOKUP(AR47,'1_INPUT'!$V$43:$W$64,2,FALSE)</f>
        <v>21</v>
      </c>
      <c r="AU47" s="430">
        <f ca="1">COUNTIF('1_INPUT'!$W$43:$W$64,AT47)-1</f>
        <v>5</v>
      </c>
      <c r="AV47" s="430" t="e">
        <f ca="1">OFFSET('1_INPUT'!$V$42,$AS47,,$AU47,)</f>
        <v>#VALUE!</v>
      </c>
      <c r="AX47" s="430" t="str">
        <f t="shared" si="187"/>
        <v/>
      </c>
      <c r="CK47" s="9"/>
      <c r="CL47" s="9"/>
    </row>
    <row r="48" spans="1:90" ht="199.5" customHeight="1">
      <c r="A48" s="205"/>
      <c r="B48" s="516"/>
      <c r="C48" s="208" t="str">
        <f>IF(D48&lt;&gt;"",MAX($C$9:C47)+1,"")</f>
        <v/>
      </c>
      <c r="D48" s="523"/>
      <c r="E48" s="406"/>
      <c r="F48" s="407"/>
      <c r="G48" s="209">
        <f t="shared" ca="1" si="178"/>
        <v>60.5</v>
      </c>
      <c r="H48" s="209">
        <f t="shared" si="11"/>
        <v>0</v>
      </c>
      <c r="I48" s="209">
        <f t="shared" ca="1" si="179"/>
        <v>2.5208333333333335</v>
      </c>
      <c r="J48" s="540">
        <v>1112</v>
      </c>
      <c r="K48" s="188"/>
      <c r="L48" s="532" t="s">
        <v>667</v>
      </c>
      <c r="M48" s="400" t="s">
        <v>197</v>
      </c>
      <c r="N48" s="407">
        <v>4.5</v>
      </c>
      <c r="O48" s="95">
        <f t="shared" ca="1" si="180"/>
        <v>122.5</v>
      </c>
      <c r="P48" s="403">
        <v>2372</v>
      </c>
      <c r="Q48" s="116">
        <f>IF(N48&gt;0,VLOOKUP(M48,'3_TIME SUM'!$F$7:$G$128,2,FALSE),0)</f>
        <v>0</v>
      </c>
      <c r="R48" s="517"/>
      <c r="S48" s="94">
        <f t="shared" si="12"/>
        <v>0.1875</v>
      </c>
      <c r="T48" s="94">
        <f t="shared" ca="1" si="181"/>
        <v>5.1041666666666652</v>
      </c>
      <c r="U48" s="535">
        <f ca="1">$T48+'1_INPUT'!$E$18</f>
        <v>44948.895833333328</v>
      </c>
      <c r="V48" s="95">
        <f t="shared" ca="1" si="182"/>
        <v>-61.999999999999957</v>
      </c>
      <c r="W48" s="110">
        <f t="shared" ca="1" si="183"/>
        <v>2.5833333333333335</v>
      </c>
      <c r="X48" s="111">
        <f t="shared" ca="1" si="184"/>
        <v>44949</v>
      </c>
      <c r="Y48" s="112" t="str">
        <f ca="1">IFERROR(IF(SUMIFS($N$9:$N48,$X$9:$X48,ROUNDUP(VALUE(U48),0),$Q$9:$Q48,"npt")=0,"-",SUMIFS($N$9:$N48,$X$9:$X48,ROUNDUP(VALUE(U48),0),$Q$9:$Q48,"npt")/SUMIFS($N$9:$N48,$X$9:$X48,ROUNDUP(VALUE(U48),0))),"")</f>
        <v>-</v>
      </c>
      <c r="Z48" s="112">
        <f ca="1">IFERROR(IF($N48=0,"-",SUMIF($Q$11:$Q48,"npt",$N$11:$N48)/(T48*24)),"")</f>
        <v>0</v>
      </c>
      <c r="AA48" s="491"/>
      <c r="AB48" s="491"/>
      <c r="AC48" s="398" t="s">
        <v>224</v>
      </c>
      <c r="AD48" s="427">
        <f t="shared" ca="1" si="9"/>
        <v>2.5208333333333335</v>
      </c>
      <c r="AE48" s="427">
        <f t="shared" ca="1" si="0"/>
        <v>1112</v>
      </c>
      <c r="AF48" s="427">
        <f t="shared" ca="1" si="185"/>
        <v>5.1041666666666652</v>
      </c>
      <c r="AG48" s="427">
        <f t="shared" ca="1" si="2"/>
        <v>2372</v>
      </c>
      <c r="AH48" s="493"/>
      <c r="AI48" s="427">
        <f t="shared" ca="1" si="3"/>
        <v>0</v>
      </c>
      <c r="AJ48" s="493"/>
      <c r="AK48" s="428">
        <f t="shared" ca="1" si="186"/>
        <v>2</v>
      </c>
      <c r="AL48" s="428">
        <f ca="1">IF(A48&lt;&gt;"",IFERROR(INDEX('1_INPUT'!$B$69:$E$89,MATCH($A48,'1_INPUT'!$E$69:$E$89,0),1),""),INDIRECT(ADDRESS(ROW()+1,COLUMN($AL$9),,,)))</f>
        <v>3</v>
      </c>
      <c r="AM48" s="428" t="str">
        <f ca="1">IF(AN48="","",MAX(INDIRECT(ADDRESS(9,COLUMN($AM$9),,,)):INDIRECT(ADDRESS(ROW()-1,COLUMN($AM$9),,,)))+1)</f>
        <v/>
      </c>
      <c r="AN48" s="429" t="str">
        <f>IF($AO48&lt;&gt;"",VLOOKUP($AK48,'1_INPUT'!$B$124:$D$136,2,FALSE),"")</f>
        <v/>
      </c>
      <c r="AO48" s="429" t="str">
        <f t="shared" si="10"/>
        <v/>
      </c>
      <c r="AP48" s="427">
        <f ca="1">SUMIF($AL$10:AL48,$AL48,$I$10:I48)</f>
        <v>45.166666666666679</v>
      </c>
      <c r="AR48" s="430" t="str">
        <f t="shared" ca="1" si="5"/>
        <v>WORKOVER SECTION</v>
      </c>
      <c r="AS48" s="430">
        <f ca="1">MATCH(AR48,'1_INPUT'!$V$43:$V$64,0)+1</f>
        <v>6</v>
      </c>
      <c r="AT48" s="430">
        <f ca="1">VLOOKUP(AR48,'1_INPUT'!$V$43:$W$64,2,FALSE)</f>
        <v>21</v>
      </c>
      <c r="AU48" s="430">
        <f ca="1">COUNTIF('1_INPUT'!$W$43:$W$64,AT48)-1</f>
        <v>5</v>
      </c>
      <c r="AV48" s="430" t="str">
        <f ca="1">OFFSET('1_INPUT'!$V$42,$AS48,,$AU48,)</f>
        <v>PreSPUD</v>
      </c>
      <c r="AX48" s="430" t="str">
        <f t="shared" si="187"/>
        <v/>
      </c>
      <c r="CK48" s="9"/>
      <c r="CL48" s="9"/>
    </row>
    <row r="49" spans="1:90" ht="13.8">
      <c r="A49" s="205"/>
      <c r="B49" s="516"/>
      <c r="C49" s="208" t="str">
        <f>IF(D49&lt;&gt;"",MAX($C$9:C48)+1,"")</f>
        <v/>
      </c>
      <c r="D49" s="523"/>
      <c r="E49" s="406"/>
      <c r="F49" s="407"/>
      <c r="G49" s="209">
        <f t="shared" ca="1" si="178"/>
        <v>60.5</v>
      </c>
      <c r="H49" s="209">
        <f t="shared" si="11"/>
        <v>0</v>
      </c>
      <c r="I49" s="209">
        <f t="shared" ca="1" si="179"/>
        <v>2.5208333333333335</v>
      </c>
      <c r="J49" s="540">
        <v>1112</v>
      </c>
      <c r="K49" s="188"/>
      <c r="L49" s="532" t="s">
        <v>668</v>
      </c>
      <c r="M49" s="400" t="s">
        <v>146</v>
      </c>
      <c r="N49" s="407">
        <v>1</v>
      </c>
      <c r="O49" s="95">
        <f t="shared" ca="1" si="180"/>
        <v>123.5</v>
      </c>
      <c r="P49" s="403">
        <v>2372</v>
      </c>
      <c r="Q49" s="116">
        <f>IF(N49&gt;0,VLOOKUP(M49,'3_TIME SUM'!$F$7:$G$128,2,FALSE),0)</f>
        <v>0</v>
      </c>
      <c r="R49" s="517"/>
      <c r="S49" s="94">
        <f t="shared" si="12"/>
        <v>4.1666666666666664E-2</v>
      </c>
      <c r="T49" s="94">
        <f t="shared" ca="1" si="181"/>
        <v>5.1458333333333321</v>
      </c>
      <c r="U49" s="535">
        <f ca="1">$T49+'1_INPUT'!$E$18</f>
        <v>44948.9375</v>
      </c>
      <c r="V49" s="95">
        <f t="shared" ca="1" si="182"/>
        <v>-62.999999999999972</v>
      </c>
      <c r="W49" s="110">
        <f t="shared" ca="1" si="183"/>
        <v>2.625</v>
      </c>
      <c r="X49" s="111">
        <f t="shared" ca="1" si="184"/>
        <v>44949</v>
      </c>
      <c r="Y49" s="112" t="str">
        <f ca="1">IFERROR(IF(SUMIFS($N$9:$N49,$X$9:$X49,ROUNDUP(VALUE(U49),0),$Q$9:$Q49,"npt")=0,"-",SUMIFS($N$9:$N49,$X$9:$X49,ROUNDUP(VALUE(U49),0),$Q$9:$Q49,"npt")/SUMIFS($N$9:$N49,$X$9:$X49,ROUNDUP(VALUE(U49),0))),"")</f>
        <v>-</v>
      </c>
      <c r="Z49" s="112">
        <f ca="1">IFERROR(IF($N49=0,"-",SUMIF($Q$11:$Q49,"npt",$N$11:$N49)/(T49*24)),"")</f>
        <v>0</v>
      </c>
      <c r="AA49" s="491"/>
      <c r="AB49" s="491"/>
      <c r="AC49" s="398" t="s">
        <v>224</v>
      </c>
      <c r="AD49" s="427">
        <f t="shared" ca="1" si="9"/>
        <v>2.5208333333333335</v>
      </c>
      <c r="AE49" s="427">
        <f t="shared" ca="1" si="0"/>
        <v>1112</v>
      </c>
      <c r="AF49" s="427">
        <f t="shared" ca="1" si="185"/>
        <v>5.1458333333333321</v>
      </c>
      <c r="AG49" s="427">
        <f t="shared" ca="1" si="2"/>
        <v>2372</v>
      </c>
      <c r="AH49" s="493"/>
      <c r="AI49" s="427">
        <f t="shared" ca="1" si="3"/>
        <v>0</v>
      </c>
      <c r="AJ49" s="493"/>
      <c r="AK49" s="428">
        <f t="shared" ca="1" si="186"/>
        <v>2</v>
      </c>
      <c r="AL49" s="428">
        <f ca="1">IF(A49&lt;&gt;"",IFERROR(INDEX('1_INPUT'!$B$69:$E$89,MATCH($A49,'1_INPUT'!$E$69:$E$89,0),1),""),INDIRECT(ADDRESS(ROW()+1,COLUMN($AL$9),,,)))</f>
        <v>3</v>
      </c>
      <c r="AM49" s="428" t="str">
        <f ca="1">IF(AN49="","",MAX(INDIRECT(ADDRESS(9,COLUMN($AM$9),,,)):INDIRECT(ADDRESS(ROW()-1,COLUMN($AM$9),,,)))+1)</f>
        <v/>
      </c>
      <c r="AN49" s="429" t="str">
        <f>IF($AO49&lt;&gt;"",VLOOKUP($AK49,'1_INPUT'!$B$124:$D$136,2,FALSE),"")</f>
        <v/>
      </c>
      <c r="AO49" s="429" t="str">
        <f t="shared" si="10"/>
        <v/>
      </c>
      <c r="AP49" s="427">
        <f ca="1">SUMIF($AL$10:AL49,$AL49,$I$10:I49)</f>
        <v>47.687500000000014</v>
      </c>
      <c r="AR49" s="430" t="str">
        <f t="shared" ca="1" si="5"/>
        <v>WORKOVER SECTION</v>
      </c>
      <c r="AS49" s="430">
        <f ca="1">MATCH(AR49,'1_INPUT'!$V$43:$V$64,0)+1</f>
        <v>6</v>
      </c>
      <c r="AT49" s="430">
        <f ca="1">VLOOKUP(AR49,'1_INPUT'!$V$43:$W$64,2,FALSE)</f>
        <v>21</v>
      </c>
      <c r="AU49" s="430">
        <f ca="1">COUNTIF('1_INPUT'!$W$43:$W$64,AT49)-1</f>
        <v>5</v>
      </c>
      <c r="AV49" s="430" t="str">
        <f ca="1">OFFSET('1_INPUT'!$V$42,$AS49,,$AU49,)</f>
        <v>WORKOVER #1</v>
      </c>
      <c r="AX49" s="430" t="str">
        <f t="shared" si="187"/>
        <v/>
      </c>
      <c r="CK49" s="9"/>
      <c r="CL49" s="9"/>
    </row>
    <row r="50" spans="1:90" ht="55.2">
      <c r="A50" s="205"/>
      <c r="B50" s="516"/>
      <c r="C50" s="208" t="str">
        <f>IF(D50&lt;&gt;"",MAX($C$9:C49)+1,"")</f>
        <v/>
      </c>
      <c r="D50" s="523"/>
      <c r="E50" s="406"/>
      <c r="F50" s="407"/>
      <c r="G50" s="209">
        <f t="shared" ca="1" si="178"/>
        <v>60.5</v>
      </c>
      <c r="H50" s="209">
        <f t="shared" si="11"/>
        <v>0</v>
      </c>
      <c r="I50" s="209">
        <f t="shared" ca="1" si="179"/>
        <v>2.5208333333333335</v>
      </c>
      <c r="J50" s="540">
        <v>1112</v>
      </c>
      <c r="K50" s="188"/>
      <c r="L50" s="532" t="s">
        <v>670</v>
      </c>
      <c r="M50" s="400" t="s">
        <v>197</v>
      </c>
      <c r="N50" s="407">
        <v>0.5</v>
      </c>
      <c r="O50" s="95">
        <f t="shared" ca="1" si="180"/>
        <v>124</v>
      </c>
      <c r="P50" s="403">
        <v>2372</v>
      </c>
      <c r="Q50" s="116">
        <f>IF(N50&gt;0,VLOOKUP(M50,'3_TIME SUM'!$F$7:$G$128,2,FALSE),0)</f>
        <v>0</v>
      </c>
      <c r="R50" s="517"/>
      <c r="S50" s="94">
        <f t="shared" si="12"/>
        <v>2.0833333333333332E-2</v>
      </c>
      <c r="T50" s="94">
        <f t="shared" ca="1" si="181"/>
        <v>5.1666666666666652</v>
      </c>
      <c r="U50" s="535">
        <f ca="1">$T50+'1_INPUT'!$E$18</f>
        <v>44948.958333333328</v>
      </c>
      <c r="V50" s="95">
        <f t="shared" ca="1" si="182"/>
        <v>-63.499999999999957</v>
      </c>
      <c r="W50" s="110">
        <f t="shared" ca="1" si="183"/>
        <v>2.6458333333333335</v>
      </c>
      <c r="X50" s="111">
        <f t="shared" ca="1" si="184"/>
        <v>44949</v>
      </c>
      <c r="Y50" s="112" t="str">
        <f ca="1">IFERROR(IF(SUMIFS($N$9:$N50,$X$9:$X50,ROUNDUP(VALUE(U50),0),$Q$9:$Q50,"npt")=0,"-",SUMIFS($N$9:$N50,$X$9:$X50,ROUNDUP(VALUE(U50),0),$Q$9:$Q50,"npt")/SUMIFS($N$9:$N50,$X$9:$X50,ROUNDUP(VALUE(U50),0))),"")</f>
        <v>-</v>
      </c>
      <c r="Z50" s="112">
        <f ca="1">IFERROR(IF($N50=0,"-",SUMIF($Q$11:$Q50,"npt",$N$11:$N50)/(T50*24)),"")</f>
        <v>0</v>
      </c>
      <c r="AA50" s="491"/>
      <c r="AB50" s="491"/>
      <c r="AC50" s="398" t="s">
        <v>224</v>
      </c>
      <c r="AD50" s="427">
        <f t="shared" ca="1" si="9"/>
        <v>2.5208333333333335</v>
      </c>
      <c r="AE50" s="427">
        <f t="shared" ca="1" si="0"/>
        <v>1112</v>
      </c>
      <c r="AF50" s="427">
        <f t="shared" ca="1" si="185"/>
        <v>5.1666666666666652</v>
      </c>
      <c r="AG50" s="427">
        <f t="shared" ca="1" si="2"/>
        <v>2372</v>
      </c>
      <c r="AH50" s="493"/>
      <c r="AI50" s="427">
        <f t="shared" ca="1" si="3"/>
        <v>0</v>
      </c>
      <c r="AJ50" s="493"/>
      <c r="AK50" s="428">
        <f t="shared" ca="1" si="186"/>
        <v>2</v>
      </c>
      <c r="AL50" s="428">
        <f ca="1">IF(A50&lt;&gt;"",IFERROR(INDEX('1_INPUT'!$B$69:$E$89,MATCH($A50,'1_INPUT'!$E$69:$E$89,0),1),""),INDIRECT(ADDRESS(ROW()+1,COLUMN($AL$9),,,)))</f>
        <v>3</v>
      </c>
      <c r="AM50" s="428" t="str">
        <f ca="1">IF(AN50="","",MAX(INDIRECT(ADDRESS(9,COLUMN($AM$9),,,)):INDIRECT(ADDRESS(ROW()-1,COLUMN($AM$9),,,)))+1)</f>
        <v/>
      </c>
      <c r="AN50" s="429" t="str">
        <f>IF($AO50&lt;&gt;"",VLOOKUP($AK50,'1_INPUT'!$B$124:$D$136,2,FALSE),"")</f>
        <v/>
      </c>
      <c r="AO50" s="429" t="str">
        <f t="shared" si="10"/>
        <v/>
      </c>
      <c r="AP50" s="427">
        <f ca="1">SUMIF($AL$10:AL50,$AL50,$I$10:I50)</f>
        <v>50.20833333333335</v>
      </c>
      <c r="AR50" s="430" t="str">
        <f t="shared" ca="1" si="5"/>
        <v>WORKOVER SECTION</v>
      </c>
      <c r="AS50" s="430">
        <f ca="1">MATCH(AR50,'1_INPUT'!$V$43:$V$64,0)+1</f>
        <v>6</v>
      </c>
      <c r="AT50" s="430">
        <f ca="1">VLOOKUP(AR50,'1_INPUT'!$V$43:$W$64,2,FALSE)</f>
        <v>21</v>
      </c>
      <c r="AU50" s="430">
        <f ca="1">COUNTIF('1_INPUT'!$W$43:$W$64,AT50)-1</f>
        <v>5</v>
      </c>
      <c r="AV50" s="430" t="str">
        <f ca="1">OFFSET('1_INPUT'!$V$42,$AS50,,$AU50,)</f>
        <v>WORKOVER #2</v>
      </c>
      <c r="AX50" s="430" t="str">
        <f t="shared" si="187"/>
        <v/>
      </c>
      <c r="CK50" s="9"/>
      <c r="CL50" s="9"/>
    </row>
    <row r="51" spans="1:90" ht="27.6">
      <c r="A51" s="205"/>
      <c r="B51" s="516"/>
      <c r="C51" s="208" t="str">
        <f>IF(D51&lt;&gt;"",MAX($C$9:C50)+1,"")</f>
        <v/>
      </c>
      <c r="D51" s="523"/>
      <c r="E51" s="406"/>
      <c r="F51" s="407"/>
      <c r="G51" s="209">
        <f t="shared" ref="G51" ca="1" si="188">IF(INDIRECT(ADDRESS(ROW()-1,COLUMN(B$7),,,))&lt;&gt;"",INDIRECT(ADDRESS(ROW(),COLUMN(F$7),,,)),INDIRECT(ADDRESS(ROW()-1,COLUMN(G$7),,,))+INDIRECT(ADDRESS(ROW(),COLUMN(F$7),,,)))</f>
        <v>60.5</v>
      </c>
      <c r="H51" s="209">
        <f t="shared" si="11"/>
        <v>0</v>
      </c>
      <c r="I51" s="209">
        <f t="shared" ref="I51" ca="1" si="189">INDIRECT(ADDRESS(ROW()-1,COLUMN(I$7),,,))+INDIRECT(ADDRESS(ROW(),COLUMN(H$7),,,))</f>
        <v>2.5208333333333335</v>
      </c>
      <c r="J51" s="540">
        <v>1112</v>
      </c>
      <c r="K51" s="188"/>
      <c r="L51" s="532" t="s">
        <v>663</v>
      </c>
      <c r="M51" s="400" t="s">
        <v>93</v>
      </c>
      <c r="N51" s="407">
        <v>1</v>
      </c>
      <c r="O51" s="95">
        <f t="shared" ref="O51" ca="1" si="190">IF(INDIRECT(ADDRESS(ROW()-1,COLUMN(B$7),,,))&lt;&gt;"",INDIRECT(ADDRESS(ROW(),COLUMN(N$7),,,)),INDIRECT(ADDRESS(ROW()-1,COLUMN(O$7),,,))+INDIRECT(ADDRESS(ROW(),COLUMN(N$7),,,)))</f>
        <v>125</v>
      </c>
      <c r="P51" s="403">
        <v>2372</v>
      </c>
      <c r="Q51" s="116">
        <f>IF(N51&gt;0,VLOOKUP(M51,'3_TIME SUM'!$F$7:$G$128,2,FALSE),0)</f>
        <v>0</v>
      </c>
      <c r="R51" s="517"/>
      <c r="S51" s="94">
        <f t="shared" si="12"/>
        <v>4.1666666666666664E-2</v>
      </c>
      <c r="T51" s="94">
        <f t="shared" ref="T51" ca="1" si="191">INDIRECT(ADDRESS(ROW()-1,COLUMN(T$7),,,))+INDIRECT(ADDRESS(ROW(),COLUMN(S$7),,,))</f>
        <v>5.2083333333333321</v>
      </c>
      <c r="U51" s="539">
        <f ca="1">$T51+'1_INPUT'!$E$18</f>
        <v>44949</v>
      </c>
      <c r="V51" s="95">
        <f t="shared" ref="V51" ca="1" si="192">IFERROR(IF($AI51=0,($I51-T51)*24,(($P51-INDIRECT(ADDRESS(ROW()-1,COLUMN($P$9),,,)))/$AI51)-$N51+(INDIRECT(ADDRESS(ROW()-1,COLUMN(V$9),,,)))),"")</f>
        <v>-64.499999999999972</v>
      </c>
      <c r="W51" s="110">
        <f t="shared" ref="W51" ca="1" si="193">IFERROR(IF(V51&gt;0,TIME(V51,(V51-ROUNDDOWN(V51,0))*60,0)+DAY((ROUNDDOWN(V51,0)/24)),TIME((-V51),((-V51)-ROUNDDOWN((-V51),0))*60,0)+DAY((ROUNDDOWN((-V51),0)/24))),"")</f>
        <v>2.6875</v>
      </c>
      <c r="X51" s="111">
        <f t="shared" ref="X51" ca="1" si="194">IF(U51=0,"-",ROUNDUP(VALUE(U51),0))</f>
        <v>44949</v>
      </c>
      <c r="Y51" s="112" t="str">
        <f ca="1">IFERROR(IF(SUMIFS($N$9:$N51,$X$9:$X51,ROUNDUP(VALUE(U51),0),$Q$9:$Q51,"npt")=0,"-",SUMIFS($N$9:$N51,$X$9:$X51,ROUNDUP(VALUE(U51),0),$Q$9:$Q51,"npt")/SUMIFS($N$9:$N51,$X$9:$X51,ROUNDUP(VALUE(U51),0))),"")</f>
        <v>-</v>
      </c>
      <c r="Z51" s="112">
        <f ca="1">IFERROR(IF($N51=0,"-",SUMIF($Q$11:$Q51,"npt",$N$11:$N51)/(T51*24)),"")</f>
        <v>0</v>
      </c>
      <c r="AA51" s="491"/>
      <c r="AB51" s="491"/>
      <c r="AC51" s="398" t="s">
        <v>224</v>
      </c>
      <c r="AD51" s="427">
        <f t="shared" ca="1" si="9"/>
        <v>2.5208333333333335</v>
      </c>
      <c r="AE51" s="427">
        <f t="shared" ca="1" si="0"/>
        <v>1112</v>
      </c>
      <c r="AF51" s="427">
        <f t="shared" ref="AF51" ca="1" si="195">T51</f>
        <v>5.2083333333333321</v>
      </c>
      <c r="AG51" s="427">
        <f t="shared" ca="1" si="2"/>
        <v>2372</v>
      </c>
      <c r="AH51" s="493"/>
      <c r="AI51" s="427">
        <f t="shared" ca="1" si="3"/>
        <v>0</v>
      </c>
      <c r="AJ51" s="493"/>
      <c r="AK51" s="428">
        <f t="shared" ref="AK51" ca="1" si="196">IF(B51&lt;&gt;"",B51,INDIRECT(ADDRESS(ROW()+1,COLUMN($AK$9),,,)))</f>
        <v>2</v>
      </c>
      <c r="AL51" s="428">
        <f ca="1">IF(A51&lt;&gt;"",IFERROR(INDEX('1_INPUT'!$B$69:$E$89,MATCH($A51,'1_INPUT'!$E$69:$E$89,0),1),""),INDIRECT(ADDRESS(ROW()+1,COLUMN($AL$9),,,)))</f>
        <v>3</v>
      </c>
      <c r="AM51" s="428" t="str">
        <f ca="1">IF(AN51="","",MAX(INDIRECT(ADDRESS(9,COLUMN($AM$9),,,)):INDIRECT(ADDRESS(ROW()-1,COLUMN($AM$9),,,)))+1)</f>
        <v/>
      </c>
      <c r="AN51" s="429" t="str">
        <f>IF($AO51&lt;&gt;"",VLOOKUP($AK51,'1_INPUT'!$B$124:$D$136,2,FALSE),"")</f>
        <v/>
      </c>
      <c r="AO51" s="429" t="str">
        <f t="shared" si="10"/>
        <v/>
      </c>
      <c r="AP51" s="427">
        <f ca="1">SUMIF($AL$10:AL51,$AL51,$I$10:I51)</f>
        <v>52.729166666666686</v>
      </c>
      <c r="AR51" s="430" t="str">
        <f t="shared" ca="1" si="5"/>
        <v>WORKOVER SECTION</v>
      </c>
      <c r="AS51" s="430">
        <f ca="1">MATCH(AR51,'1_INPUT'!$V$43:$V$64,0)+1</f>
        <v>6</v>
      </c>
      <c r="AT51" s="430">
        <f ca="1">VLOOKUP(AR51,'1_INPUT'!$V$43:$W$64,2,FALSE)</f>
        <v>21</v>
      </c>
      <c r="AU51" s="430">
        <f ca="1">COUNTIF('1_INPUT'!$W$43:$W$64,AT51)-1</f>
        <v>5</v>
      </c>
      <c r="AV51" s="430" t="str">
        <f ca="1">OFFSET('1_INPUT'!$V$42,$AS51,,$AU51,)</f>
        <v>WORKOVER #3</v>
      </c>
      <c r="AX51" s="430" t="str">
        <f t="shared" ref="AX51" si="197">IF(A51&lt;&gt;"",""&amp;AR51&amp;"-"&amp;A51&amp;"","")</f>
        <v/>
      </c>
      <c r="CK51" s="9"/>
      <c r="CL51" s="9"/>
    </row>
    <row r="52" spans="1:90" ht="41.4">
      <c r="A52" s="205"/>
      <c r="B52" s="516"/>
      <c r="C52" s="208" t="str">
        <f>IF(D52&lt;&gt;"",MAX($C$9:C51)+1,"")</f>
        <v/>
      </c>
      <c r="D52" s="523"/>
      <c r="E52" s="406"/>
      <c r="F52" s="407"/>
      <c r="G52" s="209">
        <f t="shared" ref="G52:G56" ca="1" si="198">IF(INDIRECT(ADDRESS(ROW()-1,COLUMN(B$7),,,))&lt;&gt;"",INDIRECT(ADDRESS(ROW(),COLUMN(F$7),,,)),INDIRECT(ADDRESS(ROW()-1,COLUMN(G$7),,,))+INDIRECT(ADDRESS(ROW(),COLUMN(F$7),,,)))</f>
        <v>60.5</v>
      </c>
      <c r="H52" s="209">
        <f t="shared" si="11"/>
        <v>0</v>
      </c>
      <c r="I52" s="209">
        <f t="shared" ref="I52:I56" ca="1" si="199">INDIRECT(ADDRESS(ROW()-1,COLUMN(I$7),,,))+INDIRECT(ADDRESS(ROW(),COLUMN(H$7),,,))</f>
        <v>2.5208333333333335</v>
      </c>
      <c r="J52" s="540">
        <v>1112</v>
      </c>
      <c r="K52" s="188"/>
      <c r="L52" s="532" t="s">
        <v>664</v>
      </c>
      <c r="M52" s="400" t="s">
        <v>93</v>
      </c>
      <c r="N52" s="407">
        <v>14</v>
      </c>
      <c r="O52" s="95">
        <f t="shared" ref="O52:O56" ca="1" si="200">IF(INDIRECT(ADDRESS(ROW()-1,COLUMN(B$7),,,))&lt;&gt;"",INDIRECT(ADDRESS(ROW(),COLUMN(N$7),,,)),INDIRECT(ADDRESS(ROW()-1,COLUMN(O$7),,,))+INDIRECT(ADDRESS(ROW(),COLUMN(N$7),,,)))</f>
        <v>139</v>
      </c>
      <c r="P52" s="403">
        <v>2372</v>
      </c>
      <c r="Q52" s="116">
        <f>IF(N52&gt;0,VLOOKUP(M52,'3_TIME SUM'!$F$7:$G$128,2,FALSE),0)</f>
        <v>0</v>
      </c>
      <c r="R52" s="517"/>
      <c r="S52" s="94">
        <f t="shared" si="12"/>
        <v>0.58333333333333337</v>
      </c>
      <c r="T52" s="94">
        <f t="shared" ref="T52:T56" ca="1" si="201">INDIRECT(ADDRESS(ROW()-1,COLUMN(T$7),,,))+INDIRECT(ADDRESS(ROW(),COLUMN(S$7),,,))</f>
        <v>5.7916666666666652</v>
      </c>
      <c r="U52" s="535">
        <f ca="1">$T52+'1_INPUT'!$E$18</f>
        <v>44949.583333333328</v>
      </c>
      <c r="V52" s="95">
        <f t="shared" ref="V52:V56" ca="1" si="202">IFERROR(IF($AI52=0,($I52-T52)*24,(($P52-INDIRECT(ADDRESS(ROW()-1,COLUMN($P$9),,,)))/$AI52)-$N52+(INDIRECT(ADDRESS(ROW()-1,COLUMN(V$9),,,)))),"")</f>
        <v>-78.499999999999957</v>
      </c>
      <c r="W52" s="110">
        <f t="shared" ref="W52:W56" ca="1" si="203">IFERROR(IF(V52&gt;0,TIME(V52,(V52-ROUNDDOWN(V52,0))*60,0)+DAY((ROUNDDOWN(V52,0)/24)),TIME((-V52),((-V52)-ROUNDDOWN((-V52),0))*60,0)+DAY((ROUNDDOWN((-V52),0)/24))),"")</f>
        <v>3.2708333333333335</v>
      </c>
      <c r="X52" s="111">
        <f t="shared" ref="X52:X56" ca="1" si="204">IF(U52=0,"-",ROUNDUP(VALUE(U52),0))</f>
        <v>44950</v>
      </c>
      <c r="Y52" s="112" t="str">
        <f ca="1">IFERROR(IF(SUMIFS($N$9:$N52,$X$9:$X52,ROUNDUP(VALUE(U52),0),$Q$9:$Q52,"npt")=0,"-",SUMIFS($N$9:$N52,$X$9:$X52,ROUNDUP(VALUE(U52),0),$Q$9:$Q52,"npt")/SUMIFS($N$9:$N52,$X$9:$X52,ROUNDUP(VALUE(U52),0))),"")</f>
        <v>-</v>
      </c>
      <c r="Z52" s="112">
        <f ca="1">IFERROR(IF($N52=0,"-",SUMIF($Q$11:$Q52,"npt",$N$11:$N52)/(T52*24)),"")</f>
        <v>0</v>
      </c>
      <c r="AA52" s="491"/>
      <c r="AB52" s="491"/>
      <c r="AC52" s="398" t="s">
        <v>224</v>
      </c>
      <c r="AD52" s="427">
        <f t="shared" ca="1" si="9"/>
        <v>2.5208333333333335</v>
      </c>
      <c r="AE52" s="427">
        <f t="shared" ca="1" si="0"/>
        <v>1112</v>
      </c>
      <c r="AF52" s="427">
        <f t="shared" ref="AF52:AF56" ca="1" si="205">T52</f>
        <v>5.7916666666666652</v>
      </c>
      <c r="AG52" s="427">
        <f t="shared" ca="1" si="2"/>
        <v>2372</v>
      </c>
      <c r="AH52" s="493"/>
      <c r="AI52" s="427">
        <f t="shared" ca="1" si="3"/>
        <v>0</v>
      </c>
      <c r="AJ52" s="493"/>
      <c r="AK52" s="428">
        <f t="shared" ref="AK52:AK56" ca="1" si="206">IF(B52&lt;&gt;"",B52,INDIRECT(ADDRESS(ROW()+1,COLUMN($AK$9),,,)))</f>
        <v>2</v>
      </c>
      <c r="AL52" s="428">
        <f ca="1">IF(A52&lt;&gt;"",IFERROR(INDEX('1_INPUT'!$B$69:$E$89,MATCH($A52,'1_INPUT'!$E$69:$E$89,0),1),""),INDIRECT(ADDRESS(ROW()+1,COLUMN($AL$9),,,)))</f>
        <v>3</v>
      </c>
      <c r="AM52" s="428" t="str">
        <f ca="1">IF(AN52="","",MAX(INDIRECT(ADDRESS(9,COLUMN($AM$9),,,)):INDIRECT(ADDRESS(ROW()-1,COLUMN($AM$9),,,)))+1)</f>
        <v/>
      </c>
      <c r="AN52" s="429" t="str">
        <f>IF($AO52&lt;&gt;"",VLOOKUP($AK52,'1_INPUT'!$B$124:$D$136,2,FALSE),"")</f>
        <v/>
      </c>
      <c r="AO52" s="429" t="str">
        <f t="shared" si="10"/>
        <v/>
      </c>
      <c r="AP52" s="427">
        <f ca="1">SUMIF($AL$10:AL52,$AL52,$I$10:I52)</f>
        <v>55.250000000000021</v>
      </c>
      <c r="AR52" s="430" t="str">
        <f t="shared" ca="1" si="5"/>
        <v>WORKOVER SECTION</v>
      </c>
      <c r="AS52" s="430">
        <f ca="1">MATCH(AR52,'1_INPUT'!$V$43:$V$64,0)+1</f>
        <v>6</v>
      </c>
      <c r="AT52" s="430">
        <f ca="1">VLOOKUP(AR52,'1_INPUT'!$V$43:$W$64,2,FALSE)</f>
        <v>21</v>
      </c>
      <c r="AU52" s="430">
        <f ca="1">COUNTIF('1_INPUT'!$W$43:$W$64,AT52)-1</f>
        <v>5</v>
      </c>
      <c r="AV52" s="430" t="str">
        <f ca="1">OFFSET('1_INPUT'!$V$42,$AS52,,$AU52,)</f>
        <v>WORKOVER #4</v>
      </c>
      <c r="AX52" s="430" t="str">
        <f t="shared" ref="AX52:AX56" si="207">IF(A52&lt;&gt;"",""&amp;AR52&amp;"-"&amp;A52&amp;"","")</f>
        <v/>
      </c>
      <c r="CK52" s="9"/>
      <c r="CL52" s="9"/>
    </row>
    <row r="53" spans="1:90" ht="55.2">
      <c r="A53" s="205"/>
      <c r="B53" s="516"/>
      <c r="C53" s="208" t="str">
        <f>IF(D53&lt;&gt;"",MAX($C$9:C52)+1,"")</f>
        <v/>
      </c>
      <c r="D53" s="523"/>
      <c r="E53" s="406"/>
      <c r="F53" s="407"/>
      <c r="G53" s="209">
        <f t="shared" ca="1" si="198"/>
        <v>60.5</v>
      </c>
      <c r="H53" s="209">
        <f t="shared" si="11"/>
        <v>0</v>
      </c>
      <c r="I53" s="209">
        <f t="shared" ca="1" si="199"/>
        <v>2.5208333333333335</v>
      </c>
      <c r="J53" s="540">
        <v>1112</v>
      </c>
      <c r="K53" s="188"/>
      <c r="L53" s="532" t="s">
        <v>671</v>
      </c>
      <c r="M53" s="400" t="s">
        <v>146</v>
      </c>
      <c r="N53" s="407">
        <v>0.5</v>
      </c>
      <c r="O53" s="95">
        <f t="shared" ca="1" si="200"/>
        <v>139.5</v>
      </c>
      <c r="P53" s="403">
        <v>2372</v>
      </c>
      <c r="Q53" s="116">
        <f>IF(N53&gt;0,VLOOKUP(M53,'3_TIME SUM'!$F$7:$G$128,2,FALSE),0)</f>
        <v>0</v>
      </c>
      <c r="R53" s="517"/>
      <c r="S53" s="94">
        <f t="shared" si="12"/>
        <v>2.0833333333333332E-2</v>
      </c>
      <c r="T53" s="94">
        <f t="shared" ca="1" si="201"/>
        <v>5.8124999999999982</v>
      </c>
      <c r="U53" s="535">
        <f ca="1">$T53+'1_INPUT'!$E$18</f>
        <v>44949.604166666664</v>
      </c>
      <c r="V53" s="95">
        <f t="shared" ca="1" si="202"/>
        <v>-78.999999999999957</v>
      </c>
      <c r="W53" s="110">
        <f t="shared" ca="1" si="203"/>
        <v>3.2916666666666665</v>
      </c>
      <c r="X53" s="111">
        <f t="shared" ca="1" si="204"/>
        <v>44950</v>
      </c>
      <c r="Y53" s="112" t="str">
        <f ca="1">IFERROR(IF(SUMIFS($N$9:$N53,$X$9:$X53,ROUNDUP(VALUE(U53),0),$Q$9:$Q53,"npt")=0,"-",SUMIFS($N$9:$N53,$X$9:$X53,ROUNDUP(VALUE(U53),0),$Q$9:$Q53,"npt")/SUMIFS($N$9:$N53,$X$9:$X53,ROUNDUP(VALUE(U53),0))),"")</f>
        <v>-</v>
      </c>
      <c r="Z53" s="112">
        <f ca="1">IFERROR(IF($N53=0,"-",SUMIF($Q$11:$Q53,"npt",$N$11:$N53)/(T53*24)),"")</f>
        <v>0</v>
      </c>
      <c r="AA53" s="491"/>
      <c r="AB53" s="491"/>
      <c r="AC53" s="398" t="s">
        <v>224</v>
      </c>
      <c r="AD53" s="427">
        <f t="shared" ca="1" si="9"/>
        <v>2.5208333333333335</v>
      </c>
      <c r="AE53" s="427">
        <f t="shared" ca="1" si="0"/>
        <v>1112</v>
      </c>
      <c r="AF53" s="427">
        <f t="shared" ca="1" si="205"/>
        <v>5.8124999999999982</v>
      </c>
      <c r="AG53" s="427">
        <f t="shared" ca="1" si="2"/>
        <v>2372</v>
      </c>
      <c r="AH53" s="493"/>
      <c r="AI53" s="427">
        <f t="shared" ca="1" si="3"/>
        <v>0</v>
      </c>
      <c r="AJ53" s="493"/>
      <c r="AK53" s="428">
        <f t="shared" ca="1" si="206"/>
        <v>2</v>
      </c>
      <c r="AL53" s="428">
        <f ca="1">IF(A53&lt;&gt;"",IFERROR(INDEX('1_INPUT'!$B$69:$E$89,MATCH($A53,'1_INPUT'!$E$69:$E$89,0),1),""),INDIRECT(ADDRESS(ROW()+1,COLUMN($AL$9),,,)))</f>
        <v>3</v>
      </c>
      <c r="AM53" s="428" t="str">
        <f ca="1">IF(AN53="","",MAX(INDIRECT(ADDRESS(9,COLUMN($AM$9),,,)):INDIRECT(ADDRESS(ROW()-1,COLUMN($AM$9),,,)))+1)</f>
        <v/>
      </c>
      <c r="AN53" s="429" t="str">
        <f>IF($AO53&lt;&gt;"",VLOOKUP($AK53,'1_INPUT'!$B$124:$D$136,2,FALSE),"")</f>
        <v/>
      </c>
      <c r="AO53" s="429" t="str">
        <f t="shared" si="10"/>
        <v/>
      </c>
      <c r="AP53" s="427">
        <f ca="1">SUMIF($AL$10:AL53,$AL53,$I$10:I53)</f>
        <v>57.770833333333357</v>
      </c>
      <c r="AR53" s="430" t="str">
        <f t="shared" ca="1" si="5"/>
        <v>WORKOVER SECTION</v>
      </c>
      <c r="AS53" s="430">
        <f ca="1">MATCH(AR53,'1_INPUT'!$V$43:$V$64,0)+1</f>
        <v>6</v>
      </c>
      <c r="AT53" s="430">
        <f ca="1">VLOOKUP(AR53,'1_INPUT'!$V$43:$W$64,2,FALSE)</f>
        <v>21</v>
      </c>
      <c r="AU53" s="430">
        <f ca="1">COUNTIF('1_INPUT'!$W$43:$W$64,AT53)-1</f>
        <v>5</v>
      </c>
      <c r="AV53" s="430" t="e">
        <f ca="1">OFFSET('1_INPUT'!$V$42,$AS53,,$AU53,)</f>
        <v>#VALUE!</v>
      </c>
      <c r="AX53" s="430" t="str">
        <f t="shared" si="207"/>
        <v/>
      </c>
      <c r="CK53" s="9"/>
      <c r="CL53" s="9"/>
    </row>
    <row r="54" spans="1:90" ht="27.6">
      <c r="A54" s="205"/>
      <c r="B54" s="516"/>
      <c r="C54" s="208" t="str">
        <f>IF(D54&lt;&gt;"",MAX($C$9:C53)+1,"")</f>
        <v/>
      </c>
      <c r="D54" s="523"/>
      <c r="E54" s="406"/>
      <c r="F54" s="407"/>
      <c r="G54" s="209">
        <f t="shared" ca="1" si="198"/>
        <v>60.5</v>
      </c>
      <c r="H54" s="209">
        <f t="shared" si="11"/>
        <v>0</v>
      </c>
      <c r="I54" s="209">
        <f t="shared" ca="1" si="199"/>
        <v>2.5208333333333335</v>
      </c>
      <c r="J54" s="540">
        <v>1112</v>
      </c>
      <c r="K54" s="188"/>
      <c r="L54" s="532" t="s">
        <v>672</v>
      </c>
      <c r="M54" s="400" t="s">
        <v>36</v>
      </c>
      <c r="N54" s="407">
        <v>3</v>
      </c>
      <c r="O54" s="95">
        <f t="shared" ca="1" si="200"/>
        <v>142.5</v>
      </c>
      <c r="P54" s="403">
        <v>2372</v>
      </c>
      <c r="Q54" s="116">
        <f>IF(N54&gt;0,VLOOKUP(M54,'3_TIME SUM'!$F$7:$G$128,2,FALSE),0)</f>
        <v>0</v>
      </c>
      <c r="R54" s="517"/>
      <c r="S54" s="94">
        <f t="shared" si="12"/>
        <v>0.125</v>
      </c>
      <c r="T54" s="94">
        <f t="shared" ca="1" si="201"/>
        <v>5.9374999999999982</v>
      </c>
      <c r="U54" s="535">
        <f ca="1">$T54+'1_INPUT'!$E$18</f>
        <v>44949.729166666664</v>
      </c>
      <c r="V54" s="95">
        <f t="shared" ca="1" si="202"/>
        <v>-81.999999999999957</v>
      </c>
      <c r="W54" s="110">
        <f t="shared" ca="1" si="203"/>
        <v>3.4166666666666665</v>
      </c>
      <c r="X54" s="111">
        <f t="shared" ca="1" si="204"/>
        <v>44950</v>
      </c>
      <c r="Y54" s="112" t="str">
        <f ca="1">IFERROR(IF(SUMIFS($N$9:$N54,$X$9:$X54,ROUNDUP(VALUE(U54),0),$Q$9:$Q54,"npt")=0,"-",SUMIFS($N$9:$N54,$X$9:$X54,ROUNDUP(VALUE(U54),0),$Q$9:$Q54,"npt")/SUMIFS($N$9:$N54,$X$9:$X54,ROUNDUP(VALUE(U54),0))),"")</f>
        <v>-</v>
      </c>
      <c r="Z54" s="112">
        <f ca="1">IFERROR(IF($N54=0,"-",SUMIF($Q$11:$Q54,"npt",$N$11:$N54)/(T54*24)),"")</f>
        <v>0</v>
      </c>
      <c r="AA54" s="491"/>
      <c r="AB54" s="491"/>
      <c r="AC54" s="398" t="s">
        <v>224</v>
      </c>
      <c r="AD54" s="427">
        <f t="shared" ca="1" si="9"/>
        <v>2.5208333333333335</v>
      </c>
      <c r="AE54" s="427">
        <f t="shared" ca="1" si="0"/>
        <v>1112</v>
      </c>
      <c r="AF54" s="427">
        <f t="shared" ca="1" si="205"/>
        <v>5.9374999999999982</v>
      </c>
      <c r="AG54" s="427">
        <f t="shared" ca="1" si="2"/>
        <v>2372</v>
      </c>
      <c r="AH54" s="493"/>
      <c r="AI54" s="427">
        <f t="shared" ca="1" si="3"/>
        <v>0</v>
      </c>
      <c r="AJ54" s="493"/>
      <c r="AK54" s="428">
        <f t="shared" ca="1" si="206"/>
        <v>2</v>
      </c>
      <c r="AL54" s="428">
        <f ca="1">IF(A54&lt;&gt;"",IFERROR(INDEX('1_INPUT'!$B$69:$E$89,MATCH($A54,'1_INPUT'!$E$69:$E$89,0),1),""),INDIRECT(ADDRESS(ROW()+1,COLUMN($AL$9),,,)))</f>
        <v>3</v>
      </c>
      <c r="AM54" s="428" t="str">
        <f ca="1">IF(AN54="","",MAX(INDIRECT(ADDRESS(9,COLUMN($AM$9),,,)):INDIRECT(ADDRESS(ROW()-1,COLUMN($AM$9),,,)))+1)</f>
        <v/>
      </c>
      <c r="AN54" s="429" t="str">
        <f>IF($AO54&lt;&gt;"",VLOOKUP($AK54,'1_INPUT'!$B$124:$D$136,2,FALSE),"")</f>
        <v/>
      </c>
      <c r="AO54" s="429" t="str">
        <f t="shared" si="10"/>
        <v/>
      </c>
      <c r="AP54" s="427">
        <f ca="1">SUMIF($AL$10:AL54,$AL54,$I$10:I54)</f>
        <v>60.291666666666693</v>
      </c>
      <c r="AR54" s="430" t="str">
        <f t="shared" ca="1" si="5"/>
        <v>WORKOVER SECTION</v>
      </c>
      <c r="AS54" s="430">
        <f ca="1">MATCH(AR54,'1_INPUT'!$V$43:$V$64,0)+1</f>
        <v>6</v>
      </c>
      <c r="AT54" s="430">
        <f ca="1">VLOOKUP(AR54,'1_INPUT'!$V$43:$W$64,2,FALSE)</f>
        <v>21</v>
      </c>
      <c r="AU54" s="430">
        <f ca="1">COUNTIF('1_INPUT'!$W$43:$W$64,AT54)-1</f>
        <v>5</v>
      </c>
      <c r="AV54" s="430" t="e">
        <f ca="1">OFFSET('1_INPUT'!$V$42,$AS54,,$AU54,)</f>
        <v>#VALUE!</v>
      </c>
      <c r="AX54" s="430" t="str">
        <f t="shared" si="207"/>
        <v/>
      </c>
      <c r="CK54" s="9"/>
      <c r="CL54" s="9"/>
    </row>
    <row r="55" spans="1:90" ht="27.6">
      <c r="A55" s="205"/>
      <c r="B55" s="516"/>
      <c r="C55" s="208" t="str">
        <f>IF(D55&lt;&gt;"",MAX($C$9:C54)+1,"")</f>
        <v/>
      </c>
      <c r="D55" s="523"/>
      <c r="E55" s="406"/>
      <c r="F55" s="407"/>
      <c r="G55" s="209">
        <f t="shared" ca="1" si="198"/>
        <v>60.5</v>
      </c>
      <c r="H55" s="209">
        <f t="shared" si="11"/>
        <v>0</v>
      </c>
      <c r="I55" s="209">
        <f t="shared" ca="1" si="199"/>
        <v>2.5208333333333335</v>
      </c>
      <c r="J55" s="540">
        <v>1112</v>
      </c>
      <c r="K55" s="188"/>
      <c r="L55" s="532" t="s">
        <v>673</v>
      </c>
      <c r="M55" s="400" t="s">
        <v>126</v>
      </c>
      <c r="N55" s="407">
        <v>0.5</v>
      </c>
      <c r="O55" s="95">
        <f t="shared" ca="1" si="200"/>
        <v>143</v>
      </c>
      <c r="P55" s="403">
        <v>2372</v>
      </c>
      <c r="Q55" s="116">
        <f>IF(N55&gt;0,VLOOKUP(M55,'3_TIME SUM'!$F$7:$G$128,2,FALSE),0)</f>
        <v>0</v>
      </c>
      <c r="R55" s="517"/>
      <c r="S55" s="94">
        <f t="shared" si="12"/>
        <v>2.0833333333333332E-2</v>
      </c>
      <c r="T55" s="94">
        <f t="shared" ca="1" si="201"/>
        <v>5.9583333333333313</v>
      </c>
      <c r="U55" s="535">
        <f ca="1">$T55+'1_INPUT'!$E$18</f>
        <v>44949.75</v>
      </c>
      <c r="V55" s="95">
        <f t="shared" ca="1" si="202"/>
        <v>-82.499999999999943</v>
      </c>
      <c r="W55" s="110">
        <f t="shared" ca="1" si="203"/>
        <v>3.4375</v>
      </c>
      <c r="X55" s="111">
        <f t="shared" ca="1" si="204"/>
        <v>44950</v>
      </c>
      <c r="Y55" s="112" t="str">
        <f ca="1">IFERROR(IF(SUMIFS($N$9:$N55,$X$9:$X55,ROUNDUP(VALUE(U55),0),$Q$9:$Q55,"npt")=0,"-",SUMIFS($N$9:$N55,$X$9:$X55,ROUNDUP(VALUE(U55),0),$Q$9:$Q55,"npt")/SUMIFS($N$9:$N55,$X$9:$X55,ROUNDUP(VALUE(U55),0))),"")</f>
        <v>-</v>
      </c>
      <c r="Z55" s="112">
        <f ca="1">IFERROR(IF($N55=0,"-",SUMIF($Q$11:$Q55,"npt",$N$11:$N55)/(T55*24)),"")</f>
        <v>0</v>
      </c>
      <c r="AA55" s="491"/>
      <c r="AB55" s="491"/>
      <c r="AC55" s="398" t="s">
        <v>224</v>
      </c>
      <c r="AD55" s="427">
        <f t="shared" ca="1" si="9"/>
        <v>2.5208333333333335</v>
      </c>
      <c r="AE55" s="427">
        <f t="shared" ca="1" si="0"/>
        <v>1112</v>
      </c>
      <c r="AF55" s="427">
        <f t="shared" ca="1" si="205"/>
        <v>5.9583333333333313</v>
      </c>
      <c r="AG55" s="427">
        <f t="shared" ca="1" si="2"/>
        <v>2372</v>
      </c>
      <c r="AH55" s="493"/>
      <c r="AI55" s="427">
        <f t="shared" ca="1" si="3"/>
        <v>0</v>
      </c>
      <c r="AJ55" s="493"/>
      <c r="AK55" s="428">
        <f t="shared" ca="1" si="206"/>
        <v>2</v>
      </c>
      <c r="AL55" s="428">
        <f ca="1">IF(A55&lt;&gt;"",IFERROR(INDEX('1_INPUT'!$B$69:$E$89,MATCH($A55,'1_INPUT'!$E$69:$E$89,0),1),""),INDIRECT(ADDRESS(ROW()+1,COLUMN($AL$9),,,)))</f>
        <v>3</v>
      </c>
      <c r="AM55" s="428" t="str">
        <f ca="1">IF(AN55="","",MAX(INDIRECT(ADDRESS(9,COLUMN($AM$9),,,)):INDIRECT(ADDRESS(ROW()-1,COLUMN($AM$9),,,)))+1)</f>
        <v/>
      </c>
      <c r="AN55" s="429" t="str">
        <f>IF($AO55&lt;&gt;"",VLOOKUP($AK55,'1_INPUT'!$B$124:$D$136,2,FALSE),"")</f>
        <v/>
      </c>
      <c r="AO55" s="429" t="str">
        <f t="shared" si="10"/>
        <v/>
      </c>
      <c r="AP55" s="427">
        <f ca="1">SUMIF($AL$10:AL55,$AL55,$I$10:I55)</f>
        <v>62.812500000000028</v>
      </c>
      <c r="AR55" s="430" t="str">
        <f t="shared" ca="1" si="5"/>
        <v>WORKOVER SECTION</v>
      </c>
      <c r="AS55" s="430">
        <f ca="1">MATCH(AR55,'1_INPUT'!$V$43:$V$64,0)+1</f>
        <v>6</v>
      </c>
      <c r="AT55" s="430">
        <f ca="1">VLOOKUP(AR55,'1_INPUT'!$V$43:$W$64,2,FALSE)</f>
        <v>21</v>
      </c>
      <c r="AU55" s="430">
        <f ca="1">COUNTIF('1_INPUT'!$W$43:$W$64,AT55)-1</f>
        <v>5</v>
      </c>
      <c r="AV55" s="430" t="e">
        <f ca="1">OFFSET('1_INPUT'!$V$42,$AS55,,$AU55,)</f>
        <v>#VALUE!</v>
      </c>
      <c r="AX55" s="430" t="str">
        <f t="shared" si="207"/>
        <v/>
      </c>
      <c r="CK55" s="9"/>
      <c r="CL55" s="9"/>
    </row>
    <row r="56" spans="1:90" ht="13.8">
      <c r="A56" s="205"/>
      <c r="B56" s="516"/>
      <c r="C56" s="208" t="str">
        <f>IF(D56&lt;&gt;"",MAX($C$9:C55)+1,"")</f>
        <v/>
      </c>
      <c r="D56" s="523"/>
      <c r="E56" s="406"/>
      <c r="F56" s="407"/>
      <c r="G56" s="209">
        <f t="shared" ca="1" si="198"/>
        <v>60.5</v>
      </c>
      <c r="H56" s="209">
        <f t="shared" si="11"/>
        <v>0</v>
      </c>
      <c r="I56" s="209">
        <f t="shared" ca="1" si="199"/>
        <v>2.5208333333333335</v>
      </c>
      <c r="J56" s="540">
        <v>1112</v>
      </c>
      <c r="K56" s="188"/>
      <c r="L56" s="532" t="s">
        <v>674</v>
      </c>
      <c r="M56" s="400" t="s">
        <v>529</v>
      </c>
      <c r="N56" s="407">
        <v>2</v>
      </c>
      <c r="O56" s="95">
        <f t="shared" ca="1" si="200"/>
        <v>145</v>
      </c>
      <c r="P56" s="403">
        <v>2372</v>
      </c>
      <c r="Q56" s="116">
        <f>IF(N56&gt;0,VLOOKUP(M56,'3_TIME SUM'!$F$7:$G$128,2,FALSE),0)</f>
        <v>0</v>
      </c>
      <c r="R56" s="517"/>
      <c r="S56" s="94">
        <f t="shared" si="12"/>
        <v>8.3333333333333329E-2</v>
      </c>
      <c r="T56" s="94">
        <f t="shared" ca="1" si="201"/>
        <v>6.0416666666666643</v>
      </c>
      <c r="U56" s="535">
        <f ca="1">$T56+'1_INPUT'!$E$18</f>
        <v>44949.833333333328</v>
      </c>
      <c r="V56" s="95">
        <f t="shared" ca="1" si="202"/>
        <v>-84.499999999999943</v>
      </c>
      <c r="W56" s="110">
        <f t="shared" ca="1" si="203"/>
        <v>3.5208333333333335</v>
      </c>
      <c r="X56" s="111">
        <f t="shared" ca="1" si="204"/>
        <v>44950</v>
      </c>
      <c r="Y56" s="112" t="str">
        <f ca="1">IFERROR(IF(SUMIFS($N$9:$N56,$X$9:$X56,ROUNDUP(VALUE(U56),0),$Q$9:$Q56,"npt")=0,"-",SUMIFS($N$9:$N56,$X$9:$X56,ROUNDUP(VALUE(U56),0),$Q$9:$Q56,"npt")/SUMIFS($N$9:$N56,$X$9:$X56,ROUNDUP(VALUE(U56),0))),"")</f>
        <v>-</v>
      </c>
      <c r="Z56" s="112">
        <f ca="1">IFERROR(IF($N56=0,"-",SUMIF($Q$11:$Q56,"npt",$N$11:$N56)/(T56*24)),"")</f>
        <v>0</v>
      </c>
      <c r="AA56" s="491"/>
      <c r="AB56" s="491"/>
      <c r="AC56" s="398" t="s">
        <v>224</v>
      </c>
      <c r="AD56" s="427">
        <f t="shared" ca="1" si="9"/>
        <v>2.5208333333333335</v>
      </c>
      <c r="AE56" s="427">
        <f t="shared" ca="1" si="0"/>
        <v>1112</v>
      </c>
      <c r="AF56" s="427">
        <f t="shared" ca="1" si="205"/>
        <v>6.0416666666666643</v>
      </c>
      <c r="AG56" s="427">
        <f t="shared" ca="1" si="2"/>
        <v>2372</v>
      </c>
      <c r="AH56" s="493"/>
      <c r="AI56" s="427">
        <f t="shared" ca="1" si="3"/>
        <v>0</v>
      </c>
      <c r="AJ56" s="493"/>
      <c r="AK56" s="428">
        <f t="shared" ca="1" si="206"/>
        <v>2</v>
      </c>
      <c r="AL56" s="428">
        <f ca="1">IF(A56&lt;&gt;"",IFERROR(INDEX('1_INPUT'!$B$69:$E$89,MATCH($A56,'1_INPUT'!$E$69:$E$89,0),1),""),INDIRECT(ADDRESS(ROW()+1,COLUMN($AL$9),,,)))</f>
        <v>3</v>
      </c>
      <c r="AM56" s="428" t="str">
        <f ca="1">IF(AN56="","",MAX(INDIRECT(ADDRESS(9,COLUMN($AM$9),,,)):INDIRECT(ADDRESS(ROW()-1,COLUMN($AM$9),,,)))+1)</f>
        <v/>
      </c>
      <c r="AN56" s="429" t="str">
        <f>IF($AO56&lt;&gt;"",VLOOKUP($AK56,'1_INPUT'!$B$124:$D$136,2,FALSE),"")</f>
        <v/>
      </c>
      <c r="AO56" s="429" t="str">
        <f t="shared" si="10"/>
        <v/>
      </c>
      <c r="AP56" s="427">
        <f ca="1">SUMIF($AL$10:AL56,$AL56,$I$10:I56)</f>
        <v>65.333333333333357</v>
      </c>
      <c r="AR56" s="430" t="str">
        <f t="shared" ca="1" si="5"/>
        <v>WORKOVER SECTION</v>
      </c>
      <c r="AS56" s="430">
        <f ca="1">MATCH(AR56,'1_INPUT'!$V$43:$V$64,0)+1</f>
        <v>6</v>
      </c>
      <c r="AT56" s="430">
        <f ca="1">VLOOKUP(AR56,'1_INPUT'!$V$43:$W$64,2,FALSE)</f>
        <v>21</v>
      </c>
      <c r="AU56" s="430">
        <f ca="1">COUNTIF('1_INPUT'!$W$43:$W$64,AT56)-1</f>
        <v>5</v>
      </c>
      <c r="AV56" s="430" t="e">
        <f ca="1">OFFSET('1_INPUT'!$V$42,$AS56,,$AU56,)</f>
        <v>#VALUE!</v>
      </c>
      <c r="AX56" s="430" t="str">
        <f t="shared" si="207"/>
        <v/>
      </c>
      <c r="CK56" s="9"/>
      <c r="CL56" s="9"/>
    </row>
    <row r="57" spans="1:90" ht="27.6">
      <c r="A57" s="205"/>
      <c r="B57" s="516"/>
      <c r="C57" s="208">
        <f ca="1">IF(D57&lt;&gt;"",MAX($C$9:C51)+1,"")</f>
        <v>16</v>
      </c>
      <c r="D57" s="523" t="s">
        <v>618</v>
      </c>
      <c r="E57" s="406"/>
      <c r="F57" s="407">
        <v>6</v>
      </c>
      <c r="G57" s="209">
        <f t="shared" ca="1" si="48"/>
        <v>66.5</v>
      </c>
      <c r="H57" s="209">
        <f t="shared" si="11"/>
        <v>0.25</v>
      </c>
      <c r="I57" s="209">
        <f t="shared" ca="1" si="49"/>
        <v>2.7708333333333335</v>
      </c>
      <c r="J57" s="540">
        <v>1112</v>
      </c>
      <c r="K57" s="188"/>
      <c r="L57" s="532" t="s">
        <v>675</v>
      </c>
      <c r="M57" s="400" t="s">
        <v>146</v>
      </c>
      <c r="N57" s="407">
        <v>4</v>
      </c>
      <c r="O57" s="95">
        <f t="shared" ca="1" si="50"/>
        <v>149</v>
      </c>
      <c r="P57" s="403">
        <v>2372</v>
      </c>
      <c r="Q57" s="116">
        <f>IF(N57&gt;0,VLOOKUP(M57,'3_TIME SUM'!$F$7:$G$128,2,FALSE),0)</f>
        <v>0</v>
      </c>
      <c r="R57" s="517"/>
      <c r="S57" s="94">
        <f t="shared" si="12"/>
        <v>0.16666666666666666</v>
      </c>
      <c r="T57" s="94">
        <f t="shared" ca="1" si="51"/>
        <v>6.2083333333333313</v>
      </c>
      <c r="U57" s="539">
        <f ca="1">$T57+'1_INPUT'!$E$18</f>
        <v>44950</v>
      </c>
      <c r="V57" s="95">
        <f t="shared" ca="1" si="7"/>
        <v>-82.499999999999943</v>
      </c>
      <c r="W57" s="110">
        <f t="shared" ca="1" si="8"/>
        <v>3.4375</v>
      </c>
      <c r="X57" s="111">
        <f t="shared" ca="1" si="52"/>
        <v>44950</v>
      </c>
      <c r="Y57" s="112" t="str">
        <f ca="1">IFERROR(IF(SUMIFS($N$9:$N57,$X$9:$X57,ROUNDUP(VALUE(U57),0),$Q$9:$Q57,"npt")=0,"-",SUMIFS($N$9:$N57,$X$9:$X57,ROUNDUP(VALUE(U57),0),$Q$9:$Q57,"npt")/SUMIFS($N$9:$N57,$X$9:$X57,ROUNDUP(VALUE(U57),0))),"")</f>
        <v>-</v>
      </c>
      <c r="Z57" s="112">
        <f ca="1">IFERROR(IF($N57=0,"-",SUMIF($Q$11:$Q57,"npt",$N$11:$N57)/(T57*24)),"")</f>
        <v>0</v>
      </c>
      <c r="AA57" s="491"/>
      <c r="AB57" s="491"/>
      <c r="AC57" s="398" t="s">
        <v>224</v>
      </c>
      <c r="AD57" s="427">
        <f t="shared" ca="1" si="9"/>
        <v>2.7708333333333335</v>
      </c>
      <c r="AE57" s="427">
        <f t="shared" ca="1" si="0"/>
        <v>1112</v>
      </c>
      <c r="AF57" s="427">
        <f t="shared" ca="1" si="1"/>
        <v>6.2083333333333313</v>
      </c>
      <c r="AG57" s="427">
        <f t="shared" ca="1" si="2"/>
        <v>2372</v>
      </c>
      <c r="AH57" s="493"/>
      <c r="AI57" s="427">
        <f t="shared" ca="1" si="3"/>
        <v>0</v>
      </c>
      <c r="AJ57" s="493"/>
      <c r="AK57" s="428">
        <f t="shared" ca="1" si="4"/>
        <v>2</v>
      </c>
      <c r="AL57" s="428">
        <f ca="1">IF(A57&lt;&gt;"",IFERROR(INDEX('1_INPUT'!$B$69:$E$89,MATCH($A57,'1_INPUT'!$E$69:$E$89,0),1),""),INDIRECT(ADDRESS(ROW()+1,COLUMN($AL$9),,,)))</f>
        <v>3</v>
      </c>
      <c r="AM57" s="428" t="str">
        <f ca="1">IF(AN57="","",MAX(INDIRECT(ADDRESS(9,COLUMN($AM$9),,,)):INDIRECT(ADDRESS(ROW()-1,COLUMN($AM$9),,,)))+1)</f>
        <v/>
      </c>
      <c r="AN57" s="429" t="str">
        <f>IF($AO57&lt;&gt;"",VLOOKUP($AK57,'1_INPUT'!$B$124:$D$136,2,FALSE),"")</f>
        <v/>
      </c>
      <c r="AO57" s="429" t="str">
        <f t="shared" si="10"/>
        <v/>
      </c>
      <c r="AP57" s="427">
        <f ca="1">SUMIF($AL$10:AL57,$AL57,$I$10:I57)</f>
        <v>68.104166666666686</v>
      </c>
      <c r="AR57" s="430" t="str">
        <f t="shared" ca="1" si="5"/>
        <v>WORKOVER SECTION</v>
      </c>
      <c r="AS57" s="430">
        <f ca="1">MATCH(AR57,'1_INPUT'!$V$43:$V$64,0)+1</f>
        <v>6</v>
      </c>
      <c r="AT57" s="430">
        <f ca="1">VLOOKUP(AR57,'1_INPUT'!$V$43:$W$64,2,FALSE)</f>
        <v>21</v>
      </c>
      <c r="AU57" s="430">
        <f ca="1">COUNTIF('1_INPUT'!$W$43:$W$64,AT57)-1</f>
        <v>5</v>
      </c>
      <c r="AV57" s="430" t="e">
        <f ca="1">OFFSET('1_INPUT'!$V$42,$AS57,,$AU57,)</f>
        <v>#VALUE!</v>
      </c>
      <c r="AX57" s="430" t="str">
        <f t="shared" si="6"/>
        <v/>
      </c>
      <c r="CK57" s="9"/>
      <c r="CL57" s="9"/>
    </row>
    <row r="58" spans="1:90" ht="41.4">
      <c r="A58" s="205"/>
      <c r="B58" s="516"/>
      <c r="C58" s="208" t="str">
        <f>IF(D58&lt;&gt;"",MAX($C$9:C52)+1,"")</f>
        <v/>
      </c>
      <c r="D58" s="523"/>
      <c r="E58" s="406"/>
      <c r="F58" s="407"/>
      <c r="G58" s="209">
        <f t="shared" ref="G58" ca="1" si="208">IF(INDIRECT(ADDRESS(ROW()-1,COLUMN(B$7),,,))&lt;&gt;"",INDIRECT(ADDRESS(ROW(),COLUMN(F$7),,,)),INDIRECT(ADDRESS(ROW()-1,COLUMN(G$7),,,))+INDIRECT(ADDRESS(ROW(),COLUMN(F$7),,,)))</f>
        <v>66.5</v>
      </c>
      <c r="H58" s="209">
        <f t="shared" si="11"/>
        <v>0</v>
      </c>
      <c r="I58" s="209">
        <f t="shared" ref="I58" ca="1" si="209">INDIRECT(ADDRESS(ROW()-1,COLUMN(I$7),,,))+INDIRECT(ADDRESS(ROW(),COLUMN(H$7),,,))</f>
        <v>2.7708333333333335</v>
      </c>
      <c r="J58" s="540">
        <v>1112</v>
      </c>
      <c r="K58" s="188"/>
      <c r="L58" s="532" t="s">
        <v>684</v>
      </c>
      <c r="M58" s="400" t="s">
        <v>146</v>
      </c>
      <c r="N58" s="407">
        <v>8</v>
      </c>
      <c r="O58" s="95">
        <f t="shared" ref="O58" ca="1" si="210">IF(INDIRECT(ADDRESS(ROW()-1,COLUMN(B$7),,,))&lt;&gt;"",INDIRECT(ADDRESS(ROW(),COLUMN(N$7),,,)),INDIRECT(ADDRESS(ROW()-1,COLUMN(O$7),,,))+INDIRECT(ADDRESS(ROW(),COLUMN(N$7),,,)))</f>
        <v>157</v>
      </c>
      <c r="P58" s="403">
        <v>2372</v>
      </c>
      <c r="Q58" s="116">
        <f>IF(N58&gt;0,VLOOKUP(M58,'3_TIME SUM'!$F$7:$G$128,2,FALSE),0)</f>
        <v>0</v>
      </c>
      <c r="R58" s="517"/>
      <c r="S58" s="94">
        <f t="shared" si="12"/>
        <v>0.33333333333333331</v>
      </c>
      <c r="T58" s="94">
        <f t="shared" ref="T58" ca="1" si="211">INDIRECT(ADDRESS(ROW()-1,COLUMN(T$7),,,))+INDIRECT(ADDRESS(ROW(),COLUMN(S$7),,,))</f>
        <v>6.5416666666666643</v>
      </c>
      <c r="U58" s="535">
        <f ca="1">$T58+'1_INPUT'!$E$18</f>
        <v>44950.333333333328</v>
      </c>
      <c r="V58" s="95">
        <f t="shared" ref="V58" ca="1" si="212">IFERROR(IF($AI58=0,($I58-T58)*24,(($P58-INDIRECT(ADDRESS(ROW()-1,COLUMN($P$9),,,)))/$AI58)-$N58+(INDIRECT(ADDRESS(ROW()-1,COLUMN(V$9),,,)))),"")</f>
        <v>-90.499999999999943</v>
      </c>
      <c r="W58" s="110">
        <f t="shared" ref="W58" ca="1" si="213">IFERROR(IF(V58&gt;0,TIME(V58,(V58-ROUNDDOWN(V58,0))*60,0)+DAY((ROUNDDOWN(V58,0)/24)),TIME((-V58),((-V58)-ROUNDDOWN((-V58),0))*60,0)+DAY((ROUNDDOWN((-V58),0)/24))),"")</f>
        <v>3.7708333333333335</v>
      </c>
      <c r="X58" s="111">
        <f t="shared" ref="X58" ca="1" si="214">IF(U58=0,"-",ROUNDUP(VALUE(U58),0))</f>
        <v>44951</v>
      </c>
      <c r="Y58" s="112" t="str">
        <f ca="1">IFERROR(IF(SUMIFS($N$9:$N58,$X$9:$X58,ROUNDUP(VALUE(U58),0),$Q$9:$Q58,"npt")=0,"-",SUMIFS($N$9:$N58,$X$9:$X58,ROUNDUP(VALUE(U58),0),$Q$9:$Q58,"npt")/SUMIFS($N$9:$N58,$X$9:$X58,ROUNDUP(VALUE(U58),0))),"")</f>
        <v>-</v>
      </c>
      <c r="Z58" s="112">
        <f ca="1">IFERROR(IF($N58=0,"-",SUMIF($Q$11:$Q58,"npt",$N$11:$N58)/(T58*24)),"")</f>
        <v>0</v>
      </c>
      <c r="AA58" s="491"/>
      <c r="AB58" s="491"/>
      <c r="AC58" s="398" t="s">
        <v>224</v>
      </c>
      <c r="AD58" s="427">
        <f t="shared" ca="1" si="9"/>
        <v>2.7708333333333335</v>
      </c>
      <c r="AE58" s="427">
        <f t="shared" ca="1" si="0"/>
        <v>1112</v>
      </c>
      <c r="AF58" s="427">
        <f t="shared" ref="AF58" ca="1" si="215">T58</f>
        <v>6.5416666666666643</v>
      </c>
      <c r="AG58" s="427">
        <f t="shared" ca="1" si="2"/>
        <v>2372</v>
      </c>
      <c r="AH58" s="493"/>
      <c r="AI58" s="427">
        <f t="shared" ca="1" si="3"/>
        <v>0</v>
      </c>
      <c r="AJ58" s="493"/>
      <c r="AK58" s="428">
        <f t="shared" ref="AK58" ca="1" si="216">IF(B58&lt;&gt;"",B58,INDIRECT(ADDRESS(ROW()+1,COLUMN($AK$9),,,)))</f>
        <v>2</v>
      </c>
      <c r="AL58" s="428">
        <f ca="1">IF(A58&lt;&gt;"",IFERROR(INDEX('1_INPUT'!$B$69:$E$89,MATCH($A58,'1_INPUT'!$E$69:$E$89,0),1),""),INDIRECT(ADDRESS(ROW()+1,COLUMN($AL$9),,,)))</f>
        <v>3</v>
      </c>
      <c r="AM58" s="428" t="str">
        <f ca="1">IF(AN58="","",MAX(INDIRECT(ADDRESS(9,COLUMN($AM$9),,,)):INDIRECT(ADDRESS(ROW()-1,COLUMN($AM$9),,,)))+1)</f>
        <v/>
      </c>
      <c r="AN58" s="429" t="str">
        <f>IF($AO58&lt;&gt;"",VLOOKUP($AK58,'1_INPUT'!$B$124:$D$136,2,FALSE),"")</f>
        <v/>
      </c>
      <c r="AO58" s="429" t="str">
        <f t="shared" si="10"/>
        <v/>
      </c>
      <c r="AP58" s="427">
        <f ca="1">SUMIF($AL$10:AL58,$AL58,$I$10:I58)</f>
        <v>70.875000000000014</v>
      </c>
      <c r="AR58" s="430" t="str">
        <f t="shared" ca="1" si="5"/>
        <v>WORKOVER SECTION</v>
      </c>
      <c r="AS58" s="430">
        <f ca="1">MATCH(AR58,'1_INPUT'!$V$43:$V$64,0)+1</f>
        <v>6</v>
      </c>
      <c r="AT58" s="430">
        <f ca="1">VLOOKUP(AR58,'1_INPUT'!$V$43:$W$64,2,FALSE)</f>
        <v>21</v>
      </c>
      <c r="AU58" s="430">
        <f ca="1">COUNTIF('1_INPUT'!$W$43:$W$64,AT58)-1</f>
        <v>5</v>
      </c>
      <c r="AV58" s="430" t="e">
        <f ca="1">OFFSET('1_INPUT'!$V$42,$AS58,,$AU58,)</f>
        <v>#VALUE!</v>
      </c>
      <c r="AX58" s="430" t="str">
        <f t="shared" ref="AX58" si="217">IF(A58&lt;&gt;"",""&amp;AR58&amp;"-"&amp;A58&amp;"","")</f>
        <v/>
      </c>
      <c r="CK58" s="9"/>
      <c r="CL58" s="9"/>
    </row>
    <row r="59" spans="1:90" ht="55.2">
      <c r="A59" s="205"/>
      <c r="B59" s="518"/>
      <c r="C59" s="208">
        <f ca="1">IF(D59&lt;&gt;"",MAX($C$9:C57)+1,"")</f>
        <v>17</v>
      </c>
      <c r="D59" s="523" t="s">
        <v>605</v>
      </c>
      <c r="E59" s="406"/>
      <c r="F59" s="407">
        <v>7</v>
      </c>
      <c r="G59" s="209">
        <f t="shared" ca="1" si="48"/>
        <v>73.5</v>
      </c>
      <c r="H59" s="209">
        <f t="shared" ref="H59:H191" si="218">$F59/24</f>
        <v>0.29166666666666669</v>
      </c>
      <c r="I59" s="209">
        <f t="shared" ca="1" si="49"/>
        <v>3.0625</v>
      </c>
      <c r="J59" s="540">
        <v>1112</v>
      </c>
      <c r="K59" s="200"/>
      <c r="L59" s="532" t="s">
        <v>676</v>
      </c>
      <c r="M59" s="400" t="s">
        <v>85</v>
      </c>
      <c r="N59" s="400">
        <v>2</v>
      </c>
      <c r="O59" s="95">
        <f t="shared" ca="1" si="50"/>
        <v>159</v>
      </c>
      <c r="P59" s="403">
        <v>2372</v>
      </c>
      <c r="Q59" s="116">
        <f>IF(N59&gt;0,VLOOKUP(M59,'3_TIME SUM'!$F$7:$G$128,2,FALSE),0)</f>
        <v>0</v>
      </c>
      <c r="R59" s="517"/>
      <c r="S59" s="94">
        <f t="shared" si="12"/>
        <v>8.3333333333333329E-2</v>
      </c>
      <c r="T59" s="94">
        <f t="shared" ca="1" si="51"/>
        <v>6.6249999999999973</v>
      </c>
      <c r="U59" s="535">
        <f ca="1">$T59+'1_INPUT'!$E$18</f>
        <v>44950.416666666664</v>
      </c>
      <c r="V59" s="95">
        <f t="shared" ca="1" si="7"/>
        <v>-85.499999999999943</v>
      </c>
      <c r="W59" s="110">
        <f t="shared" ca="1" si="8"/>
        <v>3.5625</v>
      </c>
      <c r="X59" s="111">
        <f t="shared" ca="1" si="52"/>
        <v>44951</v>
      </c>
      <c r="Y59" s="112" t="str">
        <f ca="1">IFERROR(IF(SUMIFS($N$9:$N59,$X$9:$X59,ROUNDUP(VALUE(U59),0),$Q$9:$Q59,"npt")=0,"-",SUMIFS($N$9:$N59,$X$9:$X59,ROUNDUP(VALUE(U59),0),$Q$9:$Q59,"npt")/SUMIFS($N$9:$N59,$X$9:$X59,ROUNDUP(VALUE(U59),0))),"")</f>
        <v>-</v>
      </c>
      <c r="Z59" s="112">
        <f ca="1">IFERROR(IF($N59=0,"-",SUMIF($Q$11:$Q59,"npt",$N$11:$N59)/(T59*24)),"")</f>
        <v>0</v>
      </c>
      <c r="AA59" s="491"/>
      <c r="AB59" s="491"/>
      <c r="AC59" s="398" t="s">
        <v>224</v>
      </c>
      <c r="AD59" s="427">
        <f t="shared" ca="1" si="9"/>
        <v>3.0625</v>
      </c>
      <c r="AE59" s="427">
        <f t="shared" ca="1" si="0"/>
        <v>1112</v>
      </c>
      <c r="AF59" s="427">
        <f t="shared" ca="1" si="1"/>
        <v>6.6249999999999973</v>
      </c>
      <c r="AG59" s="427">
        <f t="shared" ca="1" si="2"/>
        <v>2372</v>
      </c>
      <c r="AH59" s="493"/>
      <c r="AI59" s="427">
        <f t="shared" ca="1" si="3"/>
        <v>0</v>
      </c>
      <c r="AJ59" s="493"/>
      <c r="AK59" s="428">
        <f t="shared" ca="1" si="4"/>
        <v>2</v>
      </c>
      <c r="AL59" s="428">
        <f ca="1">IF(A59&lt;&gt;"",IFERROR(INDEX('1_INPUT'!$B$69:$E$89,MATCH($A59,'1_INPUT'!$E$69:$E$89,0),1),""),INDIRECT(ADDRESS(ROW()+1,COLUMN($AL$9),,,)))</f>
        <v>3</v>
      </c>
      <c r="AM59" s="428" t="str">
        <f ca="1">IF(AN59="","",MAX(INDIRECT(ADDRESS(9,COLUMN($AM$9),,,)):INDIRECT(ADDRESS(ROW()-1,COLUMN($AM$9),,,)))+1)</f>
        <v/>
      </c>
      <c r="AN59" s="429" t="str">
        <f>IF($AO59&lt;&gt;"",VLOOKUP($AK59,'1_INPUT'!$B$124:$D$136,2,FALSE),"")</f>
        <v/>
      </c>
      <c r="AO59" s="429" t="str">
        <f t="shared" si="10"/>
        <v/>
      </c>
      <c r="AP59" s="427">
        <f ca="1">SUMIF($AL$10:AL59,$AL59,$I$10:I59)</f>
        <v>73.937500000000014</v>
      </c>
      <c r="AR59" s="430" t="str">
        <f t="shared" ca="1" si="5"/>
        <v>WORKOVER SECTION</v>
      </c>
      <c r="AS59" s="430">
        <f ca="1">MATCH(AR59,'1_INPUT'!$V$43:$V$64,0)+1</f>
        <v>6</v>
      </c>
      <c r="AT59" s="430">
        <f ca="1">VLOOKUP(AR59,'1_INPUT'!$V$43:$W$64,2,FALSE)</f>
        <v>21</v>
      </c>
      <c r="AU59" s="430">
        <f ca="1">COUNTIF('1_INPUT'!$W$43:$W$64,AT59)-1</f>
        <v>5</v>
      </c>
      <c r="AV59" s="430" t="e">
        <f ca="1">OFFSET('1_INPUT'!$V$42,$AS59,,$AU59,)</f>
        <v>#VALUE!</v>
      </c>
      <c r="AX59" s="430" t="str">
        <f t="shared" si="6"/>
        <v/>
      </c>
      <c r="CK59" s="9"/>
      <c r="CL59" s="9"/>
    </row>
    <row r="60" spans="1:90" ht="88.5" customHeight="1">
      <c r="A60" s="205"/>
      <c r="B60" s="518"/>
      <c r="C60" s="208" t="str">
        <f>IF(D60&lt;&gt;"",MAX($C$9:C58)+1,"")</f>
        <v/>
      </c>
      <c r="D60" s="523"/>
      <c r="E60" s="406"/>
      <c r="F60" s="407"/>
      <c r="G60" s="209">
        <f t="shared" ref="G60:G61" ca="1" si="219">IF(INDIRECT(ADDRESS(ROW()-1,COLUMN(B$7),,,))&lt;&gt;"",INDIRECT(ADDRESS(ROW(),COLUMN(F$7),,,)),INDIRECT(ADDRESS(ROW()-1,COLUMN(G$7),,,))+INDIRECT(ADDRESS(ROW(),COLUMN(F$7),,,)))</f>
        <v>73.5</v>
      </c>
      <c r="H60" s="209">
        <f t="shared" si="218"/>
        <v>0</v>
      </c>
      <c r="I60" s="209">
        <f t="shared" ref="I60:I61" ca="1" si="220">INDIRECT(ADDRESS(ROW()-1,COLUMN(I$7),,,))+INDIRECT(ADDRESS(ROW(),COLUMN(H$7),,,))</f>
        <v>3.0625</v>
      </c>
      <c r="J60" s="540">
        <v>1112</v>
      </c>
      <c r="K60" s="200"/>
      <c r="L60" s="532" t="s">
        <v>677</v>
      </c>
      <c r="M60" s="400" t="s">
        <v>157</v>
      </c>
      <c r="N60" s="400">
        <v>8</v>
      </c>
      <c r="O60" s="95">
        <f t="shared" ref="O60:O61" ca="1" si="221">IF(INDIRECT(ADDRESS(ROW()-1,COLUMN(B$7),,,))&lt;&gt;"",INDIRECT(ADDRESS(ROW(),COLUMN(N$7),,,)),INDIRECT(ADDRESS(ROW()-1,COLUMN(O$7),,,))+INDIRECT(ADDRESS(ROW(),COLUMN(N$7),,,)))</f>
        <v>167</v>
      </c>
      <c r="P60" s="403">
        <v>2372</v>
      </c>
      <c r="Q60" s="116" t="str">
        <f>IF(N60&gt;0,VLOOKUP(M60,'3_TIME SUM'!$F$7:$G$128,2,FALSE),0)</f>
        <v>NPT</v>
      </c>
      <c r="R60" s="517"/>
      <c r="S60" s="94">
        <f t="shared" si="12"/>
        <v>0.33333333333333331</v>
      </c>
      <c r="T60" s="94">
        <f t="shared" ref="T60:T61" ca="1" si="222">INDIRECT(ADDRESS(ROW()-1,COLUMN(T$7),,,))+INDIRECT(ADDRESS(ROW(),COLUMN(S$7),,,))</f>
        <v>6.9583333333333304</v>
      </c>
      <c r="U60" s="535">
        <f ca="1">$T60+'1_INPUT'!$E$18</f>
        <v>44950.75</v>
      </c>
      <c r="V60" s="95">
        <f t="shared" ref="V60:V61" ca="1" si="223">IFERROR(IF($AI60=0,($I60-T60)*24,(($P60-INDIRECT(ADDRESS(ROW()-1,COLUMN($P$9),,,)))/$AI60)-$N60+(INDIRECT(ADDRESS(ROW()-1,COLUMN(V$9),,,)))),"")</f>
        <v>-93.499999999999929</v>
      </c>
      <c r="W60" s="110">
        <f t="shared" ref="W60:W61" ca="1" si="224">IFERROR(IF(V60&gt;0,TIME(V60,(V60-ROUNDDOWN(V60,0))*60,0)+DAY((ROUNDDOWN(V60,0)/24)),TIME((-V60),((-V60)-ROUNDDOWN((-V60),0))*60,0)+DAY((ROUNDDOWN((-V60),0)/24))),"")</f>
        <v>3.8958333333333335</v>
      </c>
      <c r="X60" s="111">
        <f t="shared" ref="X60:X61" ca="1" si="225">IF(U60=0,"-",ROUNDUP(VALUE(U60),0))</f>
        <v>44951</v>
      </c>
      <c r="Y60" s="112">
        <f ca="1">IFERROR(IF(SUMIFS($N$9:$N60,$X$9:$X60,ROUNDUP(VALUE(U60),0),$Q$9:$Q60,"npt")=0,"-",SUMIFS($N$9:$N60,$X$9:$X60,ROUNDUP(VALUE(U60),0),$Q$9:$Q60,"npt")/SUMIFS($N$9:$N60,$X$9:$X60,ROUNDUP(VALUE(U60),0))),"")</f>
        <v>0.44444444444444442</v>
      </c>
      <c r="Z60" s="112">
        <f ca="1">IFERROR(IF($N60=0,"-",SUMIF($Q$11:$Q60,"npt",$N$11:$N60)/(T60*24)),"")</f>
        <v>4.7904191616766484E-2</v>
      </c>
      <c r="AA60" s="491"/>
      <c r="AB60" s="491"/>
      <c r="AC60" s="398" t="s">
        <v>224</v>
      </c>
      <c r="AD60" s="427">
        <f t="shared" ca="1" si="9"/>
        <v>3.0625</v>
      </c>
      <c r="AE60" s="427">
        <f t="shared" ca="1" si="0"/>
        <v>1112</v>
      </c>
      <c r="AF60" s="427">
        <f t="shared" ref="AF60:AF61" ca="1" si="226">T60</f>
        <v>6.9583333333333304</v>
      </c>
      <c r="AG60" s="427">
        <f t="shared" ca="1" si="2"/>
        <v>2372</v>
      </c>
      <c r="AH60" s="493"/>
      <c r="AI60" s="427">
        <f t="shared" ca="1" si="3"/>
        <v>0</v>
      </c>
      <c r="AJ60" s="493"/>
      <c r="AK60" s="428">
        <f t="shared" ref="AK60:AK61" ca="1" si="227">IF(B60&lt;&gt;"",B60,INDIRECT(ADDRESS(ROW()+1,COLUMN($AK$9),,,)))</f>
        <v>2</v>
      </c>
      <c r="AL60" s="428">
        <f ca="1">IF(A60&lt;&gt;"",IFERROR(INDEX('1_INPUT'!$B$69:$E$89,MATCH($A60,'1_INPUT'!$E$69:$E$89,0),1),""),INDIRECT(ADDRESS(ROW()+1,COLUMN($AL$9),,,)))</f>
        <v>3</v>
      </c>
      <c r="AM60" s="428" t="str">
        <f ca="1">IF(AN60="","",MAX(INDIRECT(ADDRESS(9,COLUMN($AM$9),,,)):INDIRECT(ADDRESS(ROW()-1,COLUMN($AM$9),,,)))+1)</f>
        <v/>
      </c>
      <c r="AN60" s="429" t="str">
        <f>IF($AO60&lt;&gt;"",VLOOKUP($AK60,'1_INPUT'!$B$124:$D$136,2,FALSE),"")</f>
        <v/>
      </c>
      <c r="AO60" s="429" t="str">
        <f t="shared" si="10"/>
        <v/>
      </c>
      <c r="AP60" s="427">
        <f ca="1">SUMIF($AL$10:AL60,$AL60,$I$10:I60)</f>
        <v>77.000000000000014</v>
      </c>
      <c r="AR60" s="430" t="str">
        <f t="shared" ca="1" si="5"/>
        <v>WORKOVER SECTION</v>
      </c>
      <c r="AS60" s="430">
        <f ca="1">MATCH(AR60,'1_INPUT'!$V$43:$V$64,0)+1</f>
        <v>6</v>
      </c>
      <c r="AT60" s="430">
        <f ca="1">VLOOKUP(AR60,'1_INPUT'!$V$43:$W$64,2,FALSE)</f>
        <v>21</v>
      </c>
      <c r="AU60" s="430">
        <f ca="1">COUNTIF('1_INPUT'!$W$43:$W$64,AT60)-1</f>
        <v>5</v>
      </c>
      <c r="AV60" s="430" t="e">
        <f ca="1">OFFSET('1_INPUT'!$V$42,$AS60,,$AU60,)</f>
        <v>#VALUE!</v>
      </c>
      <c r="AX60" s="430" t="str">
        <f t="shared" ref="AX60:AX61" si="228">IF(A60&lt;&gt;"",""&amp;AR60&amp;"-"&amp;A60&amp;"","")</f>
        <v/>
      </c>
      <c r="CK60" s="9"/>
      <c r="CL60" s="9"/>
    </row>
    <row r="61" spans="1:90" ht="45" customHeight="1">
      <c r="A61" s="205"/>
      <c r="B61" s="518"/>
      <c r="C61" s="208" t="str">
        <f>IF(D61&lt;&gt;"",MAX($C$9:C60)+1,"")</f>
        <v/>
      </c>
      <c r="D61" s="523"/>
      <c r="E61" s="406"/>
      <c r="F61" s="407"/>
      <c r="G61" s="209">
        <f t="shared" ca="1" si="219"/>
        <v>73.5</v>
      </c>
      <c r="H61" s="209">
        <f t="shared" si="218"/>
        <v>0</v>
      </c>
      <c r="I61" s="209">
        <f t="shared" ca="1" si="220"/>
        <v>3.0625</v>
      </c>
      <c r="J61" s="540">
        <v>1112</v>
      </c>
      <c r="K61" s="200"/>
      <c r="L61" s="532" t="s">
        <v>678</v>
      </c>
      <c r="M61" s="400" t="s">
        <v>85</v>
      </c>
      <c r="N61" s="400">
        <v>6</v>
      </c>
      <c r="O61" s="95">
        <f t="shared" ca="1" si="221"/>
        <v>173</v>
      </c>
      <c r="P61" s="403">
        <v>2372</v>
      </c>
      <c r="Q61" s="116">
        <f>IF(N61&gt;0,VLOOKUP(M61,'3_TIME SUM'!$F$7:$G$128,2,FALSE),0)</f>
        <v>0</v>
      </c>
      <c r="R61" s="517"/>
      <c r="S61" s="94">
        <f t="shared" si="12"/>
        <v>0.25</v>
      </c>
      <c r="T61" s="94">
        <f t="shared" ca="1" si="222"/>
        <v>7.2083333333333304</v>
      </c>
      <c r="U61" s="539">
        <f ca="1">$T61+'1_INPUT'!$E$18</f>
        <v>44951</v>
      </c>
      <c r="V61" s="95">
        <f t="shared" ca="1" si="223"/>
        <v>-99.499999999999929</v>
      </c>
      <c r="W61" s="110">
        <f t="shared" ca="1" si="224"/>
        <v>4.145833333333333</v>
      </c>
      <c r="X61" s="111">
        <f t="shared" ca="1" si="225"/>
        <v>44951</v>
      </c>
      <c r="Y61" s="112">
        <f ca="1">IFERROR(IF(SUMIFS($N$9:$N61,$X$9:$X61,ROUNDUP(VALUE(U61),0),$Q$9:$Q61,"npt")=0,"-",SUMIFS($N$9:$N61,$X$9:$X61,ROUNDUP(VALUE(U61),0),$Q$9:$Q61,"npt")/SUMIFS($N$9:$N61,$X$9:$X61,ROUNDUP(VALUE(U61),0))),"")</f>
        <v>0.33333333333333331</v>
      </c>
      <c r="Z61" s="112">
        <f ca="1">IFERROR(IF($N61=0,"-",SUMIF($Q$11:$Q61,"npt",$N$11:$N61)/(T61*24)),"")</f>
        <v>4.6242774566474007E-2</v>
      </c>
      <c r="AA61" s="491"/>
      <c r="AB61" s="491"/>
      <c r="AC61" s="398" t="s">
        <v>224</v>
      </c>
      <c r="AD61" s="427">
        <f t="shared" ca="1" si="9"/>
        <v>3.0625</v>
      </c>
      <c r="AE61" s="427">
        <f t="shared" ca="1" si="0"/>
        <v>1112</v>
      </c>
      <c r="AF61" s="427">
        <f t="shared" ca="1" si="226"/>
        <v>7.2083333333333304</v>
      </c>
      <c r="AG61" s="427">
        <f t="shared" ca="1" si="2"/>
        <v>2372</v>
      </c>
      <c r="AH61" s="493"/>
      <c r="AI61" s="427">
        <f t="shared" ca="1" si="3"/>
        <v>0</v>
      </c>
      <c r="AJ61" s="493"/>
      <c r="AK61" s="428">
        <f t="shared" ca="1" si="227"/>
        <v>2</v>
      </c>
      <c r="AL61" s="428">
        <f ca="1">IF(A61&lt;&gt;"",IFERROR(INDEX('1_INPUT'!$B$69:$E$89,MATCH($A61,'1_INPUT'!$E$69:$E$89,0),1),""),INDIRECT(ADDRESS(ROW()+1,COLUMN($AL$9),,,)))</f>
        <v>3</v>
      </c>
      <c r="AM61" s="428" t="str">
        <f ca="1">IF(AN61="","",MAX(INDIRECT(ADDRESS(9,COLUMN($AM$9),,,)):INDIRECT(ADDRESS(ROW()-1,COLUMN($AM$9),,,)))+1)</f>
        <v/>
      </c>
      <c r="AN61" s="429" t="str">
        <f>IF($AO61&lt;&gt;"",VLOOKUP($AK61,'1_INPUT'!$B$124:$D$136,2,FALSE),"")</f>
        <v/>
      </c>
      <c r="AO61" s="429" t="str">
        <f t="shared" si="10"/>
        <v/>
      </c>
      <c r="AP61" s="427">
        <f ca="1">SUMIF($AL$10:AL61,$AL61,$I$10:I61)</f>
        <v>80.062500000000014</v>
      </c>
      <c r="AR61" s="430" t="str">
        <f t="shared" ca="1" si="5"/>
        <v>WORKOVER SECTION</v>
      </c>
      <c r="AS61" s="430">
        <f ca="1">MATCH(AR61,'1_INPUT'!$V$43:$V$64,0)+1</f>
        <v>6</v>
      </c>
      <c r="AT61" s="430">
        <f ca="1">VLOOKUP(AR61,'1_INPUT'!$V$43:$W$64,2,FALSE)</f>
        <v>21</v>
      </c>
      <c r="AU61" s="430">
        <f ca="1">COUNTIF('1_INPUT'!$W$43:$W$64,AT61)-1</f>
        <v>5</v>
      </c>
      <c r="AV61" s="430" t="e">
        <f ca="1">OFFSET('1_INPUT'!$V$42,$AS61,,$AU61,)</f>
        <v>#VALUE!</v>
      </c>
      <c r="AX61" s="430" t="str">
        <f t="shared" si="228"/>
        <v/>
      </c>
      <c r="CK61" s="9"/>
      <c r="CL61" s="9"/>
    </row>
    <row r="62" spans="1:90" ht="27.6">
      <c r="A62" s="205"/>
      <c r="B62" s="518"/>
      <c r="C62" s="208" t="str">
        <f>IF(D62&lt;&gt;"",MAX($C$9:C61)+1,"")</f>
        <v/>
      </c>
      <c r="D62" s="523"/>
      <c r="E62" s="406"/>
      <c r="F62" s="407"/>
      <c r="G62" s="209">
        <f t="shared" ref="G62:G63" ca="1" si="229">IF(INDIRECT(ADDRESS(ROW()-1,COLUMN(B$7),,,))&lt;&gt;"",INDIRECT(ADDRESS(ROW(),COLUMN(F$7),,,)),INDIRECT(ADDRESS(ROW()-1,COLUMN(G$7),,,))+INDIRECT(ADDRESS(ROW(),COLUMN(F$7),,,)))</f>
        <v>73.5</v>
      </c>
      <c r="H62" s="209">
        <f t="shared" si="218"/>
        <v>0</v>
      </c>
      <c r="I62" s="209">
        <f t="shared" ref="I62:I63" ca="1" si="230">INDIRECT(ADDRESS(ROW()-1,COLUMN(I$7),,,))+INDIRECT(ADDRESS(ROW(),COLUMN(H$7),,,))</f>
        <v>3.0625</v>
      </c>
      <c r="J62" s="540">
        <v>1112</v>
      </c>
      <c r="K62" s="200"/>
      <c r="L62" s="532" t="s">
        <v>679</v>
      </c>
      <c r="M62" s="400" t="s">
        <v>85</v>
      </c>
      <c r="N62" s="400">
        <v>10</v>
      </c>
      <c r="O62" s="95">
        <f t="shared" ref="O62:O63" ca="1" si="231">IF(INDIRECT(ADDRESS(ROW()-1,COLUMN(B$7),,,))&lt;&gt;"",INDIRECT(ADDRESS(ROW(),COLUMN(N$7),,,)),INDIRECT(ADDRESS(ROW()-1,COLUMN(O$7),,,))+INDIRECT(ADDRESS(ROW(),COLUMN(N$7),,,)))</f>
        <v>183</v>
      </c>
      <c r="P62" s="403">
        <v>2372</v>
      </c>
      <c r="Q62" s="116">
        <f>IF(N62&gt;0,VLOOKUP(M62,'3_TIME SUM'!$F$7:$G$128,2,FALSE),0)</f>
        <v>0</v>
      </c>
      <c r="R62" s="517"/>
      <c r="S62" s="94">
        <f t="shared" si="12"/>
        <v>0.41666666666666669</v>
      </c>
      <c r="T62" s="94">
        <f t="shared" ref="T62:T63" ca="1" si="232">INDIRECT(ADDRESS(ROW()-1,COLUMN(T$7),,,))+INDIRECT(ADDRESS(ROW(),COLUMN(S$7),,,))</f>
        <v>7.6249999999999973</v>
      </c>
      <c r="U62" s="535">
        <f ca="1">$T62+'1_INPUT'!$E$18</f>
        <v>44951.416666666664</v>
      </c>
      <c r="V62" s="95">
        <f t="shared" ref="V62:V63" ca="1" si="233">IFERROR(IF($AI62=0,($I62-T62)*24,(($P62-INDIRECT(ADDRESS(ROW()-1,COLUMN($P$9),,,)))/$AI62)-$N62+(INDIRECT(ADDRESS(ROW()-1,COLUMN(V$9),,,)))),"")</f>
        <v>-109.49999999999994</v>
      </c>
      <c r="W62" s="110">
        <f t="shared" ref="W62:W63" ca="1" si="234">IFERROR(IF(V62&gt;0,TIME(V62,(V62-ROUNDDOWN(V62,0))*60,0)+DAY((ROUNDDOWN(V62,0)/24)),TIME((-V62),((-V62)-ROUNDDOWN((-V62),0))*60,0)+DAY((ROUNDDOWN((-V62),0)/24))),"")</f>
        <v>4.5625</v>
      </c>
      <c r="X62" s="111">
        <f t="shared" ref="X62:X63" ca="1" si="235">IF(U62=0,"-",ROUNDUP(VALUE(U62),0))</f>
        <v>44952</v>
      </c>
      <c r="Y62" s="112" t="str">
        <f ca="1">IFERROR(IF(SUMIFS($N$9:$N62,$X$9:$X62,ROUNDUP(VALUE(U62),0),$Q$9:$Q62,"npt")=0,"-",SUMIFS($N$9:$N62,$X$9:$X62,ROUNDUP(VALUE(U62),0),$Q$9:$Q62,"npt")/SUMIFS($N$9:$N62,$X$9:$X62,ROUNDUP(VALUE(U62),0))),"")</f>
        <v>-</v>
      </c>
      <c r="Z62" s="112">
        <f ca="1">IFERROR(IF($N62=0,"-",SUMIF($Q$11:$Q62,"npt",$N$11:$N62)/(T62*24)),"")</f>
        <v>4.3715846994535533E-2</v>
      </c>
      <c r="AA62" s="491"/>
      <c r="AB62" s="491"/>
      <c r="AC62" s="398" t="s">
        <v>224</v>
      </c>
      <c r="AD62" s="427">
        <f t="shared" ca="1" si="9"/>
        <v>3.0625</v>
      </c>
      <c r="AE62" s="427">
        <f t="shared" ca="1" si="0"/>
        <v>1112</v>
      </c>
      <c r="AF62" s="427">
        <f t="shared" ref="AF62:AF63" ca="1" si="236">T62</f>
        <v>7.6249999999999973</v>
      </c>
      <c r="AG62" s="427">
        <f t="shared" ca="1" si="2"/>
        <v>2372</v>
      </c>
      <c r="AH62" s="493"/>
      <c r="AI62" s="427">
        <f t="shared" ca="1" si="3"/>
        <v>0</v>
      </c>
      <c r="AJ62" s="493"/>
      <c r="AK62" s="428">
        <f t="shared" ref="AK62:AK63" ca="1" si="237">IF(B62&lt;&gt;"",B62,INDIRECT(ADDRESS(ROW()+1,COLUMN($AK$9),,,)))</f>
        <v>2</v>
      </c>
      <c r="AL62" s="428">
        <f ca="1">IF(A62&lt;&gt;"",IFERROR(INDEX('1_INPUT'!$B$69:$E$89,MATCH($A62,'1_INPUT'!$E$69:$E$89,0),1),""),INDIRECT(ADDRESS(ROW()+1,COLUMN($AL$9),,,)))</f>
        <v>3</v>
      </c>
      <c r="AM62" s="428" t="str">
        <f ca="1">IF(AN62="","",MAX(INDIRECT(ADDRESS(9,COLUMN($AM$9),,,)):INDIRECT(ADDRESS(ROW()-1,COLUMN($AM$9),,,)))+1)</f>
        <v/>
      </c>
      <c r="AN62" s="429" t="str">
        <f>IF($AO62&lt;&gt;"",VLOOKUP($AK62,'1_INPUT'!$B$124:$D$136,2,FALSE),"")</f>
        <v/>
      </c>
      <c r="AO62" s="429" t="str">
        <f t="shared" si="10"/>
        <v/>
      </c>
      <c r="AP62" s="427">
        <f ca="1">SUMIF($AL$10:AL62,$AL62,$I$10:I62)</f>
        <v>83.125000000000014</v>
      </c>
      <c r="AR62" s="430" t="str">
        <f t="shared" ca="1" si="5"/>
        <v>WORKOVER SECTION</v>
      </c>
      <c r="AS62" s="430">
        <f ca="1">MATCH(AR62,'1_INPUT'!$V$43:$V$64,0)+1</f>
        <v>6</v>
      </c>
      <c r="AT62" s="430">
        <f ca="1">VLOOKUP(AR62,'1_INPUT'!$V$43:$W$64,2,FALSE)</f>
        <v>21</v>
      </c>
      <c r="AU62" s="430">
        <f ca="1">COUNTIF('1_INPUT'!$W$43:$W$64,AT62)-1</f>
        <v>5</v>
      </c>
      <c r="AV62" s="430" t="e">
        <f ca="1">OFFSET('1_INPUT'!$V$42,$AS62,,$AU62,)</f>
        <v>#VALUE!</v>
      </c>
      <c r="AX62" s="430" t="str">
        <f t="shared" ref="AX62:AX63" si="238">IF(A62&lt;&gt;"",""&amp;AR62&amp;"-"&amp;A62&amp;"","")</f>
        <v/>
      </c>
      <c r="CK62" s="9"/>
      <c r="CL62" s="9"/>
    </row>
    <row r="63" spans="1:90" ht="13.8">
      <c r="A63" s="205"/>
      <c r="B63" s="518"/>
      <c r="C63" s="208" t="str">
        <f>IF(D63&lt;&gt;"",MAX($C$9:C62)+1,"")</f>
        <v/>
      </c>
      <c r="D63" s="523"/>
      <c r="E63" s="406"/>
      <c r="F63" s="407"/>
      <c r="G63" s="209">
        <f t="shared" ca="1" si="229"/>
        <v>73.5</v>
      </c>
      <c r="H63" s="209">
        <f t="shared" si="218"/>
        <v>0</v>
      </c>
      <c r="I63" s="209">
        <f t="shared" ca="1" si="230"/>
        <v>3.0625</v>
      </c>
      <c r="J63" s="540">
        <v>1112</v>
      </c>
      <c r="K63" s="200"/>
      <c r="L63" s="532" t="s">
        <v>649</v>
      </c>
      <c r="M63" s="400" t="s">
        <v>85</v>
      </c>
      <c r="N63" s="400">
        <v>1</v>
      </c>
      <c r="O63" s="95">
        <f t="shared" ca="1" si="231"/>
        <v>184</v>
      </c>
      <c r="P63" s="403">
        <v>2372</v>
      </c>
      <c r="Q63" s="116">
        <f>IF(N63&gt;0,VLOOKUP(M63,'3_TIME SUM'!$F$7:$G$128,2,FALSE),0)</f>
        <v>0</v>
      </c>
      <c r="R63" s="517"/>
      <c r="S63" s="94">
        <f t="shared" si="12"/>
        <v>4.1666666666666664E-2</v>
      </c>
      <c r="T63" s="94">
        <f t="shared" ca="1" si="232"/>
        <v>7.6666666666666643</v>
      </c>
      <c r="U63" s="535">
        <f ca="1">$T63+'1_INPUT'!$E$18</f>
        <v>44951.458333333328</v>
      </c>
      <c r="V63" s="95">
        <f t="shared" ca="1" si="233"/>
        <v>-110.49999999999994</v>
      </c>
      <c r="W63" s="110">
        <f t="shared" ca="1" si="234"/>
        <v>4.604166666666667</v>
      </c>
      <c r="X63" s="111">
        <f t="shared" ca="1" si="235"/>
        <v>44952</v>
      </c>
      <c r="Y63" s="112" t="str">
        <f ca="1">IFERROR(IF(SUMIFS($N$9:$N63,$X$9:$X63,ROUNDUP(VALUE(U63),0),$Q$9:$Q63,"npt")=0,"-",SUMIFS($N$9:$N63,$X$9:$X63,ROUNDUP(VALUE(U63),0),$Q$9:$Q63,"npt")/SUMIFS($N$9:$N63,$X$9:$X63,ROUNDUP(VALUE(U63),0))),"")</f>
        <v>-</v>
      </c>
      <c r="Z63" s="112">
        <f ca="1">IFERROR(IF($N63=0,"-",SUMIF($Q$11:$Q63,"npt",$N$11:$N63)/(T63*24)),"")</f>
        <v>4.347826086956523E-2</v>
      </c>
      <c r="AA63" s="491"/>
      <c r="AB63" s="491"/>
      <c r="AC63" s="398" t="s">
        <v>224</v>
      </c>
      <c r="AD63" s="427">
        <f t="shared" ca="1" si="9"/>
        <v>3.0625</v>
      </c>
      <c r="AE63" s="427">
        <f t="shared" ca="1" si="0"/>
        <v>1112</v>
      </c>
      <c r="AF63" s="427">
        <f t="shared" ca="1" si="236"/>
        <v>7.6666666666666643</v>
      </c>
      <c r="AG63" s="427">
        <f t="shared" ca="1" si="2"/>
        <v>2372</v>
      </c>
      <c r="AH63" s="493"/>
      <c r="AI63" s="427">
        <f t="shared" ca="1" si="3"/>
        <v>0</v>
      </c>
      <c r="AJ63" s="493"/>
      <c r="AK63" s="428">
        <f t="shared" ca="1" si="237"/>
        <v>2</v>
      </c>
      <c r="AL63" s="428">
        <f ca="1">IF(A63&lt;&gt;"",IFERROR(INDEX('1_INPUT'!$B$69:$E$89,MATCH($A63,'1_INPUT'!$E$69:$E$89,0),1),""),INDIRECT(ADDRESS(ROW()+1,COLUMN($AL$9),,,)))</f>
        <v>3</v>
      </c>
      <c r="AM63" s="428" t="str">
        <f ca="1">IF(AN63="","",MAX(INDIRECT(ADDRESS(9,COLUMN($AM$9),,,)):INDIRECT(ADDRESS(ROW()-1,COLUMN($AM$9),,,)))+1)</f>
        <v/>
      </c>
      <c r="AN63" s="429" t="str">
        <f>IF($AO63&lt;&gt;"",VLOOKUP($AK63,'1_INPUT'!$B$124:$D$136,2,FALSE),"")</f>
        <v/>
      </c>
      <c r="AO63" s="429" t="str">
        <f t="shared" si="10"/>
        <v/>
      </c>
      <c r="AP63" s="427">
        <f ca="1">SUMIF($AL$10:AL63,$AL63,$I$10:I63)</f>
        <v>86.187500000000014</v>
      </c>
      <c r="AR63" s="430" t="str">
        <f t="shared" ca="1" si="5"/>
        <v>WORKOVER SECTION</v>
      </c>
      <c r="AS63" s="430">
        <f ca="1">MATCH(AR63,'1_INPUT'!$V$43:$V$64,0)+1</f>
        <v>6</v>
      </c>
      <c r="AT63" s="430">
        <f ca="1">VLOOKUP(AR63,'1_INPUT'!$V$43:$W$64,2,FALSE)</f>
        <v>21</v>
      </c>
      <c r="AU63" s="430">
        <f ca="1">COUNTIF('1_INPUT'!$W$43:$W$64,AT63)-1</f>
        <v>5</v>
      </c>
      <c r="AV63" s="430" t="e">
        <f ca="1">OFFSET('1_INPUT'!$V$42,$AS63,,$AU63,)</f>
        <v>#VALUE!</v>
      </c>
      <c r="AX63" s="430" t="str">
        <f t="shared" si="238"/>
        <v/>
      </c>
      <c r="CK63" s="9"/>
      <c r="CL63" s="9"/>
    </row>
    <row r="64" spans="1:90" ht="55.2">
      <c r="A64" s="205"/>
      <c r="B64" s="518"/>
      <c r="C64" s="208">
        <f ca="1">IF(D64&lt;&gt;"",MAX($C$9:C63)+1,"")</f>
        <v>18</v>
      </c>
      <c r="D64" s="523" t="s">
        <v>619</v>
      </c>
      <c r="E64" s="406"/>
      <c r="F64" s="407">
        <v>8</v>
      </c>
      <c r="G64" s="209">
        <f t="shared" ref="G64:G110" ca="1" si="239">IF(INDIRECT(ADDRESS(ROW()-1,COLUMN(B$7),,,))&lt;&gt;"",INDIRECT(ADDRESS(ROW(),COLUMN(F$7),,,)),INDIRECT(ADDRESS(ROW()-1,COLUMN(G$7),,,))+INDIRECT(ADDRESS(ROW(),COLUMN(F$7),,,)))</f>
        <v>81.5</v>
      </c>
      <c r="H64" s="209">
        <f t="shared" si="218"/>
        <v>0.33333333333333331</v>
      </c>
      <c r="I64" s="209">
        <f t="shared" ref="I64:I110" ca="1" si="240">INDIRECT(ADDRESS(ROW()-1,COLUMN(I$7),,,))+INDIRECT(ADDRESS(ROW(),COLUMN(H$7),,,))</f>
        <v>3.3958333333333335</v>
      </c>
      <c r="J64" s="540">
        <v>1112</v>
      </c>
      <c r="K64" s="200"/>
      <c r="L64" s="532" t="s">
        <v>680</v>
      </c>
      <c r="M64" s="400" t="s">
        <v>67</v>
      </c>
      <c r="N64" s="400">
        <v>13</v>
      </c>
      <c r="O64" s="95">
        <f t="shared" ref="O64:O110" ca="1" si="241">IF(INDIRECT(ADDRESS(ROW()-1,COLUMN(B$7),,,))&lt;&gt;"",INDIRECT(ADDRESS(ROW(),COLUMN(N$7),,,)),INDIRECT(ADDRESS(ROW()-1,COLUMN(O$7),,,))+INDIRECT(ADDRESS(ROW(),COLUMN(N$7),,,)))</f>
        <v>197</v>
      </c>
      <c r="P64" s="403">
        <v>2372</v>
      </c>
      <c r="Q64" s="116">
        <f>IF(N64&gt;0,VLOOKUP(M64,'3_TIME SUM'!$F$7:$G$128,2,FALSE),0)</f>
        <v>0</v>
      </c>
      <c r="R64" s="517"/>
      <c r="S64" s="94">
        <f t="shared" si="12"/>
        <v>0.54166666666666663</v>
      </c>
      <c r="T64" s="94">
        <f t="shared" ref="T64:T110" ca="1" si="242">INDIRECT(ADDRESS(ROW()-1,COLUMN(T$7),,,))+INDIRECT(ADDRESS(ROW(),COLUMN(S$7),,,))</f>
        <v>8.2083333333333304</v>
      </c>
      <c r="U64" s="539">
        <f ca="1">$T64+'1_INPUT'!$E$18</f>
        <v>44952</v>
      </c>
      <c r="V64" s="95">
        <f t="shared" ref="V64:V110" ca="1" si="243">IFERROR(IF($AI64=0,($I64-T64)*24,(($P64-INDIRECT(ADDRESS(ROW()-1,COLUMN($P$9),,,)))/$AI64)-$N64+(INDIRECT(ADDRESS(ROW()-1,COLUMN(V$9),,,)))),"")</f>
        <v>-115.49999999999991</v>
      </c>
      <c r="W64" s="110">
        <f t="shared" ref="W64:W110" ca="1" si="244">IFERROR(IF(V64&gt;0,TIME(V64,(V64-ROUNDDOWN(V64,0))*60,0)+DAY((ROUNDDOWN(V64,0)/24)),TIME((-V64),((-V64)-ROUNDDOWN((-V64),0))*60,0)+DAY((ROUNDDOWN((-V64),0)/24))),"")</f>
        <v>4.8125</v>
      </c>
      <c r="X64" s="111">
        <f t="shared" ref="X64:X110" ca="1" si="245">IF(U64=0,"-",ROUNDUP(VALUE(U64),0))</f>
        <v>44952</v>
      </c>
      <c r="Y64" s="112" t="str">
        <f ca="1">IFERROR(IF(SUMIFS($N$9:$N64,$X$9:$X64,ROUNDUP(VALUE(U64),0),$Q$9:$Q64,"npt")=0,"-",SUMIFS($N$9:$N64,$X$9:$X64,ROUNDUP(VALUE(U64),0),$Q$9:$Q64,"npt")/SUMIFS($N$9:$N64,$X$9:$X64,ROUNDUP(VALUE(U64),0))),"")</f>
        <v>-</v>
      </c>
      <c r="Z64" s="112">
        <f ca="1">IFERROR(IF($N64=0,"-",SUMIF($Q$11:$Q64,"npt",$N$11:$N64)/(T64*24)),"")</f>
        <v>4.0609137055837574E-2</v>
      </c>
      <c r="AA64" s="491"/>
      <c r="AB64" s="491"/>
      <c r="AC64" s="398" t="s">
        <v>224</v>
      </c>
      <c r="AD64" s="427">
        <f t="shared" ca="1" si="9"/>
        <v>3.3958333333333335</v>
      </c>
      <c r="AE64" s="427">
        <f t="shared" ca="1" si="0"/>
        <v>1112</v>
      </c>
      <c r="AF64" s="427">
        <f t="shared" ref="AF64:AF110" ca="1" si="246">T64</f>
        <v>8.2083333333333304</v>
      </c>
      <c r="AG64" s="427">
        <f t="shared" ca="1" si="2"/>
        <v>2372</v>
      </c>
      <c r="AH64" s="493"/>
      <c r="AI64" s="427">
        <f t="shared" ca="1" si="3"/>
        <v>0</v>
      </c>
      <c r="AJ64" s="493"/>
      <c r="AK64" s="428">
        <f t="shared" ref="AK64:AK110" ca="1" si="247">IF(B64&lt;&gt;"",B64,INDIRECT(ADDRESS(ROW()+1,COLUMN($AK$9),,,)))</f>
        <v>2</v>
      </c>
      <c r="AL64" s="428">
        <f ca="1">IF(A64&lt;&gt;"",IFERROR(INDEX('1_INPUT'!$B$69:$E$89,MATCH($A64,'1_INPUT'!$E$69:$E$89,0),1),""),INDIRECT(ADDRESS(ROW()+1,COLUMN($AL$9),,,)))</f>
        <v>3</v>
      </c>
      <c r="AM64" s="428" t="str">
        <f ca="1">IF(AN64="","",MAX(INDIRECT(ADDRESS(9,COLUMN($AM$9),,,)):INDIRECT(ADDRESS(ROW()-1,COLUMN($AM$9),,,)))+1)</f>
        <v/>
      </c>
      <c r="AN64" s="429" t="str">
        <f>IF($AO64&lt;&gt;"",VLOOKUP($AK64,'1_INPUT'!$B$124:$D$136,2,FALSE),"")</f>
        <v/>
      </c>
      <c r="AO64" s="429" t="str">
        <f t="shared" si="10"/>
        <v/>
      </c>
      <c r="AP64" s="427">
        <f ca="1">SUMIF($AL$10:AL64,$AL64,$I$10:I64)</f>
        <v>89.583333333333343</v>
      </c>
      <c r="AR64" s="430" t="str">
        <f t="shared" ca="1" si="5"/>
        <v>WORKOVER SECTION</v>
      </c>
      <c r="AS64" s="430">
        <f ca="1">MATCH(AR64,'1_INPUT'!$V$43:$V$64,0)+1</f>
        <v>6</v>
      </c>
      <c r="AT64" s="430">
        <f ca="1">VLOOKUP(AR64,'1_INPUT'!$V$43:$W$64,2,FALSE)</f>
        <v>21</v>
      </c>
      <c r="AU64" s="430">
        <f ca="1">COUNTIF('1_INPUT'!$W$43:$W$64,AT64)-1</f>
        <v>5</v>
      </c>
      <c r="AV64" s="430" t="e">
        <f ca="1">OFFSET('1_INPUT'!$V$42,$AS64,,$AU64,)</f>
        <v>#VALUE!</v>
      </c>
      <c r="AX64" s="430" t="str">
        <f t="shared" ref="AX64:AX110" si="248">IF(A64&lt;&gt;"",""&amp;AR64&amp;"-"&amp;A64&amp;"","")</f>
        <v/>
      </c>
      <c r="CK64" s="9"/>
      <c r="CL64" s="9"/>
    </row>
    <row r="65" spans="1:90" ht="41.4">
      <c r="A65" s="205"/>
      <c r="B65" s="518"/>
      <c r="C65" s="208" t="str">
        <f>IF(D65&lt;&gt;"",MAX($C$9:C64)+1,"")</f>
        <v/>
      </c>
      <c r="D65" s="523"/>
      <c r="E65" s="406"/>
      <c r="F65" s="407"/>
      <c r="G65" s="209">
        <f t="shared" ref="G65" ca="1" si="249">IF(INDIRECT(ADDRESS(ROW()-1,COLUMN(B$7),,,))&lt;&gt;"",INDIRECT(ADDRESS(ROW(),COLUMN(F$7),,,)),INDIRECT(ADDRESS(ROW()-1,COLUMN(G$7),,,))+INDIRECT(ADDRESS(ROW(),COLUMN(F$7),,,)))</f>
        <v>81.5</v>
      </c>
      <c r="H65" s="209">
        <f t="shared" si="218"/>
        <v>0</v>
      </c>
      <c r="I65" s="209">
        <f t="shared" ref="I65" ca="1" si="250">INDIRECT(ADDRESS(ROW()-1,COLUMN(I$7),,,))+INDIRECT(ADDRESS(ROW(),COLUMN(H$7),,,))</f>
        <v>3.3958333333333335</v>
      </c>
      <c r="J65" s="540">
        <v>1112</v>
      </c>
      <c r="K65" s="200"/>
      <c r="L65" s="532" t="s">
        <v>681</v>
      </c>
      <c r="M65" s="400" t="s">
        <v>67</v>
      </c>
      <c r="N65" s="400">
        <v>11.5</v>
      </c>
      <c r="O65" s="95">
        <f t="shared" ref="O65" ca="1" si="251">IF(INDIRECT(ADDRESS(ROW()-1,COLUMN(B$7),,,))&lt;&gt;"",INDIRECT(ADDRESS(ROW(),COLUMN(N$7),,,)),INDIRECT(ADDRESS(ROW()-1,COLUMN(O$7),,,))+INDIRECT(ADDRESS(ROW(),COLUMN(N$7),,,)))</f>
        <v>208.5</v>
      </c>
      <c r="P65" s="403">
        <v>2372</v>
      </c>
      <c r="Q65" s="116">
        <f>IF(N65&gt;0,VLOOKUP(M65,'3_TIME SUM'!$F$7:$G$128,2,FALSE),0)</f>
        <v>0</v>
      </c>
      <c r="R65" s="517"/>
      <c r="S65" s="94">
        <f t="shared" si="12"/>
        <v>0.47916666666666669</v>
      </c>
      <c r="T65" s="94">
        <f t="shared" ref="T65" ca="1" si="252">INDIRECT(ADDRESS(ROW()-1,COLUMN(T$7),,,))+INDIRECT(ADDRESS(ROW(),COLUMN(S$7),,,))</f>
        <v>8.6874999999999964</v>
      </c>
      <c r="U65" s="535">
        <f ca="1">$T65+'1_INPUT'!$E$18</f>
        <v>44952.479166666664</v>
      </c>
      <c r="V65" s="95">
        <f t="shared" ref="V65" ca="1" si="253">IFERROR(IF($AI65=0,($I65-T65)*24,(($P65-INDIRECT(ADDRESS(ROW()-1,COLUMN($P$9),,,)))/$AI65)-$N65+(INDIRECT(ADDRESS(ROW()-1,COLUMN(V$9),,,)))),"")</f>
        <v>-126.9999999999999</v>
      </c>
      <c r="W65" s="110">
        <f t="shared" ref="W65" ca="1" si="254">IFERROR(IF(V65&gt;0,TIME(V65,(V65-ROUNDDOWN(V65,0))*60,0)+DAY((ROUNDDOWN(V65,0)/24)),TIME((-V65),((-V65)-ROUNDDOWN((-V65),0))*60,0)+DAY((ROUNDDOWN((-V65),0)/24))),"")</f>
        <v>5.291666666666667</v>
      </c>
      <c r="X65" s="111">
        <f t="shared" ref="X65" ca="1" si="255">IF(U65=0,"-",ROUNDUP(VALUE(U65),0))</f>
        <v>44953</v>
      </c>
      <c r="Y65" s="112" t="str">
        <f ca="1">IFERROR(IF(SUMIFS($N$9:$N65,$X$9:$X65,ROUNDUP(VALUE(U65),0),$Q$9:$Q65,"npt")=0,"-",SUMIFS($N$9:$N65,$X$9:$X65,ROUNDUP(VALUE(U65),0),$Q$9:$Q65,"npt")/SUMIFS($N$9:$N65,$X$9:$X65,ROUNDUP(VALUE(U65),0))),"")</f>
        <v>-</v>
      </c>
      <c r="Z65" s="112">
        <f ca="1">IFERROR(IF($N65=0,"-",SUMIF($Q$11:$Q65,"npt",$N$11:$N65)/(T65*24)),"")</f>
        <v>3.8369304556354934E-2</v>
      </c>
      <c r="AA65" s="491"/>
      <c r="AB65" s="491"/>
      <c r="AC65" s="398" t="s">
        <v>224</v>
      </c>
      <c r="AD65" s="427">
        <f t="shared" ca="1" si="9"/>
        <v>3.3958333333333335</v>
      </c>
      <c r="AE65" s="427">
        <f t="shared" ca="1" si="0"/>
        <v>1112</v>
      </c>
      <c r="AF65" s="427">
        <f t="shared" ref="AF65" ca="1" si="256">T65</f>
        <v>8.6874999999999964</v>
      </c>
      <c r="AG65" s="427">
        <f t="shared" ca="1" si="2"/>
        <v>2372</v>
      </c>
      <c r="AH65" s="493"/>
      <c r="AI65" s="427">
        <f t="shared" ca="1" si="3"/>
        <v>0</v>
      </c>
      <c r="AJ65" s="493"/>
      <c r="AK65" s="428">
        <f t="shared" ref="AK65" ca="1" si="257">IF(B65&lt;&gt;"",B65,INDIRECT(ADDRESS(ROW()+1,COLUMN($AK$9),,,)))</f>
        <v>2</v>
      </c>
      <c r="AL65" s="428">
        <f ca="1">IF(A65&lt;&gt;"",IFERROR(INDEX('1_INPUT'!$B$69:$E$89,MATCH($A65,'1_INPUT'!$E$69:$E$89,0),1),""),INDIRECT(ADDRESS(ROW()+1,COLUMN($AL$9),,,)))</f>
        <v>3</v>
      </c>
      <c r="AM65" s="428" t="str">
        <f ca="1">IF(AN65="","",MAX(INDIRECT(ADDRESS(9,COLUMN($AM$9),,,)):INDIRECT(ADDRESS(ROW()-1,COLUMN($AM$9),,,)))+1)</f>
        <v/>
      </c>
      <c r="AN65" s="429" t="str">
        <f>IF($AO65&lt;&gt;"",VLOOKUP($AK65,'1_INPUT'!$B$124:$D$136,2,FALSE),"")</f>
        <v/>
      </c>
      <c r="AO65" s="429" t="str">
        <f t="shared" si="10"/>
        <v/>
      </c>
      <c r="AP65" s="427">
        <f ca="1">SUMIF($AL$10:AL65,$AL65,$I$10:I65)</f>
        <v>92.979166666666671</v>
      </c>
      <c r="AR65" s="430" t="str">
        <f t="shared" ca="1" si="5"/>
        <v>WORKOVER SECTION</v>
      </c>
      <c r="AS65" s="430">
        <f ca="1">MATCH(AR65,'1_INPUT'!$V$43:$V$64,0)+1</f>
        <v>6</v>
      </c>
      <c r="AT65" s="430">
        <f ca="1">VLOOKUP(AR65,'1_INPUT'!$V$43:$W$64,2,FALSE)</f>
        <v>21</v>
      </c>
      <c r="AU65" s="430">
        <f ca="1">COUNTIF('1_INPUT'!$W$43:$W$64,AT65)-1</f>
        <v>5</v>
      </c>
      <c r="AV65" s="430" t="e">
        <f ca="1">OFFSET('1_INPUT'!$V$42,$AS65,,$AU65,)</f>
        <v>#VALUE!</v>
      </c>
      <c r="AX65" s="430" t="str">
        <f t="shared" ref="AX65" si="258">IF(A65&lt;&gt;"",""&amp;AR65&amp;"-"&amp;A65&amp;"","")</f>
        <v/>
      </c>
      <c r="CK65" s="9"/>
      <c r="CL65" s="9"/>
    </row>
    <row r="66" spans="1:90" ht="27.6">
      <c r="A66" s="205"/>
      <c r="B66" s="518"/>
      <c r="C66" s="208">
        <f ca="1">IF(D66&lt;&gt;"",MAX($C$9:C65)+1,"")</f>
        <v>19</v>
      </c>
      <c r="D66" s="523" t="s">
        <v>587</v>
      </c>
      <c r="E66" s="406"/>
      <c r="F66" s="407">
        <v>2</v>
      </c>
      <c r="G66" s="209">
        <f t="shared" ca="1" si="239"/>
        <v>83.5</v>
      </c>
      <c r="H66" s="209">
        <f t="shared" si="218"/>
        <v>8.3333333333333329E-2</v>
      </c>
      <c r="I66" s="209">
        <f t="shared" ca="1" si="240"/>
        <v>3.479166666666667</v>
      </c>
      <c r="J66" s="540">
        <v>1112</v>
      </c>
      <c r="K66" s="200"/>
      <c r="L66" s="532" t="s">
        <v>682</v>
      </c>
      <c r="M66" s="400" t="s">
        <v>36</v>
      </c>
      <c r="N66" s="400">
        <v>1.5</v>
      </c>
      <c r="O66" s="95">
        <f t="shared" ca="1" si="241"/>
        <v>210</v>
      </c>
      <c r="P66" s="403">
        <v>2372</v>
      </c>
      <c r="Q66" s="116">
        <f>IF(N66&gt;0,VLOOKUP(M66,'3_TIME SUM'!$F$7:$G$128,2,FALSE),0)</f>
        <v>0</v>
      </c>
      <c r="R66" s="517"/>
      <c r="S66" s="94">
        <f t="shared" si="12"/>
        <v>6.25E-2</v>
      </c>
      <c r="T66" s="94">
        <f t="shared" ca="1" si="242"/>
        <v>8.7499999999999964</v>
      </c>
      <c r="U66" s="535">
        <f ca="1">$T66+'1_INPUT'!$E$18</f>
        <v>44952.541666666664</v>
      </c>
      <c r="V66" s="95">
        <f t="shared" ca="1" si="243"/>
        <v>-126.49999999999991</v>
      </c>
      <c r="W66" s="110">
        <f t="shared" ca="1" si="244"/>
        <v>5.270833333333333</v>
      </c>
      <c r="X66" s="111">
        <f t="shared" ca="1" si="245"/>
        <v>44953</v>
      </c>
      <c r="Y66" s="112" t="str">
        <f ca="1">IFERROR(IF(SUMIFS($N$9:$N66,$X$9:$X66,ROUNDUP(VALUE(U66),0),$Q$9:$Q66,"npt")=0,"-",SUMIFS($N$9:$N66,$X$9:$X66,ROUNDUP(VALUE(U66),0),$Q$9:$Q66,"npt")/SUMIFS($N$9:$N66,$X$9:$X66,ROUNDUP(VALUE(U66),0))),"")</f>
        <v>-</v>
      </c>
      <c r="Z66" s="112">
        <f ca="1">IFERROR(IF($N66=0,"-",SUMIF($Q$11:$Q66,"npt",$N$11:$N66)/(T66*24)),"")</f>
        <v>3.8095238095238113E-2</v>
      </c>
      <c r="AA66" s="491"/>
      <c r="AB66" s="491"/>
      <c r="AC66" s="398" t="s">
        <v>224</v>
      </c>
      <c r="AD66" s="427">
        <f t="shared" ca="1" si="9"/>
        <v>3.479166666666667</v>
      </c>
      <c r="AE66" s="427">
        <f t="shared" ca="1" si="0"/>
        <v>1112</v>
      </c>
      <c r="AF66" s="427">
        <f t="shared" ca="1" si="246"/>
        <v>8.7499999999999964</v>
      </c>
      <c r="AG66" s="427">
        <f t="shared" ca="1" si="2"/>
        <v>2372</v>
      </c>
      <c r="AH66" s="493"/>
      <c r="AI66" s="427">
        <f t="shared" ca="1" si="3"/>
        <v>0</v>
      </c>
      <c r="AJ66" s="493"/>
      <c r="AK66" s="428">
        <f t="shared" ca="1" si="247"/>
        <v>2</v>
      </c>
      <c r="AL66" s="428">
        <f ca="1">IF(A66&lt;&gt;"",IFERROR(INDEX('1_INPUT'!$B$69:$E$89,MATCH($A66,'1_INPUT'!$E$69:$E$89,0),1),""),INDIRECT(ADDRESS(ROW()+1,COLUMN($AL$9),,,)))</f>
        <v>3</v>
      </c>
      <c r="AM66" s="428" t="str">
        <f ca="1">IF(AN66="","",MAX(INDIRECT(ADDRESS(9,COLUMN($AM$9),,,)):INDIRECT(ADDRESS(ROW()-1,COLUMN($AM$9),,,)))+1)</f>
        <v/>
      </c>
      <c r="AN66" s="429" t="str">
        <f>IF($AO66&lt;&gt;"",VLOOKUP($AK66,'1_INPUT'!$B$124:$D$136,2,FALSE),"")</f>
        <v/>
      </c>
      <c r="AO66" s="429" t="str">
        <f t="shared" si="10"/>
        <v/>
      </c>
      <c r="AP66" s="427">
        <f ca="1">SUMIF($AL$10:AL66,$AL66,$I$10:I66)</f>
        <v>96.458333333333343</v>
      </c>
      <c r="AR66" s="430" t="str">
        <f t="shared" ca="1" si="5"/>
        <v>WORKOVER SECTION</v>
      </c>
      <c r="AS66" s="430">
        <f ca="1">MATCH(AR66,'1_INPUT'!$V$43:$V$64,0)+1</f>
        <v>6</v>
      </c>
      <c r="AT66" s="430">
        <f ca="1">VLOOKUP(AR66,'1_INPUT'!$V$43:$W$64,2,FALSE)</f>
        <v>21</v>
      </c>
      <c r="AU66" s="430">
        <f ca="1">COUNTIF('1_INPUT'!$W$43:$W$64,AT66)-1</f>
        <v>5</v>
      </c>
      <c r="AV66" s="430" t="e">
        <f ca="1">OFFSET('1_INPUT'!$V$42,$AS66,,$AU66,)</f>
        <v>#VALUE!</v>
      </c>
      <c r="AX66" s="430" t="str">
        <f t="shared" si="248"/>
        <v/>
      </c>
      <c r="CK66" s="9"/>
      <c r="CL66" s="9"/>
    </row>
    <row r="67" spans="1:90" ht="13.8">
      <c r="A67" s="205"/>
      <c r="B67" s="518"/>
      <c r="C67" s="208" t="str">
        <f>IF(D67&lt;&gt;"",MAX($C$9:C66)+1,"")</f>
        <v/>
      </c>
      <c r="D67" s="523"/>
      <c r="E67" s="406"/>
      <c r="F67" s="407"/>
      <c r="G67" s="209">
        <f t="shared" ref="G67" ca="1" si="259">IF(INDIRECT(ADDRESS(ROW()-1,COLUMN(B$7),,,))&lt;&gt;"",INDIRECT(ADDRESS(ROW(),COLUMN(F$7),,,)),INDIRECT(ADDRESS(ROW()-1,COLUMN(G$7),,,))+INDIRECT(ADDRESS(ROW(),COLUMN(F$7),,,)))</f>
        <v>83.5</v>
      </c>
      <c r="H67" s="209">
        <f t="shared" si="218"/>
        <v>0</v>
      </c>
      <c r="I67" s="209">
        <f t="shared" ref="I67" ca="1" si="260">INDIRECT(ADDRESS(ROW()-1,COLUMN(I$7),,,))+INDIRECT(ADDRESS(ROW(),COLUMN(H$7),,,))</f>
        <v>3.479166666666667</v>
      </c>
      <c r="J67" s="540">
        <v>1112</v>
      </c>
      <c r="K67" s="200"/>
      <c r="L67" s="532" t="s">
        <v>683</v>
      </c>
      <c r="M67" s="400" t="s">
        <v>85</v>
      </c>
      <c r="N67" s="400">
        <v>1</v>
      </c>
      <c r="O67" s="95">
        <f t="shared" ref="O67" ca="1" si="261">IF(INDIRECT(ADDRESS(ROW()-1,COLUMN(B$7),,,))&lt;&gt;"",INDIRECT(ADDRESS(ROW(),COLUMN(N$7),,,)),INDIRECT(ADDRESS(ROW()-1,COLUMN(O$7),,,))+INDIRECT(ADDRESS(ROW(),COLUMN(N$7),,,)))</f>
        <v>211</v>
      </c>
      <c r="P67" s="403">
        <v>2372</v>
      </c>
      <c r="Q67" s="116">
        <f>IF(N67&gt;0,VLOOKUP(M67,'3_TIME SUM'!$F$7:$G$128,2,FALSE),0)</f>
        <v>0</v>
      </c>
      <c r="R67" s="517"/>
      <c r="S67" s="94">
        <f t="shared" si="12"/>
        <v>4.1666666666666664E-2</v>
      </c>
      <c r="T67" s="94">
        <f t="shared" ref="T67" ca="1" si="262">INDIRECT(ADDRESS(ROW()-1,COLUMN(T$7),,,))+INDIRECT(ADDRESS(ROW(),COLUMN(S$7),,,))</f>
        <v>8.7916666666666625</v>
      </c>
      <c r="U67" s="535">
        <f ca="1">$T67+'1_INPUT'!$E$18</f>
        <v>44952.583333333328</v>
      </c>
      <c r="V67" s="95">
        <f t="shared" ref="V67" ca="1" si="263">IFERROR(IF($AI67=0,($I67-T67)*24,(($P67-INDIRECT(ADDRESS(ROW()-1,COLUMN($P$9),,,)))/$AI67)-$N67+(INDIRECT(ADDRESS(ROW()-1,COLUMN(V$9),,,)))),"")</f>
        <v>-127.49999999999989</v>
      </c>
      <c r="W67" s="110">
        <f t="shared" ref="W67" ca="1" si="264">IFERROR(IF(V67&gt;0,TIME(V67,(V67-ROUNDDOWN(V67,0))*60,0)+DAY((ROUNDDOWN(V67,0)/24)),TIME((-V67),((-V67)-ROUNDDOWN((-V67),0))*60,0)+DAY((ROUNDDOWN((-V67),0)/24))),"")</f>
        <v>5.3125</v>
      </c>
      <c r="X67" s="111">
        <f t="shared" ref="X67" ca="1" si="265">IF(U67=0,"-",ROUNDUP(VALUE(U67),0))</f>
        <v>44953</v>
      </c>
      <c r="Y67" s="112" t="str">
        <f ca="1">IFERROR(IF(SUMIFS($N$9:$N67,$X$9:$X67,ROUNDUP(VALUE(U67),0),$Q$9:$Q67,"npt")=0,"-",SUMIFS($N$9:$N67,$X$9:$X67,ROUNDUP(VALUE(U67),0),$Q$9:$Q67,"npt")/SUMIFS($N$9:$N67,$X$9:$X67,ROUNDUP(VALUE(U67),0))),"")</f>
        <v>-</v>
      </c>
      <c r="Z67" s="112">
        <f ca="1">IFERROR(IF($N67=0,"-",SUMIF($Q$11:$Q67,"npt",$N$11:$N67)/(T67*24)),"")</f>
        <v>3.7914691943127986E-2</v>
      </c>
      <c r="AA67" s="491"/>
      <c r="AB67" s="491"/>
      <c r="AC67" s="398" t="s">
        <v>224</v>
      </c>
      <c r="AD67" s="427">
        <f t="shared" ca="1" si="9"/>
        <v>3.479166666666667</v>
      </c>
      <c r="AE67" s="427">
        <f t="shared" ca="1" si="0"/>
        <v>1112</v>
      </c>
      <c r="AF67" s="427">
        <f t="shared" ref="AF67" ca="1" si="266">T67</f>
        <v>8.7916666666666625</v>
      </c>
      <c r="AG67" s="427">
        <f t="shared" ca="1" si="2"/>
        <v>2372</v>
      </c>
      <c r="AH67" s="493"/>
      <c r="AI67" s="427">
        <f t="shared" ca="1" si="3"/>
        <v>0</v>
      </c>
      <c r="AJ67" s="493"/>
      <c r="AK67" s="428">
        <f t="shared" ref="AK67" ca="1" si="267">IF(B67&lt;&gt;"",B67,INDIRECT(ADDRESS(ROW()+1,COLUMN($AK$9),,,)))</f>
        <v>2</v>
      </c>
      <c r="AL67" s="428">
        <f ca="1">IF(A67&lt;&gt;"",IFERROR(INDEX('1_INPUT'!$B$69:$E$89,MATCH($A67,'1_INPUT'!$E$69:$E$89,0),1),""),INDIRECT(ADDRESS(ROW()+1,COLUMN($AL$9),,,)))</f>
        <v>3</v>
      </c>
      <c r="AM67" s="428" t="str">
        <f ca="1">IF(AN67="","",MAX(INDIRECT(ADDRESS(9,COLUMN($AM$9),,,)):INDIRECT(ADDRESS(ROW()-1,COLUMN($AM$9),,,)))+1)</f>
        <v/>
      </c>
      <c r="AN67" s="429" t="str">
        <f>IF($AO67&lt;&gt;"",VLOOKUP($AK67,'1_INPUT'!$B$124:$D$136,2,FALSE),"")</f>
        <v/>
      </c>
      <c r="AO67" s="429" t="str">
        <f t="shared" si="10"/>
        <v/>
      </c>
      <c r="AP67" s="427">
        <f ca="1">SUMIF($AL$10:AL67,$AL67,$I$10:I67)</f>
        <v>99.937500000000014</v>
      </c>
      <c r="AR67" s="430" t="str">
        <f t="shared" ca="1" si="5"/>
        <v>WORKOVER SECTION</v>
      </c>
      <c r="AS67" s="430">
        <f ca="1">MATCH(AR67,'1_INPUT'!$V$43:$V$64,0)+1</f>
        <v>6</v>
      </c>
      <c r="AT67" s="430">
        <f ca="1">VLOOKUP(AR67,'1_INPUT'!$V$43:$W$64,2,FALSE)</f>
        <v>21</v>
      </c>
      <c r="AU67" s="430">
        <f ca="1">COUNTIF('1_INPUT'!$W$43:$W$64,AT67)-1</f>
        <v>5</v>
      </c>
      <c r="AV67" s="430" t="e">
        <f ca="1">OFFSET('1_INPUT'!$V$42,$AS67,,$AU67,)</f>
        <v>#VALUE!</v>
      </c>
      <c r="AX67" s="430" t="str">
        <f t="shared" ref="AX67" si="268">IF(A67&lt;&gt;"",""&amp;AR67&amp;"-"&amp;A67&amp;"","")</f>
        <v/>
      </c>
      <c r="CK67" s="9"/>
      <c r="CL67" s="9"/>
    </row>
    <row r="68" spans="1:90" ht="55.2">
      <c r="A68" s="205"/>
      <c r="B68" s="518"/>
      <c r="C68" s="208">
        <f ca="1">IF(D68&lt;&gt;"",MAX($C$9:C67)+1,"")</f>
        <v>20</v>
      </c>
      <c r="D68" s="523" t="s">
        <v>620</v>
      </c>
      <c r="E68" s="406"/>
      <c r="F68" s="407">
        <v>7</v>
      </c>
      <c r="G68" s="209">
        <f t="shared" ca="1" si="239"/>
        <v>90.5</v>
      </c>
      <c r="H68" s="209">
        <f t="shared" si="218"/>
        <v>0.29166666666666669</v>
      </c>
      <c r="I68" s="209">
        <f t="shared" ca="1" si="240"/>
        <v>3.7708333333333335</v>
      </c>
      <c r="J68" s="540">
        <v>1112</v>
      </c>
      <c r="K68" s="200"/>
      <c r="L68" s="532" t="s">
        <v>685</v>
      </c>
      <c r="M68" s="400" t="s">
        <v>85</v>
      </c>
      <c r="N68" s="400">
        <v>10</v>
      </c>
      <c r="O68" s="95">
        <f t="shared" ca="1" si="241"/>
        <v>221</v>
      </c>
      <c r="P68" s="403">
        <v>2372</v>
      </c>
      <c r="Q68" s="116">
        <f>IF(N68&gt;0,VLOOKUP(M68,'3_TIME SUM'!$F$7:$G$128,2,FALSE),0)</f>
        <v>0</v>
      </c>
      <c r="R68" s="517"/>
      <c r="S68" s="94">
        <f t="shared" si="12"/>
        <v>0.41666666666666669</v>
      </c>
      <c r="T68" s="94">
        <f t="shared" ca="1" si="242"/>
        <v>9.2083333333333286</v>
      </c>
      <c r="U68" s="539">
        <f ca="1">$T68+'1_INPUT'!$E$18</f>
        <v>44953</v>
      </c>
      <c r="V68" s="95">
        <f t="shared" ca="1" si="243"/>
        <v>-130.49999999999989</v>
      </c>
      <c r="W68" s="110">
        <f t="shared" ca="1" si="244"/>
        <v>5.4375</v>
      </c>
      <c r="X68" s="111">
        <f t="shared" ca="1" si="245"/>
        <v>44953</v>
      </c>
      <c r="Y68" s="112" t="str">
        <f ca="1">IFERROR(IF(SUMIFS($N$9:$N68,$X$9:$X68,ROUNDUP(VALUE(U68),0),$Q$9:$Q68,"npt")=0,"-",SUMIFS($N$9:$N68,$X$9:$X68,ROUNDUP(VALUE(U68),0),$Q$9:$Q68,"npt")/SUMIFS($N$9:$N68,$X$9:$X68,ROUNDUP(VALUE(U68),0))),"")</f>
        <v>-</v>
      </c>
      <c r="Z68" s="112">
        <f ca="1">IFERROR(IF($N68=0,"-",SUMIF($Q$11:$Q68,"npt",$N$11:$N68)/(T68*24)),"")</f>
        <v>3.6199095022624452E-2</v>
      </c>
      <c r="AA68" s="491"/>
      <c r="AB68" s="491"/>
      <c r="AC68" s="398" t="s">
        <v>224</v>
      </c>
      <c r="AD68" s="427">
        <f t="shared" ca="1" si="9"/>
        <v>3.7708333333333335</v>
      </c>
      <c r="AE68" s="427">
        <f t="shared" ca="1" si="0"/>
        <v>1112</v>
      </c>
      <c r="AF68" s="427">
        <f t="shared" ca="1" si="246"/>
        <v>9.2083333333333286</v>
      </c>
      <c r="AG68" s="427">
        <f t="shared" ca="1" si="2"/>
        <v>2372</v>
      </c>
      <c r="AH68" s="493"/>
      <c r="AI68" s="427">
        <f t="shared" ca="1" si="3"/>
        <v>0</v>
      </c>
      <c r="AJ68" s="493"/>
      <c r="AK68" s="428">
        <f t="shared" ca="1" si="247"/>
        <v>2</v>
      </c>
      <c r="AL68" s="428">
        <f ca="1">IF(A68&lt;&gt;"",IFERROR(INDEX('1_INPUT'!$B$69:$E$89,MATCH($A68,'1_INPUT'!$E$69:$E$89,0),1),""),INDIRECT(ADDRESS(ROW()+1,COLUMN($AL$9),,,)))</f>
        <v>3</v>
      </c>
      <c r="AM68" s="428" t="str">
        <f ca="1">IF(AN68="","",MAX(INDIRECT(ADDRESS(9,COLUMN($AM$9),,,)):INDIRECT(ADDRESS(ROW()-1,COLUMN($AM$9),,,)))+1)</f>
        <v/>
      </c>
      <c r="AN68" s="429" t="str">
        <f>IF($AO68&lt;&gt;"",VLOOKUP($AK68,'1_INPUT'!$B$124:$D$136,2,FALSE),"")</f>
        <v/>
      </c>
      <c r="AO68" s="429" t="str">
        <f t="shared" si="10"/>
        <v/>
      </c>
      <c r="AP68" s="427">
        <f ca="1">SUMIF($AL$10:AL68,$AL68,$I$10:I68)</f>
        <v>103.70833333333334</v>
      </c>
      <c r="AR68" s="430" t="str">
        <f t="shared" ca="1" si="5"/>
        <v>WORKOVER SECTION</v>
      </c>
      <c r="AS68" s="430">
        <f ca="1">MATCH(AR68,'1_INPUT'!$V$43:$V$64,0)+1</f>
        <v>6</v>
      </c>
      <c r="AT68" s="430">
        <f ca="1">VLOOKUP(AR68,'1_INPUT'!$V$43:$W$64,2,FALSE)</f>
        <v>21</v>
      </c>
      <c r="AU68" s="430">
        <f ca="1">COUNTIF('1_INPUT'!$W$43:$W$64,AT68)-1</f>
        <v>5</v>
      </c>
      <c r="AV68" s="430" t="e">
        <f ca="1">OFFSET('1_INPUT'!$V$42,$AS68,,$AU68,)</f>
        <v>#VALUE!</v>
      </c>
      <c r="AX68" s="430" t="str">
        <f t="shared" si="248"/>
        <v/>
      </c>
      <c r="CK68" s="9"/>
      <c r="CL68" s="9"/>
    </row>
    <row r="69" spans="1:90" ht="69">
      <c r="A69" s="205"/>
      <c r="B69" s="518"/>
      <c r="C69" s="208" t="str">
        <f>IF(D69&lt;&gt;"",MAX($C$9:C68)+1,"")</f>
        <v/>
      </c>
      <c r="D69" s="523"/>
      <c r="E69" s="406"/>
      <c r="F69" s="407"/>
      <c r="G69" s="209">
        <f t="shared" ref="G69:G73" ca="1" si="269">IF(INDIRECT(ADDRESS(ROW()-1,COLUMN(B$7),,,))&lt;&gt;"",INDIRECT(ADDRESS(ROW(),COLUMN(F$7),,,)),INDIRECT(ADDRESS(ROW()-1,COLUMN(G$7),,,))+INDIRECT(ADDRESS(ROW(),COLUMN(F$7),,,)))</f>
        <v>90.5</v>
      </c>
      <c r="H69" s="209">
        <f t="shared" si="218"/>
        <v>0</v>
      </c>
      <c r="I69" s="209">
        <f t="shared" ref="I69:I73" ca="1" si="270">INDIRECT(ADDRESS(ROW()-1,COLUMN(I$7),,,))+INDIRECT(ADDRESS(ROW(),COLUMN(H$7),,,))</f>
        <v>3.7708333333333335</v>
      </c>
      <c r="J69" s="540">
        <v>1112</v>
      </c>
      <c r="K69" s="200"/>
      <c r="L69" s="532" t="s">
        <v>686</v>
      </c>
      <c r="M69" s="400" t="s">
        <v>85</v>
      </c>
      <c r="N69" s="400">
        <v>15</v>
      </c>
      <c r="O69" s="95">
        <f t="shared" ref="O69:O73" ca="1" si="271">IF(INDIRECT(ADDRESS(ROW()-1,COLUMN(B$7),,,))&lt;&gt;"",INDIRECT(ADDRESS(ROW(),COLUMN(N$7),,,)),INDIRECT(ADDRESS(ROW()-1,COLUMN(O$7),,,))+INDIRECT(ADDRESS(ROW(),COLUMN(N$7),,,)))</f>
        <v>236</v>
      </c>
      <c r="P69" s="403">
        <v>2372</v>
      </c>
      <c r="Q69" s="116">
        <f>IF(N69&gt;0,VLOOKUP(M69,'3_TIME SUM'!$F$7:$G$128,2,FALSE),0)</f>
        <v>0</v>
      </c>
      <c r="R69" s="517"/>
      <c r="S69" s="94">
        <f t="shared" si="12"/>
        <v>0.625</v>
      </c>
      <c r="T69" s="94">
        <f t="shared" ref="T69:T73" ca="1" si="272">INDIRECT(ADDRESS(ROW()-1,COLUMN(T$7),,,))+INDIRECT(ADDRESS(ROW(),COLUMN(S$7),,,))</f>
        <v>9.8333333333333286</v>
      </c>
      <c r="U69" s="535">
        <f ca="1">$T69+'1_INPUT'!$E$18</f>
        <v>44953.625</v>
      </c>
      <c r="V69" s="95">
        <f t="shared" ref="V69:V73" ca="1" si="273">IFERROR(IF($AI69=0,($I69-T69)*24,(($P69-INDIRECT(ADDRESS(ROW()-1,COLUMN($P$9),,,)))/$AI69)-$N69+(INDIRECT(ADDRESS(ROW()-1,COLUMN(V$9),,,)))),"")</f>
        <v>-145.49999999999989</v>
      </c>
      <c r="W69" s="110">
        <f t="shared" ref="W69:W73" ca="1" si="274">IFERROR(IF(V69&gt;0,TIME(V69,(V69-ROUNDDOWN(V69,0))*60,0)+DAY((ROUNDDOWN(V69,0)/24)),TIME((-V69),((-V69)-ROUNDDOWN((-V69),0))*60,0)+DAY((ROUNDDOWN((-V69),0)/24))),"")</f>
        <v>6.0625</v>
      </c>
      <c r="X69" s="111">
        <f t="shared" ref="X69:X73" ca="1" si="275">IF(U69=0,"-",ROUNDUP(VALUE(U69),0))</f>
        <v>44954</v>
      </c>
      <c r="Y69" s="112" t="str">
        <f ca="1">IFERROR(IF(SUMIFS($N$9:$N69,$X$9:$X69,ROUNDUP(VALUE(U69),0),$Q$9:$Q69,"npt")=0,"-",SUMIFS($N$9:$N69,$X$9:$X69,ROUNDUP(VALUE(U69),0),$Q$9:$Q69,"npt")/SUMIFS($N$9:$N69,$X$9:$X69,ROUNDUP(VALUE(U69),0))),"")</f>
        <v>-</v>
      </c>
      <c r="Z69" s="112">
        <f ca="1">IFERROR(IF($N69=0,"-",SUMIF($Q$11:$Q69,"npt",$N$11:$N69)/(T69*24)),"")</f>
        <v>3.3898305084745776E-2</v>
      </c>
      <c r="AA69" s="491"/>
      <c r="AB69" s="491"/>
      <c r="AC69" s="398" t="s">
        <v>224</v>
      </c>
      <c r="AD69" s="427">
        <f t="shared" ca="1" si="9"/>
        <v>3.7708333333333335</v>
      </c>
      <c r="AE69" s="427">
        <f t="shared" ca="1" si="0"/>
        <v>1112</v>
      </c>
      <c r="AF69" s="427">
        <f t="shared" ref="AF69:AF73" ca="1" si="276">T69</f>
        <v>9.8333333333333286</v>
      </c>
      <c r="AG69" s="427">
        <f t="shared" ca="1" si="2"/>
        <v>2372</v>
      </c>
      <c r="AH69" s="493"/>
      <c r="AI69" s="427">
        <f t="shared" ca="1" si="3"/>
        <v>0</v>
      </c>
      <c r="AJ69" s="493"/>
      <c r="AK69" s="428">
        <f t="shared" ref="AK69:AK73" ca="1" si="277">IF(B69&lt;&gt;"",B69,INDIRECT(ADDRESS(ROW()+1,COLUMN($AK$9),,,)))</f>
        <v>2</v>
      </c>
      <c r="AL69" s="428">
        <f ca="1">IF(A69&lt;&gt;"",IFERROR(INDEX('1_INPUT'!$B$69:$E$89,MATCH($A69,'1_INPUT'!$E$69:$E$89,0),1),""),INDIRECT(ADDRESS(ROW()+1,COLUMN($AL$9),,,)))</f>
        <v>3</v>
      </c>
      <c r="AM69" s="428" t="str">
        <f ca="1">IF(AN69="","",MAX(INDIRECT(ADDRESS(9,COLUMN($AM$9),,,)):INDIRECT(ADDRESS(ROW()-1,COLUMN($AM$9),,,)))+1)</f>
        <v/>
      </c>
      <c r="AN69" s="429" t="str">
        <f>IF($AO69&lt;&gt;"",VLOOKUP($AK69,'1_INPUT'!$B$124:$D$136,2,FALSE),"")</f>
        <v/>
      </c>
      <c r="AO69" s="429" t="str">
        <f t="shared" si="10"/>
        <v/>
      </c>
      <c r="AP69" s="427">
        <f ca="1">SUMIF($AL$10:AL69,$AL69,$I$10:I69)</f>
        <v>107.47916666666667</v>
      </c>
      <c r="AR69" s="430" t="str">
        <f t="shared" ca="1" si="5"/>
        <v>WORKOVER SECTION</v>
      </c>
      <c r="AS69" s="430">
        <f ca="1">MATCH(AR69,'1_INPUT'!$V$43:$V$64,0)+1</f>
        <v>6</v>
      </c>
      <c r="AT69" s="430">
        <f ca="1">VLOOKUP(AR69,'1_INPUT'!$V$43:$W$64,2,FALSE)</f>
        <v>21</v>
      </c>
      <c r="AU69" s="430">
        <f ca="1">COUNTIF('1_INPUT'!$W$43:$W$64,AT69)-1</f>
        <v>5</v>
      </c>
      <c r="AV69" s="430" t="e">
        <f ca="1">OFFSET('1_INPUT'!$V$42,$AS69,,$AU69,)</f>
        <v>#VALUE!</v>
      </c>
      <c r="AX69" s="430" t="str">
        <f t="shared" ref="AX69:AX73" si="278">IF(A69&lt;&gt;"",""&amp;AR69&amp;"-"&amp;A69&amp;"","")</f>
        <v/>
      </c>
      <c r="CK69" s="9"/>
      <c r="CL69" s="9"/>
    </row>
    <row r="70" spans="1:90" ht="27.6">
      <c r="A70" s="205"/>
      <c r="B70" s="518"/>
      <c r="C70" s="208" t="str">
        <f>IF(D70&lt;&gt;"",MAX($C$9:C69)+1,"")</f>
        <v/>
      </c>
      <c r="D70" s="523"/>
      <c r="E70" s="406"/>
      <c r="F70" s="407"/>
      <c r="G70" s="209">
        <f t="shared" ca="1" si="269"/>
        <v>90.5</v>
      </c>
      <c r="H70" s="209">
        <f t="shared" si="218"/>
        <v>0</v>
      </c>
      <c r="I70" s="209">
        <f t="shared" ca="1" si="270"/>
        <v>3.7708333333333335</v>
      </c>
      <c r="J70" s="540">
        <v>1112</v>
      </c>
      <c r="K70" s="200"/>
      <c r="L70" s="532" t="s">
        <v>673</v>
      </c>
      <c r="M70" s="400" t="s">
        <v>126</v>
      </c>
      <c r="N70" s="400">
        <v>0.5</v>
      </c>
      <c r="O70" s="95">
        <f t="shared" ca="1" si="271"/>
        <v>236.5</v>
      </c>
      <c r="P70" s="403">
        <v>2372</v>
      </c>
      <c r="Q70" s="116">
        <f>IF(N70&gt;0,VLOOKUP(M70,'3_TIME SUM'!$F$7:$G$128,2,FALSE),0)</f>
        <v>0</v>
      </c>
      <c r="R70" s="517"/>
      <c r="S70" s="94">
        <f t="shared" si="12"/>
        <v>2.0833333333333332E-2</v>
      </c>
      <c r="T70" s="94">
        <f t="shared" ca="1" si="272"/>
        <v>9.8541666666666625</v>
      </c>
      <c r="U70" s="535">
        <f ca="1">$T70+'1_INPUT'!$E$18</f>
        <v>44953.645833333328</v>
      </c>
      <c r="V70" s="95">
        <f t="shared" ca="1" si="273"/>
        <v>-145.99999999999989</v>
      </c>
      <c r="W70" s="110">
        <f t="shared" ca="1" si="274"/>
        <v>6.083333333333333</v>
      </c>
      <c r="X70" s="111">
        <f t="shared" ca="1" si="275"/>
        <v>44954</v>
      </c>
      <c r="Y70" s="112" t="str">
        <f ca="1">IFERROR(IF(SUMIFS($N$9:$N70,$X$9:$X70,ROUNDUP(VALUE(U70),0),$Q$9:$Q70,"npt")=0,"-",SUMIFS($N$9:$N70,$X$9:$X70,ROUNDUP(VALUE(U70),0),$Q$9:$Q70,"npt")/SUMIFS($N$9:$N70,$X$9:$X70,ROUNDUP(VALUE(U70),0))),"")</f>
        <v>-</v>
      </c>
      <c r="Z70" s="112">
        <f ca="1">IFERROR(IF($N70=0,"-",SUMIF($Q$11:$Q70,"npt",$N$11:$N70)/(T70*24)),"")</f>
        <v>3.3826638477801284E-2</v>
      </c>
      <c r="AA70" s="491"/>
      <c r="AB70" s="491"/>
      <c r="AC70" s="398" t="s">
        <v>224</v>
      </c>
      <c r="AD70" s="427">
        <f t="shared" ca="1" si="9"/>
        <v>3.7708333333333335</v>
      </c>
      <c r="AE70" s="427">
        <f t="shared" ca="1" si="0"/>
        <v>1112</v>
      </c>
      <c r="AF70" s="427">
        <f t="shared" ca="1" si="276"/>
        <v>9.8541666666666625</v>
      </c>
      <c r="AG70" s="427">
        <f t="shared" ca="1" si="2"/>
        <v>2372</v>
      </c>
      <c r="AH70" s="493"/>
      <c r="AI70" s="427">
        <f t="shared" ca="1" si="3"/>
        <v>0</v>
      </c>
      <c r="AJ70" s="493"/>
      <c r="AK70" s="428">
        <f t="shared" ca="1" si="277"/>
        <v>2</v>
      </c>
      <c r="AL70" s="428">
        <f ca="1">IF(A70&lt;&gt;"",IFERROR(INDEX('1_INPUT'!$B$69:$E$89,MATCH($A70,'1_INPUT'!$E$69:$E$89,0),1),""),INDIRECT(ADDRESS(ROW()+1,COLUMN($AL$9),,,)))</f>
        <v>3</v>
      </c>
      <c r="AM70" s="428" t="str">
        <f ca="1">IF(AN70="","",MAX(INDIRECT(ADDRESS(9,COLUMN($AM$9),,,)):INDIRECT(ADDRESS(ROW()-1,COLUMN($AM$9),,,)))+1)</f>
        <v/>
      </c>
      <c r="AN70" s="429" t="str">
        <f>IF($AO70&lt;&gt;"",VLOOKUP($AK70,'1_INPUT'!$B$124:$D$136,2,FALSE),"")</f>
        <v/>
      </c>
      <c r="AO70" s="429" t="str">
        <f t="shared" si="10"/>
        <v/>
      </c>
      <c r="AP70" s="427">
        <f ca="1">SUMIF($AL$10:AL70,$AL70,$I$10:I70)</f>
        <v>111.25</v>
      </c>
      <c r="AR70" s="430" t="str">
        <f t="shared" ca="1" si="5"/>
        <v>WORKOVER SECTION</v>
      </c>
      <c r="AS70" s="430">
        <f ca="1">MATCH(AR70,'1_INPUT'!$V$43:$V$64,0)+1</f>
        <v>6</v>
      </c>
      <c r="AT70" s="430">
        <f ca="1">VLOOKUP(AR70,'1_INPUT'!$V$43:$W$64,2,FALSE)</f>
        <v>21</v>
      </c>
      <c r="AU70" s="430">
        <f ca="1">COUNTIF('1_INPUT'!$W$43:$W$64,AT70)-1</f>
        <v>5</v>
      </c>
      <c r="AV70" s="430" t="e">
        <f ca="1">OFFSET('1_INPUT'!$V$42,$AS70,,$AU70,)</f>
        <v>#VALUE!</v>
      </c>
      <c r="AX70" s="430" t="str">
        <f t="shared" si="278"/>
        <v/>
      </c>
      <c r="CK70" s="9"/>
      <c r="CL70" s="9"/>
    </row>
    <row r="71" spans="1:90" ht="13.8">
      <c r="A71" s="205"/>
      <c r="B71" s="518"/>
      <c r="C71" s="208" t="str">
        <f>IF(D71&lt;&gt;"",MAX($C$9:C70)+1,"")</f>
        <v/>
      </c>
      <c r="D71" s="523"/>
      <c r="E71" s="406"/>
      <c r="F71" s="407"/>
      <c r="G71" s="209">
        <f t="shared" ca="1" si="269"/>
        <v>90.5</v>
      </c>
      <c r="H71" s="209">
        <f t="shared" si="218"/>
        <v>0</v>
      </c>
      <c r="I71" s="209">
        <f t="shared" ca="1" si="270"/>
        <v>3.7708333333333335</v>
      </c>
      <c r="J71" s="540">
        <v>1112</v>
      </c>
      <c r="K71" s="200"/>
      <c r="L71" s="532" t="s">
        <v>687</v>
      </c>
      <c r="M71" s="400" t="s">
        <v>95</v>
      </c>
      <c r="N71" s="400">
        <v>0.5</v>
      </c>
      <c r="O71" s="95">
        <f t="shared" ca="1" si="271"/>
        <v>237</v>
      </c>
      <c r="P71" s="403">
        <v>2372</v>
      </c>
      <c r="Q71" s="116">
        <f>IF(N71&gt;0,VLOOKUP(M71,'3_TIME SUM'!$F$7:$G$128,2,FALSE),0)</f>
        <v>0</v>
      </c>
      <c r="R71" s="517"/>
      <c r="S71" s="94">
        <f t="shared" si="12"/>
        <v>2.0833333333333332E-2</v>
      </c>
      <c r="T71" s="94">
        <f t="shared" ca="1" si="272"/>
        <v>9.8749999999999964</v>
      </c>
      <c r="U71" s="535">
        <f ca="1">$T71+'1_INPUT'!$E$18</f>
        <v>44953.666666666664</v>
      </c>
      <c r="V71" s="95">
        <f t="shared" ca="1" si="273"/>
        <v>-146.49999999999989</v>
      </c>
      <c r="W71" s="110">
        <f t="shared" ca="1" si="274"/>
        <v>6.104166666666667</v>
      </c>
      <c r="X71" s="111">
        <f t="shared" ca="1" si="275"/>
        <v>44954</v>
      </c>
      <c r="Y71" s="112" t="str">
        <f ca="1">IFERROR(IF(SUMIFS($N$9:$N71,$X$9:$X71,ROUNDUP(VALUE(U71),0),$Q$9:$Q71,"npt")=0,"-",SUMIFS($N$9:$N71,$X$9:$X71,ROUNDUP(VALUE(U71),0),$Q$9:$Q71,"npt")/SUMIFS($N$9:$N71,$X$9:$X71,ROUNDUP(VALUE(U71),0))),"")</f>
        <v>-</v>
      </c>
      <c r="Z71" s="112">
        <f ca="1">IFERROR(IF($N71=0,"-",SUMIF($Q$11:$Q71,"npt",$N$11:$N71)/(T71*24)),"")</f>
        <v>3.3755274261603387E-2</v>
      </c>
      <c r="AA71" s="491"/>
      <c r="AB71" s="491"/>
      <c r="AC71" s="398" t="s">
        <v>224</v>
      </c>
      <c r="AD71" s="427">
        <f t="shared" ca="1" si="9"/>
        <v>3.7708333333333335</v>
      </c>
      <c r="AE71" s="427">
        <f t="shared" ca="1" si="0"/>
        <v>1112</v>
      </c>
      <c r="AF71" s="427">
        <f t="shared" ca="1" si="276"/>
        <v>9.8749999999999964</v>
      </c>
      <c r="AG71" s="427">
        <f t="shared" ca="1" si="2"/>
        <v>2372</v>
      </c>
      <c r="AH71" s="493"/>
      <c r="AI71" s="427">
        <f t="shared" ca="1" si="3"/>
        <v>0</v>
      </c>
      <c r="AJ71" s="493"/>
      <c r="AK71" s="428">
        <f t="shared" ca="1" si="277"/>
        <v>2</v>
      </c>
      <c r="AL71" s="428">
        <f ca="1">IF(A71&lt;&gt;"",IFERROR(INDEX('1_INPUT'!$B$69:$E$89,MATCH($A71,'1_INPUT'!$E$69:$E$89,0),1),""),INDIRECT(ADDRESS(ROW()+1,COLUMN($AL$9),,,)))</f>
        <v>3</v>
      </c>
      <c r="AM71" s="428" t="str">
        <f ca="1">IF(AN71="","",MAX(INDIRECT(ADDRESS(9,COLUMN($AM$9),,,)):INDIRECT(ADDRESS(ROW()-1,COLUMN($AM$9),,,)))+1)</f>
        <v/>
      </c>
      <c r="AN71" s="429" t="str">
        <f>IF($AO71&lt;&gt;"",VLOOKUP($AK71,'1_INPUT'!$B$124:$D$136,2,FALSE),"")</f>
        <v/>
      </c>
      <c r="AO71" s="429" t="str">
        <f t="shared" si="10"/>
        <v/>
      </c>
      <c r="AP71" s="427">
        <f ca="1">SUMIF($AL$10:AL71,$AL71,$I$10:I71)</f>
        <v>115.02083333333333</v>
      </c>
      <c r="AR71" s="430" t="str">
        <f t="shared" ca="1" si="5"/>
        <v>WORKOVER SECTION</v>
      </c>
      <c r="AS71" s="430">
        <f ca="1">MATCH(AR71,'1_INPUT'!$V$43:$V$64,0)+1</f>
        <v>6</v>
      </c>
      <c r="AT71" s="430">
        <f ca="1">VLOOKUP(AR71,'1_INPUT'!$V$43:$W$64,2,FALSE)</f>
        <v>21</v>
      </c>
      <c r="AU71" s="430">
        <f ca="1">COUNTIF('1_INPUT'!$W$43:$W$64,AT71)-1</f>
        <v>5</v>
      </c>
      <c r="AV71" s="430" t="e">
        <f ca="1">OFFSET('1_INPUT'!$V$42,$AS71,,$AU71,)</f>
        <v>#VALUE!</v>
      </c>
      <c r="AX71" s="430" t="str">
        <f t="shared" si="278"/>
        <v/>
      </c>
      <c r="CK71" s="9"/>
      <c r="CL71" s="9"/>
    </row>
    <row r="72" spans="1:90" ht="27.6">
      <c r="A72" s="205"/>
      <c r="B72" s="518"/>
      <c r="C72" s="208" t="str">
        <f>IF(D72&lt;&gt;"",MAX($C$9:C71)+1,"")</f>
        <v/>
      </c>
      <c r="D72" s="523"/>
      <c r="E72" s="406"/>
      <c r="F72" s="407"/>
      <c r="G72" s="209">
        <f t="shared" ca="1" si="269"/>
        <v>90.5</v>
      </c>
      <c r="H72" s="209">
        <f t="shared" si="218"/>
        <v>0</v>
      </c>
      <c r="I72" s="209">
        <f t="shared" ca="1" si="270"/>
        <v>3.7708333333333335</v>
      </c>
      <c r="J72" s="540">
        <v>1112</v>
      </c>
      <c r="K72" s="200"/>
      <c r="L72" s="532" t="s">
        <v>688</v>
      </c>
      <c r="M72" s="400" t="s">
        <v>85</v>
      </c>
      <c r="N72" s="400">
        <v>1</v>
      </c>
      <c r="O72" s="95">
        <f t="shared" ca="1" si="271"/>
        <v>238</v>
      </c>
      <c r="P72" s="403">
        <v>2372</v>
      </c>
      <c r="Q72" s="116">
        <f>IF(N72&gt;0,VLOOKUP(M72,'3_TIME SUM'!$F$7:$G$128,2,FALSE),0)</f>
        <v>0</v>
      </c>
      <c r="R72" s="517"/>
      <c r="S72" s="94">
        <f t="shared" si="12"/>
        <v>4.1666666666666664E-2</v>
      </c>
      <c r="T72" s="94">
        <f t="shared" ca="1" si="272"/>
        <v>9.9166666666666625</v>
      </c>
      <c r="U72" s="535">
        <f ca="1">$T72+'1_INPUT'!$E$18</f>
        <v>44953.708333333328</v>
      </c>
      <c r="V72" s="95">
        <f t="shared" ca="1" si="273"/>
        <v>-147.49999999999989</v>
      </c>
      <c r="W72" s="110">
        <f t="shared" ca="1" si="274"/>
        <v>6.145833333333333</v>
      </c>
      <c r="X72" s="111">
        <f t="shared" ca="1" si="275"/>
        <v>44954</v>
      </c>
      <c r="Y72" s="112" t="str">
        <f ca="1">IFERROR(IF(SUMIFS($N$9:$N72,$X$9:$X72,ROUNDUP(VALUE(U72),0),$Q$9:$Q72,"npt")=0,"-",SUMIFS($N$9:$N72,$X$9:$X72,ROUNDUP(VALUE(U72),0),$Q$9:$Q72,"npt")/SUMIFS($N$9:$N72,$X$9:$X72,ROUNDUP(VALUE(U72),0))),"")</f>
        <v>-</v>
      </c>
      <c r="Z72" s="112">
        <f ca="1">IFERROR(IF($N72=0,"-",SUMIF($Q$11:$Q72,"npt",$N$11:$N72)/(T72*24)),"")</f>
        <v>3.361344537815128E-2</v>
      </c>
      <c r="AA72" s="491"/>
      <c r="AB72" s="491"/>
      <c r="AC72" s="398" t="s">
        <v>224</v>
      </c>
      <c r="AD72" s="427">
        <f t="shared" ca="1" si="9"/>
        <v>3.7708333333333335</v>
      </c>
      <c r="AE72" s="427">
        <f t="shared" ca="1" si="0"/>
        <v>1112</v>
      </c>
      <c r="AF72" s="427">
        <f t="shared" ca="1" si="276"/>
        <v>9.9166666666666625</v>
      </c>
      <c r="AG72" s="427">
        <f t="shared" ca="1" si="2"/>
        <v>2372</v>
      </c>
      <c r="AH72" s="493"/>
      <c r="AI72" s="427">
        <f t="shared" ca="1" si="3"/>
        <v>0</v>
      </c>
      <c r="AJ72" s="493"/>
      <c r="AK72" s="428">
        <f t="shared" ca="1" si="277"/>
        <v>2</v>
      </c>
      <c r="AL72" s="428">
        <f ca="1">IF(A72&lt;&gt;"",IFERROR(INDEX('1_INPUT'!$B$69:$E$89,MATCH($A72,'1_INPUT'!$E$69:$E$89,0),1),""),INDIRECT(ADDRESS(ROW()+1,COLUMN($AL$9),,,)))</f>
        <v>3</v>
      </c>
      <c r="AM72" s="428" t="str">
        <f ca="1">IF(AN72="","",MAX(INDIRECT(ADDRESS(9,COLUMN($AM$9),,,)):INDIRECT(ADDRESS(ROW()-1,COLUMN($AM$9),,,)))+1)</f>
        <v/>
      </c>
      <c r="AN72" s="429" t="str">
        <f>IF($AO72&lt;&gt;"",VLOOKUP($AK72,'1_INPUT'!$B$124:$D$136,2,FALSE),"")</f>
        <v/>
      </c>
      <c r="AO72" s="429" t="str">
        <f t="shared" si="10"/>
        <v/>
      </c>
      <c r="AP72" s="427">
        <f ca="1">SUMIF($AL$10:AL72,$AL72,$I$10:I72)</f>
        <v>118.79166666666666</v>
      </c>
      <c r="AR72" s="430" t="str">
        <f t="shared" ca="1" si="5"/>
        <v>WORKOVER SECTION</v>
      </c>
      <c r="AS72" s="430">
        <f ca="1">MATCH(AR72,'1_INPUT'!$V$43:$V$64,0)+1</f>
        <v>6</v>
      </c>
      <c r="AT72" s="430">
        <f ca="1">VLOOKUP(AR72,'1_INPUT'!$V$43:$W$64,2,FALSE)</f>
        <v>21</v>
      </c>
      <c r="AU72" s="430">
        <f ca="1">COUNTIF('1_INPUT'!$W$43:$W$64,AT72)-1</f>
        <v>5</v>
      </c>
      <c r="AV72" s="430" t="e">
        <f ca="1">OFFSET('1_INPUT'!$V$42,$AS72,,$AU72,)</f>
        <v>#VALUE!</v>
      </c>
      <c r="AX72" s="430" t="str">
        <f t="shared" si="278"/>
        <v/>
      </c>
      <c r="CK72" s="9"/>
      <c r="CL72" s="9"/>
    </row>
    <row r="73" spans="1:90" ht="69">
      <c r="A73" s="205"/>
      <c r="B73" s="518"/>
      <c r="C73" s="208" t="str">
        <f>IF(D73&lt;&gt;"",MAX($C$9:C72)+1,"")</f>
        <v/>
      </c>
      <c r="D73" s="523"/>
      <c r="E73" s="406"/>
      <c r="F73" s="407"/>
      <c r="G73" s="209">
        <f t="shared" ca="1" si="269"/>
        <v>90.5</v>
      </c>
      <c r="H73" s="209">
        <f t="shared" si="218"/>
        <v>0</v>
      </c>
      <c r="I73" s="209">
        <f t="shared" ca="1" si="270"/>
        <v>3.7708333333333335</v>
      </c>
      <c r="J73" s="540">
        <v>1112</v>
      </c>
      <c r="K73" s="200"/>
      <c r="L73" s="532" t="s">
        <v>689</v>
      </c>
      <c r="M73" s="400" t="s">
        <v>67</v>
      </c>
      <c r="N73" s="400">
        <v>2</v>
      </c>
      <c r="O73" s="95">
        <f t="shared" ca="1" si="271"/>
        <v>240</v>
      </c>
      <c r="P73" s="403">
        <v>2372</v>
      </c>
      <c r="Q73" s="116">
        <f>IF(N73&gt;0,VLOOKUP(M73,'3_TIME SUM'!$F$7:$G$128,2,FALSE),0)</f>
        <v>0</v>
      </c>
      <c r="R73" s="517"/>
      <c r="S73" s="94">
        <f t="shared" si="12"/>
        <v>8.3333333333333329E-2</v>
      </c>
      <c r="T73" s="94">
        <f t="shared" ca="1" si="272"/>
        <v>9.9999999999999964</v>
      </c>
      <c r="U73" s="535">
        <f ca="1">$T73+'1_INPUT'!$E$18</f>
        <v>44953.791666666664</v>
      </c>
      <c r="V73" s="95">
        <f t="shared" ca="1" si="273"/>
        <v>-149.49999999999989</v>
      </c>
      <c r="W73" s="110">
        <f t="shared" ca="1" si="274"/>
        <v>6.229166666666667</v>
      </c>
      <c r="X73" s="111">
        <f t="shared" ca="1" si="275"/>
        <v>44954</v>
      </c>
      <c r="Y73" s="112" t="str">
        <f ca="1">IFERROR(IF(SUMIFS($N$9:$N73,$X$9:$X73,ROUNDUP(VALUE(U73),0),$Q$9:$Q73,"npt")=0,"-",SUMIFS($N$9:$N73,$X$9:$X73,ROUNDUP(VALUE(U73),0),$Q$9:$Q73,"npt")/SUMIFS($N$9:$N73,$X$9:$X73,ROUNDUP(VALUE(U73),0))),"")</f>
        <v>-</v>
      </c>
      <c r="Z73" s="112">
        <f ca="1">IFERROR(IF($N73=0,"-",SUMIF($Q$11:$Q73,"npt",$N$11:$N73)/(T73*24)),"")</f>
        <v>3.3333333333333347E-2</v>
      </c>
      <c r="AA73" s="491"/>
      <c r="AB73" s="491"/>
      <c r="AC73" s="398" t="s">
        <v>224</v>
      </c>
      <c r="AD73" s="427">
        <f t="shared" ca="1" si="9"/>
        <v>3.7708333333333335</v>
      </c>
      <c r="AE73" s="427">
        <f t="shared" ca="1" si="0"/>
        <v>1112</v>
      </c>
      <c r="AF73" s="427">
        <f t="shared" ca="1" si="276"/>
        <v>9.9999999999999964</v>
      </c>
      <c r="AG73" s="427">
        <f t="shared" ca="1" si="2"/>
        <v>2372</v>
      </c>
      <c r="AH73" s="493"/>
      <c r="AI73" s="427">
        <f t="shared" ca="1" si="3"/>
        <v>0</v>
      </c>
      <c r="AJ73" s="493"/>
      <c r="AK73" s="428">
        <f t="shared" ca="1" si="277"/>
        <v>2</v>
      </c>
      <c r="AL73" s="428">
        <f ca="1">IF(A73&lt;&gt;"",IFERROR(INDEX('1_INPUT'!$B$69:$E$89,MATCH($A73,'1_INPUT'!$E$69:$E$89,0),1),""),INDIRECT(ADDRESS(ROW()+1,COLUMN($AL$9),,,)))</f>
        <v>3</v>
      </c>
      <c r="AM73" s="428" t="str">
        <f ca="1">IF(AN73="","",MAX(INDIRECT(ADDRESS(9,COLUMN($AM$9),,,)):INDIRECT(ADDRESS(ROW()-1,COLUMN($AM$9),,,)))+1)</f>
        <v/>
      </c>
      <c r="AN73" s="429" t="str">
        <f>IF($AO73&lt;&gt;"",VLOOKUP($AK73,'1_INPUT'!$B$124:$D$136,2,FALSE),"")</f>
        <v/>
      </c>
      <c r="AO73" s="429" t="str">
        <f t="shared" si="10"/>
        <v/>
      </c>
      <c r="AP73" s="427">
        <f ca="1">SUMIF($AL$10:AL73,$AL73,$I$10:I73)</f>
        <v>122.56249999999999</v>
      </c>
      <c r="AR73" s="430" t="str">
        <f t="shared" ca="1" si="5"/>
        <v>WORKOVER SECTION</v>
      </c>
      <c r="AS73" s="430">
        <f ca="1">MATCH(AR73,'1_INPUT'!$V$43:$V$64,0)+1</f>
        <v>6</v>
      </c>
      <c r="AT73" s="430">
        <f ca="1">VLOOKUP(AR73,'1_INPUT'!$V$43:$W$64,2,FALSE)</f>
        <v>21</v>
      </c>
      <c r="AU73" s="430">
        <f ca="1">COUNTIF('1_INPUT'!$W$43:$W$64,AT73)-1</f>
        <v>5</v>
      </c>
      <c r="AV73" s="430" t="e">
        <f ca="1">OFFSET('1_INPUT'!$V$42,$AS73,,$AU73,)</f>
        <v>#VALUE!</v>
      </c>
      <c r="AX73" s="430" t="str">
        <f t="shared" si="278"/>
        <v/>
      </c>
      <c r="CK73" s="9"/>
      <c r="CL73" s="9"/>
    </row>
    <row r="74" spans="1:90" ht="13.8">
      <c r="A74" s="205"/>
      <c r="B74" s="518"/>
      <c r="C74" s="208" t="str">
        <f>IF(D74&lt;&gt;"",MAX($C$9:C73)+1,"")</f>
        <v/>
      </c>
      <c r="D74" s="523"/>
      <c r="E74" s="406"/>
      <c r="F74" s="407"/>
      <c r="G74" s="209">
        <f t="shared" ref="G74:G77" ca="1" si="279">IF(INDIRECT(ADDRESS(ROW()-1,COLUMN(B$7),,,))&lt;&gt;"",INDIRECT(ADDRESS(ROW(),COLUMN(F$7),,,)),INDIRECT(ADDRESS(ROW()-1,COLUMN(G$7),,,))+INDIRECT(ADDRESS(ROW(),COLUMN(F$7),,,)))</f>
        <v>90.5</v>
      </c>
      <c r="H74" s="209">
        <f t="shared" si="218"/>
        <v>0</v>
      </c>
      <c r="I74" s="209">
        <f t="shared" ref="I74:I77" ca="1" si="280">INDIRECT(ADDRESS(ROW()-1,COLUMN(I$7),,,))+INDIRECT(ADDRESS(ROW(),COLUMN(H$7),,,))</f>
        <v>3.7708333333333335</v>
      </c>
      <c r="J74" s="540">
        <v>1112</v>
      </c>
      <c r="K74" s="200"/>
      <c r="L74" s="532" t="s">
        <v>674</v>
      </c>
      <c r="M74" s="400" t="s">
        <v>529</v>
      </c>
      <c r="N74" s="400">
        <v>1</v>
      </c>
      <c r="O74" s="95">
        <f t="shared" ref="O74:O77" ca="1" si="281">IF(INDIRECT(ADDRESS(ROW()-1,COLUMN(B$7),,,))&lt;&gt;"",INDIRECT(ADDRESS(ROW(),COLUMN(N$7),,,)),INDIRECT(ADDRESS(ROW()-1,COLUMN(O$7),,,))+INDIRECT(ADDRESS(ROW(),COLUMN(N$7),,,)))</f>
        <v>241</v>
      </c>
      <c r="P74" s="403">
        <v>2372</v>
      </c>
      <c r="Q74" s="116">
        <f>IF(N74&gt;0,VLOOKUP(M74,'3_TIME SUM'!$F$7:$G$128,2,FALSE),0)</f>
        <v>0</v>
      </c>
      <c r="R74" s="517"/>
      <c r="S74" s="94">
        <f t="shared" si="12"/>
        <v>4.1666666666666664E-2</v>
      </c>
      <c r="T74" s="94">
        <f t="shared" ref="T74:T77" ca="1" si="282">INDIRECT(ADDRESS(ROW()-1,COLUMN(T$7),,,))+INDIRECT(ADDRESS(ROW(),COLUMN(S$7),,,))</f>
        <v>10.041666666666663</v>
      </c>
      <c r="U74" s="535">
        <f ca="1">$T74+'1_INPUT'!$E$18</f>
        <v>44953.833333333328</v>
      </c>
      <c r="V74" s="95">
        <f t="shared" ref="V74:V77" ca="1" si="283">IFERROR(IF($AI74=0,($I74-T74)*24,(($P74-INDIRECT(ADDRESS(ROW()-1,COLUMN($P$9),,,)))/$AI74)-$N74+(INDIRECT(ADDRESS(ROW()-1,COLUMN(V$9),,,)))),"")</f>
        <v>-150.49999999999989</v>
      </c>
      <c r="W74" s="110">
        <f t="shared" ref="W74:W77" ca="1" si="284">IFERROR(IF(V74&gt;0,TIME(V74,(V74-ROUNDDOWN(V74,0))*60,0)+DAY((ROUNDDOWN(V74,0)/24)),TIME((-V74),((-V74)-ROUNDDOWN((-V74),0))*60,0)+DAY((ROUNDDOWN((-V74),0)/24))),"")</f>
        <v>6.270833333333333</v>
      </c>
      <c r="X74" s="111">
        <f t="shared" ref="X74:X77" ca="1" si="285">IF(U74=0,"-",ROUNDUP(VALUE(U74),0))</f>
        <v>44954</v>
      </c>
      <c r="Y74" s="112" t="str">
        <f ca="1">IFERROR(IF(SUMIFS($N$9:$N74,$X$9:$X74,ROUNDUP(VALUE(U74),0),$Q$9:$Q74,"npt")=0,"-",SUMIFS($N$9:$N74,$X$9:$X74,ROUNDUP(VALUE(U74),0),$Q$9:$Q74,"npt")/SUMIFS($N$9:$N74,$X$9:$X74,ROUNDUP(VALUE(U74),0))),"")</f>
        <v>-</v>
      </c>
      <c r="Z74" s="112">
        <f ca="1">IFERROR(IF($N74=0,"-",SUMIF($Q$11:$Q74,"npt",$N$11:$N74)/(T74*24)),"")</f>
        <v>3.3195020746887981E-2</v>
      </c>
      <c r="AA74" s="491"/>
      <c r="AB74" s="491"/>
      <c r="AC74" s="398" t="s">
        <v>224</v>
      </c>
      <c r="AD74" s="427">
        <f t="shared" ca="1" si="9"/>
        <v>3.7708333333333335</v>
      </c>
      <c r="AE74" s="427">
        <f t="shared" ca="1" si="0"/>
        <v>1112</v>
      </c>
      <c r="AF74" s="427">
        <f t="shared" ref="AF74:AF77" ca="1" si="286">T74</f>
        <v>10.041666666666663</v>
      </c>
      <c r="AG74" s="427">
        <f t="shared" ca="1" si="2"/>
        <v>2372</v>
      </c>
      <c r="AH74" s="493"/>
      <c r="AI74" s="427">
        <f t="shared" ca="1" si="3"/>
        <v>0</v>
      </c>
      <c r="AJ74" s="493"/>
      <c r="AK74" s="428">
        <f t="shared" ref="AK74:AK77" ca="1" si="287">IF(B74&lt;&gt;"",B74,INDIRECT(ADDRESS(ROW()+1,COLUMN($AK$9),,,)))</f>
        <v>2</v>
      </c>
      <c r="AL74" s="428">
        <f ca="1">IF(A74&lt;&gt;"",IFERROR(INDEX('1_INPUT'!$B$69:$E$89,MATCH($A74,'1_INPUT'!$E$69:$E$89,0),1),""),INDIRECT(ADDRESS(ROW()+1,COLUMN($AL$9),,,)))</f>
        <v>3</v>
      </c>
      <c r="AM74" s="428" t="str">
        <f ca="1">IF(AN74="","",MAX(INDIRECT(ADDRESS(9,COLUMN($AM$9),,,)):INDIRECT(ADDRESS(ROW()-1,COLUMN($AM$9),,,)))+1)</f>
        <v/>
      </c>
      <c r="AN74" s="429" t="str">
        <f>IF($AO74&lt;&gt;"",VLOOKUP($AK74,'1_INPUT'!$B$124:$D$136,2,FALSE),"")</f>
        <v/>
      </c>
      <c r="AO74" s="429" t="str">
        <f t="shared" si="10"/>
        <v/>
      </c>
      <c r="AP74" s="427">
        <f ca="1">SUMIF($AL$10:AL74,$AL74,$I$10:I74)</f>
        <v>126.33333333333331</v>
      </c>
      <c r="AR74" s="430" t="str">
        <f t="shared" ca="1" si="5"/>
        <v>WORKOVER SECTION</v>
      </c>
      <c r="AS74" s="430">
        <f ca="1">MATCH(AR74,'1_INPUT'!$V$43:$V$64,0)+1</f>
        <v>6</v>
      </c>
      <c r="AT74" s="430">
        <f ca="1">VLOOKUP(AR74,'1_INPUT'!$V$43:$W$64,2,FALSE)</f>
        <v>21</v>
      </c>
      <c r="AU74" s="430">
        <f ca="1">COUNTIF('1_INPUT'!$W$43:$W$64,AT74)-1</f>
        <v>5</v>
      </c>
      <c r="AV74" s="430" t="e">
        <f ca="1">OFFSET('1_INPUT'!$V$42,$AS74,,$AU74,)</f>
        <v>#VALUE!</v>
      </c>
      <c r="AX74" s="430" t="str">
        <f t="shared" ref="AX74:AX77" si="288">IF(A74&lt;&gt;"",""&amp;AR74&amp;"-"&amp;A74&amp;"","")</f>
        <v/>
      </c>
      <c r="CK74" s="9"/>
      <c r="CL74" s="9"/>
    </row>
    <row r="75" spans="1:90" ht="69">
      <c r="A75" s="205"/>
      <c r="B75" s="518"/>
      <c r="C75" s="208" t="str">
        <f>IF(D75&lt;&gt;"",MAX($C$9:C74)+1,"")</f>
        <v/>
      </c>
      <c r="D75" s="523"/>
      <c r="E75" s="406"/>
      <c r="F75" s="407"/>
      <c r="G75" s="209">
        <f t="shared" ca="1" si="279"/>
        <v>90.5</v>
      </c>
      <c r="H75" s="209">
        <f t="shared" si="218"/>
        <v>0</v>
      </c>
      <c r="I75" s="209">
        <f t="shared" ca="1" si="280"/>
        <v>3.7708333333333335</v>
      </c>
      <c r="J75" s="540">
        <v>1112</v>
      </c>
      <c r="K75" s="200"/>
      <c r="L75" s="532" t="s">
        <v>690</v>
      </c>
      <c r="M75" s="400" t="s">
        <v>67</v>
      </c>
      <c r="N75" s="400">
        <v>2</v>
      </c>
      <c r="O75" s="95">
        <f t="shared" ca="1" si="281"/>
        <v>243</v>
      </c>
      <c r="P75" s="403">
        <v>2372</v>
      </c>
      <c r="Q75" s="116">
        <f>IF(N75&gt;0,VLOOKUP(M75,'3_TIME SUM'!$F$7:$G$128,2,FALSE),0)</f>
        <v>0</v>
      </c>
      <c r="R75" s="517"/>
      <c r="S75" s="94">
        <f t="shared" si="12"/>
        <v>8.3333333333333329E-2</v>
      </c>
      <c r="T75" s="94">
        <f t="shared" ca="1" si="282"/>
        <v>10.124999999999996</v>
      </c>
      <c r="U75" s="535">
        <f ca="1">$T75+'1_INPUT'!$E$18</f>
        <v>44953.916666666664</v>
      </c>
      <c r="V75" s="95">
        <f t="shared" ca="1" si="283"/>
        <v>-152.49999999999989</v>
      </c>
      <c r="W75" s="110">
        <f t="shared" ca="1" si="284"/>
        <v>6.354166666666667</v>
      </c>
      <c r="X75" s="111">
        <f t="shared" ca="1" si="285"/>
        <v>44954</v>
      </c>
      <c r="Y75" s="112" t="str">
        <f ca="1">IFERROR(IF(SUMIFS($N$9:$N75,$X$9:$X75,ROUNDUP(VALUE(U75),0),$Q$9:$Q75,"npt")=0,"-",SUMIFS($N$9:$N75,$X$9:$X75,ROUNDUP(VALUE(U75),0),$Q$9:$Q75,"npt")/SUMIFS($N$9:$N75,$X$9:$X75,ROUNDUP(VALUE(U75),0))),"")</f>
        <v>-</v>
      </c>
      <c r="Z75" s="112">
        <f ca="1">IFERROR(IF($N75=0,"-",SUMIF($Q$11:$Q75,"npt",$N$11:$N75)/(T75*24)),"")</f>
        <v>3.2921810699588487E-2</v>
      </c>
      <c r="AA75" s="491"/>
      <c r="AB75" s="491"/>
      <c r="AC75" s="398" t="s">
        <v>224</v>
      </c>
      <c r="AD75" s="427">
        <f t="shared" ca="1" si="9"/>
        <v>3.7708333333333335</v>
      </c>
      <c r="AE75" s="427">
        <f t="shared" ca="1" si="0"/>
        <v>1112</v>
      </c>
      <c r="AF75" s="427">
        <f t="shared" ca="1" si="286"/>
        <v>10.124999999999996</v>
      </c>
      <c r="AG75" s="427">
        <f t="shared" ca="1" si="2"/>
        <v>2372</v>
      </c>
      <c r="AH75" s="493"/>
      <c r="AI75" s="427">
        <f t="shared" ca="1" si="3"/>
        <v>0</v>
      </c>
      <c r="AJ75" s="493"/>
      <c r="AK75" s="428">
        <f t="shared" ca="1" si="287"/>
        <v>2</v>
      </c>
      <c r="AL75" s="428">
        <f ca="1">IF(A75&lt;&gt;"",IFERROR(INDEX('1_INPUT'!$B$69:$E$89,MATCH($A75,'1_INPUT'!$E$69:$E$89,0),1),""),INDIRECT(ADDRESS(ROW()+1,COLUMN($AL$9),,,)))</f>
        <v>3</v>
      </c>
      <c r="AM75" s="428" t="str">
        <f ca="1">IF(AN75="","",MAX(INDIRECT(ADDRESS(9,COLUMN($AM$9),,,)):INDIRECT(ADDRESS(ROW()-1,COLUMN($AM$9),,,)))+1)</f>
        <v/>
      </c>
      <c r="AN75" s="429" t="str">
        <f>IF($AO75&lt;&gt;"",VLOOKUP($AK75,'1_INPUT'!$B$124:$D$136,2,FALSE),"")</f>
        <v/>
      </c>
      <c r="AO75" s="429" t="str">
        <f t="shared" si="10"/>
        <v/>
      </c>
      <c r="AP75" s="427">
        <f ca="1">SUMIF($AL$10:AL75,$AL75,$I$10:I75)</f>
        <v>130.10416666666666</v>
      </c>
      <c r="AR75" s="430" t="str">
        <f t="shared" ca="1" si="5"/>
        <v>WORKOVER SECTION</v>
      </c>
      <c r="AS75" s="430">
        <f ca="1">MATCH(AR75,'1_INPUT'!$V$43:$V$64,0)+1</f>
        <v>6</v>
      </c>
      <c r="AT75" s="430">
        <f ca="1">VLOOKUP(AR75,'1_INPUT'!$V$43:$W$64,2,FALSE)</f>
        <v>21</v>
      </c>
      <c r="AU75" s="430">
        <f ca="1">COUNTIF('1_INPUT'!$W$43:$W$64,AT75)-1</f>
        <v>5</v>
      </c>
      <c r="AV75" s="430" t="e">
        <f ca="1">OFFSET('1_INPUT'!$V$42,$AS75,,$AU75,)</f>
        <v>#VALUE!</v>
      </c>
      <c r="AX75" s="430" t="str">
        <f t="shared" si="288"/>
        <v/>
      </c>
      <c r="CK75" s="9"/>
      <c r="CL75" s="9"/>
    </row>
    <row r="76" spans="1:90" ht="13.8">
      <c r="A76" s="205"/>
      <c r="B76" s="518"/>
      <c r="C76" s="208" t="str">
        <f>IF(D76&lt;&gt;"",MAX($C$9:C75)+1,"")</f>
        <v/>
      </c>
      <c r="D76" s="523"/>
      <c r="E76" s="406"/>
      <c r="F76" s="407"/>
      <c r="G76" s="209">
        <f t="shared" ca="1" si="279"/>
        <v>90.5</v>
      </c>
      <c r="H76" s="209">
        <f t="shared" si="218"/>
        <v>0</v>
      </c>
      <c r="I76" s="209">
        <f t="shared" ca="1" si="280"/>
        <v>3.7708333333333335</v>
      </c>
      <c r="J76" s="540">
        <v>1112</v>
      </c>
      <c r="K76" s="200"/>
      <c r="L76" s="532" t="s">
        <v>691</v>
      </c>
      <c r="M76" s="400" t="s">
        <v>126</v>
      </c>
      <c r="N76" s="400">
        <v>0.5</v>
      </c>
      <c r="O76" s="95">
        <f t="shared" ca="1" si="281"/>
        <v>243.5</v>
      </c>
      <c r="P76" s="403">
        <v>2372</v>
      </c>
      <c r="Q76" s="116">
        <f>IF(N76&gt;0,VLOOKUP(M76,'3_TIME SUM'!$F$7:$G$128,2,FALSE),0)</f>
        <v>0</v>
      </c>
      <c r="R76" s="517"/>
      <c r="S76" s="94">
        <f t="shared" si="12"/>
        <v>2.0833333333333332E-2</v>
      </c>
      <c r="T76" s="94">
        <f t="shared" ca="1" si="282"/>
        <v>10.14583333333333</v>
      </c>
      <c r="U76" s="535">
        <f ca="1">$T76+'1_INPUT'!$E$18</f>
        <v>44953.9375</v>
      </c>
      <c r="V76" s="95">
        <f t="shared" ca="1" si="283"/>
        <v>-152.99999999999991</v>
      </c>
      <c r="W76" s="110">
        <f t="shared" ca="1" si="284"/>
        <v>6.375</v>
      </c>
      <c r="X76" s="111">
        <f t="shared" ca="1" si="285"/>
        <v>44954</v>
      </c>
      <c r="Y76" s="112" t="str">
        <f ca="1">IFERROR(IF(SUMIFS($N$9:$N76,$X$9:$X76,ROUNDUP(VALUE(U76),0),$Q$9:$Q76,"npt")=0,"-",SUMIFS($N$9:$N76,$X$9:$X76,ROUNDUP(VALUE(U76),0),$Q$9:$Q76,"npt")/SUMIFS($N$9:$N76,$X$9:$X76,ROUNDUP(VALUE(U76),0))),"")</f>
        <v>-</v>
      </c>
      <c r="Z76" s="112">
        <f ca="1">IFERROR(IF($N76=0,"-",SUMIF($Q$11:$Q76,"npt",$N$11:$N76)/(T76*24)),"")</f>
        <v>3.2854209445585224E-2</v>
      </c>
      <c r="AA76" s="491"/>
      <c r="AB76" s="491"/>
      <c r="AC76" s="398" t="s">
        <v>224</v>
      </c>
      <c r="AD76" s="427">
        <f t="shared" ca="1" si="9"/>
        <v>3.7708333333333335</v>
      </c>
      <c r="AE76" s="427">
        <f t="shared" ca="1" si="0"/>
        <v>1112</v>
      </c>
      <c r="AF76" s="427">
        <f t="shared" ca="1" si="286"/>
        <v>10.14583333333333</v>
      </c>
      <c r="AG76" s="427">
        <f t="shared" ca="1" si="2"/>
        <v>2372</v>
      </c>
      <c r="AH76" s="493"/>
      <c r="AI76" s="427">
        <f t="shared" ca="1" si="3"/>
        <v>0</v>
      </c>
      <c r="AJ76" s="493"/>
      <c r="AK76" s="428">
        <f t="shared" ca="1" si="287"/>
        <v>2</v>
      </c>
      <c r="AL76" s="428">
        <f ca="1">IF(A76&lt;&gt;"",IFERROR(INDEX('1_INPUT'!$B$69:$E$89,MATCH($A76,'1_INPUT'!$E$69:$E$89,0),1),""),INDIRECT(ADDRESS(ROW()+1,COLUMN($AL$9),,,)))</f>
        <v>3</v>
      </c>
      <c r="AM76" s="428" t="str">
        <f ca="1">IF(AN76="","",MAX(INDIRECT(ADDRESS(9,COLUMN($AM$9),,,)):INDIRECT(ADDRESS(ROW()-1,COLUMN($AM$9),,,)))+1)</f>
        <v/>
      </c>
      <c r="AN76" s="429" t="str">
        <f>IF($AO76&lt;&gt;"",VLOOKUP($AK76,'1_INPUT'!$B$124:$D$136,2,FALSE),"")</f>
        <v/>
      </c>
      <c r="AO76" s="429" t="str">
        <f t="shared" si="10"/>
        <v/>
      </c>
      <c r="AP76" s="427">
        <f ca="1">SUMIF($AL$10:AL76,$AL76,$I$10:I76)</f>
        <v>133.875</v>
      </c>
      <c r="AR76" s="430" t="str">
        <f t="shared" ca="1" si="5"/>
        <v>WORKOVER SECTION</v>
      </c>
      <c r="AS76" s="430">
        <f ca="1">MATCH(AR76,'1_INPUT'!$V$43:$V$64,0)+1</f>
        <v>6</v>
      </c>
      <c r="AT76" s="430">
        <f ca="1">VLOOKUP(AR76,'1_INPUT'!$V$43:$W$64,2,FALSE)</f>
        <v>21</v>
      </c>
      <c r="AU76" s="430">
        <f ca="1">COUNTIF('1_INPUT'!$W$43:$W$64,AT76)-1</f>
        <v>5</v>
      </c>
      <c r="AV76" s="430" t="e">
        <f ca="1">OFFSET('1_INPUT'!$V$42,$AS76,,$AU76,)</f>
        <v>#VALUE!</v>
      </c>
      <c r="AX76" s="430" t="str">
        <f t="shared" si="288"/>
        <v/>
      </c>
      <c r="CK76" s="9"/>
      <c r="CL76" s="9"/>
    </row>
    <row r="77" spans="1:90" ht="82.8">
      <c r="A77" s="205"/>
      <c r="B77" s="518"/>
      <c r="C77" s="208" t="str">
        <f>IF(D77&lt;&gt;"",MAX($C$9:C76)+1,"")</f>
        <v/>
      </c>
      <c r="D77" s="523"/>
      <c r="E77" s="406"/>
      <c r="F77" s="407"/>
      <c r="G77" s="209">
        <f t="shared" ca="1" si="279"/>
        <v>90.5</v>
      </c>
      <c r="H77" s="209">
        <f t="shared" si="218"/>
        <v>0</v>
      </c>
      <c r="I77" s="209">
        <f t="shared" ca="1" si="280"/>
        <v>3.7708333333333335</v>
      </c>
      <c r="J77" s="540">
        <v>1112</v>
      </c>
      <c r="K77" s="200"/>
      <c r="L77" s="532" t="s">
        <v>692</v>
      </c>
      <c r="M77" s="400" t="s">
        <v>67</v>
      </c>
      <c r="N77" s="400">
        <v>1.5</v>
      </c>
      <c r="O77" s="95">
        <f t="shared" ca="1" si="281"/>
        <v>245</v>
      </c>
      <c r="P77" s="403">
        <v>2372</v>
      </c>
      <c r="Q77" s="116">
        <f>IF(N77&gt;0,VLOOKUP(M77,'3_TIME SUM'!$F$7:$G$128,2,FALSE),0)</f>
        <v>0</v>
      </c>
      <c r="R77" s="517"/>
      <c r="S77" s="94">
        <f t="shared" si="12"/>
        <v>6.25E-2</v>
      </c>
      <c r="T77" s="94">
        <f t="shared" ca="1" si="282"/>
        <v>10.20833333333333</v>
      </c>
      <c r="U77" s="539">
        <f ca="1">$T77+'1_INPUT'!$E$18</f>
        <v>44954</v>
      </c>
      <c r="V77" s="95">
        <f t="shared" ca="1" si="283"/>
        <v>-154.49999999999991</v>
      </c>
      <c r="W77" s="110">
        <f t="shared" ca="1" si="284"/>
        <v>6.4375</v>
      </c>
      <c r="X77" s="111">
        <f t="shared" ca="1" si="285"/>
        <v>44954</v>
      </c>
      <c r="Y77" s="112" t="str">
        <f ca="1">IFERROR(IF(SUMIFS($N$9:$N77,$X$9:$X77,ROUNDUP(VALUE(U77),0),$Q$9:$Q77,"npt")=0,"-",SUMIFS($N$9:$N77,$X$9:$X77,ROUNDUP(VALUE(U77),0),$Q$9:$Q77,"npt")/SUMIFS($N$9:$N77,$X$9:$X77,ROUNDUP(VALUE(U77),0))),"")</f>
        <v>-</v>
      </c>
      <c r="Z77" s="112">
        <f ca="1">IFERROR(IF($N77=0,"-",SUMIF($Q$11:$Q77,"npt",$N$11:$N77)/(T77*24)),"")</f>
        <v>3.2653061224489806E-2</v>
      </c>
      <c r="AA77" s="491"/>
      <c r="AB77" s="491"/>
      <c r="AC77" s="398" t="s">
        <v>224</v>
      </c>
      <c r="AD77" s="427">
        <f t="shared" ca="1" si="9"/>
        <v>3.7708333333333335</v>
      </c>
      <c r="AE77" s="427">
        <f t="shared" ca="1" si="0"/>
        <v>1112</v>
      </c>
      <c r="AF77" s="427">
        <f t="shared" ca="1" si="286"/>
        <v>10.20833333333333</v>
      </c>
      <c r="AG77" s="427">
        <f t="shared" ca="1" si="2"/>
        <v>2372</v>
      </c>
      <c r="AH77" s="493"/>
      <c r="AI77" s="427">
        <f t="shared" ca="1" si="3"/>
        <v>0</v>
      </c>
      <c r="AJ77" s="493"/>
      <c r="AK77" s="428">
        <f t="shared" ca="1" si="287"/>
        <v>2</v>
      </c>
      <c r="AL77" s="428">
        <f ca="1">IF(A77&lt;&gt;"",IFERROR(INDEX('1_INPUT'!$B$69:$E$89,MATCH($A77,'1_INPUT'!$E$69:$E$89,0),1),""),INDIRECT(ADDRESS(ROW()+1,COLUMN($AL$9),,,)))</f>
        <v>3</v>
      </c>
      <c r="AM77" s="428" t="str">
        <f ca="1">IF(AN77="","",MAX(INDIRECT(ADDRESS(9,COLUMN($AM$9),,,)):INDIRECT(ADDRESS(ROW()-1,COLUMN($AM$9),,,)))+1)</f>
        <v/>
      </c>
      <c r="AN77" s="429" t="str">
        <f>IF($AO77&lt;&gt;"",VLOOKUP($AK77,'1_INPUT'!$B$124:$D$136,2,FALSE),"")</f>
        <v/>
      </c>
      <c r="AO77" s="429" t="str">
        <f t="shared" si="10"/>
        <v/>
      </c>
      <c r="AP77" s="427">
        <f ca="1">SUMIF($AL$10:AL77,$AL77,$I$10:I77)</f>
        <v>137.64583333333334</v>
      </c>
      <c r="AR77" s="430" t="str">
        <f t="shared" ca="1" si="5"/>
        <v>WORKOVER SECTION</v>
      </c>
      <c r="AS77" s="430">
        <f ca="1">MATCH(AR77,'1_INPUT'!$V$43:$V$64,0)+1</f>
        <v>6</v>
      </c>
      <c r="AT77" s="430">
        <f ca="1">VLOOKUP(AR77,'1_INPUT'!$V$43:$W$64,2,FALSE)</f>
        <v>21</v>
      </c>
      <c r="AU77" s="430">
        <f ca="1">COUNTIF('1_INPUT'!$W$43:$W$64,AT77)-1</f>
        <v>5</v>
      </c>
      <c r="AV77" s="430" t="e">
        <f ca="1">OFFSET('1_INPUT'!$V$42,$AS77,,$AU77,)</f>
        <v>#VALUE!</v>
      </c>
      <c r="AX77" s="430" t="str">
        <f t="shared" si="288"/>
        <v/>
      </c>
      <c r="CK77" s="9"/>
      <c r="CL77" s="9"/>
    </row>
    <row r="78" spans="1:90" ht="69">
      <c r="A78" s="205"/>
      <c r="B78" s="518"/>
      <c r="C78" s="208" t="str">
        <f>IF(D78&lt;&gt;"",MAX($C$9:C77)+1,"")</f>
        <v/>
      </c>
      <c r="D78" s="523"/>
      <c r="E78" s="406"/>
      <c r="F78" s="407"/>
      <c r="G78" s="209">
        <f t="shared" ref="G78:G85" ca="1" si="289">IF(INDIRECT(ADDRESS(ROW()-1,COLUMN(B$7),,,))&lt;&gt;"",INDIRECT(ADDRESS(ROW(),COLUMN(F$7),,,)),INDIRECT(ADDRESS(ROW()-1,COLUMN(G$7),,,))+INDIRECT(ADDRESS(ROW(),COLUMN(F$7),,,)))</f>
        <v>90.5</v>
      </c>
      <c r="H78" s="209">
        <f t="shared" si="218"/>
        <v>0</v>
      </c>
      <c r="I78" s="209">
        <f t="shared" ref="I78:I85" ca="1" si="290">INDIRECT(ADDRESS(ROW()-1,COLUMN(I$7),,,))+INDIRECT(ADDRESS(ROW(),COLUMN(H$7),,,))</f>
        <v>3.7708333333333335</v>
      </c>
      <c r="J78" s="540">
        <v>1112</v>
      </c>
      <c r="K78" s="200"/>
      <c r="L78" s="532" t="s">
        <v>693</v>
      </c>
      <c r="M78" s="400" t="s">
        <v>155</v>
      </c>
      <c r="N78" s="400">
        <v>2</v>
      </c>
      <c r="O78" s="95">
        <f t="shared" ref="O78:O85" ca="1" si="291">IF(INDIRECT(ADDRESS(ROW()-1,COLUMN(B$7),,,))&lt;&gt;"",INDIRECT(ADDRESS(ROW(),COLUMN(N$7),,,)),INDIRECT(ADDRESS(ROW()-1,COLUMN(O$7),,,))+INDIRECT(ADDRESS(ROW(),COLUMN(N$7),,,)))</f>
        <v>247</v>
      </c>
      <c r="P78" s="403">
        <v>2372</v>
      </c>
      <c r="Q78" s="116" t="str">
        <f>IF(N78&gt;0,VLOOKUP(M78,'3_TIME SUM'!$F$7:$G$128,2,FALSE),0)</f>
        <v>NPT</v>
      </c>
      <c r="R78" s="517"/>
      <c r="S78" s="94">
        <f t="shared" si="12"/>
        <v>8.3333333333333329E-2</v>
      </c>
      <c r="T78" s="94">
        <f t="shared" ref="T78:T85" ca="1" si="292">INDIRECT(ADDRESS(ROW()-1,COLUMN(T$7),,,))+INDIRECT(ADDRESS(ROW(),COLUMN(S$7),,,))</f>
        <v>10.291666666666664</v>
      </c>
      <c r="U78" s="535">
        <f ca="1">$T78+'1_INPUT'!$E$18</f>
        <v>44954.083333333328</v>
      </c>
      <c r="V78" s="95">
        <f t="shared" ref="V78:V85" ca="1" si="293">IFERROR(IF($AI78=0,($I78-T78)*24,(($P78-INDIRECT(ADDRESS(ROW()-1,COLUMN($P$9),,,)))/$AI78)-$N78+(INDIRECT(ADDRESS(ROW()-1,COLUMN(V$9),,,)))),"")</f>
        <v>-156.49999999999994</v>
      </c>
      <c r="W78" s="110">
        <f t="shared" ref="W78:W85" ca="1" si="294">IFERROR(IF(V78&gt;0,TIME(V78,(V78-ROUNDDOWN(V78,0))*60,0)+DAY((ROUNDDOWN(V78,0)/24)),TIME((-V78),((-V78)-ROUNDDOWN((-V78),0))*60,0)+DAY((ROUNDDOWN((-V78),0)/24))),"")</f>
        <v>6.520833333333333</v>
      </c>
      <c r="X78" s="111">
        <f t="shared" ref="X78:X85" ca="1" si="295">IF(U78=0,"-",ROUNDUP(VALUE(U78),0))</f>
        <v>44955</v>
      </c>
      <c r="Y78" s="112">
        <f ca="1">IFERROR(IF(SUMIFS($N$9:$N78,$X$9:$X78,ROUNDUP(VALUE(U78),0),$Q$9:$Q78,"npt")=0,"-",SUMIFS($N$9:$N78,$X$9:$X78,ROUNDUP(VALUE(U78),0),$Q$9:$Q78,"npt")/SUMIFS($N$9:$N78,$X$9:$X78,ROUNDUP(VALUE(U78),0))),"")</f>
        <v>1</v>
      </c>
      <c r="Z78" s="112">
        <f ca="1">IFERROR(IF($N78=0,"-",SUMIF($Q$11:$Q78,"npt",$N$11:$N78)/(T78*24)),"")</f>
        <v>4.0485829959514177E-2</v>
      </c>
      <c r="AA78" s="491"/>
      <c r="AB78" s="491"/>
      <c r="AC78" s="398" t="s">
        <v>224</v>
      </c>
      <c r="AD78" s="427">
        <f t="shared" ca="1" si="9"/>
        <v>3.7708333333333335</v>
      </c>
      <c r="AE78" s="427">
        <f t="shared" ca="1" si="0"/>
        <v>1112</v>
      </c>
      <c r="AF78" s="427">
        <f t="shared" ref="AF78:AF85" ca="1" si="296">T78</f>
        <v>10.291666666666664</v>
      </c>
      <c r="AG78" s="427">
        <f t="shared" ca="1" si="2"/>
        <v>2372</v>
      </c>
      <c r="AH78" s="493"/>
      <c r="AI78" s="427">
        <f t="shared" ca="1" si="3"/>
        <v>0</v>
      </c>
      <c r="AJ78" s="493"/>
      <c r="AK78" s="428">
        <f t="shared" ref="AK78:AK85" ca="1" si="297">IF(B78&lt;&gt;"",B78,INDIRECT(ADDRESS(ROW()+1,COLUMN($AK$9),,,)))</f>
        <v>2</v>
      </c>
      <c r="AL78" s="428">
        <f ca="1">IF(A78&lt;&gt;"",IFERROR(INDEX('1_INPUT'!$B$69:$E$89,MATCH($A78,'1_INPUT'!$E$69:$E$89,0),1),""),INDIRECT(ADDRESS(ROW()+1,COLUMN($AL$9),,,)))</f>
        <v>3</v>
      </c>
      <c r="AM78" s="428" t="str">
        <f ca="1">IF(AN78="","",MAX(INDIRECT(ADDRESS(9,COLUMN($AM$9),,,)):INDIRECT(ADDRESS(ROW()-1,COLUMN($AM$9),,,)))+1)</f>
        <v/>
      </c>
      <c r="AN78" s="429" t="str">
        <f>IF($AO78&lt;&gt;"",VLOOKUP($AK78,'1_INPUT'!$B$124:$D$136,2,FALSE),"")</f>
        <v/>
      </c>
      <c r="AO78" s="429" t="str">
        <f t="shared" si="10"/>
        <v/>
      </c>
      <c r="AP78" s="427">
        <f ca="1">SUMIF($AL$10:AL78,$AL78,$I$10:I78)</f>
        <v>141.41666666666669</v>
      </c>
      <c r="AR78" s="430" t="str">
        <f t="shared" ca="1" si="5"/>
        <v>WORKOVER SECTION</v>
      </c>
      <c r="AS78" s="430">
        <f ca="1">MATCH(AR78,'1_INPUT'!$V$43:$V$64,0)+1</f>
        <v>6</v>
      </c>
      <c r="AT78" s="430">
        <f ca="1">VLOOKUP(AR78,'1_INPUT'!$V$43:$W$64,2,FALSE)</f>
        <v>21</v>
      </c>
      <c r="AU78" s="430">
        <f ca="1">COUNTIF('1_INPUT'!$W$43:$W$64,AT78)-1</f>
        <v>5</v>
      </c>
      <c r="AV78" s="430" t="e">
        <f ca="1">OFFSET('1_INPUT'!$V$42,$AS78,,$AU78,)</f>
        <v>#VALUE!</v>
      </c>
      <c r="AX78" s="430" t="str">
        <f t="shared" ref="AX78:AX85" si="298">IF(A78&lt;&gt;"",""&amp;AR78&amp;"-"&amp;A78&amp;"","")</f>
        <v/>
      </c>
      <c r="CK78" s="9"/>
      <c r="CL78" s="9"/>
    </row>
    <row r="79" spans="1:90" ht="55.2">
      <c r="A79" s="205"/>
      <c r="B79" s="518"/>
      <c r="C79" s="208" t="str">
        <f>IF(D79&lt;&gt;"",MAX($C$9:C78)+1,"")</f>
        <v/>
      </c>
      <c r="D79" s="523"/>
      <c r="E79" s="406"/>
      <c r="F79" s="407"/>
      <c r="G79" s="209">
        <f t="shared" ca="1" si="289"/>
        <v>90.5</v>
      </c>
      <c r="H79" s="209">
        <f t="shared" si="218"/>
        <v>0</v>
      </c>
      <c r="I79" s="209">
        <f t="shared" ca="1" si="290"/>
        <v>3.7708333333333335</v>
      </c>
      <c r="J79" s="540">
        <v>1112</v>
      </c>
      <c r="K79" s="200"/>
      <c r="L79" s="532" t="s">
        <v>694</v>
      </c>
      <c r="M79" s="400" t="s">
        <v>67</v>
      </c>
      <c r="N79" s="400">
        <v>0.5</v>
      </c>
      <c r="O79" s="95">
        <f t="shared" ca="1" si="291"/>
        <v>247.5</v>
      </c>
      <c r="P79" s="403">
        <v>2372</v>
      </c>
      <c r="Q79" s="116">
        <f>IF(N79&gt;0,VLOOKUP(M79,'3_TIME SUM'!$F$7:$G$128,2,FALSE),0)</f>
        <v>0</v>
      </c>
      <c r="R79" s="517"/>
      <c r="S79" s="94">
        <f t="shared" si="12"/>
        <v>2.0833333333333332E-2</v>
      </c>
      <c r="T79" s="94">
        <f t="shared" ca="1" si="292"/>
        <v>10.312499999999998</v>
      </c>
      <c r="U79" s="535">
        <f ca="1">$T79+'1_INPUT'!$E$18</f>
        <v>44954.104166666664</v>
      </c>
      <c r="V79" s="95">
        <f t="shared" ca="1" si="293"/>
        <v>-156.99999999999994</v>
      </c>
      <c r="W79" s="110">
        <f t="shared" ca="1" si="294"/>
        <v>6.541666666666667</v>
      </c>
      <c r="X79" s="111">
        <f t="shared" ca="1" si="295"/>
        <v>44955</v>
      </c>
      <c r="Y79" s="112">
        <f ca="1">IFERROR(IF(SUMIFS($N$9:$N79,$X$9:$X79,ROUNDUP(VALUE(U79),0),$Q$9:$Q79,"npt")=0,"-",SUMIFS($N$9:$N79,$X$9:$X79,ROUNDUP(VALUE(U79),0),$Q$9:$Q79,"npt")/SUMIFS($N$9:$N79,$X$9:$X79,ROUNDUP(VALUE(U79),0))),"")</f>
        <v>0.8</v>
      </c>
      <c r="Z79" s="112">
        <f ca="1">IFERROR(IF($N79=0,"-",SUMIF($Q$11:$Q79,"npt",$N$11:$N79)/(T79*24)),"")</f>
        <v>4.0404040404040414E-2</v>
      </c>
      <c r="AA79" s="491"/>
      <c r="AB79" s="491"/>
      <c r="AC79" s="398" t="s">
        <v>224</v>
      </c>
      <c r="AD79" s="427">
        <f t="shared" ca="1" si="9"/>
        <v>3.7708333333333335</v>
      </c>
      <c r="AE79" s="427">
        <f t="shared" ca="1" si="0"/>
        <v>1112</v>
      </c>
      <c r="AF79" s="427">
        <f t="shared" ca="1" si="296"/>
        <v>10.312499999999998</v>
      </c>
      <c r="AG79" s="427">
        <f t="shared" ca="1" si="2"/>
        <v>2372</v>
      </c>
      <c r="AH79" s="493"/>
      <c r="AI79" s="427">
        <f t="shared" ca="1" si="3"/>
        <v>0</v>
      </c>
      <c r="AJ79" s="493"/>
      <c r="AK79" s="428">
        <f t="shared" ca="1" si="297"/>
        <v>2</v>
      </c>
      <c r="AL79" s="428">
        <f ca="1">IF(A79&lt;&gt;"",IFERROR(INDEX('1_INPUT'!$B$69:$E$89,MATCH($A79,'1_INPUT'!$E$69:$E$89,0),1),""),INDIRECT(ADDRESS(ROW()+1,COLUMN($AL$9),,,)))</f>
        <v>3</v>
      </c>
      <c r="AM79" s="428" t="str">
        <f ca="1">IF(AN79="","",MAX(INDIRECT(ADDRESS(9,COLUMN($AM$9),,,)):INDIRECT(ADDRESS(ROW()-1,COLUMN($AM$9),,,)))+1)</f>
        <v/>
      </c>
      <c r="AN79" s="429" t="str">
        <f>IF($AO79&lt;&gt;"",VLOOKUP($AK79,'1_INPUT'!$B$124:$D$136,2,FALSE),"")</f>
        <v/>
      </c>
      <c r="AO79" s="429" t="str">
        <f t="shared" si="10"/>
        <v/>
      </c>
      <c r="AP79" s="427">
        <f ca="1">SUMIF($AL$10:AL79,$AL79,$I$10:I79)</f>
        <v>145.18750000000003</v>
      </c>
      <c r="AR79" s="430" t="str">
        <f t="shared" ca="1" si="5"/>
        <v>WORKOVER SECTION</v>
      </c>
      <c r="AS79" s="430">
        <f ca="1">MATCH(AR79,'1_INPUT'!$V$43:$V$64,0)+1</f>
        <v>6</v>
      </c>
      <c r="AT79" s="430">
        <f ca="1">VLOOKUP(AR79,'1_INPUT'!$V$43:$W$64,2,FALSE)</f>
        <v>21</v>
      </c>
      <c r="AU79" s="430">
        <f ca="1">COUNTIF('1_INPUT'!$W$43:$W$64,AT79)-1</f>
        <v>5</v>
      </c>
      <c r="AV79" s="430" t="e">
        <f ca="1">OFFSET('1_INPUT'!$V$42,$AS79,,$AU79,)</f>
        <v>#VALUE!</v>
      </c>
      <c r="AX79" s="430" t="str">
        <f t="shared" si="298"/>
        <v/>
      </c>
      <c r="CK79" s="9"/>
      <c r="CL79" s="9"/>
    </row>
    <row r="80" spans="1:90" ht="69">
      <c r="A80" s="205"/>
      <c r="B80" s="518"/>
      <c r="C80" s="208" t="str">
        <f>IF(D80&lt;&gt;"",MAX($C$9:C79)+1,"")</f>
        <v/>
      </c>
      <c r="D80" s="523"/>
      <c r="E80" s="406"/>
      <c r="F80" s="407"/>
      <c r="G80" s="209">
        <f t="shared" ca="1" si="289"/>
        <v>90.5</v>
      </c>
      <c r="H80" s="209">
        <f t="shared" si="218"/>
        <v>0</v>
      </c>
      <c r="I80" s="209">
        <f t="shared" ca="1" si="290"/>
        <v>3.7708333333333335</v>
      </c>
      <c r="J80" s="540">
        <v>1112</v>
      </c>
      <c r="K80" s="200"/>
      <c r="L80" s="532" t="s">
        <v>695</v>
      </c>
      <c r="M80" s="400" t="s">
        <v>155</v>
      </c>
      <c r="N80" s="400">
        <v>1.5</v>
      </c>
      <c r="O80" s="95">
        <f t="shared" ca="1" si="291"/>
        <v>249</v>
      </c>
      <c r="P80" s="403">
        <v>2372</v>
      </c>
      <c r="Q80" s="116" t="str">
        <f>IF(N80&gt;0,VLOOKUP(M80,'3_TIME SUM'!$F$7:$G$128,2,FALSE),0)</f>
        <v>NPT</v>
      </c>
      <c r="R80" s="517"/>
      <c r="S80" s="94">
        <f t="shared" si="12"/>
        <v>6.25E-2</v>
      </c>
      <c r="T80" s="94">
        <f t="shared" ca="1" si="292"/>
        <v>10.374999999999998</v>
      </c>
      <c r="U80" s="535">
        <f ca="1">$T80+'1_INPUT'!$E$18</f>
        <v>44954.166666666664</v>
      </c>
      <c r="V80" s="95">
        <f t="shared" ca="1" si="293"/>
        <v>-158.49999999999994</v>
      </c>
      <c r="W80" s="110">
        <f t="shared" ca="1" si="294"/>
        <v>6.604166666666667</v>
      </c>
      <c r="X80" s="111">
        <f t="shared" ca="1" si="295"/>
        <v>44955</v>
      </c>
      <c r="Y80" s="112">
        <f ca="1">IFERROR(IF(SUMIFS($N$9:$N80,$X$9:$X80,ROUNDUP(VALUE(U80),0),$Q$9:$Q80,"npt")=0,"-",SUMIFS($N$9:$N80,$X$9:$X80,ROUNDUP(VALUE(U80),0),$Q$9:$Q80,"npt")/SUMIFS($N$9:$N80,$X$9:$X80,ROUNDUP(VALUE(U80),0))),"")</f>
        <v>0.875</v>
      </c>
      <c r="Z80" s="112">
        <f ca="1">IFERROR(IF($N80=0,"-",SUMIF($Q$11:$Q80,"npt",$N$11:$N80)/(T80*24)),"")</f>
        <v>4.6184738955823305E-2</v>
      </c>
      <c r="AA80" s="491"/>
      <c r="AB80" s="491"/>
      <c r="AC80" s="398" t="s">
        <v>224</v>
      </c>
      <c r="AD80" s="427">
        <f t="shared" ca="1" si="9"/>
        <v>3.7708333333333335</v>
      </c>
      <c r="AE80" s="427">
        <f t="shared" ca="1" si="0"/>
        <v>1112</v>
      </c>
      <c r="AF80" s="427">
        <f t="shared" ca="1" si="296"/>
        <v>10.374999999999998</v>
      </c>
      <c r="AG80" s="427">
        <f t="shared" ca="1" si="2"/>
        <v>2372</v>
      </c>
      <c r="AH80" s="493"/>
      <c r="AI80" s="427">
        <f t="shared" ca="1" si="3"/>
        <v>0</v>
      </c>
      <c r="AJ80" s="493"/>
      <c r="AK80" s="428">
        <f t="shared" ca="1" si="297"/>
        <v>2</v>
      </c>
      <c r="AL80" s="428">
        <f ca="1">IF(A80&lt;&gt;"",IFERROR(INDEX('1_INPUT'!$B$69:$E$89,MATCH($A80,'1_INPUT'!$E$69:$E$89,0),1),""),INDIRECT(ADDRESS(ROW()+1,COLUMN($AL$9),,,)))</f>
        <v>3</v>
      </c>
      <c r="AM80" s="428" t="str">
        <f ca="1">IF(AN80="","",MAX(INDIRECT(ADDRESS(9,COLUMN($AM$9),,,)):INDIRECT(ADDRESS(ROW()-1,COLUMN($AM$9),,,)))+1)</f>
        <v/>
      </c>
      <c r="AN80" s="429" t="str">
        <f>IF($AO80&lt;&gt;"",VLOOKUP($AK80,'1_INPUT'!$B$124:$D$136,2,FALSE),"")</f>
        <v/>
      </c>
      <c r="AO80" s="429" t="str">
        <f t="shared" si="10"/>
        <v/>
      </c>
      <c r="AP80" s="427">
        <f ca="1">SUMIF($AL$10:AL80,$AL80,$I$10:I80)</f>
        <v>148.95833333333337</v>
      </c>
      <c r="AR80" s="430" t="str">
        <f t="shared" ca="1" si="5"/>
        <v>WORKOVER SECTION</v>
      </c>
      <c r="AS80" s="430">
        <f ca="1">MATCH(AR80,'1_INPUT'!$V$43:$V$64,0)+1</f>
        <v>6</v>
      </c>
      <c r="AT80" s="430">
        <f ca="1">VLOOKUP(AR80,'1_INPUT'!$V$43:$W$64,2,FALSE)</f>
        <v>21</v>
      </c>
      <c r="AU80" s="430">
        <f ca="1">COUNTIF('1_INPUT'!$W$43:$W$64,AT80)-1</f>
        <v>5</v>
      </c>
      <c r="AV80" s="430" t="e">
        <f ca="1">OFFSET('1_INPUT'!$V$42,$AS80,,$AU80,)</f>
        <v>#VALUE!</v>
      </c>
      <c r="AX80" s="430" t="str">
        <f t="shared" si="298"/>
        <v/>
      </c>
      <c r="CK80" s="9"/>
      <c r="CL80" s="9"/>
    </row>
    <row r="81" spans="1:90" ht="41.4">
      <c r="A81" s="205"/>
      <c r="B81" s="518"/>
      <c r="C81" s="208" t="str">
        <f>IF(D81&lt;&gt;"",MAX($C$9:C80)+1,"")</f>
        <v/>
      </c>
      <c r="D81" s="523"/>
      <c r="E81" s="406"/>
      <c r="F81" s="407"/>
      <c r="G81" s="209">
        <f t="shared" ca="1" si="289"/>
        <v>90.5</v>
      </c>
      <c r="H81" s="209">
        <f t="shared" si="218"/>
        <v>0</v>
      </c>
      <c r="I81" s="209">
        <f t="shared" ca="1" si="290"/>
        <v>3.7708333333333335</v>
      </c>
      <c r="J81" s="540">
        <v>1112</v>
      </c>
      <c r="K81" s="200"/>
      <c r="L81" s="532" t="s">
        <v>696</v>
      </c>
      <c r="M81" s="400" t="s">
        <v>67</v>
      </c>
      <c r="N81" s="400">
        <v>0.5</v>
      </c>
      <c r="O81" s="95">
        <f t="shared" ca="1" si="291"/>
        <v>249.5</v>
      </c>
      <c r="P81" s="403">
        <v>2372</v>
      </c>
      <c r="Q81" s="116">
        <f>IF(N81&gt;0,VLOOKUP(M81,'3_TIME SUM'!$F$7:$G$128,2,FALSE),0)</f>
        <v>0</v>
      </c>
      <c r="R81" s="517"/>
      <c r="S81" s="94">
        <f t="shared" si="12"/>
        <v>2.0833333333333332E-2</v>
      </c>
      <c r="T81" s="94">
        <f t="shared" ca="1" si="292"/>
        <v>10.395833333333332</v>
      </c>
      <c r="U81" s="535">
        <f ca="1">$T81+'1_INPUT'!$E$18</f>
        <v>44954.1875</v>
      </c>
      <c r="V81" s="95">
        <f t="shared" ca="1" si="293"/>
        <v>-158.99999999999994</v>
      </c>
      <c r="W81" s="110">
        <f t="shared" ca="1" si="294"/>
        <v>6.625</v>
      </c>
      <c r="X81" s="111">
        <f t="shared" ca="1" si="295"/>
        <v>44955</v>
      </c>
      <c r="Y81" s="112">
        <f ca="1">IFERROR(IF(SUMIFS($N$9:$N81,$X$9:$X81,ROUNDUP(VALUE(U81),0),$Q$9:$Q81,"npt")=0,"-",SUMIFS($N$9:$N81,$X$9:$X81,ROUNDUP(VALUE(U81),0),$Q$9:$Q81,"npt")/SUMIFS($N$9:$N81,$X$9:$X81,ROUNDUP(VALUE(U81),0))),"")</f>
        <v>0.77777777777777779</v>
      </c>
      <c r="Z81" s="112">
        <f ca="1">IFERROR(IF($N81=0,"-",SUMIF($Q$11:$Q81,"npt",$N$11:$N81)/(T81*24)),"")</f>
        <v>4.6092184368737479E-2</v>
      </c>
      <c r="AA81" s="491"/>
      <c r="AB81" s="491"/>
      <c r="AC81" s="398" t="s">
        <v>224</v>
      </c>
      <c r="AD81" s="427">
        <f t="shared" ca="1" si="9"/>
        <v>3.7708333333333335</v>
      </c>
      <c r="AE81" s="427">
        <f t="shared" ca="1" si="0"/>
        <v>1112</v>
      </c>
      <c r="AF81" s="427">
        <f t="shared" ca="1" si="296"/>
        <v>10.395833333333332</v>
      </c>
      <c r="AG81" s="427">
        <f t="shared" ca="1" si="2"/>
        <v>2372</v>
      </c>
      <c r="AH81" s="493"/>
      <c r="AI81" s="427">
        <f t="shared" ca="1" si="3"/>
        <v>0</v>
      </c>
      <c r="AJ81" s="493"/>
      <c r="AK81" s="428">
        <f t="shared" ca="1" si="297"/>
        <v>2</v>
      </c>
      <c r="AL81" s="428">
        <f ca="1">IF(A81&lt;&gt;"",IFERROR(INDEX('1_INPUT'!$B$69:$E$89,MATCH($A81,'1_INPUT'!$E$69:$E$89,0),1),""),INDIRECT(ADDRESS(ROW()+1,COLUMN($AL$9),,,)))</f>
        <v>3</v>
      </c>
      <c r="AM81" s="428" t="str">
        <f ca="1">IF(AN81="","",MAX(INDIRECT(ADDRESS(9,COLUMN($AM$9),,,)):INDIRECT(ADDRESS(ROW()-1,COLUMN($AM$9),,,)))+1)</f>
        <v/>
      </c>
      <c r="AN81" s="429" t="str">
        <f>IF($AO81&lt;&gt;"",VLOOKUP($AK81,'1_INPUT'!$B$124:$D$136,2,FALSE),"")</f>
        <v/>
      </c>
      <c r="AO81" s="429" t="str">
        <f t="shared" si="10"/>
        <v/>
      </c>
      <c r="AP81" s="427">
        <f ca="1">SUMIF($AL$10:AL81,$AL81,$I$10:I81)</f>
        <v>152.72916666666671</v>
      </c>
      <c r="AR81" s="430" t="str">
        <f t="shared" ca="1" si="5"/>
        <v>WORKOVER SECTION</v>
      </c>
      <c r="AS81" s="430">
        <f ca="1">MATCH(AR81,'1_INPUT'!$V$43:$V$64,0)+1</f>
        <v>6</v>
      </c>
      <c r="AT81" s="430">
        <f ca="1">VLOOKUP(AR81,'1_INPUT'!$V$43:$W$64,2,FALSE)</f>
        <v>21</v>
      </c>
      <c r="AU81" s="430">
        <f ca="1">COUNTIF('1_INPUT'!$W$43:$W$64,AT81)-1</f>
        <v>5</v>
      </c>
      <c r="AV81" s="430" t="e">
        <f ca="1">OFFSET('1_INPUT'!$V$42,$AS81,,$AU81,)</f>
        <v>#VALUE!</v>
      </c>
      <c r="AX81" s="430" t="str">
        <f t="shared" si="298"/>
        <v/>
      </c>
      <c r="CK81" s="9"/>
      <c r="CL81" s="9"/>
    </row>
    <row r="82" spans="1:90" ht="13.8">
      <c r="A82" s="205"/>
      <c r="B82" s="518"/>
      <c r="C82" s="208" t="str">
        <f>IF(D82&lt;&gt;"",MAX($C$9:C81)+1,"")</f>
        <v/>
      </c>
      <c r="D82" s="523"/>
      <c r="E82" s="406"/>
      <c r="F82" s="407"/>
      <c r="G82" s="209">
        <f t="shared" ca="1" si="289"/>
        <v>90.5</v>
      </c>
      <c r="H82" s="209">
        <f t="shared" si="218"/>
        <v>0</v>
      </c>
      <c r="I82" s="209">
        <f t="shared" ca="1" si="290"/>
        <v>3.7708333333333335</v>
      </c>
      <c r="J82" s="540">
        <v>1112</v>
      </c>
      <c r="K82" s="200"/>
      <c r="L82" s="532" t="s">
        <v>697</v>
      </c>
      <c r="M82" s="400" t="s">
        <v>36</v>
      </c>
      <c r="N82" s="400">
        <v>1.5</v>
      </c>
      <c r="O82" s="95">
        <f t="shared" ca="1" si="291"/>
        <v>251</v>
      </c>
      <c r="P82" s="403">
        <v>2372</v>
      </c>
      <c r="Q82" s="116">
        <f>IF(N82&gt;0,VLOOKUP(M82,'3_TIME SUM'!$F$7:$G$128,2,FALSE),0)</f>
        <v>0</v>
      </c>
      <c r="R82" s="517"/>
      <c r="S82" s="94">
        <f t="shared" si="12"/>
        <v>6.25E-2</v>
      </c>
      <c r="T82" s="94">
        <f t="shared" ca="1" si="292"/>
        <v>10.458333333333332</v>
      </c>
      <c r="U82" s="535">
        <f ca="1">$T82+'1_INPUT'!$E$18</f>
        <v>44954.25</v>
      </c>
      <c r="V82" s="95">
        <f t="shared" ca="1" si="293"/>
        <v>-160.49999999999994</v>
      </c>
      <c r="W82" s="110">
        <f t="shared" ca="1" si="294"/>
        <v>6.6875</v>
      </c>
      <c r="X82" s="111">
        <f t="shared" ca="1" si="295"/>
        <v>44955</v>
      </c>
      <c r="Y82" s="112">
        <f ca="1">IFERROR(IF(SUMIFS($N$9:$N82,$X$9:$X82,ROUNDUP(VALUE(U82),0),$Q$9:$Q82,"npt")=0,"-",SUMIFS($N$9:$N82,$X$9:$X82,ROUNDUP(VALUE(U82),0),$Q$9:$Q82,"npt")/SUMIFS($N$9:$N82,$X$9:$X82,ROUNDUP(VALUE(U82),0))),"")</f>
        <v>0.58333333333333337</v>
      </c>
      <c r="Z82" s="112">
        <f ca="1">IFERROR(IF($N82=0,"-",SUMIF($Q$11:$Q82,"npt",$N$11:$N82)/(T82*24)),"")</f>
        <v>4.5816733067729092E-2</v>
      </c>
      <c r="AA82" s="491"/>
      <c r="AB82" s="491"/>
      <c r="AC82" s="398" t="s">
        <v>224</v>
      </c>
      <c r="AD82" s="427">
        <f t="shared" ca="1" si="9"/>
        <v>3.7708333333333335</v>
      </c>
      <c r="AE82" s="427">
        <f t="shared" ca="1" si="0"/>
        <v>1112</v>
      </c>
      <c r="AF82" s="427">
        <f t="shared" ca="1" si="296"/>
        <v>10.458333333333332</v>
      </c>
      <c r="AG82" s="427">
        <f t="shared" ca="1" si="2"/>
        <v>2372</v>
      </c>
      <c r="AH82" s="493"/>
      <c r="AI82" s="427">
        <f t="shared" ca="1" si="3"/>
        <v>0</v>
      </c>
      <c r="AJ82" s="493"/>
      <c r="AK82" s="428">
        <f t="shared" ca="1" si="297"/>
        <v>2</v>
      </c>
      <c r="AL82" s="428">
        <f ca="1">IF(A82&lt;&gt;"",IFERROR(INDEX('1_INPUT'!$B$69:$E$89,MATCH($A82,'1_INPUT'!$E$69:$E$89,0),1),""),INDIRECT(ADDRESS(ROW()+1,COLUMN($AL$9),,,)))</f>
        <v>3</v>
      </c>
      <c r="AM82" s="428" t="str">
        <f ca="1">IF(AN82="","",MAX(INDIRECT(ADDRESS(9,COLUMN($AM$9),,,)):INDIRECT(ADDRESS(ROW()-1,COLUMN($AM$9),,,)))+1)</f>
        <v/>
      </c>
      <c r="AN82" s="429" t="str">
        <f>IF($AO82&lt;&gt;"",VLOOKUP($AK82,'1_INPUT'!$B$124:$D$136,2,FALSE),"")</f>
        <v/>
      </c>
      <c r="AO82" s="429" t="str">
        <f t="shared" si="10"/>
        <v/>
      </c>
      <c r="AP82" s="427">
        <f ca="1">SUMIF($AL$10:AL82,$AL82,$I$10:I82)</f>
        <v>156.50000000000006</v>
      </c>
      <c r="AR82" s="430" t="str">
        <f t="shared" ca="1" si="5"/>
        <v>WORKOVER SECTION</v>
      </c>
      <c r="AS82" s="430">
        <f ca="1">MATCH(AR82,'1_INPUT'!$V$43:$V$64,0)+1</f>
        <v>6</v>
      </c>
      <c r="AT82" s="430">
        <f ca="1">VLOOKUP(AR82,'1_INPUT'!$V$43:$W$64,2,FALSE)</f>
        <v>21</v>
      </c>
      <c r="AU82" s="430">
        <f ca="1">COUNTIF('1_INPUT'!$W$43:$W$64,AT82)-1</f>
        <v>5</v>
      </c>
      <c r="AV82" s="430" t="e">
        <f ca="1">OFFSET('1_INPUT'!$V$42,$AS82,,$AU82,)</f>
        <v>#VALUE!</v>
      </c>
      <c r="AX82" s="430" t="str">
        <f t="shared" si="298"/>
        <v/>
      </c>
      <c r="CK82" s="9"/>
      <c r="CL82" s="9"/>
    </row>
    <row r="83" spans="1:90" ht="13.8">
      <c r="A83" s="205"/>
      <c r="B83" s="518"/>
      <c r="C83" s="208" t="str">
        <f>IF(D83&lt;&gt;"",MAX($C$9:C82)+1,"")</f>
        <v/>
      </c>
      <c r="D83" s="523"/>
      <c r="E83" s="406"/>
      <c r="F83" s="407"/>
      <c r="G83" s="209">
        <f t="shared" ca="1" si="289"/>
        <v>90.5</v>
      </c>
      <c r="H83" s="209">
        <f t="shared" si="218"/>
        <v>0</v>
      </c>
      <c r="I83" s="209">
        <f t="shared" ca="1" si="290"/>
        <v>3.7708333333333335</v>
      </c>
      <c r="J83" s="540">
        <v>1112</v>
      </c>
      <c r="K83" s="200"/>
      <c r="L83" s="532" t="s">
        <v>683</v>
      </c>
      <c r="M83" s="400" t="s">
        <v>85</v>
      </c>
      <c r="N83" s="400">
        <v>1</v>
      </c>
      <c r="O83" s="95">
        <f t="shared" ca="1" si="291"/>
        <v>252</v>
      </c>
      <c r="P83" s="403">
        <v>2372</v>
      </c>
      <c r="Q83" s="116">
        <f>IF(N83&gt;0,VLOOKUP(M83,'3_TIME SUM'!$F$7:$G$128,2,FALSE),0)</f>
        <v>0</v>
      </c>
      <c r="R83" s="517"/>
      <c r="S83" s="94">
        <f t="shared" si="12"/>
        <v>4.1666666666666664E-2</v>
      </c>
      <c r="T83" s="94">
        <f t="shared" ca="1" si="292"/>
        <v>10.499999999999998</v>
      </c>
      <c r="U83" s="535">
        <f ca="1">$T83+'1_INPUT'!$E$18</f>
        <v>44954.291666666664</v>
      </c>
      <c r="V83" s="95">
        <f t="shared" ca="1" si="293"/>
        <v>-161.49999999999994</v>
      </c>
      <c r="W83" s="110">
        <f t="shared" ca="1" si="294"/>
        <v>6.729166666666667</v>
      </c>
      <c r="X83" s="111">
        <f t="shared" ca="1" si="295"/>
        <v>44955</v>
      </c>
      <c r="Y83" s="112">
        <f ca="1">IFERROR(IF(SUMIFS($N$9:$N83,$X$9:$X83,ROUNDUP(VALUE(U83),0),$Q$9:$Q83,"npt")=0,"-",SUMIFS($N$9:$N83,$X$9:$X83,ROUNDUP(VALUE(U83),0),$Q$9:$Q83,"npt")/SUMIFS($N$9:$N83,$X$9:$X83,ROUNDUP(VALUE(U83),0))),"")</f>
        <v>0.5</v>
      </c>
      <c r="Z83" s="112">
        <f ca="1">IFERROR(IF($N83=0,"-",SUMIF($Q$11:$Q83,"npt",$N$11:$N83)/(T83*24)),"")</f>
        <v>4.5634920634920646E-2</v>
      </c>
      <c r="AA83" s="491"/>
      <c r="AB83" s="491"/>
      <c r="AC83" s="398" t="s">
        <v>224</v>
      </c>
      <c r="AD83" s="427">
        <f t="shared" ca="1" si="9"/>
        <v>3.7708333333333335</v>
      </c>
      <c r="AE83" s="427">
        <f t="shared" ca="1" si="0"/>
        <v>1112</v>
      </c>
      <c r="AF83" s="427">
        <f t="shared" ca="1" si="296"/>
        <v>10.499999999999998</v>
      </c>
      <c r="AG83" s="427">
        <f t="shared" ca="1" si="2"/>
        <v>2372</v>
      </c>
      <c r="AH83" s="493"/>
      <c r="AI83" s="427">
        <f t="shared" ca="1" si="3"/>
        <v>0</v>
      </c>
      <c r="AJ83" s="493"/>
      <c r="AK83" s="428">
        <f t="shared" ca="1" si="297"/>
        <v>2</v>
      </c>
      <c r="AL83" s="428">
        <f ca="1">IF(A83&lt;&gt;"",IFERROR(INDEX('1_INPUT'!$B$69:$E$89,MATCH($A83,'1_INPUT'!$E$69:$E$89,0),1),""),INDIRECT(ADDRESS(ROW()+1,COLUMN($AL$9),,,)))</f>
        <v>3</v>
      </c>
      <c r="AM83" s="428" t="str">
        <f ca="1">IF(AN83="","",MAX(INDIRECT(ADDRESS(9,COLUMN($AM$9),,,)):INDIRECT(ADDRESS(ROW()-1,COLUMN($AM$9),,,)))+1)</f>
        <v/>
      </c>
      <c r="AN83" s="429" t="str">
        <f>IF($AO83&lt;&gt;"",VLOOKUP($AK83,'1_INPUT'!$B$124:$D$136,2,FALSE),"")</f>
        <v/>
      </c>
      <c r="AO83" s="429" t="str">
        <f t="shared" si="10"/>
        <v/>
      </c>
      <c r="AP83" s="427">
        <f ca="1">SUMIF($AL$10:AL83,$AL83,$I$10:I83)</f>
        <v>160.2708333333334</v>
      </c>
      <c r="AR83" s="430" t="str">
        <f t="shared" ca="1" si="5"/>
        <v>WORKOVER SECTION</v>
      </c>
      <c r="AS83" s="430">
        <f ca="1">MATCH(AR83,'1_INPUT'!$V$43:$V$64,0)+1</f>
        <v>6</v>
      </c>
      <c r="AT83" s="430">
        <f ca="1">VLOOKUP(AR83,'1_INPUT'!$V$43:$W$64,2,FALSE)</f>
        <v>21</v>
      </c>
      <c r="AU83" s="430">
        <f ca="1">COUNTIF('1_INPUT'!$W$43:$W$64,AT83)-1</f>
        <v>5</v>
      </c>
      <c r="AV83" s="430" t="e">
        <f ca="1">OFFSET('1_INPUT'!$V$42,$AS83,,$AU83,)</f>
        <v>#VALUE!</v>
      </c>
      <c r="AX83" s="430" t="str">
        <f t="shared" si="298"/>
        <v/>
      </c>
      <c r="CK83" s="9"/>
      <c r="CL83" s="9"/>
    </row>
    <row r="84" spans="1:90" ht="41.4">
      <c r="A84" s="205"/>
      <c r="B84" s="518"/>
      <c r="C84" s="208" t="str">
        <f>IF(D84&lt;&gt;"",MAX($C$9:C83)+1,"")</f>
        <v/>
      </c>
      <c r="D84" s="523"/>
      <c r="E84" s="406"/>
      <c r="F84" s="407"/>
      <c r="G84" s="209">
        <f t="shared" ca="1" si="289"/>
        <v>90.5</v>
      </c>
      <c r="H84" s="209">
        <f t="shared" si="218"/>
        <v>0</v>
      </c>
      <c r="I84" s="209">
        <f t="shared" ca="1" si="290"/>
        <v>3.7708333333333335</v>
      </c>
      <c r="J84" s="540">
        <v>1112</v>
      </c>
      <c r="K84" s="200"/>
      <c r="L84" s="532" t="s">
        <v>698</v>
      </c>
      <c r="M84" s="400" t="s">
        <v>85</v>
      </c>
      <c r="N84" s="400">
        <v>11</v>
      </c>
      <c r="O84" s="95">
        <f t="shared" ca="1" si="291"/>
        <v>263</v>
      </c>
      <c r="P84" s="403">
        <v>2372</v>
      </c>
      <c r="Q84" s="116">
        <f>IF(N84&gt;0,VLOOKUP(M84,'3_TIME SUM'!$F$7:$G$128,2,FALSE),0)</f>
        <v>0</v>
      </c>
      <c r="R84" s="517"/>
      <c r="S84" s="94">
        <f t="shared" si="12"/>
        <v>0.45833333333333331</v>
      </c>
      <c r="T84" s="94">
        <f t="shared" ca="1" si="292"/>
        <v>10.958333333333332</v>
      </c>
      <c r="U84" s="535">
        <f ca="1">$T84+'1_INPUT'!$E$18</f>
        <v>44954.75</v>
      </c>
      <c r="V84" s="95">
        <f t="shared" ca="1" si="293"/>
        <v>-172.49999999999994</v>
      </c>
      <c r="W84" s="110">
        <f t="shared" ca="1" si="294"/>
        <v>7.1875</v>
      </c>
      <c r="X84" s="111">
        <f t="shared" ca="1" si="295"/>
        <v>44955</v>
      </c>
      <c r="Y84" s="112">
        <f ca="1">IFERROR(IF(SUMIFS($N$9:$N84,$X$9:$X84,ROUNDUP(VALUE(U84),0),$Q$9:$Q84,"npt")=0,"-",SUMIFS($N$9:$N84,$X$9:$X84,ROUNDUP(VALUE(U84),0),$Q$9:$Q84,"npt")/SUMIFS($N$9:$N84,$X$9:$X84,ROUNDUP(VALUE(U84),0))),"")</f>
        <v>0.19444444444444445</v>
      </c>
      <c r="Z84" s="112">
        <f ca="1">IFERROR(IF($N84=0,"-",SUMIF($Q$11:$Q84,"npt",$N$11:$N84)/(T84*24)),"")</f>
        <v>4.3726235741444866E-2</v>
      </c>
      <c r="AA84" s="491"/>
      <c r="AB84" s="491"/>
      <c r="AC84" s="398" t="s">
        <v>224</v>
      </c>
      <c r="AD84" s="427">
        <f t="shared" ca="1" si="9"/>
        <v>3.7708333333333335</v>
      </c>
      <c r="AE84" s="427">
        <f t="shared" ca="1" si="0"/>
        <v>1112</v>
      </c>
      <c r="AF84" s="427">
        <f t="shared" ca="1" si="296"/>
        <v>10.958333333333332</v>
      </c>
      <c r="AG84" s="427">
        <f t="shared" ca="1" si="2"/>
        <v>2372</v>
      </c>
      <c r="AH84" s="493"/>
      <c r="AI84" s="427">
        <f t="shared" ca="1" si="3"/>
        <v>0</v>
      </c>
      <c r="AJ84" s="493"/>
      <c r="AK84" s="428">
        <f t="shared" ca="1" si="297"/>
        <v>2</v>
      </c>
      <c r="AL84" s="428">
        <f ca="1">IF(A84&lt;&gt;"",IFERROR(INDEX('1_INPUT'!$B$69:$E$89,MATCH($A84,'1_INPUT'!$E$69:$E$89,0),1),""),INDIRECT(ADDRESS(ROW()+1,COLUMN($AL$9),,,)))</f>
        <v>3</v>
      </c>
      <c r="AM84" s="428" t="str">
        <f ca="1">IF(AN84="","",MAX(INDIRECT(ADDRESS(9,COLUMN($AM$9),,,)):INDIRECT(ADDRESS(ROW()-1,COLUMN($AM$9),,,)))+1)</f>
        <v/>
      </c>
      <c r="AN84" s="429" t="str">
        <f>IF($AO84&lt;&gt;"",VLOOKUP($AK84,'1_INPUT'!$B$124:$D$136,2,FALSE),"")</f>
        <v/>
      </c>
      <c r="AO84" s="429" t="str">
        <f t="shared" si="10"/>
        <v/>
      </c>
      <c r="AP84" s="427">
        <f ca="1">SUMIF($AL$10:AL84,$AL84,$I$10:I84)</f>
        <v>164.04166666666674</v>
      </c>
      <c r="AR84" s="430" t="str">
        <f t="shared" ca="1" si="5"/>
        <v>WORKOVER SECTION</v>
      </c>
      <c r="AS84" s="430">
        <f ca="1">MATCH(AR84,'1_INPUT'!$V$43:$V$64,0)+1</f>
        <v>6</v>
      </c>
      <c r="AT84" s="430">
        <f ca="1">VLOOKUP(AR84,'1_INPUT'!$V$43:$W$64,2,FALSE)</f>
        <v>21</v>
      </c>
      <c r="AU84" s="430">
        <f ca="1">COUNTIF('1_INPUT'!$W$43:$W$64,AT84)-1</f>
        <v>5</v>
      </c>
      <c r="AV84" s="430" t="e">
        <f ca="1">OFFSET('1_INPUT'!$V$42,$AS84,,$AU84,)</f>
        <v>#VALUE!</v>
      </c>
      <c r="AX84" s="430" t="str">
        <f t="shared" si="298"/>
        <v/>
      </c>
      <c r="CK84" s="9"/>
      <c r="CL84" s="9"/>
    </row>
    <row r="85" spans="1:90" ht="55.2">
      <c r="A85" s="205"/>
      <c r="B85" s="518"/>
      <c r="C85" s="208" t="str">
        <f>IF(D85&lt;&gt;"",MAX($C$9:C84)+1,"")</f>
        <v/>
      </c>
      <c r="D85" s="523"/>
      <c r="E85" s="406"/>
      <c r="F85" s="407"/>
      <c r="G85" s="209">
        <f t="shared" ca="1" si="289"/>
        <v>90.5</v>
      </c>
      <c r="H85" s="209">
        <f t="shared" si="218"/>
        <v>0</v>
      </c>
      <c r="I85" s="209">
        <f t="shared" ca="1" si="290"/>
        <v>3.7708333333333335</v>
      </c>
      <c r="J85" s="540">
        <v>1112</v>
      </c>
      <c r="K85" s="200"/>
      <c r="L85" s="532" t="s">
        <v>699</v>
      </c>
      <c r="M85" s="400" t="s">
        <v>146</v>
      </c>
      <c r="N85" s="400">
        <v>6</v>
      </c>
      <c r="O85" s="95">
        <f t="shared" ca="1" si="291"/>
        <v>269</v>
      </c>
      <c r="P85" s="403">
        <v>2372</v>
      </c>
      <c r="Q85" s="116">
        <f>IF(N85&gt;0,VLOOKUP(M85,'3_TIME SUM'!$F$7:$G$128,2,FALSE),0)</f>
        <v>0</v>
      </c>
      <c r="R85" s="517"/>
      <c r="S85" s="94">
        <f t="shared" si="12"/>
        <v>0.25</v>
      </c>
      <c r="T85" s="94">
        <f t="shared" ca="1" si="292"/>
        <v>11.208333333333332</v>
      </c>
      <c r="U85" s="539">
        <f ca="1">$T85+'1_INPUT'!$E$18</f>
        <v>44955</v>
      </c>
      <c r="V85" s="95">
        <f t="shared" ca="1" si="293"/>
        <v>-178.49999999999994</v>
      </c>
      <c r="W85" s="110">
        <f t="shared" ca="1" si="294"/>
        <v>7.4375</v>
      </c>
      <c r="X85" s="111">
        <f t="shared" ca="1" si="295"/>
        <v>44955</v>
      </c>
      <c r="Y85" s="112">
        <f ca="1">IFERROR(IF(SUMIFS($N$9:$N85,$X$9:$X85,ROUNDUP(VALUE(U85),0),$Q$9:$Q85,"npt")=0,"-",SUMIFS($N$9:$N85,$X$9:$X85,ROUNDUP(VALUE(U85),0),$Q$9:$Q85,"npt")/SUMIFS($N$9:$N85,$X$9:$X85,ROUNDUP(VALUE(U85),0))),"")</f>
        <v>0.14583333333333334</v>
      </c>
      <c r="Z85" s="112">
        <f ca="1">IFERROR(IF($N85=0,"-",SUMIF($Q$11:$Q85,"npt",$N$11:$N85)/(T85*24)),"")</f>
        <v>4.2750929368029739E-2</v>
      </c>
      <c r="AA85" s="491"/>
      <c r="AB85" s="491"/>
      <c r="AC85" s="398" t="s">
        <v>224</v>
      </c>
      <c r="AD85" s="427">
        <f t="shared" ca="1" si="9"/>
        <v>3.7708333333333335</v>
      </c>
      <c r="AE85" s="427">
        <f t="shared" ca="1" si="0"/>
        <v>1112</v>
      </c>
      <c r="AF85" s="427">
        <f t="shared" ca="1" si="296"/>
        <v>11.208333333333332</v>
      </c>
      <c r="AG85" s="427">
        <f t="shared" ca="1" si="2"/>
        <v>2372</v>
      </c>
      <c r="AH85" s="493"/>
      <c r="AI85" s="427">
        <f t="shared" ca="1" si="3"/>
        <v>0</v>
      </c>
      <c r="AJ85" s="493"/>
      <c r="AK85" s="428">
        <f t="shared" ca="1" si="297"/>
        <v>2</v>
      </c>
      <c r="AL85" s="428">
        <f ca="1">IF(A85&lt;&gt;"",IFERROR(INDEX('1_INPUT'!$B$69:$E$89,MATCH($A85,'1_INPUT'!$E$69:$E$89,0),1),""),INDIRECT(ADDRESS(ROW()+1,COLUMN($AL$9),,,)))</f>
        <v>3</v>
      </c>
      <c r="AM85" s="428" t="str">
        <f ca="1">IF(AN85="","",MAX(INDIRECT(ADDRESS(9,COLUMN($AM$9),,,)):INDIRECT(ADDRESS(ROW()-1,COLUMN($AM$9),,,)))+1)</f>
        <v/>
      </c>
      <c r="AN85" s="429" t="str">
        <f>IF($AO85&lt;&gt;"",VLOOKUP($AK85,'1_INPUT'!$B$124:$D$136,2,FALSE),"")</f>
        <v/>
      </c>
      <c r="AO85" s="429" t="str">
        <f t="shared" si="10"/>
        <v/>
      </c>
      <c r="AP85" s="427">
        <f ca="1">SUMIF($AL$10:AL85,$AL85,$I$10:I85)</f>
        <v>167.81250000000009</v>
      </c>
      <c r="AR85" s="430" t="str">
        <f t="shared" ca="1" si="5"/>
        <v>WORKOVER SECTION</v>
      </c>
      <c r="AS85" s="430">
        <f ca="1">MATCH(AR85,'1_INPUT'!$V$43:$V$64,0)+1</f>
        <v>6</v>
      </c>
      <c r="AT85" s="430">
        <f ca="1">VLOOKUP(AR85,'1_INPUT'!$V$43:$W$64,2,FALSE)</f>
        <v>21</v>
      </c>
      <c r="AU85" s="430">
        <f ca="1">COUNTIF('1_INPUT'!$W$43:$W$64,AT85)-1</f>
        <v>5</v>
      </c>
      <c r="AV85" s="430" t="e">
        <f ca="1">OFFSET('1_INPUT'!$V$42,$AS85,,$AU85,)</f>
        <v>#VALUE!</v>
      </c>
      <c r="AX85" s="430" t="str">
        <f t="shared" si="298"/>
        <v/>
      </c>
      <c r="CK85" s="9"/>
      <c r="CL85" s="9"/>
    </row>
    <row r="86" spans="1:90" ht="55.2">
      <c r="A86" s="205"/>
      <c r="B86" s="518"/>
      <c r="C86" s="208" t="str">
        <f>IF(D86&lt;&gt;"",MAX($C$9:C85)+1,"")</f>
        <v/>
      </c>
      <c r="D86" s="523"/>
      <c r="E86" s="406"/>
      <c r="F86" s="407"/>
      <c r="G86" s="209">
        <f t="shared" ref="G86:G92" ca="1" si="299">IF(INDIRECT(ADDRESS(ROW()-1,COLUMN(B$7),,,))&lt;&gt;"",INDIRECT(ADDRESS(ROW(),COLUMN(F$7),,,)),INDIRECT(ADDRESS(ROW()-1,COLUMN(G$7),,,))+INDIRECT(ADDRESS(ROW(),COLUMN(F$7),,,)))</f>
        <v>90.5</v>
      </c>
      <c r="H86" s="209">
        <f t="shared" si="218"/>
        <v>0</v>
      </c>
      <c r="I86" s="209">
        <f t="shared" ref="I86:I92" ca="1" si="300">INDIRECT(ADDRESS(ROW()-1,COLUMN(I$7),,,))+INDIRECT(ADDRESS(ROW(),COLUMN(H$7),,,))</f>
        <v>3.7708333333333335</v>
      </c>
      <c r="J86" s="540">
        <v>1112</v>
      </c>
      <c r="K86" s="200"/>
      <c r="L86" s="532" t="s">
        <v>700</v>
      </c>
      <c r="M86" s="400" t="s">
        <v>146</v>
      </c>
      <c r="N86" s="400">
        <v>7</v>
      </c>
      <c r="O86" s="95">
        <f t="shared" ref="O86:O92" ca="1" si="301">IF(INDIRECT(ADDRESS(ROW()-1,COLUMN(B$7),,,))&lt;&gt;"",INDIRECT(ADDRESS(ROW(),COLUMN(N$7),,,)),INDIRECT(ADDRESS(ROW()-1,COLUMN(O$7),,,))+INDIRECT(ADDRESS(ROW(),COLUMN(N$7),,,)))</f>
        <v>276</v>
      </c>
      <c r="P86" s="403">
        <v>2372</v>
      </c>
      <c r="Q86" s="116">
        <f>IF(N86&gt;0,VLOOKUP(M86,'3_TIME SUM'!$F$7:$G$128,2,FALSE),0)</f>
        <v>0</v>
      </c>
      <c r="R86" s="517"/>
      <c r="S86" s="94">
        <f t="shared" si="12"/>
        <v>0.29166666666666669</v>
      </c>
      <c r="T86" s="94">
        <f t="shared" ref="T86:T92" ca="1" si="302">INDIRECT(ADDRESS(ROW()-1,COLUMN(T$7),,,))+INDIRECT(ADDRESS(ROW(),COLUMN(S$7),,,))</f>
        <v>11.499999999999998</v>
      </c>
      <c r="U86" s="535">
        <f ca="1">$T86+'1_INPUT'!$E$18</f>
        <v>44955.291666666664</v>
      </c>
      <c r="V86" s="95">
        <f t="shared" ref="V86:V92" ca="1" si="303">IFERROR(IF($AI86=0,($I86-T86)*24,(($P86-INDIRECT(ADDRESS(ROW()-1,COLUMN($P$9),,,)))/$AI86)-$N86+(INDIRECT(ADDRESS(ROW()-1,COLUMN(V$9),,,)))),"")</f>
        <v>-185.49999999999994</v>
      </c>
      <c r="W86" s="110">
        <f t="shared" ref="W86:W92" ca="1" si="304">IFERROR(IF(V86&gt;0,TIME(V86,(V86-ROUNDDOWN(V86,0))*60,0)+DAY((ROUNDDOWN(V86,0)/24)),TIME((-V86),((-V86)-ROUNDDOWN((-V86),0))*60,0)+DAY((ROUNDDOWN((-V86),0)/24))),"")</f>
        <v>7.729166666666667</v>
      </c>
      <c r="X86" s="111">
        <f t="shared" ref="X86:X92" ca="1" si="305">IF(U86=0,"-",ROUNDUP(VALUE(U86),0))</f>
        <v>44956</v>
      </c>
      <c r="Y86" s="112" t="str">
        <f ca="1">IFERROR(IF(SUMIFS($N$9:$N86,$X$9:$X86,ROUNDUP(VALUE(U86),0),$Q$9:$Q86,"npt")=0,"-",SUMIFS($N$9:$N86,$X$9:$X86,ROUNDUP(VALUE(U86),0),$Q$9:$Q86,"npt")/SUMIFS($N$9:$N86,$X$9:$X86,ROUNDUP(VALUE(U86),0))),"")</f>
        <v>-</v>
      </c>
      <c r="Z86" s="112">
        <f ca="1">IFERROR(IF($N86=0,"-",SUMIF($Q$11:$Q86,"npt",$N$11:$N86)/(T86*24)),"")</f>
        <v>4.1666666666666678E-2</v>
      </c>
      <c r="AA86" s="491"/>
      <c r="AB86" s="491"/>
      <c r="AC86" s="398" t="s">
        <v>224</v>
      </c>
      <c r="AD86" s="427">
        <f t="shared" ca="1" si="9"/>
        <v>3.7708333333333335</v>
      </c>
      <c r="AE86" s="427">
        <f t="shared" ca="1" si="0"/>
        <v>1112</v>
      </c>
      <c r="AF86" s="427">
        <f t="shared" ref="AF86:AF92" ca="1" si="306">T86</f>
        <v>11.499999999999998</v>
      </c>
      <c r="AG86" s="427">
        <f t="shared" ca="1" si="2"/>
        <v>2372</v>
      </c>
      <c r="AH86" s="493"/>
      <c r="AI86" s="427">
        <f t="shared" ca="1" si="3"/>
        <v>0</v>
      </c>
      <c r="AJ86" s="493"/>
      <c r="AK86" s="428">
        <f t="shared" ref="AK86:AK92" ca="1" si="307">IF(B86&lt;&gt;"",B86,INDIRECT(ADDRESS(ROW()+1,COLUMN($AK$9),,,)))</f>
        <v>2</v>
      </c>
      <c r="AL86" s="428">
        <f ca="1">IF(A86&lt;&gt;"",IFERROR(INDEX('1_INPUT'!$B$69:$E$89,MATCH($A86,'1_INPUT'!$E$69:$E$89,0),1),""),INDIRECT(ADDRESS(ROW()+1,COLUMN($AL$9),,,)))</f>
        <v>3</v>
      </c>
      <c r="AM86" s="428" t="str">
        <f ca="1">IF(AN86="","",MAX(INDIRECT(ADDRESS(9,COLUMN($AM$9),,,)):INDIRECT(ADDRESS(ROW()-1,COLUMN($AM$9),,,)))+1)</f>
        <v/>
      </c>
      <c r="AN86" s="429" t="str">
        <f>IF($AO86&lt;&gt;"",VLOOKUP($AK86,'1_INPUT'!$B$124:$D$136,2,FALSE),"")</f>
        <v/>
      </c>
      <c r="AO86" s="429" t="str">
        <f t="shared" si="10"/>
        <v/>
      </c>
      <c r="AP86" s="427">
        <f ca="1">SUMIF($AL$10:AL86,$AL86,$I$10:I86)</f>
        <v>171.58333333333343</v>
      </c>
      <c r="AR86" s="430" t="str">
        <f t="shared" ca="1" si="5"/>
        <v>WORKOVER SECTION</v>
      </c>
      <c r="AS86" s="430">
        <f ca="1">MATCH(AR86,'1_INPUT'!$V$43:$V$64,0)+1</f>
        <v>6</v>
      </c>
      <c r="AT86" s="430">
        <f ca="1">VLOOKUP(AR86,'1_INPUT'!$V$43:$W$64,2,FALSE)</f>
        <v>21</v>
      </c>
      <c r="AU86" s="430">
        <f ca="1">COUNTIF('1_INPUT'!$W$43:$W$64,AT86)-1</f>
        <v>5</v>
      </c>
      <c r="AV86" s="430" t="e">
        <f ca="1">OFFSET('1_INPUT'!$V$42,$AS86,,$AU86,)</f>
        <v>#VALUE!</v>
      </c>
      <c r="AX86" s="430" t="str">
        <f t="shared" ref="AX86:AX92" si="308">IF(A86&lt;&gt;"",""&amp;AR86&amp;"-"&amp;A86&amp;"","")</f>
        <v/>
      </c>
      <c r="CK86" s="9"/>
      <c r="CL86" s="9"/>
    </row>
    <row r="87" spans="1:90" ht="14.25" customHeight="1">
      <c r="A87" s="205"/>
      <c r="B87" s="518"/>
      <c r="C87" s="208" t="str">
        <f>IF(D87&lt;&gt;"",MAX($C$9:C86)+1,"")</f>
        <v/>
      </c>
      <c r="D87" s="523"/>
      <c r="E87" s="406"/>
      <c r="F87" s="407"/>
      <c r="G87" s="209">
        <f t="shared" ca="1" si="299"/>
        <v>90.5</v>
      </c>
      <c r="H87" s="209">
        <f t="shared" si="218"/>
        <v>0</v>
      </c>
      <c r="I87" s="209">
        <f t="shared" ca="1" si="300"/>
        <v>3.7708333333333335</v>
      </c>
      <c r="J87" s="540">
        <v>1112</v>
      </c>
      <c r="K87" s="200"/>
      <c r="L87" s="532" t="s">
        <v>701</v>
      </c>
      <c r="M87" s="400" t="s">
        <v>36</v>
      </c>
      <c r="N87" s="400">
        <v>1.5</v>
      </c>
      <c r="O87" s="95">
        <f t="shared" ca="1" si="301"/>
        <v>277.5</v>
      </c>
      <c r="P87" s="403">
        <v>2372</v>
      </c>
      <c r="Q87" s="116">
        <f>IF(N87&gt;0,VLOOKUP(M87,'3_TIME SUM'!$F$7:$G$128,2,FALSE),0)</f>
        <v>0</v>
      </c>
      <c r="R87" s="517"/>
      <c r="S87" s="94">
        <f t="shared" si="12"/>
        <v>6.25E-2</v>
      </c>
      <c r="T87" s="94">
        <f t="shared" ca="1" si="302"/>
        <v>11.562499999999998</v>
      </c>
      <c r="U87" s="535">
        <f ca="1">$T87+'1_INPUT'!$E$18</f>
        <v>44955.354166666664</v>
      </c>
      <c r="V87" s="95">
        <f t="shared" ca="1" si="303"/>
        <v>-186.99999999999994</v>
      </c>
      <c r="W87" s="110">
        <f t="shared" ca="1" si="304"/>
        <v>7.791666666666667</v>
      </c>
      <c r="X87" s="111">
        <f t="shared" ca="1" si="305"/>
        <v>44956</v>
      </c>
      <c r="Y87" s="112" t="str">
        <f ca="1">IFERROR(IF(SUMIFS($N$9:$N87,$X$9:$X87,ROUNDUP(VALUE(U87),0),$Q$9:$Q87,"npt")=0,"-",SUMIFS($N$9:$N87,$X$9:$X87,ROUNDUP(VALUE(U87),0),$Q$9:$Q87,"npt")/SUMIFS($N$9:$N87,$X$9:$X87,ROUNDUP(VALUE(U87),0))),"")</f>
        <v>-</v>
      </c>
      <c r="Z87" s="112">
        <f ca="1">IFERROR(IF($N87=0,"-",SUMIF($Q$11:$Q87,"npt",$N$11:$N87)/(T87*24)),"")</f>
        <v>4.1441441441441448E-2</v>
      </c>
      <c r="AA87" s="491"/>
      <c r="AB87" s="491"/>
      <c r="AC87" s="398" t="s">
        <v>224</v>
      </c>
      <c r="AD87" s="427">
        <f t="shared" ca="1" si="9"/>
        <v>3.7708333333333335</v>
      </c>
      <c r="AE87" s="427">
        <f t="shared" ca="1" si="0"/>
        <v>1112</v>
      </c>
      <c r="AF87" s="427">
        <f t="shared" ca="1" si="306"/>
        <v>11.562499999999998</v>
      </c>
      <c r="AG87" s="427">
        <f t="shared" ca="1" si="2"/>
        <v>2372</v>
      </c>
      <c r="AH87" s="493"/>
      <c r="AI87" s="427">
        <f t="shared" ca="1" si="3"/>
        <v>0</v>
      </c>
      <c r="AJ87" s="493"/>
      <c r="AK87" s="428">
        <f t="shared" ca="1" si="307"/>
        <v>2</v>
      </c>
      <c r="AL87" s="428">
        <f ca="1">IF(A87&lt;&gt;"",IFERROR(INDEX('1_INPUT'!$B$69:$E$89,MATCH($A87,'1_INPUT'!$E$69:$E$89,0),1),""),INDIRECT(ADDRESS(ROW()+1,COLUMN($AL$9),,,)))</f>
        <v>3</v>
      </c>
      <c r="AM87" s="428" t="str">
        <f ca="1">IF(AN87="","",MAX(INDIRECT(ADDRESS(9,COLUMN($AM$9),,,)):INDIRECT(ADDRESS(ROW()-1,COLUMN($AM$9),,,)))+1)</f>
        <v/>
      </c>
      <c r="AN87" s="429" t="str">
        <f>IF($AO87&lt;&gt;"",VLOOKUP($AK87,'1_INPUT'!$B$124:$D$136,2,FALSE),"")</f>
        <v/>
      </c>
      <c r="AO87" s="429" t="str">
        <f t="shared" si="10"/>
        <v/>
      </c>
      <c r="AP87" s="427">
        <f ca="1">SUMIF($AL$10:AL87,$AL87,$I$10:I87)</f>
        <v>175.35416666666677</v>
      </c>
      <c r="AR87" s="430" t="str">
        <f t="shared" ca="1" si="5"/>
        <v>WORKOVER SECTION</v>
      </c>
      <c r="AS87" s="430">
        <f ca="1">MATCH(AR87,'1_INPUT'!$V$43:$V$64,0)+1</f>
        <v>6</v>
      </c>
      <c r="AT87" s="430">
        <f ca="1">VLOOKUP(AR87,'1_INPUT'!$V$43:$W$64,2,FALSE)</f>
        <v>21</v>
      </c>
      <c r="AU87" s="430">
        <f ca="1">COUNTIF('1_INPUT'!$W$43:$W$64,AT87)-1</f>
        <v>5</v>
      </c>
      <c r="AV87" s="430" t="e">
        <f ca="1">OFFSET('1_INPUT'!$V$42,$AS87,,$AU87,)</f>
        <v>#VALUE!</v>
      </c>
      <c r="AX87" s="430" t="str">
        <f t="shared" si="308"/>
        <v/>
      </c>
      <c r="CK87" s="9"/>
      <c r="CL87" s="9"/>
    </row>
    <row r="88" spans="1:90" ht="69">
      <c r="A88" s="205"/>
      <c r="B88" s="518"/>
      <c r="C88" s="208" t="str">
        <f>IF(D88&lt;&gt;"",MAX($C$9:C87)+1,"")</f>
        <v/>
      </c>
      <c r="D88" s="523"/>
      <c r="E88" s="406"/>
      <c r="F88" s="407"/>
      <c r="G88" s="209">
        <f t="shared" ca="1" si="299"/>
        <v>90.5</v>
      </c>
      <c r="H88" s="209">
        <f t="shared" si="218"/>
        <v>0</v>
      </c>
      <c r="I88" s="209">
        <f t="shared" ca="1" si="300"/>
        <v>3.7708333333333335</v>
      </c>
      <c r="J88" s="540">
        <v>1112</v>
      </c>
      <c r="K88" s="200"/>
      <c r="L88" s="532" t="s">
        <v>702</v>
      </c>
      <c r="M88" s="400" t="s">
        <v>197</v>
      </c>
      <c r="N88" s="400">
        <v>2</v>
      </c>
      <c r="O88" s="95">
        <f t="shared" ca="1" si="301"/>
        <v>279.5</v>
      </c>
      <c r="P88" s="403">
        <v>2372</v>
      </c>
      <c r="Q88" s="116">
        <f>IF(N88&gt;0,VLOOKUP(M88,'3_TIME SUM'!$F$7:$G$128,2,FALSE),0)</f>
        <v>0</v>
      </c>
      <c r="R88" s="517"/>
      <c r="S88" s="94">
        <f t="shared" si="12"/>
        <v>8.3333333333333329E-2</v>
      </c>
      <c r="T88" s="94">
        <f t="shared" ca="1" si="302"/>
        <v>11.645833333333332</v>
      </c>
      <c r="U88" s="535">
        <f ca="1">$T88+'1_INPUT'!$E$18</f>
        <v>44955.4375</v>
      </c>
      <c r="V88" s="95">
        <f t="shared" ca="1" si="303"/>
        <v>-188.99999999999994</v>
      </c>
      <c r="W88" s="110">
        <f t="shared" ca="1" si="304"/>
        <v>7.875</v>
      </c>
      <c r="X88" s="111">
        <f t="shared" ca="1" si="305"/>
        <v>44956</v>
      </c>
      <c r="Y88" s="112" t="str">
        <f ca="1">IFERROR(IF(SUMIFS($N$9:$N88,$X$9:$X88,ROUNDUP(VALUE(U88),0),$Q$9:$Q88,"npt")=0,"-",SUMIFS($N$9:$N88,$X$9:$X88,ROUNDUP(VALUE(U88),0),$Q$9:$Q88,"npt")/SUMIFS($N$9:$N88,$X$9:$X88,ROUNDUP(VALUE(U88),0))),"")</f>
        <v>-</v>
      </c>
      <c r="Z88" s="112">
        <f ca="1">IFERROR(IF($N88=0,"-",SUMIF($Q$11:$Q88,"npt",$N$11:$N88)/(T88*24)),"")</f>
        <v>4.1144901610017888E-2</v>
      </c>
      <c r="AA88" s="491"/>
      <c r="AB88" s="491"/>
      <c r="AC88" s="398" t="s">
        <v>224</v>
      </c>
      <c r="AD88" s="427">
        <f t="shared" ca="1" si="9"/>
        <v>3.7708333333333335</v>
      </c>
      <c r="AE88" s="427">
        <f t="shared" ca="1" si="0"/>
        <v>1112</v>
      </c>
      <c r="AF88" s="427">
        <f t="shared" ca="1" si="306"/>
        <v>11.645833333333332</v>
      </c>
      <c r="AG88" s="427">
        <f t="shared" ca="1" si="2"/>
        <v>2372</v>
      </c>
      <c r="AH88" s="493"/>
      <c r="AI88" s="427">
        <f t="shared" ca="1" si="3"/>
        <v>0</v>
      </c>
      <c r="AJ88" s="493"/>
      <c r="AK88" s="428">
        <f t="shared" ca="1" si="307"/>
        <v>2</v>
      </c>
      <c r="AL88" s="428">
        <f ca="1">IF(A88&lt;&gt;"",IFERROR(INDEX('1_INPUT'!$B$69:$E$89,MATCH($A88,'1_INPUT'!$E$69:$E$89,0),1),""),INDIRECT(ADDRESS(ROW()+1,COLUMN($AL$9),,,)))</f>
        <v>3</v>
      </c>
      <c r="AM88" s="428" t="str">
        <f ca="1">IF(AN88="","",MAX(INDIRECT(ADDRESS(9,COLUMN($AM$9),,,)):INDIRECT(ADDRESS(ROW()-1,COLUMN($AM$9),,,)))+1)</f>
        <v/>
      </c>
      <c r="AN88" s="429" t="str">
        <f>IF($AO88&lt;&gt;"",VLOOKUP($AK88,'1_INPUT'!$B$124:$D$136,2,FALSE),"")</f>
        <v/>
      </c>
      <c r="AO88" s="429" t="str">
        <f t="shared" si="10"/>
        <v/>
      </c>
      <c r="AP88" s="427">
        <f ca="1">SUMIF($AL$10:AL88,$AL88,$I$10:I88)</f>
        <v>179.12500000000011</v>
      </c>
      <c r="AR88" s="430" t="str">
        <f t="shared" ca="1" si="5"/>
        <v>WORKOVER SECTION</v>
      </c>
      <c r="AS88" s="430">
        <f ca="1">MATCH(AR88,'1_INPUT'!$V$43:$V$64,0)+1</f>
        <v>6</v>
      </c>
      <c r="AT88" s="430">
        <f ca="1">VLOOKUP(AR88,'1_INPUT'!$V$43:$W$64,2,FALSE)</f>
        <v>21</v>
      </c>
      <c r="AU88" s="430">
        <f ca="1">COUNTIF('1_INPUT'!$W$43:$W$64,AT88)-1</f>
        <v>5</v>
      </c>
      <c r="AV88" s="430" t="e">
        <f ca="1">OFFSET('1_INPUT'!$V$42,$AS88,,$AU88,)</f>
        <v>#VALUE!</v>
      </c>
      <c r="AX88" s="430" t="str">
        <f t="shared" si="308"/>
        <v/>
      </c>
      <c r="CK88" s="9"/>
      <c r="CL88" s="9"/>
    </row>
    <row r="89" spans="1:90" ht="151.80000000000001">
      <c r="A89" s="205"/>
      <c r="B89" s="518"/>
      <c r="C89" s="208" t="str">
        <f>IF(D89&lt;&gt;"",MAX($C$9:C88)+1,"")</f>
        <v/>
      </c>
      <c r="D89" s="523"/>
      <c r="E89" s="406"/>
      <c r="F89" s="407"/>
      <c r="G89" s="209">
        <f t="shared" ca="1" si="299"/>
        <v>90.5</v>
      </c>
      <c r="H89" s="209">
        <f t="shared" si="218"/>
        <v>0</v>
      </c>
      <c r="I89" s="209">
        <f t="shared" ca="1" si="300"/>
        <v>3.7708333333333335</v>
      </c>
      <c r="J89" s="540">
        <v>1112</v>
      </c>
      <c r="K89" s="200"/>
      <c r="L89" s="532" t="s">
        <v>703</v>
      </c>
      <c r="M89" s="400" t="s">
        <v>197</v>
      </c>
      <c r="N89" s="400">
        <v>2.5</v>
      </c>
      <c r="O89" s="95">
        <f t="shared" ca="1" si="301"/>
        <v>282</v>
      </c>
      <c r="P89" s="403">
        <v>2372</v>
      </c>
      <c r="Q89" s="116">
        <f>IF(N89&gt;0,VLOOKUP(M89,'3_TIME SUM'!$F$7:$G$128,2,FALSE),0)</f>
        <v>0</v>
      </c>
      <c r="R89" s="517"/>
      <c r="S89" s="94">
        <f t="shared" si="12"/>
        <v>0.10416666666666667</v>
      </c>
      <c r="T89" s="94">
        <f t="shared" ca="1" si="302"/>
        <v>11.749999999999998</v>
      </c>
      <c r="U89" s="535">
        <f ca="1">$T89+'1_INPUT'!$E$18</f>
        <v>44955.541666666664</v>
      </c>
      <c r="V89" s="95">
        <f t="shared" ca="1" si="303"/>
        <v>-191.49999999999994</v>
      </c>
      <c r="W89" s="110">
        <f t="shared" ca="1" si="304"/>
        <v>7.979166666666667</v>
      </c>
      <c r="X89" s="111">
        <f t="shared" ca="1" si="305"/>
        <v>44956</v>
      </c>
      <c r="Y89" s="112" t="str">
        <f ca="1">IFERROR(IF(SUMIFS($N$9:$N89,$X$9:$X89,ROUNDUP(VALUE(U89),0),$Q$9:$Q89,"npt")=0,"-",SUMIFS($N$9:$N89,$X$9:$X89,ROUNDUP(VALUE(U89),0),$Q$9:$Q89,"npt")/SUMIFS($N$9:$N89,$X$9:$X89,ROUNDUP(VALUE(U89),0))),"")</f>
        <v>-</v>
      </c>
      <c r="Z89" s="112">
        <f ca="1">IFERROR(IF($N89=0,"-",SUMIF($Q$11:$Q89,"npt",$N$11:$N89)/(T89*24)),"")</f>
        <v>4.0780141843971641E-2</v>
      </c>
      <c r="AA89" s="491"/>
      <c r="AB89" s="491"/>
      <c r="AC89" s="398" t="s">
        <v>224</v>
      </c>
      <c r="AD89" s="427">
        <f t="shared" ca="1" si="9"/>
        <v>3.7708333333333335</v>
      </c>
      <c r="AE89" s="427">
        <f t="shared" ca="1" si="0"/>
        <v>1112</v>
      </c>
      <c r="AF89" s="427">
        <f t="shared" ca="1" si="306"/>
        <v>11.749999999999998</v>
      </c>
      <c r="AG89" s="427">
        <f t="shared" ca="1" si="2"/>
        <v>2372</v>
      </c>
      <c r="AH89" s="493"/>
      <c r="AI89" s="427">
        <f t="shared" ca="1" si="3"/>
        <v>0</v>
      </c>
      <c r="AJ89" s="493"/>
      <c r="AK89" s="428">
        <f t="shared" ca="1" si="307"/>
        <v>2</v>
      </c>
      <c r="AL89" s="428">
        <f ca="1">IF(A89&lt;&gt;"",IFERROR(INDEX('1_INPUT'!$B$69:$E$89,MATCH($A89,'1_INPUT'!$E$69:$E$89,0),1),""),INDIRECT(ADDRESS(ROW()+1,COLUMN($AL$9),,,)))</f>
        <v>3</v>
      </c>
      <c r="AM89" s="428" t="str">
        <f ca="1">IF(AN89="","",MAX(INDIRECT(ADDRESS(9,COLUMN($AM$9),,,)):INDIRECT(ADDRESS(ROW()-1,COLUMN($AM$9),,,)))+1)</f>
        <v/>
      </c>
      <c r="AN89" s="429" t="str">
        <f>IF($AO89&lt;&gt;"",VLOOKUP($AK89,'1_INPUT'!$B$124:$D$136,2,FALSE),"")</f>
        <v/>
      </c>
      <c r="AO89" s="429" t="str">
        <f t="shared" si="10"/>
        <v/>
      </c>
      <c r="AP89" s="427">
        <f ca="1">SUMIF($AL$10:AL89,$AL89,$I$10:I89)</f>
        <v>182.89583333333346</v>
      </c>
      <c r="AR89" s="430" t="str">
        <f t="shared" ca="1" si="5"/>
        <v>WORKOVER SECTION</v>
      </c>
      <c r="AS89" s="430">
        <f ca="1">MATCH(AR89,'1_INPUT'!$V$43:$V$64,0)+1</f>
        <v>6</v>
      </c>
      <c r="AT89" s="430">
        <f ca="1">VLOOKUP(AR89,'1_INPUT'!$V$43:$W$64,2,FALSE)</f>
        <v>21</v>
      </c>
      <c r="AU89" s="430">
        <f ca="1">COUNTIF('1_INPUT'!$W$43:$W$64,AT89)-1</f>
        <v>5</v>
      </c>
      <c r="AV89" s="430" t="e">
        <f ca="1">OFFSET('1_INPUT'!$V$42,$AS89,,$AU89,)</f>
        <v>#VALUE!</v>
      </c>
      <c r="AX89" s="430" t="str">
        <f t="shared" si="308"/>
        <v/>
      </c>
      <c r="CK89" s="9"/>
      <c r="CL89" s="9"/>
    </row>
    <row r="90" spans="1:90" ht="13.8">
      <c r="A90" s="205"/>
      <c r="B90" s="518"/>
      <c r="C90" s="208" t="str">
        <f>IF(D90&lt;&gt;"",MAX($C$9:C89)+1,"")</f>
        <v/>
      </c>
      <c r="D90" s="523"/>
      <c r="E90" s="406"/>
      <c r="F90" s="407"/>
      <c r="G90" s="209">
        <f t="shared" ca="1" si="299"/>
        <v>90.5</v>
      </c>
      <c r="H90" s="209">
        <f t="shared" si="218"/>
        <v>0</v>
      </c>
      <c r="I90" s="209">
        <f t="shared" ca="1" si="300"/>
        <v>3.7708333333333335</v>
      </c>
      <c r="J90" s="540">
        <v>1112</v>
      </c>
      <c r="K90" s="200"/>
      <c r="L90" s="532" t="s">
        <v>704</v>
      </c>
      <c r="M90" s="400" t="s">
        <v>146</v>
      </c>
      <c r="N90" s="400">
        <v>1</v>
      </c>
      <c r="O90" s="95">
        <f t="shared" ca="1" si="301"/>
        <v>283</v>
      </c>
      <c r="P90" s="403">
        <v>2372</v>
      </c>
      <c r="Q90" s="116">
        <f>IF(N90&gt;0,VLOOKUP(M90,'3_TIME SUM'!$F$7:$G$128,2,FALSE),0)</f>
        <v>0</v>
      </c>
      <c r="R90" s="517"/>
      <c r="S90" s="94">
        <f t="shared" si="12"/>
        <v>4.1666666666666664E-2</v>
      </c>
      <c r="T90" s="94">
        <f t="shared" ca="1" si="302"/>
        <v>11.791666666666664</v>
      </c>
      <c r="U90" s="535">
        <f ca="1">$T90+'1_INPUT'!$E$18</f>
        <v>44955.583333333328</v>
      </c>
      <c r="V90" s="95">
        <f t="shared" ca="1" si="303"/>
        <v>-192.49999999999994</v>
      </c>
      <c r="W90" s="110">
        <f t="shared" ca="1" si="304"/>
        <v>8.0208333333333339</v>
      </c>
      <c r="X90" s="111">
        <f t="shared" ca="1" si="305"/>
        <v>44956</v>
      </c>
      <c r="Y90" s="112" t="str">
        <f ca="1">IFERROR(IF(SUMIFS($N$9:$N90,$X$9:$X90,ROUNDUP(VALUE(U90),0),$Q$9:$Q90,"npt")=0,"-",SUMIFS($N$9:$N90,$X$9:$X90,ROUNDUP(VALUE(U90),0),$Q$9:$Q90,"npt")/SUMIFS($N$9:$N90,$X$9:$X90,ROUNDUP(VALUE(U90),0))),"")</f>
        <v>-</v>
      </c>
      <c r="Z90" s="112">
        <f ca="1">IFERROR(IF($N90=0,"-",SUMIF($Q$11:$Q90,"npt",$N$11:$N90)/(T90*24)),"")</f>
        <v>4.0636042402826866E-2</v>
      </c>
      <c r="AA90" s="491"/>
      <c r="AB90" s="491"/>
      <c r="AC90" s="398" t="s">
        <v>224</v>
      </c>
      <c r="AD90" s="427">
        <f t="shared" ca="1" si="9"/>
        <v>3.7708333333333335</v>
      </c>
      <c r="AE90" s="427">
        <f t="shared" ca="1" si="0"/>
        <v>1112</v>
      </c>
      <c r="AF90" s="427">
        <f t="shared" ca="1" si="306"/>
        <v>11.791666666666664</v>
      </c>
      <c r="AG90" s="427">
        <f t="shared" ca="1" si="2"/>
        <v>2372</v>
      </c>
      <c r="AH90" s="493"/>
      <c r="AI90" s="427">
        <f t="shared" ca="1" si="3"/>
        <v>0</v>
      </c>
      <c r="AJ90" s="493"/>
      <c r="AK90" s="428">
        <f t="shared" ca="1" si="307"/>
        <v>2</v>
      </c>
      <c r="AL90" s="428">
        <f ca="1">IF(A90&lt;&gt;"",IFERROR(INDEX('1_INPUT'!$B$69:$E$89,MATCH($A90,'1_INPUT'!$E$69:$E$89,0),1),""),INDIRECT(ADDRESS(ROW()+1,COLUMN($AL$9),,,)))</f>
        <v>3</v>
      </c>
      <c r="AM90" s="428" t="str">
        <f ca="1">IF(AN90="","",MAX(INDIRECT(ADDRESS(9,COLUMN($AM$9),,,)):INDIRECT(ADDRESS(ROW()-1,COLUMN($AM$9),,,)))+1)</f>
        <v/>
      </c>
      <c r="AN90" s="429" t="str">
        <f>IF($AO90&lt;&gt;"",VLOOKUP($AK90,'1_INPUT'!$B$124:$D$136,2,FALSE),"")</f>
        <v/>
      </c>
      <c r="AO90" s="429" t="str">
        <f t="shared" si="10"/>
        <v/>
      </c>
      <c r="AP90" s="427">
        <f ca="1">SUMIF($AL$10:AL90,$AL90,$I$10:I90)</f>
        <v>186.6666666666668</v>
      </c>
      <c r="AR90" s="430" t="str">
        <f t="shared" ca="1" si="5"/>
        <v>WORKOVER SECTION</v>
      </c>
      <c r="AS90" s="430">
        <f ca="1">MATCH(AR90,'1_INPUT'!$V$43:$V$64,0)+1</f>
        <v>6</v>
      </c>
      <c r="AT90" s="430">
        <f ca="1">VLOOKUP(AR90,'1_INPUT'!$V$43:$W$64,2,FALSE)</f>
        <v>21</v>
      </c>
      <c r="AU90" s="430">
        <f ca="1">COUNTIF('1_INPUT'!$W$43:$W$64,AT90)-1</f>
        <v>5</v>
      </c>
      <c r="AV90" s="430" t="e">
        <f ca="1">OFFSET('1_INPUT'!$V$42,$AS90,,$AU90,)</f>
        <v>#VALUE!</v>
      </c>
      <c r="AX90" s="430" t="str">
        <f t="shared" si="308"/>
        <v/>
      </c>
      <c r="CK90" s="9"/>
      <c r="CL90" s="9"/>
    </row>
    <row r="91" spans="1:90" ht="55.2">
      <c r="A91" s="205"/>
      <c r="B91" s="518"/>
      <c r="C91" s="208" t="str">
        <f>IF(D91&lt;&gt;"",MAX($C$9:C90)+1,"")</f>
        <v/>
      </c>
      <c r="D91" s="523"/>
      <c r="E91" s="406"/>
      <c r="F91" s="407"/>
      <c r="G91" s="209">
        <f t="shared" ca="1" si="299"/>
        <v>90.5</v>
      </c>
      <c r="H91" s="209">
        <f t="shared" si="218"/>
        <v>0</v>
      </c>
      <c r="I91" s="209">
        <f t="shared" ca="1" si="300"/>
        <v>3.7708333333333335</v>
      </c>
      <c r="J91" s="540">
        <v>1112</v>
      </c>
      <c r="K91" s="200"/>
      <c r="L91" s="532" t="s">
        <v>705</v>
      </c>
      <c r="M91" s="400" t="s">
        <v>197</v>
      </c>
      <c r="N91" s="400">
        <v>0.5</v>
      </c>
      <c r="O91" s="95">
        <f t="shared" ca="1" si="301"/>
        <v>283.5</v>
      </c>
      <c r="P91" s="403">
        <v>2372</v>
      </c>
      <c r="Q91" s="116">
        <f>IF(N91&gt;0,VLOOKUP(M91,'3_TIME SUM'!$F$7:$G$128,2,FALSE),0)</f>
        <v>0</v>
      </c>
      <c r="R91" s="517"/>
      <c r="S91" s="94">
        <f t="shared" si="12"/>
        <v>2.0833333333333332E-2</v>
      </c>
      <c r="T91" s="94">
        <f t="shared" ca="1" si="302"/>
        <v>11.812499999999998</v>
      </c>
      <c r="U91" s="535">
        <f ca="1">$T91+'1_INPUT'!$E$18</f>
        <v>44955.604166666664</v>
      </c>
      <c r="V91" s="95">
        <f t="shared" ca="1" si="303"/>
        <v>-192.99999999999994</v>
      </c>
      <c r="W91" s="110">
        <f t="shared" ca="1" si="304"/>
        <v>8.0416666666666661</v>
      </c>
      <c r="X91" s="111">
        <f t="shared" ca="1" si="305"/>
        <v>44956</v>
      </c>
      <c r="Y91" s="112" t="str">
        <f ca="1">IFERROR(IF(SUMIFS($N$9:$N91,$X$9:$X91,ROUNDUP(VALUE(U91),0),$Q$9:$Q91,"npt")=0,"-",SUMIFS($N$9:$N91,$X$9:$X91,ROUNDUP(VALUE(U91),0),$Q$9:$Q91,"npt")/SUMIFS($N$9:$N91,$X$9:$X91,ROUNDUP(VALUE(U91),0))),"")</f>
        <v>-</v>
      </c>
      <c r="Z91" s="112">
        <f ca="1">IFERROR(IF($N91=0,"-",SUMIF($Q$11:$Q91,"npt",$N$11:$N91)/(T91*24)),"")</f>
        <v>4.0564373897707236E-2</v>
      </c>
      <c r="AA91" s="491"/>
      <c r="AB91" s="491"/>
      <c r="AC91" s="398" t="s">
        <v>224</v>
      </c>
      <c r="AD91" s="427">
        <f t="shared" ca="1" si="9"/>
        <v>3.7708333333333335</v>
      </c>
      <c r="AE91" s="427">
        <f t="shared" ca="1" si="0"/>
        <v>1112</v>
      </c>
      <c r="AF91" s="427">
        <f t="shared" ca="1" si="306"/>
        <v>11.812499999999998</v>
      </c>
      <c r="AG91" s="427">
        <f t="shared" ca="1" si="2"/>
        <v>2372</v>
      </c>
      <c r="AH91" s="493"/>
      <c r="AI91" s="427">
        <f t="shared" ca="1" si="3"/>
        <v>0</v>
      </c>
      <c r="AJ91" s="493"/>
      <c r="AK91" s="428">
        <f t="shared" ca="1" si="307"/>
        <v>2</v>
      </c>
      <c r="AL91" s="428">
        <f ca="1">IF(A91&lt;&gt;"",IFERROR(INDEX('1_INPUT'!$B$69:$E$89,MATCH($A91,'1_INPUT'!$E$69:$E$89,0),1),""),INDIRECT(ADDRESS(ROW()+1,COLUMN($AL$9),,,)))</f>
        <v>3</v>
      </c>
      <c r="AM91" s="428" t="str">
        <f ca="1">IF(AN91="","",MAX(INDIRECT(ADDRESS(9,COLUMN($AM$9),,,)):INDIRECT(ADDRESS(ROW()-1,COLUMN($AM$9),,,)))+1)</f>
        <v/>
      </c>
      <c r="AN91" s="429" t="str">
        <f>IF($AO91&lt;&gt;"",VLOOKUP($AK91,'1_INPUT'!$B$124:$D$136,2,FALSE),"")</f>
        <v/>
      </c>
      <c r="AO91" s="429" t="str">
        <f t="shared" si="10"/>
        <v/>
      </c>
      <c r="AP91" s="427">
        <f ca="1">SUMIF($AL$10:AL91,$AL91,$I$10:I91)</f>
        <v>190.43750000000014</v>
      </c>
      <c r="AR91" s="430" t="str">
        <f t="shared" ca="1" si="5"/>
        <v>WORKOVER SECTION</v>
      </c>
      <c r="AS91" s="430">
        <f ca="1">MATCH(AR91,'1_INPUT'!$V$43:$V$64,0)+1</f>
        <v>6</v>
      </c>
      <c r="AT91" s="430">
        <f ca="1">VLOOKUP(AR91,'1_INPUT'!$V$43:$W$64,2,FALSE)</f>
        <v>21</v>
      </c>
      <c r="AU91" s="430">
        <f ca="1">COUNTIF('1_INPUT'!$W$43:$W$64,AT91)-1</f>
        <v>5</v>
      </c>
      <c r="AV91" s="430" t="e">
        <f ca="1">OFFSET('1_INPUT'!$V$42,$AS91,,$AU91,)</f>
        <v>#VALUE!</v>
      </c>
      <c r="AX91" s="430" t="str">
        <f t="shared" si="308"/>
        <v/>
      </c>
      <c r="CK91" s="9"/>
      <c r="CL91" s="9"/>
    </row>
    <row r="92" spans="1:90" ht="27.6">
      <c r="A92" s="205"/>
      <c r="B92" s="518"/>
      <c r="C92" s="208" t="str">
        <f>IF(D92&lt;&gt;"",MAX($C$9:C91)+1,"")</f>
        <v/>
      </c>
      <c r="D92" s="523"/>
      <c r="E92" s="406"/>
      <c r="F92" s="407"/>
      <c r="G92" s="209">
        <f t="shared" ca="1" si="299"/>
        <v>90.5</v>
      </c>
      <c r="H92" s="209">
        <f t="shared" si="218"/>
        <v>0</v>
      </c>
      <c r="I92" s="209">
        <f t="shared" ca="1" si="300"/>
        <v>3.7708333333333335</v>
      </c>
      <c r="J92" s="540">
        <v>1112</v>
      </c>
      <c r="K92" s="200"/>
      <c r="L92" s="532" t="s">
        <v>663</v>
      </c>
      <c r="M92" s="400" t="s">
        <v>93</v>
      </c>
      <c r="N92" s="400">
        <v>9.5</v>
      </c>
      <c r="O92" s="95">
        <f t="shared" ca="1" si="301"/>
        <v>293</v>
      </c>
      <c r="P92" s="403">
        <v>2372</v>
      </c>
      <c r="Q92" s="116">
        <f>IF(N92&gt;0,VLOOKUP(M92,'3_TIME SUM'!$F$7:$G$128,2,FALSE),0)</f>
        <v>0</v>
      </c>
      <c r="R92" s="517"/>
      <c r="S92" s="94">
        <f t="shared" si="12"/>
        <v>0.39583333333333331</v>
      </c>
      <c r="T92" s="94">
        <f t="shared" ca="1" si="302"/>
        <v>12.208333333333332</v>
      </c>
      <c r="U92" s="539">
        <f ca="1">$T92+'1_INPUT'!$E$18</f>
        <v>44956</v>
      </c>
      <c r="V92" s="95">
        <f t="shared" ca="1" si="303"/>
        <v>-202.49999999999994</v>
      </c>
      <c r="W92" s="110">
        <f t="shared" ca="1" si="304"/>
        <v>8.4375</v>
      </c>
      <c r="X92" s="111">
        <f t="shared" ca="1" si="305"/>
        <v>44956</v>
      </c>
      <c r="Y92" s="112" t="str">
        <f ca="1">IFERROR(IF(SUMIFS($N$9:$N92,$X$9:$X92,ROUNDUP(VALUE(U92),0),$Q$9:$Q92,"npt")=0,"-",SUMIFS($N$9:$N92,$X$9:$X92,ROUNDUP(VALUE(U92),0),$Q$9:$Q92,"npt")/SUMIFS($N$9:$N92,$X$9:$X92,ROUNDUP(VALUE(U92),0))),"")</f>
        <v>-</v>
      </c>
      <c r="Z92" s="112">
        <f ca="1">IFERROR(IF($N92=0,"-",SUMIF($Q$11:$Q92,"npt",$N$11:$N92)/(T92*24)),"")</f>
        <v>3.9249146757679182E-2</v>
      </c>
      <c r="AA92" s="491"/>
      <c r="AB92" s="491"/>
      <c r="AC92" s="398" t="s">
        <v>224</v>
      </c>
      <c r="AD92" s="427">
        <f t="shared" ca="1" si="9"/>
        <v>3.7708333333333335</v>
      </c>
      <c r="AE92" s="427">
        <f t="shared" ca="1" si="0"/>
        <v>1112</v>
      </c>
      <c r="AF92" s="427">
        <f t="shared" ca="1" si="306"/>
        <v>12.208333333333332</v>
      </c>
      <c r="AG92" s="427">
        <f t="shared" ca="1" si="2"/>
        <v>2372</v>
      </c>
      <c r="AH92" s="493"/>
      <c r="AI92" s="427">
        <f t="shared" ca="1" si="3"/>
        <v>0</v>
      </c>
      <c r="AJ92" s="493"/>
      <c r="AK92" s="428">
        <f t="shared" ca="1" si="307"/>
        <v>2</v>
      </c>
      <c r="AL92" s="428">
        <f ca="1">IF(A92&lt;&gt;"",IFERROR(INDEX('1_INPUT'!$B$69:$E$89,MATCH($A92,'1_INPUT'!$E$69:$E$89,0),1),""),INDIRECT(ADDRESS(ROW()+1,COLUMN($AL$9),,,)))</f>
        <v>3</v>
      </c>
      <c r="AM92" s="428" t="str">
        <f ca="1">IF(AN92="","",MAX(INDIRECT(ADDRESS(9,COLUMN($AM$9),,,)):INDIRECT(ADDRESS(ROW()-1,COLUMN($AM$9),,,)))+1)</f>
        <v/>
      </c>
      <c r="AN92" s="429" t="str">
        <f>IF($AO92&lt;&gt;"",VLOOKUP($AK92,'1_INPUT'!$B$124:$D$136,2,FALSE),"")</f>
        <v/>
      </c>
      <c r="AO92" s="429" t="str">
        <f t="shared" si="10"/>
        <v/>
      </c>
      <c r="AP92" s="427">
        <f ca="1">SUMIF($AL$10:AL92,$AL92,$I$10:I92)</f>
        <v>194.20833333333348</v>
      </c>
      <c r="AR92" s="430" t="str">
        <f t="shared" ca="1" si="5"/>
        <v>WORKOVER SECTION</v>
      </c>
      <c r="AS92" s="430">
        <f ca="1">MATCH(AR92,'1_INPUT'!$V$43:$V$64,0)+1</f>
        <v>6</v>
      </c>
      <c r="AT92" s="430">
        <f ca="1">VLOOKUP(AR92,'1_INPUT'!$V$43:$W$64,2,FALSE)</f>
        <v>21</v>
      </c>
      <c r="AU92" s="430">
        <f ca="1">COUNTIF('1_INPUT'!$W$43:$W$64,AT92)-1</f>
        <v>5</v>
      </c>
      <c r="AV92" s="430" t="e">
        <f ca="1">OFFSET('1_INPUT'!$V$42,$AS92,,$AU92,)</f>
        <v>#VALUE!</v>
      </c>
      <c r="AX92" s="430" t="str">
        <f t="shared" si="308"/>
        <v/>
      </c>
      <c r="CK92" s="9"/>
      <c r="CL92" s="9"/>
    </row>
    <row r="93" spans="1:90" ht="41.4">
      <c r="A93" s="205"/>
      <c r="B93" s="518"/>
      <c r="C93" s="208" t="str">
        <f>IF(D93&lt;&gt;"",MAX($C$9:C92)+1,"")</f>
        <v/>
      </c>
      <c r="D93" s="523"/>
      <c r="E93" s="406"/>
      <c r="F93" s="407"/>
      <c r="G93" s="209">
        <f t="shared" ref="G93:G97" ca="1" si="309">IF(INDIRECT(ADDRESS(ROW()-1,COLUMN(B$7),,,))&lt;&gt;"",INDIRECT(ADDRESS(ROW(),COLUMN(F$7),,,)),INDIRECT(ADDRESS(ROW()-1,COLUMN(G$7),,,))+INDIRECT(ADDRESS(ROW(),COLUMN(F$7),,,)))</f>
        <v>90.5</v>
      </c>
      <c r="H93" s="209">
        <f t="shared" si="218"/>
        <v>0</v>
      </c>
      <c r="I93" s="209">
        <f t="shared" ref="I93:I97" ca="1" si="310">INDIRECT(ADDRESS(ROW()-1,COLUMN(I$7),,,))+INDIRECT(ADDRESS(ROW(),COLUMN(H$7),,,))</f>
        <v>3.7708333333333335</v>
      </c>
      <c r="J93" s="540">
        <v>1112</v>
      </c>
      <c r="K93" s="200"/>
      <c r="L93" s="532" t="s">
        <v>664</v>
      </c>
      <c r="M93" s="400" t="s">
        <v>93</v>
      </c>
      <c r="N93" s="400">
        <v>12</v>
      </c>
      <c r="O93" s="95">
        <f t="shared" ref="O93:O97" ca="1" si="311">IF(INDIRECT(ADDRESS(ROW()-1,COLUMN(B$7),,,))&lt;&gt;"",INDIRECT(ADDRESS(ROW(),COLUMN(N$7),,,)),INDIRECT(ADDRESS(ROW()-1,COLUMN(O$7),,,))+INDIRECT(ADDRESS(ROW(),COLUMN(N$7),,,)))</f>
        <v>305</v>
      </c>
      <c r="P93" s="403">
        <v>2372</v>
      </c>
      <c r="Q93" s="116">
        <f>IF(N93&gt;0,VLOOKUP(M93,'3_TIME SUM'!$F$7:$G$128,2,FALSE),0)</f>
        <v>0</v>
      </c>
      <c r="R93" s="517"/>
      <c r="S93" s="94">
        <f t="shared" si="12"/>
        <v>0.5</v>
      </c>
      <c r="T93" s="94">
        <f t="shared" ref="T93:T97" ca="1" si="312">INDIRECT(ADDRESS(ROW()-1,COLUMN(T$7),,,))+INDIRECT(ADDRESS(ROW(),COLUMN(S$7),,,))</f>
        <v>12.708333333333332</v>
      </c>
      <c r="U93" s="535">
        <f ca="1">$T93+'1_INPUT'!$E$18</f>
        <v>44956.5</v>
      </c>
      <c r="V93" s="95">
        <f t="shared" ref="V93:V97" ca="1" si="313">IFERROR(IF($AI93=0,($I93-T93)*24,(($P93-INDIRECT(ADDRESS(ROW()-1,COLUMN($P$9),,,)))/$AI93)-$N93+(INDIRECT(ADDRESS(ROW()-1,COLUMN(V$9),,,)))),"")</f>
        <v>-214.49999999999994</v>
      </c>
      <c r="W93" s="110">
        <f t="shared" ref="W93:W97" ca="1" si="314">IFERROR(IF(V93&gt;0,TIME(V93,(V93-ROUNDDOWN(V93,0))*60,0)+DAY((ROUNDDOWN(V93,0)/24)),TIME((-V93),((-V93)-ROUNDDOWN((-V93),0))*60,0)+DAY((ROUNDDOWN((-V93),0)/24))),"")</f>
        <v>8.9375</v>
      </c>
      <c r="X93" s="111">
        <f t="shared" ref="X93:X97" ca="1" si="315">IF(U93=0,"-",ROUNDUP(VALUE(U93),0))</f>
        <v>44957</v>
      </c>
      <c r="Y93" s="112" t="str">
        <f ca="1">IFERROR(IF(SUMIFS($N$9:$N93,$X$9:$X93,ROUNDUP(VALUE(U93),0),$Q$9:$Q93,"npt")=0,"-",SUMIFS($N$9:$N93,$X$9:$X93,ROUNDUP(VALUE(U93),0),$Q$9:$Q93,"npt")/SUMIFS($N$9:$N93,$X$9:$X93,ROUNDUP(VALUE(U93),0))),"")</f>
        <v>-</v>
      </c>
      <c r="Z93" s="112">
        <f ca="1">IFERROR(IF($N93=0,"-",SUMIF($Q$11:$Q93,"npt",$N$11:$N93)/(T93*24)),"")</f>
        <v>3.7704918032786888E-2</v>
      </c>
      <c r="AA93" s="491"/>
      <c r="AB93" s="491"/>
      <c r="AC93" s="398" t="s">
        <v>224</v>
      </c>
      <c r="AD93" s="427">
        <f t="shared" ca="1" si="9"/>
        <v>3.7708333333333335</v>
      </c>
      <c r="AE93" s="427">
        <f t="shared" ca="1" si="0"/>
        <v>1112</v>
      </c>
      <c r="AF93" s="427">
        <f t="shared" ref="AF93:AF97" ca="1" si="316">T93</f>
        <v>12.708333333333332</v>
      </c>
      <c r="AG93" s="427">
        <f t="shared" ca="1" si="2"/>
        <v>2372</v>
      </c>
      <c r="AH93" s="493"/>
      <c r="AI93" s="427">
        <f t="shared" ca="1" si="3"/>
        <v>0</v>
      </c>
      <c r="AJ93" s="493"/>
      <c r="AK93" s="428">
        <f t="shared" ref="AK93:AK97" ca="1" si="317">IF(B93&lt;&gt;"",B93,INDIRECT(ADDRESS(ROW()+1,COLUMN($AK$9),,,)))</f>
        <v>2</v>
      </c>
      <c r="AL93" s="428">
        <f ca="1">IF(A93&lt;&gt;"",IFERROR(INDEX('1_INPUT'!$B$69:$E$89,MATCH($A93,'1_INPUT'!$E$69:$E$89,0),1),""),INDIRECT(ADDRESS(ROW()+1,COLUMN($AL$9),,,)))</f>
        <v>3</v>
      </c>
      <c r="AM93" s="428" t="str">
        <f ca="1">IF(AN93="","",MAX(INDIRECT(ADDRESS(9,COLUMN($AM$9),,,)):INDIRECT(ADDRESS(ROW()-1,COLUMN($AM$9),,,)))+1)</f>
        <v/>
      </c>
      <c r="AN93" s="429" t="str">
        <f>IF($AO93&lt;&gt;"",VLOOKUP($AK93,'1_INPUT'!$B$124:$D$136,2,FALSE),"")</f>
        <v/>
      </c>
      <c r="AO93" s="429" t="str">
        <f t="shared" si="10"/>
        <v/>
      </c>
      <c r="AP93" s="427">
        <f ca="1">SUMIF($AL$10:AL93,$AL93,$I$10:I93)</f>
        <v>197.97916666666683</v>
      </c>
      <c r="AR93" s="430" t="str">
        <f t="shared" ca="1" si="5"/>
        <v>WORKOVER SECTION</v>
      </c>
      <c r="AS93" s="430">
        <f ca="1">MATCH(AR93,'1_INPUT'!$V$43:$V$64,0)+1</f>
        <v>6</v>
      </c>
      <c r="AT93" s="430">
        <f ca="1">VLOOKUP(AR93,'1_INPUT'!$V$43:$W$64,2,FALSE)</f>
        <v>21</v>
      </c>
      <c r="AU93" s="430">
        <f ca="1">COUNTIF('1_INPUT'!$W$43:$W$64,AT93)-1</f>
        <v>5</v>
      </c>
      <c r="AV93" s="430" t="e">
        <f ca="1">OFFSET('1_INPUT'!$V$42,$AS93,,$AU93,)</f>
        <v>#VALUE!</v>
      </c>
      <c r="AX93" s="430" t="str">
        <f t="shared" ref="AX93:AX97" si="318">IF(A93&lt;&gt;"",""&amp;AR93&amp;"-"&amp;A93&amp;"","")</f>
        <v/>
      </c>
      <c r="CK93" s="9"/>
      <c r="CL93" s="9"/>
    </row>
    <row r="94" spans="1:90" ht="57" customHeight="1">
      <c r="A94" s="205"/>
      <c r="B94" s="518"/>
      <c r="C94" s="208" t="str">
        <f>IF(D94&lt;&gt;"",MAX($C$9:C93)+1,"")</f>
        <v/>
      </c>
      <c r="D94" s="523"/>
      <c r="E94" s="406"/>
      <c r="F94" s="407"/>
      <c r="G94" s="209">
        <f t="shared" ca="1" si="309"/>
        <v>90.5</v>
      </c>
      <c r="H94" s="209">
        <f t="shared" si="218"/>
        <v>0</v>
      </c>
      <c r="I94" s="209">
        <f t="shared" ca="1" si="310"/>
        <v>3.7708333333333335</v>
      </c>
      <c r="J94" s="540">
        <v>1112</v>
      </c>
      <c r="K94" s="200"/>
      <c r="L94" s="532" t="s">
        <v>706</v>
      </c>
      <c r="M94" s="400" t="s">
        <v>146</v>
      </c>
      <c r="N94" s="572">
        <v>1</v>
      </c>
      <c r="O94" s="95">
        <f t="shared" ca="1" si="311"/>
        <v>306</v>
      </c>
      <c r="P94" s="403">
        <v>2372</v>
      </c>
      <c r="Q94" s="116">
        <f>IF(N94&gt;0,VLOOKUP(M94,'3_TIME SUM'!$F$7:$G$128,2,FALSE),0)</f>
        <v>0</v>
      </c>
      <c r="R94" s="517"/>
      <c r="S94" s="94">
        <f t="shared" si="12"/>
        <v>4.1666666666666664E-2</v>
      </c>
      <c r="T94" s="94">
        <f t="shared" ca="1" si="312"/>
        <v>12.749999999999998</v>
      </c>
      <c r="U94" s="535">
        <f ca="1">$T94+'1_INPUT'!$E$18</f>
        <v>44956.541666666664</v>
      </c>
      <c r="V94" s="95">
        <f t="shared" ca="1" si="313"/>
        <v>-215.49999999999994</v>
      </c>
      <c r="W94" s="110">
        <f t="shared" ca="1" si="314"/>
        <v>8.9791666666666661</v>
      </c>
      <c r="X94" s="111">
        <f t="shared" ca="1" si="315"/>
        <v>44957</v>
      </c>
      <c r="Y94" s="112" t="str">
        <f ca="1">IFERROR(IF(SUMIFS($N$9:$N94,$X$9:$X94,ROUNDUP(VALUE(U94),0),$Q$9:$Q94,"npt")=0,"-",SUMIFS($N$9:$N94,$X$9:$X94,ROUNDUP(VALUE(U94),0),$Q$9:$Q94,"npt")/SUMIFS($N$9:$N94,$X$9:$X94,ROUNDUP(VALUE(U94),0))),"")</f>
        <v>-</v>
      </c>
      <c r="Z94" s="112">
        <f ca="1">IFERROR(IF($N94=0,"-",SUMIF($Q$11:$Q94,"npt",$N$11:$N94)/(T94*24)),"")</f>
        <v>3.7581699346405234E-2</v>
      </c>
      <c r="AA94" s="491"/>
      <c r="AB94" s="491"/>
      <c r="AC94" s="398" t="s">
        <v>224</v>
      </c>
      <c r="AD94" s="427">
        <f t="shared" ca="1" si="9"/>
        <v>3.7708333333333335</v>
      </c>
      <c r="AE94" s="427">
        <f t="shared" ca="1" si="0"/>
        <v>1112</v>
      </c>
      <c r="AF94" s="427">
        <f t="shared" ca="1" si="316"/>
        <v>12.749999999999998</v>
      </c>
      <c r="AG94" s="427">
        <f t="shared" ca="1" si="2"/>
        <v>2372</v>
      </c>
      <c r="AH94" s="493"/>
      <c r="AI94" s="427">
        <f t="shared" ca="1" si="3"/>
        <v>0</v>
      </c>
      <c r="AJ94" s="493"/>
      <c r="AK94" s="428">
        <f t="shared" ca="1" si="317"/>
        <v>2</v>
      </c>
      <c r="AL94" s="428">
        <f ca="1">IF(A94&lt;&gt;"",IFERROR(INDEX('1_INPUT'!$B$69:$E$89,MATCH($A94,'1_INPUT'!$E$69:$E$89,0),1),""),INDIRECT(ADDRESS(ROW()+1,COLUMN($AL$9),,,)))</f>
        <v>3</v>
      </c>
      <c r="AM94" s="428" t="str">
        <f ca="1">IF(AN94="","",MAX(INDIRECT(ADDRESS(9,COLUMN($AM$9),,,)):INDIRECT(ADDRESS(ROW()-1,COLUMN($AM$9),,,)))+1)</f>
        <v/>
      </c>
      <c r="AN94" s="429" t="str">
        <f>IF($AO94&lt;&gt;"",VLOOKUP($AK94,'1_INPUT'!$B$124:$D$136,2,FALSE),"")</f>
        <v/>
      </c>
      <c r="AO94" s="429" t="str">
        <f t="shared" si="10"/>
        <v/>
      </c>
      <c r="AP94" s="427">
        <f ca="1">SUMIF($AL$10:AL94,$AL94,$I$10:I94)</f>
        <v>201.75000000000017</v>
      </c>
      <c r="AR94" s="430" t="str">
        <f t="shared" ca="1" si="5"/>
        <v>WORKOVER SECTION</v>
      </c>
      <c r="AS94" s="430">
        <f ca="1">MATCH(AR94,'1_INPUT'!$V$43:$V$64,0)+1</f>
        <v>6</v>
      </c>
      <c r="AT94" s="430">
        <f ca="1">VLOOKUP(AR94,'1_INPUT'!$V$43:$W$64,2,FALSE)</f>
        <v>21</v>
      </c>
      <c r="AU94" s="430">
        <f ca="1">COUNTIF('1_INPUT'!$W$43:$W$64,AT94)-1</f>
        <v>5</v>
      </c>
      <c r="AV94" s="430" t="e">
        <f ca="1">OFFSET('1_INPUT'!$V$42,$AS94,,$AU94,)</f>
        <v>#VALUE!</v>
      </c>
      <c r="AX94" s="430" t="str">
        <f t="shared" si="318"/>
        <v/>
      </c>
      <c r="CK94" s="9"/>
      <c r="CL94" s="9"/>
    </row>
    <row r="95" spans="1:90" ht="13.8">
      <c r="A95" s="205"/>
      <c r="B95" s="518"/>
      <c r="C95" s="208" t="str">
        <f>IF(D95&lt;&gt;"",MAX($C$9:C94)+1,"")</f>
        <v/>
      </c>
      <c r="D95" s="523"/>
      <c r="E95" s="406"/>
      <c r="F95" s="407"/>
      <c r="G95" s="209">
        <f t="shared" ca="1" si="309"/>
        <v>90.5</v>
      </c>
      <c r="H95" s="209">
        <f t="shared" si="218"/>
        <v>0</v>
      </c>
      <c r="I95" s="209">
        <f t="shared" ca="1" si="310"/>
        <v>3.7708333333333335</v>
      </c>
      <c r="J95" s="540">
        <v>1112</v>
      </c>
      <c r="K95" s="200"/>
      <c r="L95" s="532" t="s">
        <v>707</v>
      </c>
      <c r="M95" s="400" t="s">
        <v>36</v>
      </c>
      <c r="N95" s="572">
        <v>1</v>
      </c>
      <c r="O95" s="95">
        <f t="shared" ca="1" si="311"/>
        <v>307</v>
      </c>
      <c r="P95" s="403">
        <v>2372</v>
      </c>
      <c r="Q95" s="116">
        <f>IF(N95&gt;0,VLOOKUP(M95,'3_TIME SUM'!$F$7:$G$128,2,FALSE),0)</f>
        <v>0</v>
      </c>
      <c r="R95" s="517"/>
      <c r="S95" s="94">
        <f t="shared" si="12"/>
        <v>4.1666666666666664E-2</v>
      </c>
      <c r="T95" s="94">
        <f t="shared" ca="1" si="312"/>
        <v>12.791666666666664</v>
      </c>
      <c r="U95" s="535">
        <f ca="1">$T95+'1_INPUT'!$E$18</f>
        <v>44956.583333333328</v>
      </c>
      <c r="V95" s="95">
        <f t="shared" ca="1" si="313"/>
        <v>-216.49999999999994</v>
      </c>
      <c r="W95" s="110">
        <f t="shared" ca="1" si="314"/>
        <v>9.0208333333333339</v>
      </c>
      <c r="X95" s="111">
        <f t="shared" ca="1" si="315"/>
        <v>44957</v>
      </c>
      <c r="Y95" s="112" t="str">
        <f ca="1">IFERROR(IF(SUMIFS($N$9:$N95,$X$9:$X95,ROUNDUP(VALUE(U95),0),$Q$9:$Q95,"npt")=0,"-",SUMIFS($N$9:$N95,$X$9:$X95,ROUNDUP(VALUE(U95),0),$Q$9:$Q95,"npt")/SUMIFS($N$9:$N95,$X$9:$X95,ROUNDUP(VALUE(U95),0))),"")</f>
        <v>-</v>
      </c>
      <c r="Z95" s="112">
        <f ca="1">IFERROR(IF($N95=0,"-",SUMIF($Q$11:$Q95,"npt",$N$11:$N95)/(T95*24)),"")</f>
        <v>3.745928338762216E-2</v>
      </c>
      <c r="AA95" s="491"/>
      <c r="AB95" s="491"/>
      <c r="AC95" s="398" t="s">
        <v>224</v>
      </c>
      <c r="AD95" s="427">
        <f t="shared" ca="1" si="9"/>
        <v>3.7708333333333335</v>
      </c>
      <c r="AE95" s="427">
        <f t="shared" ca="1" si="0"/>
        <v>1112</v>
      </c>
      <c r="AF95" s="427">
        <f t="shared" ca="1" si="316"/>
        <v>12.791666666666664</v>
      </c>
      <c r="AG95" s="427">
        <f t="shared" ca="1" si="2"/>
        <v>2372</v>
      </c>
      <c r="AH95" s="493"/>
      <c r="AI95" s="427">
        <f t="shared" ca="1" si="3"/>
        <v>0</v>
      </c>
      <c r="AJ95" s="493"/>
      <c r="AK95" s="428">
        <f t="shared" ca="1" si="317"/>
        <v>2</v>
      </c>
      <c r="AL95" s="428">
        <f ca="1">IF(A95&lt;&gt;"",IFERROR(INDEX('1_INPUT'!$B$69:$E$89,MATCH($A95,'1_INPUT'!$E$69:$E$89,0),1),""),INDIRECT(ADDRESS(ROW()+1,COLUMN($AL$9),,,)))</f>
        <v>3</v>
      </c>
      <c r="AM95" s="428" t="str">
        <f ca="1">IF(AN95="","",MAX(INDIRECT(ADDRESS(9,COLUMN($AM$9),,,)):INDIRECT(ADDRESS(ROW()-1,COLUMN($AM$9),,,)))+1)</f>
        <v/>
      </c>
      <c r="AN95" s="429" t="str">
        <f>IF($AO95&lt;&gt;"",VLOOKUP($AK95,'1_INPUT'!$B$124:$D$136,2,FALSE),"")</f>
        <v/>
      </c>
      <c r="AO95" s="429" t="str">
        <f t="shared" si="10"/>
        <v/>
      </c>
      <c r="AP95" s="427">
        <f ca="1">SUMIF($AL$10:AL95,$AL95,$I$10:I95)</f>
        <v>205.52083333333351</v>
      </c>
      <c r="AR95" s="430" t="str">
        <f t="shared" ca="1" si="5"/>
        <v>WORKOVER SECTION</v>
      </c>
      <c r="AS95" s="430">
        <f ca="1">MATCH(AR95,'1_INPUT'!$V$43:$V$64,0)+1</f>
        <v>6</v>
      </c>
      <c r="AT95" s="430">
        <f ca="1">VLOOKUP(AR95,'1_INPUT'!$V$43:$W$64,2,FALSE)</f>
        <v>21</v>
      </c>
      <c r="AU95" s="430">
        <f ca="1">COUNTIF('1_INPUT'!$W$43:$W$64,AT95)-1</f>
        <v>5</v>
      </c>
      <c r="AV95" s="430" t="e">
        <f ca="1">OFFSET('1_INPUT'!$V$42,$AS95,,$AU95,)</f>
        <v>#VALUE!</v>
      </c>
      <c r="AX95" s="430" t="str">
        <f t="shared" si="318"/>
        <v/>
      </c>
      <c r="CK95" s="9"/>
      <c r="CL95" s="9"/>
    </row>
    <row r="96" spans="1:90" ht="27.6">
      <c r="A96" s="205"/>
      <c r="B96" s="518"/>
      <c r="C96" s="208" t="str">
        <f>IF(D96&lt;&gt;"",MAX($C$9:C95)+1,"")</f>
        <v/>
      </c>
      <c r="D96" s="523"/>
      <c r="E96" s="406"/>
      <c r="F96" s="407"/>
      <c r="G96" s="209">
        <f t="shared" ca="1" si="309"/>
        <v>90.5</v>
      </c>
      <c r="H96" s="209">
        <f t="shared" si="218"/>
        <v>0</v>
      </c>
      <c r="I96" s="209">
        <f t="shared" ca="1" si="310"/>
        <v>3.7708333333333335</v>
      </c>
      <c r="J96" s="540">
        <v>1112</v>
      </c>
      <c r="K96" s="200"/>
      <c r="L96" s="532" t="s">
        <v>673</v>
      </c>
      <c r="M96" s="400" t="s">
        <v>126</v>
      </c>
      <c r="N96" s="572">
        <v>0.5</v>
      </c>
      <c r="O96" s="95">
        <f t="shared" ca="1" si="311"/>
        <v>307.5</v>
      </c>
      <c r="P96" s="403">
        <v>2372</v>
      </c>
      <c r="Q96" s="116">
        <f>IF(N96&gt;0,VLOOKUP(M96,'3_TIME SUM'!$F$7:$G$128,2,FALSE),0)</f>
        <v>0</v>
      </c>
      <c r="R96" s="517"/>
      <c r="S96" s="94">
        <f t="shared" si="12"/>
        <v>2.0833333333333332E-2</v>
      </c>
      <c r="T96" s="94">
        <f t="shared" ca="1" si="312"/>
        <v>12.812499999999998</v>
      </c>
      <c r="U96" s="535">
        <f ca="1">$T96+'1_INPUT'!$E$18</f>
        <v>44956.604166666664</v>
      </c>
      <c r="V96" s="95">
        <f t="shared" ca="1" si="313"/>
        <v>-216.99999999999994</v>
      </c>
      <c r="W96" s="110">
        <f t="shared" ca="1" si="314"/>
        <v>9.0416666666666661</v>
      </c>
      <c r="X96" s="111">
        <f t="shared" ca="1" si="315"/>
        <v>44957</v>
      </c>
      <c r="Y96" s="112" t="str">
        <f ca="1">IFERROR(IF(SUMIFS($N$9:$N96,$X$9:$X96,ROUNDUP(VALUE(U96),0),$Q$9:$Q96,"npt")=0,"-",SUMIFS($N$9:$N96,$X$9:$X96,ROUNDUP(VALUE(U96),0),$Q$9:$Q96,"npt")/SUMIFS($N$9:$N96,$X$9:$X96,ROUNDUP(VALUE(U96),0))),"")</f>
        <v>-</v>
      </c>
      <c r="Z96" s="112">
        <f ca="1">IFERROR(IF($N96=0,"-",SUMIF($Q$11:$Q96,"npt",$N$11:$N96)/(T96*24)),"")</f>
        <v>3.7398373983739845E-2</v>
      </c>
      <c r="AA96" s="491"/>
      <c r="AB96" s="491"/>
      <c r="AC96" s="398" t="s">
        <v>224</v>
      </c>
      <c r="AD96" s="427">
        <f t="shared" ca="1" si="9"/>
        <v>3.7708333333333335</v>
      </c>
      <c r="AE96" s="427">
        <f t="shared" ca="1" si="0"/>
        <v>1112</v>
      </c>
      <c r="AF96" s="427">
        <f t="shared" ca="1" si="316"/>
        <v>12.812499999999998</v>
      </c>
      <c r="AG96" s="427">
        <f t="shared" ca="1" si="2"/>
        <v>2372</v>
      </c>
      <c r="AH96" s="493"/>
      <c r="AI96" s="427">
        <f t="shared" ca="1" si="3"/>
        <v>0</v>
      </c>
      <c r="AJ96" s="493"/>
      <c r="AK96" s="428">
        <f t="shared" ca="1" si="317"/>
        <v>2</v>
      </c>
      <c r="AL96" s="428">
        <f ca="1">IF(A96&lt;&gt;"",IFERROR(INDEX('1_INPUT'!$B$69:$E$89,MATCH($A96,'1_INPUT'!$E$69:$E$89,0),1),""),INDIRECT(ADDRESS(ROW()+1,COLUMN($AL$9),,,)))</f>
        <v>3</v>
      </c>
      <c r="AM96" s="428" t="str">
        <f ca="1">IF(AN96="","",MAX(INDIRECT(ADDRESS(9,COLUMN($AM$9),,,)):INDIRECT(ADDRESS(ROW()-1,COLUMN($AM$9),,,)))+1)</f>
        <v/>
      </c>
      <c r="AN96" s="429" t="str">
        <f>IF($AO96&lt;&gt;"",VLOOKUP($AK96,'1_INPUT'!$B$124:$D$136,2,FALSE),"")</f>
        <v/>
      </c>
      <c r="AO96" s="429" t="str">
        <f t="shared" si="10"/>
        <v/>
      </c>
      <c r="AP96" s="427">
        <f ca="1">SUMIF($AL$10:AL96,$AL96,$I$10:I96)</f>
        <v>209.29166666666686</v>
      </c>
      <c r="AR96" s="430" t="str">
        <f t="shared" ca="1" si="5"/>
        <v>WORKOVER SECTION</v>
      </c>
      <c r="AS96" s="430">
        <f ca="1">MATCH(AR96,'1_INPUT'!$V$43:$V$64,0)+1</f>
        <v>6</v>
      </c>
      <c r="AT96" s="430">
        <f ca="1">VLOOKUP(AR96,'1_INPUT'!$V$43:$W$64,2,FALSE)</f>
        <v>21</v>
      </c>
      <c r="AU96" s="430">
        <f ca="1">COUNTIF('1_INPUT'!$W$43:$W$64,AT96)-1</f>
        <v>5</v>
      </c>
      <c r="AV96" s="430" t="e">
        <f ca="1">OFFSET('1_INPUT'!$V$42,$AS96,,$AU96,)</f>
        <v>#VALUE!</v>
      </c>
      <c r="AX96" s="430" t="str">
        <f t="shared" si="318"/>
        <v/>
      </c>
      <c r="CK96" s="9"/>
      <c r="CL96" s="9"/>
    </row>
    <row r="97" spans="1:90" ht="41.4">
      <c r="A97" s="205"/>
      <c r="B97" s="518"/>
      <c r="C97" s="208" t="str">
        <f>IF(D97&lt;&gt;"",MAX($C$9:C96)+1,"")</f>
        <v/>
      </c>
      <c r="D97" s="523"/>
      <c r="E97" s="406"/>
      <c r="F97" s="407"/>
      <c r="G97" s="209">
        <f t="shared" ca="1" si="309"/>
        <v>90.5</v>
      </c>
      <c r="H97" s="209">
        <f t="shared" si="218"/>
        <v>0</v>
      </c>
      <c r="I97" s="209">
        <f t="shared" ca="1" si="310"/>
        <v>3.7708333333333335</v>
      </c>
      <c r="J97" s="540">
        <v>1112</v>
      </c>
      <c r="K97" s="200"/>
      <c r="L97" s="532" t="s">
        <v>708</v>
      </c>
      <c r="M97" s="400" t="s">
        <v>146</v>
      </c>
      <c r="N97" s="572">
        <v>9.5</v>
      </c>
      <c r="O97" s="95">
        <f t="shared" ca="1" si="311"/>
        <v>317</v>
      </c>
      <c r="P97" s="403">
        <v>2372</v>
      </c>
      <c r="Q97" s="116">
        <f>IF(N97&gt;0,VLOOKUP(M97,'3_TIME SUM'!$F$7:$G$128,2,FALSE),0)</f>
        <v>0</v>
      </c>
      <c r="R97" s="517"/>
      <c r="S97" s="94">
        <f t="shared" si="12"/>
        <v>0.39583333333333331</v>
      </c>
      <c r="T97" s="94">
        <f t="shared" ca="1" si="312"/>
        <v>13.208333333333332</v>
      </c>
      <c r="U97" s="539">
        <f ca="1">$T97+'1_INPUT'!$E$18</f>
        <v>44957</v>
      </c>
      <c r="V97" s="95">
        <f t="shared" ca="1" si="313"/>
        <v>-226.49999999999994</v>
      </c>
      <c r="W97" s="110">
        <f t="shared" ca="1" si="314"/>
        <v>9.4375</v>
      </c>
      <c r="X97" s="111">
        <f t="shared" ca="1" si="315"/>
        <v>44957</v>
      </c>
      <c r="Y97" s="112" t="str">
        <f ca="1">IFERROR(IF(SUMIFS($N$9:$N97,$X$9:$X97,ROUNDUP(VALUE(U97),0),$Q$9:$Q97,"npt")=0,"-",SUMIFS($N$9:$N97,$X$9:$X97,ROUNDUP(VALUE(U97),0),$Q$9:$Q97,"npt")/SUMIFS($N$9:$N97,$X$9:$X97,ROUNDUP(VALUE(U97),0))),"")</f>
        <v>-</v>
      </c>
      <c r="Z97" s="112">
        <f ca="1">IFERROR(IF($N97=0,"-",SUMIF($Q$11:$Q97,"npt",$N$11:$N97)/(T97*24)),"")</f>
        <v>3.6277602523659309E-2</v>
      </c>
      <c r="AA97" s="491"/>
      <c r="AB97" s="491"/>
      <c r="AC97" s="398" t="s">
        <v>224</v>
      </c>
      <c r="AD97" s="427">
        <f t="shared" ca="1" si="9"/>
        <v>3.7708333333333335</v>
      </c>
      <c r="AE97" s="427">
        <f t="shared" ca="1" si="0"/>
        <v>1112</v>
      </c>
      <c r="AF97" s="427">
        <f t="shared" ca="1" si="316"/>
        <v>13.208333333333332</v>
      </c>
      <c r="AG97" s="427">
        <f t="shared" ca="1" si="2"/>
        <v>2372</v>
      </c>
      <c r="AH97" s="493"/>
      <c r="AI97" s="427">
        <f t="shared" ca="1" si="3"/>
        <v>0</v>
      </c>
      <c r="AJ97" s="493"/>
      <c r="AK97" s="428">
        <f t="shared" ca="1" si="317"/>
        <v>2</v>
      </c>
      <c r="AL97" s="428">
        <f ca="1">IF(A97&lt;&gt;"",IFERROR(INDEX('1_INPUT'!$B$69:$E$89,MATCH($A97,'1_INPUT'!$E$69:$E$89,0),1),""),INDIRECT(ADDRESS(ROW()+1,COLUMN($AL$9),,,)))</f>
        <v>3</v>
      </c>
      <c r="AM97" s="428" t="str">
        <f ca="1">IF(AN97="","",MAX(INDIRECT(ADDRESS(9,COLUMN($AM$9),,,)):INDIRECT(ADDRESS(ROW()-1,COLUMN($AM$9),,,)))+1)</f>
        <v/>
      </c>
      <c r="AN97" s="429" t="str">
        <f>IF($AO97&lt;&gt;"",VLOOKUP($AK97,'1_INPUT'!$B$124:$D$136,2,FALSE),"")</f>
        <v/>
      </c>
      <c r="AO97" s="429" t="str">
        <f t="shared" si="10"/>
        <v/>
      </c>
      <c r="AP97" s="427">
        <f ca="1">SUMIF($AL$10:AL97,$AL97,$I$10:I97)</f>
        <v>213.0625000000002</v>
      </c>
      <c r="AR97" s="430" t="str">
        <f t="shared" ca="1" si="5"/>
        <v>WORKOVER SECTION</v>
      </c>
      <c r="AS97" s="430">
        <f ca="1">MATCH(AR97,'1_INPUT'!$V$43:$V$64,0)+1</f>
        <v>6</v>
      </c>
      <c r="AT97" s="430">
        <f ca="1">VLOOKUP(AR97,'1_INPUT'!$V$43:$W$64,2,FALSE)</f>
        <v>21</v>
      </c>
      <c r="AU97" s="430">
        <f ca="1">COUNTIF('1_INPUT'!$W$43:$W$64,AT97)-1</f>
        <v>5</v>
      </c>
      <c r="AV97" s="430" t="e">
        <f ca="1">OFFSET('1_INPUT'!$V$42,$AS97,,$AU97,)</f>
        <v>#VALUE!</v>
      </c>
      <c r="AX97" s="430" t="str">
        <f t="shared" si="318"/>
        <v/>
      </c>
      <c r="CK97" s="9"/>
      <c r="CL97" s="9"/>
    </row>
    <row r="98" spans="1:90" ht="41.4">
      <c r="A98" s="205"/>
      <c r="B98" s="518"/>
      <c r="C98" s="208" t="str">
        <f>IF(D98&lt;&gt;"",MAX($C$9:C97)+1,"")</f>
        <v/>
      </c>
      <c r="D98" s="523"/>
      <c r="E98" s="406"/>
      <c r="F98" s="407"/>
      <c r="G98" s="209">
        <f t="shared" ref="G98:G101" ca="1" si="319">IF(INDIRECT(ADDRESS(ROW()-1,COLUMN(B$7),,,))&lt;&gt;"",INDIRECT(ADDRESS(ROW(),COLUMN(F$7),,,)),INDIRECT(ADDRESS(ROW()-1,COLUMN(G$7),,,))+INDIRECT(ADDRESS(ROW(),COLUMN(F$7),,,)))</f>
        <v>90.5</v>
      </c>
      <c r="H98" s="209">
        <f t="shared" si="218"/>
        <v>0</v>
      </c>
      <c r="I98" s="209">
        <f t="shared" ref="I98:I101" ca="1" si="320">INDIRECT(ADDRESS(ROW()-1,COLUMN(I$7),,,))+INDIRECT(ADDRESS(ROW(),COLUMN(H$7),,,))</f>
        <v>3.7708333333333335</v>
      </c>
      <c r="J98" s="540">
        <v>1112</v>
      </c>
      <c r="K98" s="200"/>
      <c r="L98" s="532" t="s">
        <v>709</v>
      </c>
      <c r="M98" s="400" t="s">
        <v>146</v>
      </c>
      <c r="N98" s="572">
        <v>2</v>
      </c>
      <c r="O98" s="95">
        <f t="shared" ref="O98:O101" ca="1" si="321">IF(INDIRECT(ADDRESS(ROW()-1,COLUMN(B$7),,,))&lt;&gt;"",INDIRECT(ADDRESS(ROW(),COLUMN(N$7),,,)),INDIRECT(ADDRESS(ROW()-1,COLUMN(O$7),,,))+INDIRECT(ADDRESS(ROW(),COLUMN(N$7),,,)))</f>
        <v>319</v>
      </c>
      <c r="P98" s="403">
        <v>2372</v>
      </c>
      <c r="Q98" s="116">
        <f>IF(N98&gt;0,VLOOKUP(M98,'3_TIME SUM'!$F$7:$G$128,2,FALSE),0)</f>
        <v>0</v>
      </c>
      <c r="R98" s="517"/>
      <c r="S98" s="94">
        <f t="shared" si="12"/>
        <v>8.3333333333333329E-2</v>
      </c>
      <c r="T98" s="94">
        <f t="shared" ref="T98:T101" ca="1" si="322">INDIRECT(ADDRESS(ROW()-1,COLUMN(T$7),,,))+INDIRECT(ADDRESS(ROW(),COLUMN(S$7),,,))</f>
        <v>13.291666666666666</v>
      </c>
      <c r="U98" s="535">
        <f ca="1">$T98+'1_INPUT'!$E$18</f>
        <v>44957.083333333328</v>
      </c>
      <c r="V98" s="95">
        <f t="shared" ref="V98:V101" ca="1" si="323">IFERROR(IF($AI98=0,($I98-T98)*24,(($P98-INDIRECT(ADDRESS(ROW()-1,COLUMN($P$9),,,)))/$AI98)-$N98+(INDIRECT(ADDRESS(ROW()-1,COLUMN(V$9),,,)))),"")</f>
        <v>-228.49999999999997</v>
      </c>
      <c r="W98" s="110">
        <f t="shared" ref="W98:W101" ca="1" si="324">IFERROR(IF(V98&gt;0,TIME(V98,(V98-ROUNDDOWN(V98,0))*60,0)+DAY((ROUNDDOWN(V98,0)/24)),TIME((-V98),((-V98)-ROUNDDOWN((-V98),0))*60,0)+DAY((ROUNDDOWN((-V98),0)/24))),"")</f>
        <v>9.5208333333333339</v>
      </c>
      <c r="X98" s="111">
        <f t="shared" ref="X98:X101" ca="1" si="325">IF(U98=0,"-",ROUNDUP(VALUE(U98),0))</f>
        <v>44958</v>
      </c>
      <c r="Y98" s="112" t="str">
        <f ca="1">IFERROR(IF(SUMIFS($N$9:$N98,$X$9:$X98,ROUNDUP(VALUE(U98),0),$Q$9:$Q98,"npt")=0,"-",SUMIFS($N$9:$N98,$X$9:$X98,ROUNDUP(VALUE(U98),0),$Q$9:$Q98,"npt")/SUMIFS($N$9:$N98,$X$9:$X98,ROUNDUP(VALUE(U98),0))),"")</f>
        <v>-</v>
      </c>
      <c r="Z98" s="112">
        <f ca="1">IFERROR(IF($N98=0,"-",SUMIF($Q$11:$Q98,"npt",$N$11:$N98)/(T98*24)),"")</f>
        <v>3.6050156739811913E-2</v>
      </c>
      <c r="AA98" s="491"/>
      <c r="AB98" s="491"/>
      <c r="AC98" s="398" t="s">
        <v>224</v>
      </c>
      <c r="AD98" s="427">
        <f t="shared" ca="1" si="9"/>
        <v>3.7708333333333335</v>
      </c>
      <c r="AE98" s="427">
        <f t="shared" ca="1" si="0"/>
        <v>1112</v>
      </c>
      <c r="AF98" s="427">
        <f t="shared" ref="AF98:AF101" ca="1" si="326">T98</f>
        <v>13.291666666666666</v>
      </c>
      <c r="AG98" s="427">
        <f t="shared" ca="1" si="2"/>
        <v>2372</v>
      </c>
      <c r="AH98" s="493"/>
      <c r="AI98" s="427">
        <f t="shared" ca="1" si="3"/>
        <v>0</v>
      </c>
      <c r="AJ98" s="493"/>
      <c r="AK98" s="428">
        <f t="shared" ref="AK98:AK101" ca="1" si="327">IF(B98&lt;&gt;"",B98,INDIRECT(ADDRESS(ROW()+1,COLUMN($AK$9),,,)))</f>
        <v>2</v>
      </c>
      <c r="AL98" s="428">
        <f ca="1">IF(A98&lt;&gt;"",IFERROR(INDEX('1_INPUT'!$B$69:$E$89,MATCH($A98,'1_INPUT'!$E$69:$E$89,0),1),""),INDIRECT(ADDRESS(ROW()+1,COLUMN($AL$9),,,)))</f>
        <v>3</v>
      </c>
      <c r="AM98" s="428" t="str">
        <f ca="1">IF(AN98="","",MAX(INDIRECT(ADDRESS(9,COLUMN($AM$9),,,)):INDIRECT(ADDRESS(ROW()-1,COLUMN($AM$9),,,)))+1)</f>
        <v/>
      </c>
      <c r="AN98" s="429" t="str">
        <f>IF($AO98&lt;&gt;"",VLOOKUP($AK98,'1_INPUT'!$B$124:$D$136,2,FALSE),"")</f>
        <v/>
      </c>
      <c r="AO98" s="429" t="str">
        <f t="shared" si="10"/>
        <v/>
      </c>
      <c r="AP98" s="427">
        <f ca="1">SUMIF($AL$10:AL98,$AL98,$I$10:I98)</f>
        <v>216.83333333333354</v>
      </c>
      <c r="AR98" s="430" t="str">
        <f t="shared" ca="1" si="5"/>
        <v>WORKOVER SECTION</v>
      </c>
      <c r="AS98" s="430">
        <f ca="1">MATCH(AR98,'1_INPUT'!$V$43:$V$64,0)+1</f>
        <v>6</v>
      </c>
      <c r="AT98" s="430">
        <f ca="1">VLOOKUP(AR98,'1_INPUT'!$V$43:$W$64,2,FALSE)</f>
        <v>21</v>
      </c>
      <c r="AU98" s="430">
        <f ca="1">COUNTIF('1_INPUT'!$W$43:$W$64,AT98)-1</f>
        <v>5</v>
      </c>
      <c r="AV98" s="430" t="e">
        <f ca="1">OFFSET('1_INPUT'!$V$42,$AS98,,$AU98,)</f>
        <v>#VALUE!</v>
      </c>
      <c r="AX98" s="430" t="str">
        <f t="shared" ref="AX98:AX101" si="328">IF(A98&lt;&gt;"",""&amp;AR98&amp;"-"&amp;A98&amp;"","")</f>
        <v/>
      </c>
      <c r="CK98" s="9"/>
      <c r="CL98" s="9"/>
    </row>
    <row r="99" spans="1:90" ht="41.4">
      <c r="A99" s="205"/>
      <c r="B99" s="518"/>
      <c r="C99" s="208" t="str">
        <f>IF(D99&lt;&gt;"",MAX($C$9:C98)+1,"")</f>
        <v/>
      </c>
      <c r="D99" s="523"/>
      <c r="E99" s="406"/>
      <c r="F99" s="407"/>
      <c r="G99" s="209">
        <f t="shared" ca="1" si="319"/>
        <v>90.5</v>
      </c>
      <c r="H99" s="209">
        <f t="shared" si="218"/>
        <v>0</v>
      </c>
      <c r="I99" s="209">
        <f t="shared" ca="1" si="320"/>
        <v>3.7708333333333335</v>
      </c>
      <c r="J99" s="540">
        <v>1112</v>
      </c>
      <c r="K99" s="200"/>
      <c r="L99" s="532" t="s">
        <v>710</v>
      </c>
      <c r="M99" s="400" t="s">
        <v>85</v>
      </c>
      <c r="N99" s="400">
        <v>12.5</v>
      </c>
      <c r="O99" s="95">
        <f t="shared" ca="1" si="321"/>
        <v>331.5</v>
      </c>
      <c r="P99" s="403">
        <v>2372</v>
      </c>
      <c r="Q99" s="116">
        <f>IF(N99&gt;0,VLOOKUP(M99,'3_TIME SUM'!$F$7:$G$128,2,FALSE),0)</f>
        <v>0</v>
      </c>
      <c r="R99" s="517"/>
      <c r="S99" s="94">
        <f t="shared" si="12"/>
        <v>0.52083333333333337</v>
      </c>
      <c r="T99" s="94">
        <f t="shared" ca="1" si="322"/>
        <v>13.8125</v>
      </c>
      <c r="U99" s="535">
        <f ca="1">$T99+'1_INPUT'!$E$18</f>
        <v>44957.604166666664</v>
      </c>
      <c r="V99" s="95">
        <f t="shared" ca="1" si="323"/>
        <v>-241</v>
      </c>
      <c r="W99" s="110">
        <f t="shared" ca="1" si="324"/>
        <v>10.041666666666666</v>
      </c>
      <c r="X99" s="111">
        <f t="shared" ca="1" si="325"/>
        <v>44958</v>
      </c>
      <c r="Y99" s="112" t="str">
        <f ca="1">IFERROR(IF(SUMIFS($N$9:$N99,$X$9:$X99,ROUNDUP(VALUE(U99),0),$Q$9:$Q99,"npt")=0,"-",SUMIFS($N$9:$N99,$X$9:$X99,ROUNDUP(VALUE(U99),0),$Q$9:$Q99,"npt")/SUMIFS($N$9:$N99,$X$9:$X99,ROUNDUP(VALUE(U99),0))),"")</f>
        <v>-</v>
      </c>
      <c r="Z99" s="112">
        <f ca="1">IFERROR(IF($N99=0,"-",SUMIF($Q$11:$Q99,"npt",$N$11:$N99)/(T99*24)),"")</f>
        <v>3.4690799396681751E-2</v>
      </c>
      <c r="AA99" s="491"/>
      <c r="AB99" s="491"/>
      <c r="AC99" s="398" t="s">
        <v>224</v>
      </c>
      <c r="AD99" s="427">
        <f t="shared" ca="1" si="9"/>
        <v>3.7708333333333335</v>
      </c>
      <c r="AE99" s="427">
        <f t="shared" ca="1" si="0"/>
        <v>1112</v>
      </c>
      <c r="AF99" s="427">
        <f t="shared" ca="1" si="326"/>
        <v>13.8125</v>
      </c>
      <c r="AG99" s="427">
        <f t="shared" ca="1" si="2"/>
        <v>2372</v>
      </c>
      <c r="AH99" s="493"/>
      <c r="AI99" s="427">
        <f t="shared" ca="1" si="3"/>
        <v>0</v>
      </c>
      <c r="AJ99" s="493"/>
      <c r="AK99" s="428">
        <f t="shared" ca="1" si="327"/>
        <v>2</v>
      </c>
      <c r="AL99" s="428">
        <f ca="1">IF(A99&lt;&gt;"",IFERROR(INDEX('1_INPUT'!$B$69:$E$89,MATCH($A99,'1_INPUT'!$E$69:$E$89,0),1),""),INDIRECT(ADDRESS(ROW()+1,COLUMN($AL$9),,,)))</f>
        <v>3</v>
      </c>
      <c r="AM99" s="428" t="str">
        <f ca="1">IF(AN99="","",MAX(INDIRECT(ADDRESS(9,COLUMN($AM$9),,,)):INDIRECT(ADDRESS(ROW()-1,COLUMN($AM$9),,,)))+1)</f>
        <v/>
      </c>
      <c r="AN99" s="429" t="str">
        <f>IF($AO99&lt;&gt;"",VLOOKUP($AK99,'1_INPUT'!$B$124:$D$136,2,FALSE),"")</f>
        <v/>
      </c>
      <c r="AO99" s="429" t="str">
        <f t="shared" si="10"/>
        <v/>
      </c>
      <c r="AP99" s="427">
        <f ca="1">SUMIF($AL$10:AL99,$AL99,$I$10:I99)</f>
        <v>220.60416666666688</v>
      </c>
      <c r="AR99" s="430" t="str">
        <f t="shared" ca="1" si="5"/>
        <v>WORKOVER SECTION</v>
      </c>
      <c r="AS99" s="430">
        <f ca="1">MATCH(AR99,'1_INPUT'!$V$43:$V$64,0)+1</f>
        <v>6</v>
      </c>
      <c r="AT99" s="430">
        <f ca="1">VLOOKUP(AR99,'1_INPUT'!$V$43:$W$64,2,FALSE)</f>
        <v>21</v>
      </c>
      <c r="AU99" s="430">
        <f ca="1">COUNTIF('1_INPUT'!$W$43:$W$64,AT99)-1</f>
        <v>5</v>
      </c>
      <c r="AV99" s="430" t="e">
        <f ca="1">OFFSET('1_INPUT'!$V$42,$AS99,,$AU99,)</f>
        <v>#VALUE!</v>
      </c>
      <c r="AX99" s="430" t="str">
        <f t="shared" si="328"/>
        <v/>
      </c>
      <c r="CK99" s="9"/>
      <c r="CL99" s="9"/>
    </row>
    <row r="100" spans="1:90" ht="13.8">
      <c r="A100" s="205"/>
      <c r="B100" s="518"/>
      <c r="C100" s="208" t="str">
        <f>IF(D100&lt;&gt;"",MAX($C$9:C99)+1,"")</f>
        <v/>
      </c>
      <c r="D100" s="523"/>
      <c r="E100" s="406"/>
      <c r="F100" s="407"/>
      <c r="G100" s="209">
        <f t="shared" ca="1" si="319"/>
        <v>90.5</v>
      </c>
      <c r="H100" s="209">
        <f t="shared" si="218"/>
        <v>0</v>
      </c>
      <c r="I100" s="209">
        <f t="shared" ca="1" si="320"/>
        <v>3.7708333333333335</v>
      </c>
      <c r="J100" s="540">
        <v>1112</v>
      </c>
      <c r="K100" s="200"/>
      <c r="L100" s="532" t="s">
        <v>649</v>
      </c>
      <c r="M100" s="400" t="s">
        <v>85</v>
      </c>
      <c r="N100" s="400">
        <v>1</v>
      </c>
      <c r="O100" s="95">
        <f t="shared" ca="1" si="321"/>
        <v>332.5</v>
      </c>
      <c r="P100" s="403">
        <v>2372</v>
      </c>
      <c r="Q100" s="116">
        <f>IF(N100&gt;0,VLOOKUP(M100,'3_TIME SUM'!$F$7:$G$128,2,FALSE),0)</f>
        <v>0</v>
      </c>
      <c r="R100" s="517"/>
      <c r="S100" s="94">
        <f t="shared" si="12"/>
        <v>4.1666666666666664E-2</v>
      </c>
      <c r="T100" s="94">
        <f t="shared" ca="1" si="322"/>
        <v>13.854166666666666</v>
      </c>
      <c r="U100" s="535">
        <f ca="1">$T100+'1_INPUT'!$E$18</f>
        <v>44957.645833333328</v>
      </c>
      <c r="V100" s="95">
        <f t="shared" ca="1" si="323"/>
        <v>-241.99999999999997</v>
      </c>
      <c r="W100" s="110">
        <f t="shared" ca="1" si="324"/>
        <v>10.083333333333334</v>
      </c>
      <c r="X100" s="111">
        <f t="shared" ca="1" si="325"/>
        <v>44958</v>
      </c>
      <c r="Y100" s="112" t="str">
        <f ca="1">IFERROR(IF(SUMIFS($N$9:$N100,$X$9:$X100,ROUNDUP(VALUE(U100),0),$Q$9:$Q100,"npt")=0,"-",SUMIFS($N$9:$N100,$X$9:$X100,ROUNDUP(VALUE(U100),0),$Q$9:$Q100,"npt")/SUMIFS($N$9:$N100,$X$9:$X100,ROUNDUP(VALUE(U100),0))),"")</f>
        <v>-</v>
      </c>
      <c r="Z100" s="112">
        <f ca="1">IFERROR(IF($N100=0,"-",SUMIF($Q$11:$Q100,"npt",$N$11:$N100)/(T100*24)),"")</f>
        <v>3.4586466165413533E-2</v>
      </c>
      <c r="AA100" s="491"/>
      <c r="AB100" s="491"/>
      <c r="AC100" s="398" t="s">
        <v>224</v>
      </c>
      <c r="AD100" s="427">
        <f t="shared" ca="1" si="9"/>
        <v>3.7708333333333335</v>
      </c>
      <c r="AE100" s="427">
        <f t="shared" ca="1" si="0"/>
        <v>1112</v>
      </c>
      <c r="AF100" s="427">
        <f t="shared" ca="1" si="326"/>
        <v>13.854166666666666</v>
      </c>
      <c r="AG100" s="427">
        <f t="shared" ca="1" si="2"/>
        <v>2372</v>
      </c>
      <c r="AH100" s="493"/>
      <c r="AI100" s="427">
        <f t="shared" ca="1" si="3"/>
        <v>0</v>
      </c>
      <c r="AJ100" s="493"/>
      <c r="AK100" s="428">
        <f t="shared" ca="1" si="327"/>
        <v>2</v>
      </c>
      <c r="AL100" s="428">
        <f ca="1">IF(A100&lt;&gt;"",IFERROR(INDEX('1_INPUT'!$B$69:$E$89,MATCH($A100,'1_INPUT'!$E$69:$E$89,0),1),""),INDIRECT(ADDRESS(ROW()+1,COLUMN($AL$9),,,)))</f>
        <v>3</v>
      </c>
      <c r="AM100" s="428" t="str">
        <f ca="1">IF(AN100="","",MAX(INDIRECT(ADDRESS(9,COLUMN($AM$9),,,)):INDIRECT(ADDRESS(ROW()-1,COLUMN($AM$9),,,)))+1)</f>
        <v/>
      </c>
      <c r="AN100" s="429" t="str">
        <f>IF($AO100&lt;&gt;"",VLOOKUP($AK100,'1_INPUT'!$B$124:$D$136,2,FALSE),"")</f>
        <v/>
      </c>
      <c r="AO100" s="429" t="str">
        <f t="shared" si="10"/>
        <v/>
      </c>
      <c r="AP100" s="427">
        <f ca="1">SUMIF($AL$10:AL100,$AL100,$I$10:I100)</f>
        <v>224.37500000000023</v>
      </c>
      <c r="AR100" s="430" t="str">
        <f t="shared" ca="1" si="5"/>
        <v>WORKOVER SECTION</v>
      </c>
      <c r="AS100" s="430">
        <f ca="1">MATCH(AR100,'1_INPUT'!$V$43:$V$64,0)+1</f>
        <v>6</v>
      </c>
      <c r="AT100" s="430">
        <f ca="1">VLOOKUP(AR100,'1_INPUT'!$V$43:$W$64,2,FALSE)</f>
        <v>21</v>
      </c>
      <c r="AU100" s="430">
        <f ca="1">COUNTIF('1_INPUT'!$W$43:$W$64,AT100)-1</f>
        <v>5</v>
      </c>
      <c r="AV100" s="430" t="e">
        <f ca="1">OFFSET('1_INPUT'!$V$42,$AS100,,$AU100,)</f>
        <v>#VALUE!</v>
      </c>
      <c r="AX100" s="430" t="str">
        <f t="shared" si="328"/>
        <v/>
      </c>
      <c r="CK100" s="9"/>
      <c r="CL100" s="9"/>
    </row>
    <row r="101" spans="1:90" ht="96.6">
      <c r="A101" s="205"/>
      <c r="B101" s="518"/>
      <c r="C101" s="208" t="str">
        <f>IF(D101&lt;&gt;"",MAX($C$9:C100)+1,"")</f>
        <v/>
      </c>
      <c r="D101" s="523"/>
      <c r="E101" s="406"/>
      <c r="F101" s="407"/>
      <c r="G101" s="209">
        <f t="shared" ca="1" si="319"/>
        <v>90.5</v>
      </c>
      <c r="H101" s="209">
        <f t="shared" si="218"/>
        <v>0</v>
      </c>
      <c r="I101" s="209">
        <f t="shared" ca="1" si="320"/>
        <v>3.7708333333333335</v>
      </c>
      <c r="J101" s="540">
        <v>1112</v>
      </c>
      <c r="K101" s="200"/>
      <c r="L101" s="532" t="s">
        <v>711</v>
      </c>
      <c r="M101" s="400" t="s">
        <v>67</v>
      </c>
      <c r="N101" s="400">
        <v>8.5</v>
      </c>
      <c r="O101" s="95">
        <f t="shared" ca="1" si="321"/>
        <v>341</v>
      </c>
      <c r="P101" s="403">
        <v>2372</v>
      </c>
      <c r="Q101" s="116">
        <f>IF(N101&gt;0,VLOOKUP(M101,'3_TIME SUM'!$F$7:$G$128,2,FALSE),0)</f>
        <v>0</v>
      </c>
      <c r="R101" s="517"/>
      <c r="S101" s="94">
        <f t="shared" si="12"/>
        <v>0.35416666666666669</v>
      </c>
      <c r="T101" s="94">
        <f t="shared" ca="1" si="322"/>
        <v>14.208333333333332</v>
      </c>
      <c r="U101" s="539">
        <f ca="1">$T101+'1_INPUT'!$E$18</f>
        <v>44958</v>
      </c>
      <c r="V101" s="95">
        <f t="shared" ca="1" si="323"/>
        <v>-250.49999999999994</v>
      </c>
      <c r="W101" s="110">
        <f t="shared" ca="1" si="324"/>
        <v>10.4375</v>
      </c>
      <c r="X101" s="111">
        <f t="shared" ca="1" si="325"/>
        <v>44958</v>
      </c>
      <c r="Y101" s="112" t="str">
        <f ca="1">IFERROR(IF(SUMIFS($N$9:$N101,$X$9:$X101,ROUNDUP(VALUE(U101),0),$Q$9:$Q101,"npt")=0,"-",SUMIFS($N$9:$N101,$X$9:$X101,ROUNDUP(VALUE(U101),0),$Q$9:$Q101,"npt")/SUMIFS($N$9:$N101,$X$9:$X101,ROUNDUP(VALUE(U101),0))),"")</f>
        <v>-</v>
      </c>
      <c r="Z101" s="112">
        <f ca="1">IFERROR(IF($N101=0,"-",SUMIF($Q$11:$Q101,"npt",$N$11:$N101)/(T101*24)),"")</f>
        <v>3.3724340175953077E-2</v>
      </c>
      <c r="AA101" s="491"/>
      <c r="AB101" s="491"/>
      <c r="AC101" s="398" t="s">
        <v>224</v>
      </c>
      <c r="AD101" s="427">
        <f t="shared" ca="1" si="9"/>
        <v>3.7708333333333335</v>
      </c>
      <c r="AE101" s="427">
        <f t="shared" ca="1" si="0"/>
        <v>1112</v>
      </c>
      <c r="AF101" s="427">
        <f t="shared" ca="1" si="326"/>
        <v>14.208333333333332</v>
      </c>
      <c r="AG101" s="427">
        <f t="shared" ca="1" si="2"/>
        <v>2372</v>
      </c>
      <c r="AH101" s="493"/>
      <c r="AI101" s="427">
        <f t="shared" ca="1" si="3"/>
        <v>0</v>
      </c>
      <c r="AJ101" s="493"/>
      <c r="AK101" s="428">
        <f t="shared" ca="1" si="327"/>
        <v>2</v>
      </c>
      <c r="AL101" s="428">
        <f ca="1">IF(A101&lt;&gt;"",IFERROR(INDEX('1_INPUT'!$B$69:$E$89,MATCH($A101,'1_INPUT'!$E$69:$E$89,0),1),""),INDIRECT(ADDRESS(ROW()+1,COLUMN($AL$9),,,)))</f>
        <v>3</v>
      </c>
      <c r="AM101" s="428" t="str">
        <f ca="1">IF(AN101="","",MAX(INDIRECT(ADDRESS(9,COLUMN($AM$9),,,)):INDIRECT(ADDRESS(ROW()-1,COLUMN($AM$9),,,)))+1)</f>
        <v/>
      </c>
      <c r="AN101" s="429" t="str">
        <f>IF($AO101&lt;&gt;"",VLOOKUP($AK101,'1_INPUT'!$B$124:$D$136,2,FALSE),"")</f>
        <v/>
      </c>
      <c r="AO101" s="429" t="str">
        <f t="shared" si="10"/>
        <v/>
      </c>
      <c r="AP101" s="427">
        <f ca="1">SUMIF($AL$10:AL101,$AL101,$I$10:I101)</f>
        <v>228.14583333333357</v>
      </c>
      <c r="AR101" s="430" t="str">
        <f t="shared" ca="1" si="5"/>
        <v>WORKOVER SECTION</v>
      </c>
      <c r="AS101" s="430">
        <f ca="1">MATCH(AR101,'1_INPUT'!$V$43:$V$64,0)+1</f>
        <v>6</v>
      </c>
      <c r="AT101" s="430">
        <f ca="1">VLOOKUP(AR101,'1_INPUT'!$V$43:$W$64,2,FALSE)</f>
        <v>21</v>
      </c>
      <c r="AU101" s="430">
        <f ca="1">COUNTIF('1_INPUT'!$W$43:$W$64,AT101)-1</f>
        <v>5</v>
      </c>
      <c r="AV101" s="430" t="e">
        <f ca="1">OFFSET('1_INPUT'!$V$42,$AS101,,$AU101,)</f>
        <v>#VALUE!</v>
      </c>
      <c r="AX101" s="430" t="str">
        <f t="shared" si="328"/>
        <v/>
      </c>
      <c r="CK101" s="9"/>
      <c r="CL101" s="9"/>
    </row>
    <row r="102" spans="1:90" ht="96.6">
      <c r="A102" s="205"/>
      <c r="B102" s="518"/>
      <c r="C102" s="208" t="str">
        <f>IF(D102&lt;&gt;"",MAX($C$9:C101)+1,"")</f>
        <v/>
      </c>
      <c r="D102" s="523"/>
      <c r="E102" s="406"/>
      <c r="F102" s="407"/>
      <c r="G102" s="209">
        <f t="shared" ref="G102:G109" ca="1" si="329">IF(INDIRECT(ADDRESS(ROW()-1,COLUMN(B$7),,,))&lt;&gt;"",INDIRECT(ADDRESS(ROW(),COLUMN(F$7),,,)),INDIRECT(ADDRESS(ROW()-1,COLUMN(G$7),,,))+INDIRECT(ADDRESS(ROW(),COLUMN(F$7),,,)))</f>
        <v>90.5</v>
      </c>
      <c r="H102" s="209">
        <f t="shared" si="218"/>
        <v>0</v>
      </c>
      <c r="I102" s="209">
        <f t="shared" ref="I102:I109" ca="1" si="330">INDIRECT(ADDRESS(ROW()-1,COLUMN(I$7),,,))+INDIRECT(ADDRESS(ROW(),COLUMN(H$7),,,))</f>
        <v>3.7708333333333335</v>
      </c>
      <c r="J102" s="540">
        <v>1112</v>
      </c>
      <c r="K102" s="200"/>
      <c r="L102" s="532" t="s">
        <v>712</v>
      </c>
      <c r="M102" s="400" t="s">
        <v>67</v>
      </c>
      <c r="N102" s="400">
        <v>2</v>
      </c>
      <c r="O102" s="95">
        <f t="shared" ref="O102:O109" ca="1" si="331">IF(INDIRECT(ADDRESS(ROW()-1,COLUMN(B$7),,,))&lt;&gt;"",INDIRECT(ADDRESS(ROW(),COLUMN(N$7),,,)),INDIRECT(ADDRESS(ROW()-1,COLUMN(O$7),,,))+INDIRECT(ADDRESS(ROW(),COLUMN(N$7),,,)))</f>
        <v>343</v>
      </c>
      <c r="P102" s="403">
        <v>2372</v>
      </c>
      <c r="Q102" s="116">
        <f>IF(N102&gt;0,VLOOKUP(M102,'3_TIME SUM'!$F$7:$G$128,2,FALSE),0)</f>
        <v>0</v>
      </c>
      <c r="R102" s="517"/>
      <c r="S102" s="94">
        <f t="shared" si="12"/>
        <v>8.3333333333333329E-2</v>
      </c>
      <c r="T102" s="94">
        <f t="shared" ref="T102:T109" ca="1" si="332">INDIRECT(ADDRESS(ROW()-1,COLUMN(T$7),,,))+INDIRECT(ADDRESS(ROW(),COLUMN(S$7),,,))</f>
        <v>14.291666666666666</v>
      </c>
      <c r="U102" s="535">
        <f ca="1">$T102+'1_INPUT'!$E$18</f>
        <v>44958.083333333328</v>
      </c>
      <c r="V102" s="95">
        <f t="shared" ref="V102:V109" ca="1" si="333">IFERROR(IF($AI102=0,($I102-T102)*24,(($P102-INDIRECT(ADDRESS(ROW()-1,COLUMN($P$9),,,)))/$AI102)-$N102+(INDIRECT(ADDRESS(ROW()-1,COLUMN(V$9),,,)))),"")</f>
        <v>-252.49999999999997</v>
      </c>
      <c r="W102" s="110">
        <f t="shared" ref="W102:W109" ca="1" si="334">IFERROR(IF(V102&gt;0,TIME(V102,(V102-ROUNDDOWN(V102,0))*60,0)+DAY((ROUNDDOWN(V102,0)/24)),TIME((-V102),((-V102)-ROUNDDOWN((-V102),0))*60,0)+DAY((ROUNDDOWN((-V102),0)/24))),"")</f>
        <v>10.520833333333334</v>
      </c>
      <c r="X102" s="111">
        <f t="shared" ref="X102:X109" ca="1" si="335">IF(U102=0,"-",ROUNDUP(VALUE(U102),0))</f>
        <v>44959</v>
      </c>
      <c r="Y102" s="112" t="str">
        <f ca="1">IFERROR(IF(SUMIFS($N$9:$N102,$X$9:$X102,ROUNDUP(VALUE(U102),0),$Q$9:$Q102,"npt")=0,"-",SUMIFS($N$9:$N102,$X$9:$X102,ROUNDUP(VALUE(U102),0),$Q$9:$Q102,"npt")/SUMIFS($N$9:$N102,$X$9:$X102,ROUNDUP(VALUE(U102),0))),"")</f>
        <v>-</v>
      </c>
      <c r="Z102" s="112">
        <f ca="1">IFERROR(IF($N102=0,"-",SUMIF($Q$11:$Q102,"npt",$N$11:$N102)/(T102*24)),"")</f>
        <v>3.3527696793002916E-2</v>
      </c>
      <c r="AA102" s="491"/>
      <c r="AB102" s="491"/>
      <c r="AC102" s="398" t="s">
        <v>224</v>
      </c>
      <c r="AD102" s="427">
        <f t="shared" ca="1" si="9"/>
        <v>3.7708333333333335</v>
      </c>
      <c r="AE102" s="427">
        <f t="shared" ca="1" si="0"/>
        <v>1112</v>
      </c>
      <c r="AF102" s="427">
        <f t="shared" ref="AF102:AF109" ca="1" si="336">T102</f>
        <v>14.291666666666666</v>
      </c>
      <c r="AG102" s="427">
        <f t="shared" ca="1" si="2"/>
        <v>2372</v>
      </c>
      <c r="AH102" s="493"/>
      <c r="AI102" s="427">
        <f t="shared" ca="1" si="3"/>
        <v>0</v>
      </c>
      <c r="AJ102" s="493"/>
      <c r="AK102" s="428">
        <f t="shared" ref="AK102:AK109" ca="1" si="337">IF(B102&lt;&gt;"",B102,INDIRECT(ADDRESS(ROW()+1,COLUMN($AK$9),,,)))</f>
        <v>2</v>
      </c>
      <c r="AL102" s="428">
        <f ca="1">IF(A102&lt;&gt;"",IFERROR(INDEX('1_INPUT'!$B$69:$E$89,MATCH($A102,'1_INPUT'!$E$69:$E$89,0),1),""),INDIRECT(ADDRESS(ROW()+1,COLUMN($AL$9),,,)))</f>
        <v>3</v>
      </c>
      <c r="AM102" s="428" t="str">
        <f ca="1">IF(AN102="","",MAX(INDIRECT(ADDRESS(9,COLUMN($AM$9),,,)):INDIRECT(ADDRESS(ROW()-1,COLUMN($AM$9),,,)))+1)</f>
        <v/>
      </c>
      <c r="AN102" s="429" t="str">
        <f>IF($AO102&lt;&gt;"",VLOOKUP($AK102,'1_INPUT'!$B$124:$D$136,2,FALSE),"")</f>
        <v/>
      </c>
      <c r="AO102" s="429" t="str">
        <f t="shared" si="10"/>
        <v/>
      </c>
      <c r="AP102" s="427">
        <f ca="1">SUMIF($AL$10:AL102,$AL102,$I$10:I102)</f>
        <v>231.91666666666691</v>
      </c>
      <c r="AR102" s="430" t="str">
        <f t="shared" ca="1" si="5"/>
        <v>WORKOVER SECTION</v>
      </c>
      <c r="AS102" s="430">
        <f ca="1">MATCH(AR102,'1_INPUT'!$V$43:$V$64,0)+1</f>
        <v>6</v>
      </c>
      <c r="AT102" s="430">
        <f ca="1">VLOOKUP(AR102,'1_INPUT'!$V$43:$W$64,2,FALSE)</f>
        <v>21</v>
      </c>
      <c r="AU102" s="430">
        <f ca="1">COUNTIF('1_INPUT'!$W$43:$W$64,AT102)-1</f>
        <v>5</v>
      </c>
      <c r="AV102" s="430" t="e">
        <f ca="1">OFFSET('1_INPUT'!$V$42,$AS102,,$AU102,)</f>
        <v>#VALUE!</v>
      </c>
      <c r="AX102" s="430" t="str">
        <f t="shared" ref="AX102:AX109" si="338">IF(A102&lt;&gt;"",""&amp;AR102&amp;"-"&amp;A102&amp;"","")</f>
        <v/>
      </c>
      <c r="CK102" s="9"/>
      <c r="CL102" s="9"/>
    </row>
    <row r="103" spans="1:90" ht="13.8">
      <c r="A103" s="205"/>
      <c r="B103" s="518"/>
      <c r="C103" s="208" t="str">
        <f>IF(D103&lt;&gt;"",MAX($C$9:C102)+1,"")</f>
        <v/>
      </c>
      <c r="D103" s="523"/>
      <c r="E103" s="406"/>
      <c r="F103" s="407"/>
      <c r="G103" s="209">
        <f t="shared" ca="1" si="329"/>
        <v>90.5</v>
      </c>
      <c r="H103" s="209">
        <f t="shared" si="218"/>
        <v>0</v>
      </c>
      <c r="I103" s="209">
        <f t="shared" ca="1" si="330"/>
        <v>3.7708333333333335</v>
      </c>
      <c r="J103" s="540">
        <v>1112</v>
      </c>
      <c r="K103" s="200"/>
      <c r="L103" s="532" t="s">
        <v>691</v>
      </c>
      <c r="M103" s="400" t="s">
        <v>126</v>
      </c>
      <c r="N103" s="400">
        <v>1</v>
      </c>
      <c r="O103" s="95">
        <f t="shared" ca="1" si="331"/>
        <v>344</v>
      </c>
      <c r="P103" s="403">
        <v>2372</v>
      </c>
      <c r="Q103" s="116">
        <f>IF(N103&gt;0,VLOOKUP(M103,'3_TIME SUM'!$F$7:$G$128,2,FALSE),0)</f>
        <v>0</v>
      </c>
      <c r="R103" s="517"/>
      <c r="S103" s="94">
        <f t="shared" si="12"/>
        <v>4.1666666666666664E-2</v>
      </c>
      <c r="T103" s="94">
        <f t="shared" ca="1" si="332"/>
        <v>14.333333333333332</v>
      </c>
      <c r="U103" s="535">
        <f ca="1">$T103+'1_INPUT'!$E$18</f>
        <v>44958.125</v>
      </c>
      <c r="V103" s="95">
        <f t="shared" ca="1" si="333"/>
        <v>-253.49999999999994</v>
      </c>
      <c r="W103" s="110">
        <f t="shared" ca="1" si="334"/>
        <v>10.5625</v>
      </c>
      <c r="X103" s="111">
        <f t="shared" ca="1" si="335"/>
        <v>44959</v>
      </c>
      <c r="Y103" s="112" t="str">
        <f ca="1">IFERROR(IF(SUMIFS($N$9:$N103,$X$9:$X103,ROUNDUP(VALUE(U103),0),$Q$9:$Q103,"npt")=0,"-",SUMIFS($N$9:$N103,$X$9:$X103,ROUNDUP(VALUE(U103),0),$Q$9:$Q103,"npt")/SUMIFS($N$9:$N103,$X$9:$X103,ROUNDUP(VALUE(U103),0))),"")</f>
        <v>-</v>
      </c>
      <c r="Z103" s="112">
        <f ca="1">IFERROR(IF($N103=0,"-",SUMIF($Q$11:$Q103,"npt",$N$11:$N103)/(T103*24)),"")</f>
        <v>3.3430232558139532E-2</v>
      </c>
      <c r="AA103" s="491"/>
      <c r="AB103" s="491"/>
      <c r="AC103" s="398" t="s">
        <v>224</v>
      </c>
      <c r="AD103" s="427">
        <f t="shared" ca="1" si="9"/>
        <v>3.7708333333333335</v>
      </c>
      <c r="AE103" s="427">
        <f t="shared" ca="1" si="0"/>
        <v>1112</v>
      </c>
      <c r="AF103" s="427">
        <f t="shared" ca="1" si="336"/>
        <v>14.333333333333332</v>
      </c>
      <c r="AG103" s="427">
        <f t="shared" ca="1" si="2"/>
        <v>2372</v>
      </c>
      <c r="AH103" s="493"/>
      <c r="AI103" s="427">
        <f t="shared" ca="1" si="3"/>
        <v>0</v>
      </c>
      <c r="AJ103" s="493"/>
      <c r="AK103" s="428">
        <f t="shared" ca="1" si="337"/>
        <v>2</v>
      </c>
      <c r="AL103" s="428">
        <f ca="1">IF(A103&lt;&gt;"",IFERROR(INDEX('1_INPUT'!$B$69:$E$89,MATCH($A103,'1_INPUT'!$E$69:$E$89,0),1),""),INDIRECT(ADDRESS(ROW()+1,COLUMN($AL$9),,,)))</f>
        <v>3</v>
      </c>
      <c r="AM103" s="428" t="str">
        <f ca="1">IF(AN103="","",MAX(INDIRECT(ADDRESS(9,COLUMN($AM$9),,,)):INDIRECT(ADDRESS(ROW()-1,COLUMN($AM$9),,,)))+1)</f>
        <v/>
      </c>
      <c r="AN103" s="429" t="str">
        <f>IF($AO103&lt;&gt;"",VLOOKUP($AK103,'1_INPUT'!$B$124:$D$136,2,FALSE),"")</f>
        <v/>
      </c>
      <c r="AO103" s="429" t="str">
        <f t="shared" si="10"/>
        <v/>
      </c>
      <c r="AP103" s="427">
        <f ca="1">SUMIF($AL$10:AL103,$AL103,$I$10:I103)</f>
        <v>235.68750000000026</v>
      </c>
      <c r="AR103" s="430" t="str">
        <f t="shared" ca="1" si="5"/>
        <v>WORKOVER SECTION</v>
      </c>
      <c r="AS103" s="430">
        <f ca="1">MATCH(AR103,'1_INPUT'!$V$43:$V$64,0)+1</f>
        <v>6</v>
      </c>
      <c r="AT103" s="430">
        <f ca="1">VLOOKUP(AR103,'1_INPUT'!$V$43:$W$64,2,FALSE)</f>
        <v>21</v>
      </c>
      <c r="AU103" s="430">
        <f ca="1">COUNTIF('1_INPUT'!$W$43:$W$64,AT103)-1</f>
        <v>5</v>
      </c>
      <c r="AV103" s="430" t="e">
        <f ca="1">OFFSET('1_INPUT'!$V$42,$AS103,,$AU103,)</f>
        <v>#VALUE!</v>
      </c>
      <c r="AX103" s="430" t="str">
        <f t="shared" si="338"/>
        <v/>
      </c>
      <c r="CK103" s="9"/>
      <c r="CL103" s="9"/>
    </row>
    <row r="104" spans="1:90" ht="96.6">
      <c r="A104" s="205"/>
      <c r="B104" s="518"/>
      <c r="C104" s="208" t="str">
        <f>IF(D104&lt;&gt;"",MAX($C$9:C103)+1,"")</f>
        <v/>
      </c>
      <c r="D104" s="523"/>
      <c r="E104" s="406"/>
      <c r="F104" s="407"/>
      <c r="G104" s="209">
        <f t="shared" ca="1" si="329"/>
        <v>90.5</v>
      </c>
      <c r="H104" s="209">
        <f t="shared" si="218"/>
        <v>0</v>
      </c>
      <c r="I104" s="209">
        <f t="shared" ca="1" si="330"/>
        <v>3.7708333333333335</v>
      </c>
      <c r="J104" s="540">
        <v>1112</v>
      </c>
      <c r="K104" s="200"/>
      <c r="L104" s="532" t="s">
        <v>713</v>
      </c>
      <c r="M104" s="400" t="s">
        <v>67</v>
      </c>
      <c r="N104" s="400">
        <v>2</v>
      </c>
      <c r="O104" s="95">
        <f t="shared" ca="1" si="331"/>
        <v>346</v>
      </c>
      <c r="P104" s="403">
        <v>2372</v>
      </c>
      <c r="Q104" s="116">
        <f>IF(N104&gt;0,VLOOKUP(M104,'3_TIME SUM'!$F$7:$G$128,2,FALSE),0)</f>
        <v>0</v>
      </c>
      <c r="R104" s="517"/>
      <c r="S104" s="94">
        <f t="shared" si="12"/>
        <v>8.3333333333333329E-2</v>
      </c>
      <c r="T104" s="94">
        <f t="shared" ca="1" si="332"/>
        <v>14.416666666666666</v>
      </c>
      <c r="U104" s="535">
        <f ca="1">$T104+'1_INPUT'!$E$18</f>
        <v>44958.208333333328</v>
      </c>
      <c r="V104" s="95">
        <f t="shared" ca="1" si="333"/>
        <v>-255.49999999999997</v>
      </c>
      <c r="W104" s="110">
        <f t="shared" ca="1" si="334"/>
        <v>10.645833333333334</v>
      </c>
      <c r="X104" s="111">
        <f t="shared" ca="1" si="335"/>
        <v>44959</v>
      </c>
      <c r="Y104" s="112" t="str">
        <f ca="1">IFERROR(IF(SUMIFS($N$9:$N104,$X$9:$X104,ROUNDUP(VALUE(U104),0),$Q$9:$Q104,"npt")=0,"-",SUMIFS($N$9:$N104,$X$9:$X104,ROUNDUP(VALUE(U104),0),$Q$9:$Q104,"npt")/SUMIFS($N$9:$N104,$X$9:$X104,ROUNDUP(VALUE(U104),0))),"")</f>
        <v>-</v>
      </c>
      <c r="Z104" s="112">
        <f ca="1">IFERROR(IF($N104=0,"-",SUMIF($Q$11:$Q104,"npt",$N$11:$N104)/(T104*24)),"")</f>
        <v>3.3236994219653176E-2</v>
      </c>
      <c r="AA104" s="491"/>
      <c r="AB104" s="491"/>
      <c r="AC104" s="398" t="s">
        <v>224</v>
      </c>
      <c r="AD104" s="427">
        <f t="shared" ca="1" si="9"/>
        <v>3.7708333333333335</v>
      </c>
      <c r="AE104" s="427">
        <f t="shared" ca="1" si="0"/>
        <v>1112</v>
      </c>
      <c r="AF104" s="427">
        <f t="shared" ca="1" si="336"/>
        <v>14.416666666666666</v>
      </c>
      <c r="AG104" s="427">
        <f t="shared" ca="1" si="2"/>
        <v>2372</v>
      </c>
      <c r="AH104" s="493"/>
      <c r="AI104" s="427">
        <f t="shared" ca="1" si="3"/>
        <v>0</v>
      </c>
      <c r="AJ104" s="493"/>
      <c r="AK104" s="428">
        <f t="shared" ca="1" si="337"/>
        <v>2</v>
      </c>
      <c r="AL104" s="428">
        <f ca="1">IF(A104&lt;&gt;"",IFERROR(INDEX('1_INPUT'!$B$69:$E$89,MATCH($A104,'1_INPUT'!$E$69:$E$89,0),1),""),INDIRECT(ADDRESS(ROW()+1,COLUMN($AL$9),,,)))</f>
        <v>3</v>
      </c>
      <c r="AM104" s="428" t="str">
        <f ca="1">IF(AN104="","",MAX(INDIRECT(ADDRESS(9,COLUMN($AM$9),,,)):INDIRECT(ADDRESS(ROW()-1,COLUMN($AM$9),,,)))+1)</f>
        <v/>
      </c>
      <c r="AN104" s="429" t="str">
        <f>IF($AO104&lt;&gt;"",VLOOKUP($AK104,'1_INPUT'!$B$124:$D$136,2,FALSE),"")</f>
        <v/>
      </c>
      <c r="AO104" s="429" t="str">
        <f t="shared" si="10"/>
        <v/>
      </c>
      <c r="AP104" s="427">
        <f ca="1">SUMIF($AL$10:AL104,$AL104,$I$10:I104)</f>
        <v>239.4583333333336</v>
      </c>
      <c r="AR104" s="430" t="str">
        <f t="shared" ca="1" si="5"/>
        <v>WORKOVER SECTION</v>
      </c>
      <c r="AS104" s="430">
        <f ca="1">MATCH(AR104,'1_INPUT'!$V$43:$V$64,0)+1</f>
        <v>6</v>
      </c>
      <c r="AT104" s="430">
        <f ca="1">VLOOKUP(AR104,'1_INPUT'!$V$43:$W$64,2,FALSE)</f>
        <v>21</v>
      </c>
      <c r="AU104" s="430">
        <f ca="1">COUNTIF('1_INPUT'!$W$43:$W$64,AT104)-1</f>
        <v>5</v>
      </c>
      <c r="AV104" s="430" t="e">
        <f ca="1">OFFSET('1_INPUT'!$V$42,$AS104,,$AU104,)</f>
        <v>#VALUE!</v>
      </c>
      <c r="AX104" s="430" t="str">
        <f t="shared" si="338"/>
        <v/>
      </c>
      <c r="CK104" s="9"/>
      <c r="CL104" s="9"/>
    </row>
    <row r="105" spans="1:90" ht="13.8">
      <c r="A105" s="205"/>
      <c r="B105" s="518"/>
      <c r="C105" s="208" t="str">
        <f>IF(D105&lt;&gt;"",MAX($C$9:C104)+1,"")</f>
        <v/>
      </c>
      <c r="D105" s="523"/>
      <c r="E105" s="406"/>
      <c r="F105" s="407"/>
      <c r="G105" s="209">
        <f t="shared" ca="1" si="329"/>
        <v>90.5</v>
      </c>
      <c r="H105" s="209">
        <f t="shared" si="218"/>
        <v>0</v>
      </c>
      <c r="I105" s="209">
        <f t="shared" ca="1" si="330"/>
        <v>3.7708333333333335</v>
      </c>
      <c r="J105" s="540">
        <v>1112</v>
      </c>
      <c r="K105" s="200"/>
      <c r="L105" s="532" t="s">
        <v>691</v>
      </c>
      <c r="M105" s="400" t="s">
        <v>126</v>
      </c>
      <c r="N105" s="400">
        <v>1</v>
      </c>
      <c r="O105" s="95">
        <f t="shared" ca="1" si="331"/>
        <v>347</v>
      </c>
      <c r="P105" s="403">
        <v>2372</v>
      </c>
      <c r="Q105" s="116">
        <f>IF(N105&gt;0,VLOOKUP(M105,'3_TIME SUM'!$F$7:$G$128,2,FALSE),0)</f>
        <v>0</v>
      </c>
      <c r="R105" s="517"/>
      <c r="S105" s="94">
        <f t="shared" si="12"/>
        <v>4.1666666666666664E-2</v>
      </c>
      <c r="T105" s="94">
        <f t="shared" ca="1" si="332"/>
        <v>14.458333333333332</v>
      </c>
      <c r="U105" s="535">
        <f ca="1">$T105+'1_INPUT'!$E$18</f>
        <v>44958.25</v>
      </c>
      <c r="V105" s="95">
        <f t="shared" ca="1" si="333"/>
        <v>-256.49999999999994</v>
      </c>
      <c r="W105" s="110">
        <f t="shared" ca="1" si="334"/>
        <v>10.6875</v>
      </c>
      <c r="X105" s="111">
        <f t="shared" ca="1" si="335"/>
        <v>44959</v>
      </c>
      <c r="Y105" s="112" t="str">
        <f ca="1">IFERROR(IF(SUMIFS($N$9:$N105,$X$9:$X105,ROUNDUP(VALUE(U105),0),$Q$9:$Q105,"npt")=0,"-",SUMIFS($N$9:$N105,$X$9:$X105,ROUNDUP(VALUE(U105),0),$Q$9:$Q105,"npt")/SUMIFS($N$9:$N105,$X$9:$X105,ROUNDUP(VALUE(U105),0))),"")</f>
        <v>-</v>
      </c>
      <c r="Z105" s="112">
        <f ca="1">IFERROR(IF($N105=0,"-",SUMIF($Q$11:$Q105,"npt",$N$11:$N105)/(T105*24)),"")</f>
        <v>3.3141210374639768E-2</v>
      </c>
      <c r="AA105" s="491"/>
      <c r="AB105" s="491"/>
      <c r="AC105" s="398" t="s">
        <v>224</v>
      </c>
      <c r="AD105" s="427">
        <f t="shared" ca="1" si="9"/>
        <v>3.7708333333333335</v>
      </c>
      <c r="AE105" s="427">
        <f t="shared" ca="1" si="0"/>
        <v>1112</v>
      </c>
      <c r="AF105" s="427">
        <f t="shared" ca="1" si="336"/>
        <v>14.458333333333332</v>
      </c>
      <c r="AG105" s="427">
        <f t="shared" ca="1" si="2"/>
        <v>2372</v>
      </c>
      <c r="AH105" s="493"/>
      <c r="AI105" s="427">
        <f t="shared" ca="1" si="3"/>
        <v>0</v>
      </c>
      <c r="AJ105" s="493"/>
      <c r="AK105" s="428">
        <f t="shared" ca="1" si="337"/>
        <v>2</v>
      </c>
      <c r="AL105" s="428">
        <f ca="1">IF(A105&lt;&gt;"",IFERROR(INDEX('1_INPUT'!$B$69:$E$89,MATCH($A105,'1_INPUT'!$E$69:$E$89,0),1),""),INDIRECT(ADDRESS(ROW()+1,COLUMN($AL$9),,,)))</f>
        <v>3</v>
      </c>
      <c r="AM105" s="428" t="str">
        <f ca="1">IF(AN105="","",MAX(INDIRECT(ADDRESS(9,COLUMN($AM$9),,,)):INDIRECT(ADDRESS(ROW()-1,COLUMN($AM$9),,,)))+1)</f>
        <v/>
      </c>
      <c r="AN105" s="429" t="str">
        <f>IF($AO105&lt;&gt;"",VLOOKUP($AK105,'1_INPUT'!$B$124:$D$136,2,FALSE),"")</f>
        <v/>
      </c>
      <c r="AO105" s="429" t="str">
        <f t="shared" si="10"/>
        <v/>
      </c>
      <c r="AP105" s="427">
        <f ca="1">SUMIF($AL$10:AL105,$AL105,$I$10:I105)</f>
        <v>243.22916666666694</v>
      </c>
      <c r="AR105" s="430" t="str">
        <f t="shared" ca="1" si="5"/>
        <v>WORKOVER SECTION</v>
      </c>
      <c r="AS105" s="430">
        <f ca="1">MATCH(AR105,'1_INPUT'!$V$43:$V$64,0)+1</f>
        <v>6</v>
      </c>
      <c r="AT105" s="430">
        <f ca="1">VLOOKUP(AR105,'1_INPUT'!$V$43:$W$64,2,FALSE)</f>
        <v>21</v>
      </c>
      <c r="AU105" s="430">
        <f ca="1">COUNTIF('1_INPUT'!$W$43:$W$64,AT105)-1</f>
        <v>5</v>
      </c>
      <c r="AV105" s="430" t="e">
        <f ca="1">OFFSET('1_INPUT'!$V$42,$AS105,,$AU105,)</f>
        <v>#VALUE!</v>
      </c>
      <c r="AX105" s="430" t="str">
        <f t="shared" si="338"/>
        <v/>
      </c>
      <c r="CK105" s="9"/>
      <c r="CL105" s="9"/>
    </row>
    <row r="106" spans="1:90" ht="96.6">
      <c r="A106" s="205"/>
      <c r="B106" s="518"/>
      <c r="C106" s="208" t="str">
        <f>IF(D106&lt;&gt;"",MAX($C$9:C105)+1,"")</f>
        <v/>
      </c>
      <c r="D106" s="523"/>
      <c r="E106" s="406"/>
      <c r="F106" s="407"/>
      <c r="G106" s="209">
        <f t="shared" ca="1" si="329"/>
        <v>90.5</v>
      </c>
      <c r="H106" s="209">
        <f t="shared" si="218"/>
        <v>0</v>
      </c>
      <c r="I106" s="209">
        <f t="shared" ca="1" si="330"/>
        <v>3.7708333333333335</v>
      </c>
      <c r="J106" s="540">
        <v>1112</v>
      </c>
      <c r="K106" s="200"/>
      <c r="L106" s="532" t="s">
        <v>714</v>
      </c>
      <c r="M106" s="400" t="s">
        <v>67</v>
      </c>
      <c r="N106" s="400">
        <v>6.5</v>
      </c>
      <c r="O106" s="95">
        <f t="shared" ca="1" si="331"/>
        <v>353.5</v>
      </c>
      <c r="P106" s="403">
        <v>2374.8000000000002</v>
      </c>
      <c r="Q106" s="116">
        <f>IF(N106&gt;0,VLOOKUP(M106,'3_TIME SUM'!$F$7:$G$128,2,FALSE),0)</f>
        <v>0</v>
      </c>
      <c r="R106" s="517"/>
      <c r="S106" s="94">
        <f t="shared" si="12"/>
        <v>0.27083333333333331</v>
      </c>
      <c r="T106" s="94">
        <f t="shared" ca="1" si="332"/>
        <v>14.729166666666666</v>
      </c>
      <c r="U106" s="535">
        <f ca="1">$T106+'1_INPUT'!$E$18</f>
        <v>44958.520833333328</v>
      </c>
      <c r="V106" s="95">
        <f t="shared" ca="1" si="333"/>
        <v>-263</v>
      </c>
      <c r="W106" s="110">
        <f t="shared" ca="1" si="334"/>
        <v>10.958333333333334</v>
      </c>
      <c r="X106" s="111">
        <f t="shared" ca="1" si="335"/>
        <v>44959</v>
      </c>
      <c r="Y106" s="112" t="str">
        <f ca="1">IFERROR(IF(SUMIFS($N$9:$N106,$X$9:$X106,ROUNDUP(VALUE(U106),0),$Q$9:$Q106,"npt")=0,"-",SUMIFS($N$9:$N106,$X$9:$X106,ROUNDUP(VALUE(U106),0),$Q$9:$Q106,"npt")/SUMIFS($N$9:$N106,$X$9:$X106,ROUNDUP(VALUE(U106),0))),"")</f>
        <v>-</v>
      </c>
      <c r="Z106" s="112">
        <f ca="1">IFERROR(IF($N106=0,"-",SUMIF($Q$11:$Q106,"npt",$N$11:$N106)/(T106*24)),"")</f>
        <v>3.2531824611032531E-2</v>
      </c>
      <c r="AA106" s="491"/>
      <c r="AB106" s="491"/>
      <c r="AC106" s="398" t="s">
        <v>224</v>
      </c>
      <c r="AD106" s="427">
        <f t="shared" ca="1" si="9"/>
        <v>3.7708333333333335</v>
      </c>
      <c r="AE106" s="427">
        <f t="shared" ca="1" si="0"/>
        <v>1112</v>
      </c>
      <c r="AF106" s="427">
        <f t="shared" ca="1" si="336"/>
        <v>14.729166666666666</v>
      </c>
      <c r="AG106" s="427">
        <f t="shared" ca="1" si="2"/>
        <v>2374.8000000000002</v>
      </c>
      <c r="AH106" s="493"/>
      <c r="AI106" s="427">
        <f t="shared" ca="1" si="3"/>
        <v>0</v>
      </c>
      <c r="AJ106" s="493"/>
      <c r="AK106" s="428">
        <f t="shared" ca="1" si="337"/>
        <v>2</v>
      </c>
      <c r="AL106" s="428">
        <f ca="1">IF(A106&lt;&gt;"",IFERROR(INDEX('1_INPUT'!$B$69:$E$89,MATCH($A106,'1_INPUT'!$E$69:$E$89,0),1),""),INDIRECT(ADDRESS(ROW()+1,COLUMN($AL$9),,,)))</f>
        <v>3</v>
      </c>
      <c r="AM106" s="428" t="str">
        <f ca="1">IF(AN106="","",MAX(INDIRECT(ADDRESS(9,COLUMN($AM$9),,,)):INDIRECT(ADDRESS(ROW()-1,COLUMN($AM$9),,,)))+1)</f>
        <v/>
      </c>
      <c r="AN106" s="429" t="str">
        <f>IF($AO106&lt;&gt;"",VLOOKUP($AK106,'1_INPUT'!$B$124:$D$136,2,FALSE),"")</f>
        <v/>
      </c>
      <c r="AO106" s="429" t="str">
        <f t="shared" si="10"/>
        <v/>
      </c>
      <c r="AP106" s="427">
        <f ca="1">SUMIF($AL$10:AL106,$AL106,$I$10:I106)</f>
        <v>247.00000000000028</v>
      </c>
      <c r="AR106" s="430" t="str">
        <f t="shared" ca="1" si="5"/>
        <v>WORKOVER SECTION</v>
      </c>
      <c r="AS106" s="430">
        <f ca="1">MATCH(AR106,'1_INPUT'!$V$43:$V$64,0)+1</f>
        <v>6</v>
      </c>
      <c r="AT106" s="430">
        <f ca="1">VLOOKUP(AR106,'1_INPUT'!$V$43:$W$64,2,FALSE)</f>
        <v>21</v>
      </c>
      <c r="AU106" s="430">
        <f ca="1">COUNTIF('1_INPUT'!$W$43:$W$64,AT106)-1</f>
        <v>5</v>
      </c>
      <c r="AV106" s="430" t="e">
        <f ca="1">OFFSET('1_INPUT'!$V$42,$AS106,,$AU106,)</f>
        <v>#VALUE!</v>
      </c>
      <c r="AX106" s="430" t="str">
        <f t="shared" si="338"/>
        <v/>
      </c>
      <c r="CK106" s="9"/>
      <c r="CL106" s="9"/>
    </row>
    <row r="107" spans="1:90" ht="13.8">
      <c r="A107" s="205"/>
      <c r="B107" s="518"/>
      <c r="C107" s="208" t="str">
        <f>IF(D107&lt;&gt;"",MAX($C$9:C106)+1,"")</f>
        <v/>
      </c>
      <c r="D107" s="523"/>
      <c r="E107" s="406"/>
      <c r="F107" s="407"/>
      <c r="G107" s="209">
        <f t="shared" ca="1" si="329"/>
        <v>90.5</v>
      </c>
      <c r="H107" s="209">
        <f t="shared" si="218"/>
        <v>0</v>
      </c>
      <c r="I107" s="209">
        <f t="shared" ca="1" si="330"/>
        <v>3.7708333333333335</v>
      </c>
      <c r="J107" s="540">
        <v>1112</v>
      </c>
      <c r="K107" s="200"/>
      <c r="L107" s="532" t="s">
        <v>715</v>
      </c>
      <c r="M107" s="400" t="s">
        <v>36</v>
      </c>
      <c r="N107" s="400">
        <v>2</v>
      </c>
      <c r="O107" s="95">
        <f t="shared" ca="1" si="331"/>
        <v>355.5</v>
      </c>
      <c r="P107" s="403">
        <v>2374.8000000000002</v>
      </c>
      <c r="Q107" s="116">
        <f>IF(N107&gt;0,VLOOKUP(M107,'3_TIME SUM'!$F$7:$G$128,2,FALSE),0)</f>
        <v>0</v>
      </c>
      <c r="R107" s="517"/>
      <c r="S107" s="94">
        <f t="shared" si="12"/>
        <v>8.3333333333333329E-2</v>
      </c>
      <c r="T107" s="94">
        <f t="shared" ca="1" si="332"/>
        <v>14.8125</v>
      </c>
      <c r="U107" s="535">
        <f ca="1">$T107+'1_INPUT'!$E$18</f>
        <v>44958.604166666664</v>
      </c>
      <c r="V107" s="95">
        <f t="shared" ca="1" si="333"/>
        <v>-265</v>
      </c>
      <c r="W107" s="110">
        <f t="shared" ca="1" si="334"/>
        <v>11.041666666666666</v>
      </c>
      <c r="X107" s="111">
        <f t="shared" ca="1" si="335"/>
        <v>44959</v>
      </c>
      <c r="Y107" s="112" t="str">
        <f ca="1">IFERROR(IF(SUMIFS($N$9:$N107,$X$9:$X107,ROUNDUP(VALUE(U107),0),$Q$9:$Q107,"npt")=0,"-",SUMIFS($N$9:$N107,$X$9:$X107,ROUNDUP(VALUE(U107),0),$Q$9:$Q107,"npt")/SUMIFS($N$9:$N107,$X$9:$X107,ROUNDUP(VALUE(U107),0))),"")</f>
        <v>-</v>
      </c>
      <c r="Z107" s="112">
        <f ca="1">IFERROR(IF($N107=0,"-",SUMIF($Q$11:$Q107,"npt",$N$11:$N107)/(T107*24)),"")</f>
        <v>3.2348804500703238E-2</v>
      </c>
      <c r="AA107" s="491"/>
      <c r="AB107" s="491"/>
      <c r="AC107" s="398" t="s">
        <v>224</v>
      </c>
      <c r="AD107" s="427">
        <f t="shared" ca="1" si="9"/>
        <v>3.7708333333333335</v>
      </c>
      <c r="AE107" s="427">
        <f t="shared" ca="1" si="0"/>
        <v>1112</v>
      </c>
      <c r="AF107" s="427">
        <f t="shared" ca="1" si="336"/>
        <v>14.8125</v>
      </c>
      <c r="AG107" s="427">
        <f t="shared" ca="1" si="2"/>
        <v>2374.8000000000002</v>
      </c>
      <c r="AH107" s="493"/>
      <c r="AI107" s="427">
        <f t="shared" ca="1" si="3"/>
        <v>0</v>
      </c>
      <c r="AJ107" s="493"/>
      <c r="AK107" s="428">
        <f t="shared" ca="1" si="337"/>
        <v>2</v>
      </c>
      <c r="AL107" s="428">
        <f ca="1">IF(A107&lt;&gt;"",IFERROR(INDEX('1_INPUT'!$B$69:$E$89,MATCH($A107,'1_INPUT'!$E$69:$E$89,0),1),""),INDIRECT(ADDRESS(ROW()+1,COLUMN($AL$9),,,)))</f>
        <v>3</v>
      </c>
      <c r="AM107" s="428" t="str">
        <f ca="1">IF(AN107="","",MAX(INDIRECT(ADDRESS(9,COLUMN($AM$9),,,)):INDIRECT(ADDRESS(ROW()-1,COLUMN($AM$9),,,)))+1)</f>
        <v/>
      </c>
      <c r="AN107" s="429" t="str">
        <f>IF($AO107&lt;&gt;"",VLOOKUP($AK107,'1_INPUT'!$B$124:$D$136,2,FALSE),"")</f>
        <v/>
      </c>
      <c r="AO107" s="429" t="str">
        <f t="shared" si="10"/>
        <v/>
      </c>
      <c r="AP107" s="427">
        <f ca="1">SUMIF($AL$10:AL107,$AL107,$I$10:I107)</f>
        <v>250.77083333333363</v>
      </c>
      <c r="AR107" s="430" t="str">
        <f t="shared" ca="1" si="5"/>
        <v>WORKOVER SECTION</v>
      </c>
      <c r="AS107" s="430">
        <f ca="1">MATCH(AR107,'1_INPUT'!$V$43:$V$64,0)+1</f>
        <v>6</v>
      </c>
      <c r="AT107" s="430">
        <f ca="1">VLOOKUP(AR107,'1_INPUT'!$V$43:$W$64,2,FALSE)</f>
        <v>21</v>
      </c>
      <c r="AU107" s="430">
        <f ca="1">COUNTIF('1_INPUT'!$W$43:$W$64,AT107)-1</f>
        <v>5</v>
      </c>
      <c r="AV107" s="430" t="e">
        <f ca="1">OFFSET('1_INPUT'!$V$42,$AS107,,$AU107,)</f>
        <v>#VALUE!</v>
      </c>
      <c r="AX107" s="430" t="str">
        <f t="shared" si="338"/>
        <v/>
      </c>
      <c r="CK107" s="9"/>
      <c r="CL107" s="9"/>
    </row>
    <row r="108" spans="1:90" ht="13.8">
      <c r="A108" s="205"/>
      <c r="B108" s="518"/>
      <c r="C108" s="208" t="str">
        <f>IF(D108&lt;&gt;"",MAX($C$9:C107)+1,"")</f>
        <v/>
      </c>
      <c r="D108" s="523"/>
      <c r="E108" s="406" t="s">
        <v>765</v>
      </c>
      <c r="F108" s="407"/>
      <c r="G108" s="209">
        <f t="shared" ca="1" si="329"/>
        <v>90.5</v>
      </c>
      <c r="H108" s="209">
        <f t="shared" si="218"/>
        <v>0</v>
      </c>
      <c r="I108" s="209">
        <f t="shared" ca="1" si="330"/>
        <v>3.7708333333333335</v>
      </c>
      <c r="J108" s="540">
        <v>1112</v>
      </c>
      <c r="K108" s="200"/>
      <c r="L108" s="532" t="s">
        <v>683</v>
      </c>
      <c r="M108" s="400" t="s">
        <v>85</v>
      </c>
      <c r="N108" s="400">
        <v>1</v>
      </c>
      <c r="O108" s="95">
        <f t="shared" ca="1" si="331"/>
        <v>356.5</v>
      </c>
      <c r="P108" s="403">
        <v>2374.8000000000002</v>
      </c>
      <c r="Q108" s="116">
        <f>IF(N108&gt;0,VLOOKUP(M108,'3_TIME SUM'!$F$7:$G$128,2,FALSE),0)</f>
        <v>0</v>
      </c>
      <c r="R108" s="517"/>
      <c r="S108" s="94">
        <f t="shared" si="12"/>
        <v>4.1666666666666664E-2</v>
      </c>
      <c r="T108" s="94">
        <f t="shared" ca="1" si="332"/>
        <v>14.854166666666666</v>
      </c>
      <c r="U108" s="535">
        <f ca="1">$T108+'1_INPUT'!$E$18</f>
        <v>44958.645833333328</v>
      </c>
      <c r="V108" s="95">
        <f t="shared" ca="1" si="333"/>
        <v>-266</v>
      </c>
      <c r="W108" s="110">
        <f t="shared" ca="1" si="334"/>
        <v>11.083333333333334</v>
      </c>
      <c r="X108" s="111">
        <f t="shared" ca="1" si="335"/>
        <v>44959</v>
      </c>
      <c r="Y108" s="112" t="str">
        <f ca="1">IFERROR(IF(SUMIFS($N$9:$N108,$X$9:$X108,ROUNDUP(VALUE(U108),0),$Q$9:$Q108,"npt")=0,"-",SUMIFS($N$9:$N108,$X$9:$X108,ROUNDUP(VALUE(U108),0),$Q$9:$Q108,"npt")/SUMIFS($N$9:$N108,$X$9:$X108,ROUNDUP(VALUE(U108),0))),"")</f>
        <v>-</v>
      </c>
      <c r="Z108" s="112">
        <f ca="1">IFERROR(IF($N108=0,"-",SUMIF($Q$11:$Q108,"npt",$N$11:$N108)/(T108*24)),"")</f>
        <v>3.2258064516129031E-2</v>
      </c>
      <c r="AA108" s="491"/>
      <c r="AB108" s="491"/>
      <c r="AC108" s="398" t="s">
        <v>224</v>
      </c>
      <c r="AD108" s="427">
        <f t="shared" ca="1" si="9"/>
        <v>3.7708333333333335</v>
      </c>
      <c r="AE108" s="427">
        <f t="shared" ca="1" si="0"/>
        <v>1112</v>
      </c>
      <c r="AF108" s="427">
        <f t="shared" ca="1" si="336"/>
        <v>14.854166666666666</v>
      </c>
      <c r="AG108" s="427">
        <f t="shared" ca="1" si="2"/>
        <v>2374.8000000000002</v>
      </c>
      <c r="AH108" s="493"/>
      <c r="AI108" s="427">
        <f t="shared" ca="1" si="3"/>
        <v>0</v>
      </c>
      <c r="AJ108" s="493"/>
      <c r="AK108" s="428">
        <f t="shared" ca="1" si="337"/>
        <v>2</v>
      </c>
      <c r="AL108" s="428">
        <f ca="1">IF(A108&lt;&gt;"",IFERROR(INDEX('1_INPUT'!$B$69:$E$89,MATCH($A108,'1_INPUT'!$E$69:$E$89,0),1),""),INDIRECT(ADDRESS(ROW()+1,COLUMN($AL$9),,,)))</f>
        <v>3</v>
      </c>
      <c r="AM108" s="428" t="str">
        <f ca="1">IF(AN108="","",MAX(INDIRECT(ADDRESS(9,COLUMN($AM$9),,,)):INDIRECT(ADDRESS(ROW()-1,COLUMN($AM$9),,,)))+1)</f>
        <v/>
      </c>
      <c r="AN108" s="429" t="str">
        <f>IF($AO108&lt;&gt;"",VLOOKUP($AK108,'1_INPUT'!$B$124:$D$136,2,FALSE),"")</f>
        <v/>
      </c>
      <c r="AO108" s="429" t="str">
        <f t="shared" si="10"/>
        <v/>
      </c>
      <c r="AP108" s="427">
        <f ca="1">SUMIF($AL$10:AL108,$AL108,$I$10:I108)</f>
        <v>254.54166666666697</v>
      </c>
      <c r="AR108" s="430" t="str">
        <f t="shared" ca="1" si="5"/>
        <v>WORKOVER SECTION</v>
      </c>
      <c r="AS108" s="430">
        <f ca="1">MATCH(AR108,'1_INPUT'!$V$43:$V$64,0)+1</f>
        <v>6</v>
      </c>
      <c r="AT108" s="430">
        <f ca="1">VLOOKUP(AR108,'1_INPUT'!$V$43:$W$64,2,FALSE)</f>
        <v>21</v>
      </c>
      <c r="AU108" s="430">
        <f ca="1">COUNTIF('1_INPUT'!$W$43:$W$64,AT108)-1</f>
        <v>5</v>
      </c>
      <c r="AV108" s="430" t="e">
        <f ca="1">OFFSET('1_INPUT'!$V$42,$AS108,,$AU108,)</f>
        <v>#VALUE!</v>
      </c>
      <c r="AX108" s="430" t="str">
        <f t="shared" si="338"/>
        <v/>
      </c>
      <c r="CK108" s="9"/>
      <c r="CL108" s="9"/>
    </row>
    <row r="109" spans="1:90" ht="27.6">
      <c r="A109" s="205"/>
      <c r="B109" s="518"/>
      <c r="C109" s="208" t="str">
        <f>IF(D109&lt;&gt;"",MAX($C$9:C108)+1,"")</f>
        <v/>
      </c>
      <c r="D109" s="523"/>
      <c r="E109" s="406"/>
      <c r="F109" s="407"/>
      <c r="G109" s="209">
        <f t="shared" ca="1" si="329"/>
        <v>90.5</v>
      </c>
      <c r="H109" s="209">
        <f t="shared" si="218"/>
        <v>0</v>
      </c>
      <c r="I109" s="209">
        <f t="shared" ca="1" si="330"/>
        <v>3.7708333333333335</v>
      </c>
      <c r="J109" s="540">
        <v>1112</v>
      </c>
      <c r="K109" s="200"/>
      <c r="L109" s="532" t="s">
        <v>716</v>
      </c>
      <c r="M109" s="400" t="s">
        <v>85</v>
      </c>
      <c r="N109" s="400">
        <v>8.5</v>
      </c>
      <c r="O109" s="95">
        <f t="shared" ca="1" si="331"/>
        <v>365</v>
      </c>
      <c r="P109" s="403">
        <v>2374.8000000000002</v>
      </c>
      <c r="Q109" s="116">
        <f>IF(N109&gt;0,VLOOKUP(M109,'3_TIME SUM'!$F$7:$G$128,2,FALSE),0)</f>
        <v>0</v>
      </c>
      <c r="R109" s="517"/>
      <c r="S109" s="94">
        <f t="shared" si="12"/>
        <v>0.35416666666666669</v>
      </c>
      <c r="T109" s="94">
        <f t="shared" ca="1" si="332"/>
        <v>15.208333333333332</v>
      </c>
      <c r="U109" s="539">
        <f ca="1">$T109+'1_INPUT'!$E$18</f>
        <v>44959</v>
      </c>
      <c r="V109" s="95">
        <f t="shared" ca="1" si="333"/>
        <v>-274.49999999999994</v>
      </c>
      <c r="W109" s="110">
        <f t="shared" ca="1" si="334"/>
        <v>11.4375</v>
      </c>
      <c r="X109" s="111">
        <f t="shared" ca="1" si="335"/>
        <v>44959</v>
      </c>
      <c r="Y109" s="112" t="str">
        <f ca="1">IFERROR(IF(SUMIFS($N$9:$N109,$X$9:$X109,ROUNDUP(VALUE(U109),0),$Q$9:$Q109,"npt")=0,"-",SUMIFS($N$9:$N109,$X$9:$X109,ROUNDUP(VALUE(U109),0),$Q$9:$Q109,"npt")/SUMIFS($N$9:$N109,$X$9:$X109,ROUNDUP(VALUE(U109),0))),"")</f>
        <v>-</v>
      </c>
      <c r="Z109" s="112">
        <f ca="1">IFERROR(IF($N109=0,"-",SUMIF($Q$11:$Q109,"npt",$N$11:$N109)/(T109*24)),"")</f>
        <v>3.1506849315068496E-2</v>
      </c>
      <c r="AA109" s="491"/>
      <c r="AB109" s="491"/>
      <c r="AC109" s="398" t="s">
        <v>224</v>
      </c>
      <c r="AD109" s="427">
        <f t="shared" ca="1" si="9"/>
        <v>3.7708333333333335</v>
      </c>
      <c r="AE109" s="427">
        <f t="shared" ca="1" si="0"/>
        <v>1112</v>
      </c>
      <c r="AF109" s="427">
        <f t="shared" ca="1" si="336"/>
        <v>15.208333333333332</v>
      </c>
      <c r="AG109" s="427">
        <f t="shared" ca="1" si="2"/>
        <v>2374.8000000000002</v>
      </c>
      <c r="AH109" s="493"/>
      <c r="AI109" s="427">
        <f t="shared" ca="1" si="3"/>
        <v>0</v>
      </c>
      <c r="AJ109" s="493"/>
      <c r="AK109" s="428">
        <f t="shared" ca="1" si="337"/>
        <v>2</v>
      </c>
      <c r="AL109" s="428">
        <f ca="1">IF(A109&lt;&gt;"",IFERROR(INDEX('1_INPUT'!$B$69:$E$89,MATCH($A109,'1_INPUT'!$E$69:$E$89,0),1),""),INDIRECT(ADDRESS(ROW()+1,COLUMN($AL$9),,,)))</f>
        <v>3</v>
      </c>
      <c r="AM109" s="428" t="str">
        <f ca="1">IF(AN109="","",MAX(INDIRECT(ADDRESS(9,COLUMN($AM$9),,,)):INDIRECT(ADDRESS(ROW()-1,COLUMN($AM$9),,,)))+1)</f>
        <v/>
      </c>
      <c r="AN109" s="429" t="str">
        <f>IF($AO109&lt;&gt;"",VLOOKUP($AK109,'1_INPUT'!$B$124:$D$136,2,FALSE),"")</f>
        <v/>
      </c>
      <c r="AO109" s="429" t="str">
        <f t="shared" si="10"/>
        <v/>
      </c>
      <c r="AP109" s="427">
        <f ca="1">SUMIF($AL$10:AL109,$AL109,$I$10:I109)</f>
        <v>258.31250000000028</v>
      </c>
      <c r="AR109" s="430" t="str">
        <f t="shared" ca="1" si="5"/>
        <v>WORKOVER SECTION</v>
      </c>
      <c r="AS109" s="430">
        <f ca="1">MATCH(AR109,'1_INPUT'!$V$43:$V$64,0)+1</f>
        <v>6</v>
      </c>
      <c r="AT109" s="430">
        <f ca="1">VLOOKUP(AR109,'1_INPUT'!$V$43:$W$64,2,FALSE)</f>
        <v>21</v>
      </c>
      <c r="AU109" s="430">
        <f ca="1">COUNTIF('1_INPUT'!$W$43:$W$64,AT109)-1</f>
        <v>5</v>
      </c>
      <c r="AV109" s="430" t="e">
        <f ca="1">OFFSET('1_INPUT'!$V$42,$AS109,,$AU109,)</f>
        <v>#VALUE!</v>
      </c>
      <c r="AX109" s="430" t="str">
        <f t="shared" si="338"/>
        <v/>
      </c>
      <c r="CK109" s="9"/>
      <c r="CL109" s="9"/>
    </row>
    <row r="110" spans="1:90" ht="55.2">
      <c r="A110" s="205"/>
      <c r="B110" s="518"/>
      <c r="C110" s="208">
        <f ca="1">IF(D110&lt;&gt;"",MAX($C$9:C73)+1,"")</f>
        <v>21</v>
      </c>
      <c r="D110" s="523" t="s">
        <v>606</v>
      </c>
      <c r="E110" s="406"/>
      <c r="F110" s="407">
        <v>7</v>
      </c>
      <c r="G110" s="209">
        <f t="shared" ca="1" si="239"/>
        <v>97.5</v>
      </c>
      <c r="H110" s="209">
        <f t="shared" si="218"/>
        <v>0.29166666666666669</v>
      </c>
      <c r="I110" s="209">
        <f t="shared" ca="1" si="240"/>
        <v>4.0625</v>
      </c>
      <c r="J110" s="540">
        <v>1112</v>
      </c>
      <c r="K110" s="200"/>
      <c r="L110" s="532" t="s">
        <v>717</v>
      </c>
      <c r="M110" s="400" t="s">
        <v>554</v>
      </c>
      <c r="N110" s="400">
        <v>12</v>
      </c>
      <c r="O110" s="95">
        <f t="shared" ca="1" si="241"/>
        <v>377</v>
      </c>
      <c r="P110" s="403">
        <v>2374.8000000000002</v>
      </c>
      <c r="Q110" s="116">
        <f>IF(N110&gt;0,VLOOKUP(M110,'3_TIME SUM'!$F$7:$G$128,2,FALSE),0)</f>
        <v>0</v>
      </c>
      <c r="R110" s="517"/>
      <c r="S110" s="94">
        <f t="shared" si="12"/>
        <v>0.5</v>
      </c>
      <c r="T110" s="94">
        <f t="shared" ca="1" si="242"/>
        <v>15.708333333333332</v>
      </c>
      <c r="U110" s="535">
        <f ca="1">$T110+'1_INPUT'!$E$18</f>
        <v>44959.5</v>
      </c>
      <c r="V110" s="95">
        <f t="shared" ca="1" si="243"/>
        <v>-279.5</v>
      </c>
      <c r="W110" s="110">
        <f t="shared" ca="1" si="244"/>
        <v>11.645833333333334</v>
      </c>
      <c r="X110" s="111">
        <f t="shared" ca="1" si="245"/>
        <v>44960</v>
      </c>
      <c r="Y110" s="112" t="str">
        <f ca="1">IFERROR(IF(SUMIFS($N$9:$N110,$X$9:$X110,ROUNDUP(VALUE(U110),0),$Q$9:$Q110,"npt")=0,"-",SUMIFS($N$9:$N110,$X$9:$X110,ROUNDUP(VALUE(U110),0),$Q$9:$Q110,"npt")/SUMIFS($N$9:$N110,$X$9:$X110,ROUNDUP(VALUE(U110),0))),"")</f>
        <v>-</v>
      </c>
      <c r="Z110" s="112">
        <f ca="1">IFERROR(IF($N110=0,"-",SUMIF($Q$11:$Q110,"npt",$N$11:$N110)/(T110*24)),"")</f>
        <v>3.0503978779840849E-2</v>
      </c>
      <c r="AA110" s="491"/>
      <c r="AB110" s="491"/>
      <c r="AC110" s="398" t="s">
        <v>224</v>
      </c>
      <c r="AD110" s="427">
        <f t="shared" ca="1" si="9"/>
        <v>4.0625</v>
      </c>
      <c r="AE110" s="427">
        <f t="shared" ca="1" si="0"/>
        <v>1112</v>
      </c>
      <c r="AF110" s="427">
        <f t="shared" ca="1" si="246"/>
        <v>15.708333333333332</v>
      </c>
      <c r="AG110" s="427">
        <f t="shared" ca="1" si="2"/>
        <v>2374.8000000000002</v>
      </c>
      <c r="AH110" s="493"/>
      <c r="AI110" s="427">
        <f t="shared" ca="1" si="3"/>
        <v>0</v>
      </c>
      <c r="AJ110" s="493"/>
      <c r="AK110" s="428">
        <f t="shared" ca="1" si="247"/>
        <v>2</v>
      </c>
      <c r="AL110" s="428">
        <f ca="1">IF(A110&lt;&gt;"",IFERROR(INDEX('1_INPUT'!$B$69:$E$89,MATCH($A110,'1_INPUT'!$E$69:$E$89,0),1),""),INDIRECT(ADDRESS(ROW()+1,COLUMN($AL$9),,,)))</f>
        <v>3</v>
      </c>
      <c r="AM110" s="428" t="str">
        <f ca="1">IF(AN110="","",MAX(INDIRECT(ADDRESS(9,COLUMN($AM$9),,,)):INDIRECT(ADDRESS(ROW()-1,COLUMN($AM$9),,,)))+1)</f>
        <v/>
      </c>
      <c r="AN110" s="429" t="str">
        <f>IF($AO110&lt;&gt;"",VLOOKUP($AK110,'1_INPUT'!$B$124:$D$136,2,FALSE),"")</f>
        <v/>
      </c>
      <c r="AO110" s="429" t="str">
        <f t="shared" si="10"/>
        <v/>
      </c>
      <c r="AP110" s="427">
        <f ca="1">SUMIF($AL$10:AL110,$AL110,$I$10:I110)</f>
        <v>262.37500000000028</v>
      </c>
      <c r="AR110" s="430" t="str">
        <f t="shared" ca="1" si="5"/>
        <v>WORKOVER SECTION</v>
      </c>
      <c r="AS110" s="430">
        <f ca="1">MATCH(AR110,'1_INPUT'!$V$43:$V$64,0)+1</f>
        <v>6</v>
      </c>
      <c r="AT110" s="430">
        <f ca="1">VLOOKUP(AR110,'1_INPUT'!$V$43:$W$64,2,FALSE)</f>
        <v>21</v>
      </c>
      <c r="AU110" s="430">
        <f ca="1">COUNTIF('1_INPUT'!$W$43:$W$64,AT110)-1</f>
        <v>5</v>
      </c>
      <c r="AV110" s="430" t="e">
        <f ca="1">OFFSET('1_INPUT'!$V$42,$AS110,,$AU110,)</f>
        <v>#VALUE!</v>
      </c>
      <c r="AX110" s="430" t="str">
        <f t="shared" si="248"/>
        <v/>
      </c>
      <c r="CK110" s="9"/>
      <c r="CL110" s="9"/>
    </row>
    <row r="111" spans="1:90" ht="41.4">
      <c r="A111" s="205"/>
      <c r="B111" s="518"/>
      <c r="C111" s="208" t="str">
        <f>IF(D111&lt;&gt;"",MAX($C$9:C74)+1,"")</f>
        <v/>
      </c>
      <c r="D111" s="523"/>
      <c r="E111" s="406"/>
      <c r="F111" s="407"/>
      <c r="G111" s="209">
        <f t="shared" ref="G111" ca="1" si="339">IF(INDIRECT(ADDRESS(ROW()-1,COLUMN(B$7),,,))&lt;&gt;"",INDIRECT(ADDRESS(ROW(),COLUMN(F$7),,,)),INDIRECT(ADDRESS(ROW()-1,COLUMN(G$7),,,))+INDIRECT(ADDRESS(ROW(),COLUMN(F$7),,,)))</f>
        <v>97.5</v>
      </c>
      <c r="H111" s="209">
        <f t="shared" si="218"/>
        <v>0</v>
      </c>
      <c r="I111" s="209">
        <f t="shared" ref="I111" ca="1" si="340">INDIRECT(ADDRESS(ROW()-1,COLUMN(I$7),,,))+INDIRECT(ADDRESS(ROW(),COLUMN(H$7),,,))</f>
        <v>4.0625</v>
      </c>
      <c r="J111" s="540">
        <v>1112</v>
      </c>
      <c r="K111" s="200"/>
      <c r="L111" s="532" t="s">
        <v>718</v>
      </c>
      <c r="M111" s="400" t="s">
        <v>130</v>
      </c>
      <c r="N111" s="400">
        <v>2</v>
      </c>
      <c r="O111" s="95">
        <f t="shared" ref="O111" ca="1" si="341">IF(INDIRECT(ADDRESS(ROW()-1,COLUMN(B$7),,,))&lt;&gt;"",INDIRECT(ADDRESS(ROW(),COLUMN(N$7),,,)),INDIRECT(ADDRESS(ROW()-1,COLUMN(O$7),,,))+INDIRECT(ADDRESS(ROW(),COLUMN(N$7),,,)))</f>
        <v>379</v>
      </c>
      <c r="P111" s="403">
        <v>2374.8000000000002</v>
      </c>
      <c r="Q111" s="116">
        <f>IF(N111&gt;0,VLOOKUP(M111,'3_TIME SUM'!$F$7:$G$128,2,FALSE),0)</f>
        <v>0</v>
      </c>
      <c r="R111" s="517"/>
      <c r="S111" s="94">
        <f t="shared" si="12"/>
        <v>8.3333333333333329E-2</v>
      </c>
      <c r="T111" s="94">
        <f t="shared" ref="T111" ca="1" si="342">INDIRECT(ADDRESS(ROW()-1,COLUMN(T$7),,,))+INDIRECT(ADDRESS(ROW(),COLUMN(S$7),,,))</f>
        <v>15.791666666666666</v>
      </c>
      <c r="U111" s="535">
        <f ca="1">$T111+'1_INPUT'!$E$18</f>
        <v>44959.583333333328</v>
      </c>
      <c r="V111" s="95">
        <f t="shared" ref="V111" ca="1" si="343">IFERROR(IF($AI111=0,($I111-T111)*24,(($P111-INDIRECT(ADDRESS(ROW()-1,COLUMN($P$9),,,)))/$AI111)-$N111+(INDIRECT(ADDRESS(ROW()-1,COLUMN(V$9),,,)))),"")</f>
        <v>-281.5</v>
      </c>
      <c r="W111" s="110">
        <f t="shared" ref="W111" ca="1" si="344">IFERROR(IF(V111&gt;0,TIME(V111,(V111-ROUNDDOWN(V111,0))*60,0)+DAY((ROUNDDOWN(V111,0)/24)),TIME((-V111),((-V111)-ROUNDDOWN((-V111),0))*60,0)+DAY((ROUNDDOWN((-V111),0)/24))),"")</f>
        <v>11.729166666666666</v>
      </c>
      <c r="X111" s="111">
        <f t="shared" ref="X111" ca="1" si="345">IF(U111=0,"-",ROUNDUP(VALUE(U111),0))</f>
        <v>44960</v>
      </c>
      <c r="Y111" s="112" t="str">
        <f ca="1">IFERROR(IF(SUMIFS($N$9:$N111,$X$9:$X111,ROUNDUP(VALUE(U111),0),$Q$9:$Q111,"npt")=0,"-",SUMIFS($N$9:$N111,$X$9:$X111,ROUNDUP(VALUE(U111),0),$Q$9:$Q111,"npt")/SUMIFS($N$9:$N111,$X$9:$X111,ROUNDUP(VALUE(U111),0))),"")</f>
        <v>-</v>
      </c>
      <c r="Z111" s="112">
        <f ca="1">IFERROR(IF($N111=0,"-",SUMIF($Q$11:$Q111,"npt",$N$11:$N111)/(T111*24)),"")</f>
        <v>3.0343007915567283E-2</v>
      </c>
      <c r="AA111" s="491"/>
      <c r="AB111" s="491"/>
      <c r="AC111" s="398" t="s">
        <v>224</v>
      </c>
      <c r="AD111" s="427">
        <f t="shared" ca="1" si="9"/>
        <v>4.0625</v>
      </c>
      <c r="AE111" s="427">
        <f t="shared" ca="1" si="0"/>
        <v>1112</v>
      </c>
      <c r="AF111" s="427">
        <f t="shared" ref="AF111" ca="1" si="346">T111</f>
        <v>15.791666666666666</v>
      </c>
      <c r="AG111" s="427">
        <f t="shared" ca="1" si="2"/>
        <v>2374.8000000000002</v>
      </c>
      <c r="AH111" s="493"/>
      <c r="AI111" s="427">
        <f t="shared" ca="1" si="3"/>
        <v>0</v>
      </c>
      <c r="AJ111" s="493"/>
      <c r="AK111" s="428">
        <f t="shared" ref="AK111" ca="1" si="347">IF(B111&lt;&gt;"",B111,INDIRECT(ADDRESS(ROW()+1,COLUMN($AK$9),,,)))</f>
        <v>2</v>
      </c>
      <c r="AL111" s="428">
        <f ca="1">IF(A111&lt;&gt;"",IFERROR(INDEX('1_INPUT'!$B$69:$E$89,MATCH($A111,'1_INPUT'!$E$69:$E$89,0),1),""),INDIRECT(ADDRESS(ROW()+1,COLUMN($AL$9),,,)))</f>
        <v>3</v>
      </c>
      <c r="AM111" s="428" t="str">
        <f ca="1">IF(AN111="","",MAX(INDIRECT(ADDRESS(9,COLUMN($AM$9),,,)):INDIRECT(ADDRESS(ROW()-1,COLUMN($AM$9),,,)))+1)</f>
        <v/>
      </c>
      <c r="AN111" s="429" t="str">
        <f>IF($AO111&lt;&gt;"",VLOOKUP($AK111,'1_INPUT'!$B$124:$D$136,2,FALSE),"")</f>
        <v/>
      </c>
      <c r="AO111" s="429" t="str">
        <f t="shared" si="10"/>
        <v/>
      </c>
      <c r="AP111" s="427">
        <f ca="1">SUMIF($AL$10:AL111,$AL111,$I$10:I111)</f>
        <v>266.43750000000028</v>
      </c>
      <c r="AR111" s="430" t="str">
        <f t="shared" ca="1" si="5"/>
        <v>WORKOVER SECTION</v>
      </c>
      <c r="AS111" s="430">
        <f ca="1">MATCH(AR111,'1_INPUT'!$V$43:$V$64,0)+1</f>
        <v>6</v>
      </c>
      <c r="AT111" s="430">
        <f ca="1">VLOOKUP(AR111,'1_INPUT'!$V$43:$W$64,2,FALSE)</f>
        <v>21</v>
      </c>
      <c r="AU111" s="430">
        <f ca="1">COUNTIF('1_INPUT'!$W$43:$W$64,AT111)-1</f>
        <v>5</v>
      </c>
      <c r="AV111" s="430" t="e">
        <f ca="1">OFFSET('1_INPUT'!$V$42,$AS111,,$AU111,)</f>
        <v>#VALUE!</v>
      </c>
      <c r="AX111" s="430" t="str">
        <f t="shared" ref="AX111" si="348">IF(A111&lt;&gt;"",""&amp;AR111&amp;"-"&amp;A111&amp;"","")</f>
        <v/>
      </c>
      <c r="CK111" s="9"/>
      <c r="CL111" s="9"/>
    </row>
    <row r="112" spans="1:90" ht="27.6">
      <c r="A112" s="205"/>
      <c r="B112" s="518"/>
      <c r="C112" s="208">
        <f ca="1">IF(D112&lt;&gt;"",MAX($C$9:C110)+1,"")</f>
        <v>22</v>
      </c>
      <c r="D112" s="523" t="s">
        <v>587</v>
      </c>
      <c r="E112" s="406"/>
      <c r="F112" s="407">
        <v>2</v>
      </c>
      <c r="G112" s="209">
        <f t="shared" ca="1" si="48"/>
        <v>99.5</v>
      </c>
      <c r="H112" s="209">
        <f t="shared" si="218"/>
        <v>8.3333333333333329E-2</v>
      </c>
      <c r="I112" s="209">
        <f t="shared" ca="1" si="49"/>
        <v>4.145833333333333</v>
      </c>
      <c r="J112" s="540">
        <v>1112</v>
      </c>
      <c r="K112" s="200"/>
      <c r="L112" s="532" t="s">
        <v>719</v>
      </c>
      <c r="M112" s="400" t="s">
        <v>36</v>
      </c>
      <c r="N112" s="407">
        <v>2</v>
      </c>
      <c r="O112" s="95">
        <f t="shared" ca="1" si="50"/>
        <v>381</v>
      </c>
      <c r="P112" s="403">
        <v>2374.8000000000002</v>
      </c>
      <c r="Q112" s="116">
        <f>IF(N112&gt;0,VLOOKUP(M112,'3_TIME SUM'!$F$7:$G$128,2,FALSE),0)</f>
        <v>0</v>
      </c>
      <c r="R112" s="517"/>
      <c r="S112" s="94">
        <f t="shared" si="12"/>
        <v>8.3333333333333329E-2</v>
      </c>
      <c r="T112" s="94">
        <f t="shared" ca="1" si="51"/>
        <v>15.875</v>
      </c>
      <c r="U112" s="535">
        <f ca="1">$T112+'1_INPUT'!$E$18</f>
        <v>44959.666666666664</v>
      </c>
      <c r="V112" s="95">
        <f t="shared" ca="1" si="7"/>
        <v>-281.5</v>
      </c>
      <c r="W112" s="110">
        <f t="shared" ca="1" si="8"/>
        <v>11.729166666666666</v>
      </c>
      <c r="X112" s="111">
        <f t="shared" ca="1" si="52"/>
        <v>44960</v>
      </c>
      <c r="Y112" s="112" t="str">
        <f ca="1">IFERROR(IF(SUMIFS($N$9:$N112,$X$9:$X112,ROUNDUP(VALUE(U112),0),$Q$9:$Q112,"npt")=0,"-",SUMIFS($N$9:$N112,$X$9:$X112,ROUNDUP(VALUE(U112),0),$Q$9:$Q112,"npt")/SUMIFS($N$9:$N112,$X$9:$X112,ROUNDUP(VALUE(U112),0))),"")</f>
        <v>-</v>
      </c>
      <c r="Z112" s="112">
        <f ca="1">IFERROR(IF($N112=0,"-",SUMIF($Q$11:$Q112,"npt",$N$11:$N112)/(T112*24)),"")</f>
        <v>3.0183727034120734E-2</v>
      </c>
      <c r="AA112" s="491"/>
      <c r="AB112" s="491"/>
      <c r="AC112" s="398" t="s">
        <v>224</v>
      </c>
      <c r="AD112" s="427">
        <f t="shared" ca="1" si="9"/>
        <v>4.145833333333333</v>
      </c>
      <c r="AE112" s="427">
        <f t="shared" ca="1" si="0"/>
        <v>1112</v>
      </c>
      <c r="AF112" s="427">
        <f t="shared" ca="1" si="1"/>
        <v>15.875</v>
      </c>
      <c r="AG112" s="427">
        <f t="shared" ca="1" si="2"/>
        <v>2374.8000000000002</v>
      </c>
      <c r="AH112" s="493"/>
      <c r="AI112" s="427">
        <f t="shared" ca="1" si="3"/>
        <v>0</v>
      </c>
      <c r="AJ112" s="493"/>
      <c r="AK112" s="428">
        <f t="shared" ca="1" si="4"/>
        <v>2</v>
      </c>
      <c r="AL112" s="428">
        <f ca="1">IF(A112&lt;&gt;"",IFERROR(INDEX('1_INPUT'!$B$69:$E$89,MATCH($A112,'1_INPUT'!$E$69:$E$89,0),1),""),INDIRECT(ADDRESS(ROW()+1,COLUMN($AL$9),,,)))</f>
        <v>3</v>
      </c>
      <c r="AM112" s="428" t="str">
        <f ca="1">IF(AN112="","",MAX(INDIRECT(ADDRESS(9,COLUMN($AM$9),,,)):INDIRECT(ADDRESS(ROW()-1,COLUMN($AM$9),,,)))+1)</f>
        <v/>
      </c>
      <c r="AN112" s="429" t="str">
        <f>IF($AO112&lt;&gt;"",VLOOKUP($AK112,'1_INPUT'!$B$124:$D$136,2,FALSE),"")</f>
        <v/>
      </c>
      <c r="AO112" s="429" t="str">
        <f t="shared" si="10"/>
        <v/>
      </c>
      <c r="AP112" s="427">
        <f ca="1">SUMIF($AL$10:AL112,$AL112,$I$10:I112)</f>
        <v>270.5833333333336</v>
      </c>
      <c r="AR112" s="430" t="str">
        <f t="shared" ca="1" si="5"/>
        <v>WORKOVER SECTION</v>
      </c>
      <c r="AS112" s="430">
        <f ca="1">MATCH(AR112,'1_INPUT'!$V$43:$V$64,0)+1</f>
        <v>6</v>
      </c>
      <c r="AT112" s="430">
        <f ca="1">VLOOKUP(AR112,'1_INPUT'!$V$43:$W$64,2,FALSE)</f>
        <v>21</v>
      </c>
      <c r="AU112" s="430">
        <f ca="1">COUNTIF('1_INPUT'!$W$43:$W$64,AT112)-1</f>
        <v>5</v>
      </c>
      <c r="AV112" s="430" t="e">
        <f ca="1">OFFSET('1_INPUT'!$V$42,$AS112,,$AU112,)</f>
        <v>#VALUE!</v>
      </c>
      <c r="AX112" s="430" t="str">
        <f t="shared" si="6"/>
        <v/>
      </c>
      <c r="CK112" s="9"/>
      <c r="CL112" s="9"/>
    </row>
    <row r="113" spans="1:90" ht="41.4">
      <c r="A113" s="205"/>
      <c r="B113" s="518"/>
      <c r="C113" s="208">
        <f ca="1">IF(D113&lt;&gt;"",MAX($C$9:C112)+1,"")</f>
        <v>23</v>
      </c>
      <c r="D113" s="523" t="s">
        <v>621</v>
      </c>
      <c r="E113" s="406"/>
      <c r="F113" s="407">
        <v>7</v>
      </c>
      <c r="G113" s="209">
        <f t="shared" ca="1" si="48"/>
        <v>106.5</v>
      </c>
      <c r="H113" s="209">
        <f t="shared" si="218"/>
        <v>0.29166666666666669</v>
      </c>
      <c r="I113" s="209">
        <f t="shared" ca="1" si="49"/>
        <v>4.4375</v>
      </c>
      <c r="J113" s="540">
        <v>1112</v>
      </c>
      <c r="K113" s="200"/>
      <c r="L113" s="532" t="s">
        <v>720</v>
      </c>
      <c r="M113" s="400" t="s">
        <v>554</v>
      </c>
      <c r="N113" s="400">
        <v>8</v>
      </c>
      <c r="O113" s="95">
        <f t="shared" ca="1" si="50"/>
        <v>389</v>
      </c>
      <c r="P113" s="403">
        <v>2374.8000000000002</v>
      </c>
      <c r="Q113" s="116">
        <f>IF(N113&gt;0,VLOOKUP(M113,'3_TIME SUM'!$F$7:$G$128,2,FALSE),0)</f>
        <v>0</v>
      </c>
      <c r="R113" s="517"/>
      <c r="S113" s="94">
        <f t="shared" si="12"/>
        <v>0.33333333333333331</v>
      </c>
      <c r="T113" s="94">
        <f t="shared" ca="1" si="51"/>
        <v>16.208333333333332</v>
      </c>
      <c r="U113" s="539">
        <f ca="1">$T113+'1_INPUT'!$E$18</f>
        <v>44960</v>
      </c>
      <c r="V113" s="95">
        <f t="shared" ca="1" si="7"/>
        <v>-282.5</v>
      </c>
      <c r="W113" s="110">
        <f t="shared" ca="1" si="8"/>
        <v>11.770833333333334</v>
      </c>
      <c r="X113" s="111">
        <f t="shared" ca="1" si="52"/>
        <v>44960</v>
      </c>
      <c r="Y113" s="112" t="str">
        <f ca="1">IFERROR(IF(SUMIFS($N$9:$N113,$X$9:$X113,ROUNDUP(VALUE(U113),0),$Q$9:$Q113,"npt")=0,"-",SUMIFS($N$9:$N113,$X$9:$X113,ROUNDUP(VALUE(U113),0),$Q$9:$Q113,"npt")/SUMIFS($N$9:$N113,$X$9:$X113,ROUNDUP(VALUE(U113),0))),"")</f>
        <v>-</v>
      </c>
      <c r="Z113" s="112">
        <f ca="1">IFERROR(IF($N113=0,"-",SUMIF($Q$11:$Q113,"npt",$N$11:$N113)/(T113*24)),"")</f>
        <v>2.9562982005141389E-2</v>
      </c>
      <c r="AA113" s="491"/>
      <c r="AB113" s="491"/>
      <c r="AC113" s="398" t="s">
        <v>224</v>
      </c>
      <c r="AD113" s="427">
        <f t="shared" ca="1" si="9"/>
        <v>4.4375</v>
      </c>
      <c r="AE113" s="427">
        <f t="shared" ca="1" si="0"/>
        <v>1112</v>
      </c>
      <c r="AF113" s="427">
        <f t="shared" ca="1" si="1"/>
        <v>16.208333333333332</v>
      </c>
      <c r="AG113" s="427">
        <f t="shared" ca="1" si="2"/>
        <v>2374.8000000000002</v>
      </c>
      <c r="AH113" s="493"/>
      <c r="AI113" s="427">
        <f t="shared" ca="1" si="3"/>
        <v>0</v>
      </c>
      <c r="AJ113" s="493"/>
      <c r="AK113" s="428">
        <f t="shared" ca="1" si="4"/>
        <v>2</v>
      </c>
      <c r="AL113" s="428">
        <f ca="1">IF(A113&lt;&gt;"",IFERROR(INDEX('1_INPUT'!$B$69:$E$89,MATCH($A113,'1_INPUT'!$E$69:$E$89,0),1),""),INDIRECT(ADDRESS(ROW()+1,COLUMN($AL$9),,,)))</f>
        <v>3</v>
      </c>
      <c r="AM113" s="428" t="str">
        <f ca="1">IF(AN113="","",MAX(INDIRECT(ADDRESS(9,COLUMN($AM$9),,,)):INDIRECT(ADDRESS(ROW()-1,COLUMN($AM$9),,,)))+1)</f>
        <v/>
      </c>
      <c r="AN113" s="429" t="str">
        <f>IF($AO113&lt;&gt;"",VLOOKUP($AK113,'1_INPUT'!$B$124:$D$136,2,FALSE),"")</f>
        <v/>
      </c>
      <c r="AO113" s="429" t="str">
        <f t="shared" si="10"/>
        <v/>
      </c>
      <c r="AP113" s="427">
        <f ca="1">SUMIF($AL$10:AL113,$AL113,$I$10:I113)</f>
        <v>275.0208333333336</v>
      </c>
      <c r="AR113" s="430" t="str">
        <f t="shared" ca="1" si="5"/>
        <v>WORKOVER SECTION</v>
      </c>
      <c r="AS113" s="430">
        <f ca="1">MATCH(AR113,'1_INPUT'!$V$43:$V$64,0)+1</f>
        <v>6</v>
      </c>
      <c r="AT113" s="430">
        <f ca="1">VLOOKUP(AR113,'1_INPUT'!$V$43:$W$64,2,FALSE)</f>
        <v>21</v>
      </c>
      <c r="AU113" s="430">
        <f ca="1">COUNTIF('1_INPUT'!$W$43:$W$64,AT113)-1</f>
        <v>5</v>
      </c>
      <c r="AV113" s="430" t="e">
        <f ca="1">OFFSET('1_INPUT'!$V$42,$AS113,,$AU113,)</f>
        <v>#VALUE!</v>
      </c>
      <c r="AX113" s="430" t="str">
        <f t="shared" si="6"/>
        <v/>
      </c>
      <c r="CK113" s="9"/>
      <c r="CL113" s="9"/>
    </row>
    <row r="114" spans="1:90" ht="41.4">
      <c r="A114" s="205"/>
      <c r="B114" s="518"/>
      <c r="C114" s="208" t="str">
        <f>IF(D114&lt;&gt;"",MAX($C$9:C113)+1,"")</f>
        <v/>
      </c>
      <c r="D114" s="523"/>
      <c r="E114" s="406"/>
      <c r="F114" s="407"/>
      <c r="G114" s="209">
        <f t="shared" ref="G114:G115" ca="1" si="349">IF(INDIRECT(ADDRESS(ROW()-1,COLUMN(B$7),,,))&lt;&gt;"",INDIRECT(ADDRESS(ROW(),COLUMN(F$7),,,)),INDIRECT(ADDRESS(ROW()-1,COLUMN(G$7),,,))+INDIRECT(ADDRESS(ROW(),COLUMN(F$7),,,)))</f>
        <v>106.5</v>
      </c>
      <c r="H114" s="209">
        <f t="shared" si="218"/>
        <v>0</v>
      </c>
      <c r="I114" s="209">
        <f t="shared" ref="I114:I115" ca="1" si="350">INDIRECT(ADDRESS(ROW()-1,COLUMN(I$7),,,))+INDIRECT(ADDRESS(ROW(),COLUMN(H$7),,,))</f>
        <v>4.4375</v>
      </c>
      <c r="J114" s="540">
        <v>1112</v>
      </c>
      <c r="K114" s="200"/>
      <c r="L114" s="532" t="s">
        <v>721</v>
      </c>
      <c r="M114" s="400" t="s">
        <v>554</v>
      </c>
      <c r="N114" s="400">
        <v>4</v>
      </c>
      <c r="O114" s="95">
        <f t="shared" ref="O114:O115" ca="1" si="351">IF(INDIRECT(ADDRESS(ROW()-1,COLUMN(B$7),,,))&lt;&gt;"",INDIRECT(ADDRESS(ROW(),COLUMN(N$7),,,)),INDIRECT(ADDRESS(ROW()-1,COLUMN(O$7),,,))+INDIRECT(ADDRESS(ROW(),COLUMN(N$7),,,)))</f>
        <v>393</v>
      </c>
      <c r="P114" s="403">
        <v>2374.8000000000002</v>
      </c>
      <c r="Q114" s="116">
        <f>IF(N114&gt;0,VLOOKUP(M114,'3_TIME SUM'!$F$7:$G$128,2,FALSE),0)</f>
        <v>0</v>
      </c>
      <c r="R114" s="517"/>
      <c r="S114" s="94">
        <f t="shared" si="12"/>
        <v>0.16666666666666666</v>
      </c>
      <c r="T114" s="94">
        <f t="shared" ref="T114:T115" ca="1" si="352">INDIRECT(ADDRESS(ROW()-1,COLUMN(T$7),,,))+INDIRECT(ADDRESS(ROW(),COLUMN(S$7),,,))</f>
        <v>16.375</v>
      </c>
      <c r="U114" s="535">
        <f ca="1">$T114+'1_INPUT'!$E$18</f>
        <v>44960.166666666664</v>
      </c>
      <c r="V114" s="95">
        <f t="shared" ref="V114:V115" ca="1" si="353">IFERROR(IF($AI114=0,($I114-T114)*24,(($P114-INDIRECT(ADDRESS(ROW()-1,COLUMN($P$9),,,)))/$AI114)-$N114+(INDIRECT(ADDRESS(ROW()-1,COLUMN(V$9),,,)))),"")</f>
        <v>-286.5</v>
      </c>
      <c r="W114" s="110">
        <f t="shared" ref="W114:W115" ca="1" si="354">IFERROR(IF(V114&gt;0,TIME(V114,(V114-ROUNDDOWN(V114,0))*60,0)+DAY((ROUNDDOWN(V114,0)/24)),TIME((-V114),((-V114)-ROUNDDOWN((-V114),0))*60,0)+DAY((ROUNDDOWN((-V114),0)/24))),"")</f>
        <v>11.9375</v>
      </c>
      <c r="X114" s="111">
        <f t="shared" ref="X114:X115" ca="1" si="355">IF(U114=0,"-",ROUNDUP(VALUE(U114),0))</f>
        <v>44961</v>
      </c>
      <c r="Y114" s="112" t="str">
        <f ca="1">IFERROR(IF(SUMIFS($N$9:$N114,$X$9:$X114,ROUNDUP(VALUE(U114),0),$Q$9:$Q114,"npt")=0,"-",SUMIFS($N$9:$N114,$X$9:$X114,ROUNDUP(VALUE(U114),0),$Q$9:$Q114,"npt")/SUMIFS($N$9:$N114,$X$9:$X114,ROUNDUP(VALUE(U114),0))),"")</f>
        <v>-</v>
      </c>
      <c r="Z114" s="112">
        <f ca="1">IFERROR(IF($N114=0,"-",SUMIF($Q$11:$Q114,"npt",$N$11:$N114)/(T114*24)),"")</f>
        <v>2.9262086513994912E-2</v>
      </c>
      <c r="AA114" s="491"/>
      <c r="AB114" s="491"/>
      <c r="AC114" s="398" t="s">
        <v>224</v>
      </c>
      <c r="AD114" s="427">
        <f t="shared" ca="1" si="9"/>
        <v>4.4375</v>
      </c>
      <c r="AE114" s="427">
        <f t="shared" ca="1" si="0"/>
        <v>1112</v>
      </c>
      <c r="AF114" s="427">
        <f t="shared" ref="AF114:AF115" ca="1" si="356">T114</f>
        <v>16.375</v>
      </c>
      <c r="AG114" s="427">
        <f t="shared" ca="1" si="2"/>
        <v>2374.8000000000002</v>
      </c>
      <c r="AH114" s="493"/>
      <c r="AI114" s="427">
        <f t="shared" ca="1" si="3"/>
        <v>0</v>
      </c>
      <c r="AJ114" s="493"/>
      <c r="AK114" s="428">
        <f t="shared" ref="AK114:AK115" ca="1" si="357">IF(B114&lt;&gt;"",B114,INDIRECT(ADDRESS(ROW()+1,COLUMN($AK$9),,,)))</f>
        <v>2</v>
      </c>
      <c r="AL114" s="428">
        <f ca="1">IF(A114&lt;&gt;"",IFERROR(INDEX('1_INPUT'!$B$69:$E$89,MATCH($A114,'1_INPUT'!$E$69:$E$89,0),1),""),INDIRECT(ADDRESS(ROW()+1,COLUMN($AL$9),,,)))</f>
        <v>3</v>
      </c>
      <c r="AM114" s="428" t="str">
        <f ca="1">IF(AN114="","",MAX(INDIRECT(ADDRESS(9,COLUMN($AM$9),,,)):INDIRECT(ADDRESS(ROW()-1,COLUMN($AM$9),,,)))+1)</f>
        <v/>
      </c>
      <c r="AN114" s="429" t="str">
        <f>IF($AO114&lt;&gt;"",VLOOKUP($AK114,'1_INPUT'!$B$124:$D$136,2,FALSE),"")</f>
        <v/>
      </c>
      <c r="AO114" s="429" t="str">
        <f t="shared" si="10"/>
        <v/>
      </c>
      <c r="AP114" s="427">
        <f ca="1">SUMIF($AL$10:AL114,$AL114,$I$10:I114)</f>
        <v>279.4583333333336</v>
      </c>
      <c r="AR114" s="430" t="str">
        <f t="shared" ca="1" si="5"/>
        <v>WORKOVER SECTION</v>
      </c>
      <c r="AS114" s="430">
        <f ca="1">MATCH(AR114,'1_INPUT'!$V$43:$V$64,0)+1</f>
        <v>6</v>
      </c>
      <c r="AT114" s="430">
        <f ca="1">VLOOKUP(AR114,'1_INPUT'!$V$43:$W$64,2,FALSE)</f>
        <v>21</v>
      </c>
      <c r="AU114" s="430">
        <f ca="1">COUNTIF('1_INPUT'!$W$43:$W$64,AT114)-1</f>
        <v>5</v>
      </c>
      <c r="AV114" s="430" t="e">
        <f ca="1">OFFSET('1_INPUT'!$V$42,$AS114,,$AU114,)</f>
        <v>#VALUE!</v>
      </c>
      <c r="AX114" s="430" t="str">
        <f t="shared" ref="AX114:AX115" si="358">IF(A114&lt;&gt;"",""&amp;AR114&amp;"-"&amp;A114&amp;"","")</f>
        <v/>
      </c>
      <c r="CK114" s="9"/>
      <c r="CL114" s="9"/>
    </row>
    <row r="115" spans="1:90" ht="13.8">
      <c r="A115" s="205"/>
      <c r="B115" s="518"/>
      <c r="C115" s="208" t="str">
        <f>IF(D115&lt;&gt;"",MAX($C$9:C114)+1,"")</f>
        <v/>
      </c>
      <c r="D115" s="523"/>
      <c r="E115" s="406"/>
      <c r="F115" s="407"/>
      <c r="G115" s="209">
        <f t="shared" ca="1" si="349"/>
        <v>106.5</v>
      </c>
      <c r="H115" s="209">
        <f t="shared" si="218"/>
        <v>0</v>
      </c>
      <c r="I115" s="209">
        <f t="shared" ca="1" si="350"/>
        <v>4.4375</v>
      </c>
      <c r="J115" s="540">
        <v>1112</v>
      </c>
      <c r="K115" s="200"/>
      <c r="L115" s="532" t="s">
        <v>722</v>
      </c>
      <c r="M115" s="400" t="s">
        <v>186</v>
      </c>
      <c r="N115" s="400">
        <v>1</v>
      </c>
      <c r="O115" s="95">
        <f t="shared" ca="1" si="351"/>
        <v>394</v>
      </c>
      <c r="P115" s="403">
        <v>2374.8000000000002</v>
      </c>
      <c r="Q115" s="116">
        <f>IF(N115&gt;0,VLOOKUP(M115,'3_TIME SUM'!$F$7:$G$128,2,FALSE),0)</f>
        <v>0</v>
      </c>
      <c r="R115" s="517"/>
      <c r="S115" s="94">
        <f t="shared" si="12"/>
        <v>4.1666666666666664E-2</v>
      </c>
      <c r="T115" s="94">
        <f t="shared" ca="1" si="352"/>
        <v>16.416666666666668</v>
      </c>
      <c r="U115" s="535">
        <f ca="1">$T115+'1_INPUT'!$E$18</f>
        <v>44960.208333333328</v>
      </c>
      <c r="V115" s="95">
        <f t="shared" ca="1" si="353"/>
        <v>-287.5</v>
      </c>
      <c r="W115" s="110">
        <f t="shared" ca="1" si="354"/>
        <v>11.979166666666666</v>
      </c>
      <c r="X115" s="111">
        <f t="shared" ca="1" si="355"/>
        <v>44961</v>
      </c>
      <c r="Y115" s="112" t="str">
        <f ca="1">IFERROR(IF(SUMIFS($N$9:$N115,$X$9:$X115,ROUNDUP(VALUE(U115),0),$Q$9:$Q115,"npt")=0,"-",SUMIFS($N$9:$N115,$X$9:$X115,ROUNDUP(VALUE(U115),0),$Q$9:$Q115,"npt")/SUMIFS($N$9:$N115,$X$9:$X115,ROUNDUP(VALUE(U115),0))),"")</f>
        <v>-</v>
      </c>
      <c r="Z115" s="112">
        <f ca="1">IFERROR(IF($N115=0,"-",SUMIF($Q$11:$Q115,"npt",$N$11:$N115)/(T115*24)),"")</f>
        <v>2.9187817258883249E-2</v>
      </c>
      <c r="AA115" s="491"/>
      <c r="AB115" s="491"/>
      <c r="AC115" s="398" t="s">
        <v>224</v>
      </c>
      <c r="AD115" s="427">
        <f t="shared" ca="1" si="9"/>
        <v>4.4375</v>
      </c>
      <c r="AE115" s="427">
        <f t="shared" ca="1" si="0"/>
        <v>1112</v>
      </c>
      <c r="AF115" s="427">
        <f t="shared" ca="1" si="356"/>
        <v>16.416666666666668</v>
      </c>
      <c r="AG115" s="427">
        <f t="shared" ca="1" si="2"/>
        <v>2374.8000000000002</v>
      </c>
      <c r="AH115" s="493"/>
      <c r="AI115" s="427">
        <f t="shared" ca="1" si="3"/>
        <v>0</v>
      </c>
      <c r="AJ115" s="493"/>
      <c r="AK115" s="428">
        <f t="shared" ca="1" si="357"/>
        <v>2</v>
      </c>
      <c r="AL115" s="428">
        <f ca="1">IF(A115&lt;&gt;"",IFERROR(INDEX('1_INPUT'!$B$69:$E$89,MATCH($A115,'1_INPUT'!$E$69:$E$89,0),1),""),INDIRECT(ADDRESS(ROW()+1,COLUMN($AL$9),,,)))</f>
        <v>3</v>
      </c>
      <c r="AM115" s="428" t="str">
        <f ca="1">IF(AN115="","",MAX(INDIRECT(ADDRESS(9,COLUMN($AM$9),,,)):INDIRECT(ADDRESS(ROW()-1,COLUMN($AM$9),,,)))+1)</f>
        <v/>
      </c>
      <c r="AN115" s="429" t="str">
        <f>IF($AO115&lt;&gt;"",VLOOKUP($AK115,'1_INPUT'!$B$124:$D$136,2,FALSE),"")</f>
        <v/>
      </c>
      <c r="AO115" s="429" t="str">
        <f t="shared" si="10"/>
        <v/>
      </c>
      <c r="AP115" s="427">
        <f ca="1">SUMIF($AL$10:AL115,$AL115,$I$10:I115)</f>
        <v>283.8958333333336</v>
      </c>
      <c r="AR115" s="430" t="str">
        <f t="shared" ca="1" si="5"/>
        <v>WORKOVER SECTION</v>
      </c>
      <c r="AS115" s="430">
        <f ca="1">MATCH(AR115,'1_INPUT'!$V$43:$V$64,0)+1</f>
        <v>6</v>
      </c>
      <c r="AT115" s="430">
        <f ca="1">VLOOKUP(AR115,'1_INPUT'!$V$43:$W$64,2,FALSE)</f>
        <v>21</v>
      </c>
      <c r="AU115" s="430">
        <f ca="1">COUNTIF('1_INPUT'!$W$43:$W$64,AT115)-1</f>
        <v>5</v>
      </c>
      <c r="AV115" s="430" t="e">
        <f ca="1">OFFSET('1_INPUT'!$V$42,$AS115,,$AU115,)</f>
        <v>#VALUE!</v>
      </c>
      <c r="AX115" s="430" t="str">
        <f t="shared" si="358"/>
        <v/>
      </c>
      <c r="CK115" s="9"/>
      <c r="CL115" s="9"/>
    </row>
    <row r="116" spans="1:90" ht="27.6">
      <c r="A116" s="205"/>
      <c r="B116" s="518"/>
      <c r="C116" s="208">
        <f ca="1">IF(D116&lt;&gt;"",MAX($C$9:C113)+1,"")</f>
        <v>24</v>
      </c>
      <c r="D116" s="523" t="s">
        <v>588</v>
      </c>
      <c r="E116" s="406"/>
      <c r="F116" s="407">
        <v>2</v>
      </c>
      <c r="G116" s="209">
        <f t="shared" ca="1" si="48"/>
        <v>108.5</v>
      </c>
      <c r="H116" s="209">
        <f t="shared" si="218"/>
        <v>8.3333333333333329E-2</v>
      </c>
      <c r="I116" s="209">
        <f t="shared" ca="1" si="49"/>
        <v>4.520833333333333</v>
      </c>
      <c r="J116" s="540">
        <v>1112</v>
      </c>
      <c r="K116" s="200"/>
      <c r="L116" s="532" t="s">
        <v>726</v>
      </c>
      <c r="M116" s="400" t="s">
        <v>91</v>
      </c>
      <c r="N116" s="400">
        <v>4</v>
      </c>
      <c r="O116" s="95">
        <f t="shared" ca="1" si="50"/>
        <v>398</v>
      </c>
      <c r="P116" s="403">
        <v>2374.8000000000002</v>
      </c>
      <c r="Q116" s="116">
        <f>IF(N116&gt;0,VLOOKUP(M116,'3_TIME SUM'!$F$7:$G$128,2,FALSE),0)</f>
        <v>0</v>
      </c>
      <c r="R116" s="517"/>
      <c r="S116" s="94">
        <f t="shared" si="12"/>
        <v>0.16666666666666666</v>
      </c>
      <c r="T116" s="94">
        <f t="shared" ca="1" si="51"/>
        <v>16.583333333333336</v>
      </c>
      <c r="U116" s="535">
        <f ca="1">$T116+'1_INPUT'!$E$18</f>
        <v>44960.375</v>
      </c>
      <c r="V116" s="95">
        <f t="shared" ca="1" si="7"/>
        <v>-289.50000000000011</v>
      </c>
      <c r="W116" s="110">
        <f t="shared" ca="1" si="8"/>
        <v>12.0625</v>
      </c>
      <c r="X116" s="111">
        <f t="shared" ca="1" si="52"/>
        <v>44961</v>
      </c>
      <c r="Y116" s="112" t="str">
        <f ca="1">IFERROR(IF(SUMIFS($N$9:$N116,$X$9:$X116,ROUNDUP(VALUE(U116),0),$Q$9:$Q116,"npt")=0,"-",SUMIFS($N$9:$N116,$X$9:$X116,ROUNDUP(VALUE(U116),0),$Q$9:$Q116,"npt")/SUMIFS($N$9:$N116,$X$9:$X116,ROUNDUP(VALUE(U116),0))),"")</f>
        <v>-</v>
      </c>
      <c r="Z116" s="112">
        <f ca="1">IFERROR(IF($N116=0,"-",SUMIF($Q$11:$Q116,"npt",$N$11:$N116)/(T116*24)),"")</f>
        <v>2.8894472361809042E-2</v>
      </c>
      <c r="AA116" s="491"/>
      <c r="AB116" s="491"/>
      <c r="AC116" s="398" t="s">
        <v>224</v>
      </c>
      <c r="AD116" s="427">
        <f t="shared" ca="1" si="9"/>
        <v>4.520833333333333</v>
      </c>
      <c r="AE116" s="427">
        <f t="shared" ca="1" si="0"/>
        <v>1112</v>
      </c>
      <c r="AF116" s="427">
        <f t="shared" ca="1" si="1"/>
        <v>16.583333333333336</v>
      </c>
      <c r="AG116" s="427">
        <f t="shared" ca="1" si="2"/>
        <v>2374.8000000000002</v>
      </c>
      <c r="AH116" s="493"/>
      <c r="AI116" s="427">
        <f t="shared" ca="1" si="3"/>
        <v>0</v>
      </c>
      <c r="AJ116" s="493"/>
      <c r="AK116" s="428">
        <f t="shared" ca="1" si="4"/>
        <v>2</v>
      </c>
      <c r="AL116" s="428">
        <f ca="1">IF(A116&lt;&gt;"",IFERROR(INDEX('1_INPUT'!$B$69:$E$89,MATCH($A116,'1_INPUT'!$E$69:$E$89,0),1),""),INDIRECT(ADDRESS(ROW()+1,COLUMN($AL$9),,,)))</f>
        <v>3</v>
      </c>
      <c r="AM116" s="428" t="str">
        <f ca="1">IF(AN116="","",MAX(INDIRECT(ADDRESS(9,COLUMN($AM$9),,,)):INDIRECT(ADDRESS(ROW()-1,COLUMN($AM$9),,,)))+1)</f>
        <v/>
      </c>
      <c r="AN116" s="429" t="str">
        <f>IF($AO116&lt;&gt;"",VLOOKUP($AK116,'1_INPUT'!$B$124:$D$136,2,FALSE),"")</f>
        <v/>
      </c>
      <c r="AO116" s="429" t="str">
        <f>IF(ISTEXT($A116),$A116,"")</f>
        <v/>
      </c>
      <c r="AP116" s="427">
        <f ca="1">SUMIF($AL$10:AL116,$AL116,$I$10:I116)</f>
        <v>288.41666666666691</v>
      </c>
      <c r="AR116" s="430" t="str">
        <f t="shared" ca="1" si="5"/>
        <v>WORKOVER SECTION</v>
      </c>
      <c r="AS116" s="430">
        <f ca="1">MATCH(AR116,'1_INPUT'!$V$43:$V$64,0)+1</f>
        <v>6</v>
      </c>
      <c r="AT116" s="430">
        <f ca="1">VLOOKUP(AR116,'1_INPUT'!$V$43:$W$64,2,FALSE)</f>
        <v>21</v>
      </c>
      <c r="AU116" s="430">
        <f ca="1">COUNTIF('1_INPUT'!$W$43:$W$64,AT116)-1</f>
        <v>5</v>
      </c>
      <c r="AV116" s="430" t="e">
        <f ca="1">OFFSET('1_INPUT'!$V$42,$AS116,,$AU116,)</f>
        <v>#VALUE!</v>
      </c>
      <c r="AX116" s="430" t="str">
        <f t="shared" si="6"/>
        <v/>
      </c>
      <c r="CK116" s="9"/>
      <c r="CL116" s="9"/>
    </row>
    <row r="117" spans="1:90" ht="13.8">
      <c r="A117" s="205"/>
      <c r="B117" s="518"/>
      <c r="C117" s="208">
        <f ca="1">IF(D117&lt;&gt;"",MAX($C$9:C116)+1,"")</f>
        <v>25</v>
      </c>
      <c r="D117" s="523" t="s">
        <v>589</v>
      </c>
      <c r="E117" s="406"/>
      <c r="F117" s="407">
        <v>8</v>
      </c>
      <c r="G117" s="209">
        <f t="shared" ca="1" si="48"/>
        <v>116.5</v>
      </c>
      <c r="H117" s="209">
        <f t="shared" si="218"/>
        <v>0.33333333333333331</v>
      </c>
      <c r="I117" s="209">
        <f t="shared" ca="1" si="49"/>
        <v>4.8541666666666661</v>
      </c>
      <c r="J117" s="540">
        <v>1112</v>
      </c>
      <c r="K117" s="200"/>
      <c r="L117" s="532" t="s">
        <v>723</v>
      </c>
      <c r="M117" s="400" t="s">
        <v>91</v>
      </c>
      <c r="N117" s="400">
        <v>3</v>
      </c>
      <c r="O117" s="95">
        <f t="shared" ca="1" si="50"/>
        <v>401</v>
      </c>
      <c r="P117" s="403">
        <v>2374.8000000000002</v>
      </c>
      <c r="Q117" s="116">
        <f>IF(N117&gt;0,VLOOKUP(M117,'3_TIME SUM'!$F$7:$G$128,2,FALSE),0)</f>
        <v>0</v>
      </c>
      <c r="R117" s="517"/>
      <c r="S117" s="94">
        <f t="shared" si="12"/>
        <v>0.125</v>
      </c>
      <c r="T117" s="94">
        <f t="shared" ca="1" si="51"/>
        <v>16.708333333333336</v>
      </c>
      <c r="U117" s="535">
        <f ca="1">$T117+'1_INPUT'!$E$18</f>
        <v>44960.5</v>
      </c>
      <c r="V117" s="95">
        <f t="shared" ca="1" si="7"/>
        <v>-284.50000000000006</v>
      </c>
      <c r="W117" s="110">
        <f t="shared" ca="1" si="8"/>
        <v>11.854166666666666</v>
      </c>
      <c r="X117" s="111">
        <f t="shared" ca="1" si="52"/>
        <v>44961</v>
      </c>
      <c r="Y117" s="112" t="str">
        <f ca="1">IFERROR(IF(SUMIFS($N$9:$N117,$X$9:$X117,ROUNDUP(VALUE(U117),0),$Q$9:$Q117,"npt")=0,"-",SUMIFS($N$9:$N117,$X$9:$X117,ROUNDUP(VALUE(U117),0),$Q$9:$Q117,"npt")/SUMIFS($N$9:$N117,$X$9:$X117,ROUNDUP(VALUE(U117),0))),"")</f>
        <v>-</v>
      </c>
      <c r="Z117" s="112">
        <f ca="1">IFERROR(IF($N117=0,"-",SUMIF($Q$11:$Q117,"npt",$N$11:$N117)/(T117*24)),"")</f>
        <v>2.8678304239401493E-2</v>
      </c>
      <c r="AA117" s="491"/>
      <c r="AB117" s="491"/>
      <c r="AC117" s="398" t="s">
        <v>224</v>
      </c>
      <c r="AD117" s="427">
        <f t="shared" ca="1" si="9"/>
        <v>4.8541666666666661</v>
      </c>
      <c r="AE117" s="427">
        <f t="shared" ca="1" si="0"/>
        <v>1112</v>
      </c>
      <c r="AF117" s="427">
        <f t="shared" ca="1" si="1"/>
        <v>16.708333333333336</v>
      </c>
      <c r="AG117" s="427">
        <f t="shared" ca="1" si="2"/>
        <v>2374.8000000000002</v>
      </c>
      <c r="AH117" s="493"/>
      <c r="AI117" s="427">
        <f t="shared" ca="1" si="3"/>
        <v>0</v>
      </c>
      <c r="AJ117" s="493"/>
      <c r="AK117" s="428">
        <f t="shared" ca="1" si="4"/>
        <v>2</v>
      </c>
      <c r="AL117" s="428">
        <f ca="1">IF(A117&lt;&gt;"",IFERROR(INDEX('1_INPUT'!$B$69:$E$89,MATCH($A117,'1_INPUT'!$E$69:$E$89,0),1),""),INDIRECT(ADDRESS(ROW()+1,COLUMN($AL$9),,,)))</f>
        <v>3</v>
      </c>
      <c r="AM117" s="428" t="str">
        <f ca="1">IF(AN117="","",MAX(INDIRECT(ADDRESS(9,COLUMN($AM$9),,,)):INDIRECT(ADDRESS(ROW()-1,COLUMN($AM$9),,,)))+1)</f>
        <v/>
      </c>
      <c r="AN117" s="429" t="str">
        <f>IF($AO117&lt;&gt;"",VLOOKUP($AK117,'1_INPUT'!$B$124:$D$136,2,FALSE),"")</f>
        <v/>
      </c>
      <c r="AO117" s="429" t="str">
        <f t="shared" si="10"/>
        <v/>
      </c>
      <c r="AP117" s="427">
        <f ca="1">SUMIF($AL$10:AL117,$AL117,$I$10:I117)</f>
        <v>293.2708333333336</v>
      </c>
      <c r="AR117" s="430" t="str">
        <f t="shared" ca="1" si="5"/>
        <v>WORKOVER SECTION</v>
      </c>
      <c r="AS117" s="430">
        <f ca="1">MATCH(AR117,'1_INPUT'!$V$43:$V$64,0)+1</f>
        <v>6</v>
      </c>
      <c r="AT117" s="430">
        <f ca="1">VLOOKUP(AR117,'1_INPUT'!$V$43:$W$64,2,FALSE)</f>
        <v>21</v>
      </c>
      <c r="AU117" s="430">
        <f ca="1">COUNTIF('1_INPUT'!$W$43:$W$64,AT117)-1</f>
        <v>5</v>
      </c>
      <c r="AV117" s="430" t="e">
        <f ca="1">OFFSET('1_INPUT'!$V$42,$AS117,,$AU117,)</f>
        <v>#VALUE!</v>
      </c>
      <c r="AX117" s="430" t="str">
        <f t="shared" si="6"/>
        <v/>
      </c>
      <c r="CK117" s="9"/>
      <c r="CL117" s="9"/>
    </row>
    <row r="118" spans="1:90" ht="13.8">
      <c r="A118" s="205"/>
      <c r="B118" s="518"/>
      <c r="C118" s="208" t="str">
        <f>IF(D118&lt;&gt;"",MAX($C$9:C117)+1,"")</f>
        <v/>
      </c>
      <c r="D118" s="523"/>
      <c r="E118" s="406"/>
      <c r="F118" s="407"/>
      <c r="G118" s="209">
        <f t="shared" ref="G118:G120" ca="1" si="359">IF(INDIRECT(ADDRESS(ROW()-1,COLUMN(B$7),,,))&lt;&gt;"",INDIRECT(ADDRESS(ROW(),COLUMN(F$7),,,)),INDIRECT(ADDRESS(ROW()-1,COLUMN(G$7),,,))+INDIRECT(ADDRESS(ROW(),COLUMN(F$7),,,)))</f>
        <v>116.5</v>
      </c>
      <c r="H118" s="209">
        <f t="shared" si="218"/>
        <v>0</v>
      </c>
      <c r="I118" s="209">
        <f t="shared" ref="I118:I120" ca="1" si="360">INDIRECT(ADDRESS(ROW()-1,COLUMN(I$7),,,))+INDIRECT(ADDRESS(ROW(),COLUMN(H$7),,,))</f>
        <v>4.8541666666666661</v>
      </c>
      <c r="J118" s="540">
        <v>1112</v>
      </c>
      <c r="K118" s="200"/>
      <c r="L118" s="532" t="s">
        <v>724</v>
      </c>
      <c r="M118" s="400" t="s">
        <v>92</v>
      </c>
      <c r="N118" s="400">
        <v>1</v>
      </c>
      <c r="O118" s="95">
        <f t="shared" ref="O118:O120" ca="1" si="361">IF(INDIRECT(ADDRESS(ROW()-1,COLUMN(B$7),,,))&lt;&gt;"",INDIRECT(ADDRESS(ROW(),COLUMN(N$7),,,)),INDIRECT(ADDRESS(ROW()-1,COLUMN(O$7),,,))+INDIRECT(ADDRESS(ROW(),COLUMN(N$7),,,)))</f>
        <v>402</v>
      </c>
      <c r="P118" s="403">
        <v>2374.8000000000002</v>
      </c>
      <c r="Q118" s="116">
        <f>IF(N118&gt;0,VLOOKUP(M118,'3_TIME SUM'!$F$7:$G$128,2,FALSE),0)</f>
        <v>0</v>
      </c>
      <c r="R118" s="517"/>
      <c r="S118" s="94">
        <f t="shared" si="12"/>
        <v>4.1666666666666664E-2</v>
      </c>
      <c r="T118" s="94">
        <f t="shared" ref="T118:T120" ca="1" si="362">INDIRECT(ADDRESS(ROW()-1,COLUMN(T$7),,,))+INDIRECT(ADDRESS(ROW(),COLUMN(S$7),,,))</f>
        <v>16.750000000000004</v>
      </c>
      <c r="U118" s="535">
        <f ca="1">$T118+'1_INPUT'!$E$18</f>
        <v>44960.541666666664</v>
      </c>
      <c r="V118" s="95">
        <f t="shared" ref="V118:V120" ca="1" si="363">IFERROR(IF($AI118=0,($I118-T118)*24,(($P118-INDIRECT(ADDRESS(ROW()-1,COLUMN($P$9),,,)))/$AI118)-$N118+(INDIRECT(ADDRESS(ROW()-1,COLUMN(V$9),,,)))),"")</f>
        <v>-285.50000000000011</v>
      </c>
      <c r="W118" s="110">
        <f t="shared" ref="W118:W120" ca="1" si="364">IFERROR(IF(V118&gt;0,TIME(V118,(V118-ROUNDDOWN(V118,0))*60,0)+DAY((ROUNDDOWN(V118,0)/24)),TIME((-V118),((-V118)-ROUNDDOWN((-V118),0))*60,0)+DAY((ROUNDDOWN((-V118),0)/24))),"")</f>
        <v>11.895833333333334</v>
      </c>
      <c r="X118" s="111">
        <f t="shared" ref="X118:X120" ca="1" si="365">IF(U118=0,"-",ROUNDUP(VALUE(U118),0))</f>
        <v>44961</v>
      </c>
      <c r="Y118" s="112" t="str">
        <f ca="1">IFERROR(IF(SUMIFS($N$9:$N118,$X$9:$X118,ROUNDUP(VALUE(U118),0),$Q$9:$Q118,"npt")=0,"-",SUMIFS($N$9:$N118,$X$9:$X118,ROUNDUP(VALUE(U118),0),$Q$9:$Q118,"npt")/SUMIFS($N$9:$N118,$X$9:$X118,ROUNDUP(VALUE(U118),0))),"")</f>
        <v>-</v>
      </c>
      <c r="Z118" s="112">
        <f ca="1">IFERROR(IF($N118=0,"-",SUMIF($Q$11:$Q118,"npt",$N$11:$N118)/(T118*24)),"")</f>
        <v>2.8606965174129344E-2</v>
      </c>
      <c r="AA118" s="491"/>
      <c r="AB118" s="491"/>
      <c r="AC118" s="398" t="s">
        <v>224</v>
      </c>
      <c r="AD118" s="427">
        <f t="shared" ca="1" si="9"/>
        <v>4.8541666666666661</v>
      </c>
      <c r="AE118" s="427">
        <f t="shared" ca="1" si="0"/>
        <v>1112</v>
      </c>
      <c r="AF118" s="427">
        <f t="shared" ref="AF118:AF120" ca="1" si="366">T118</f>
        <v>16.750000000000004</v>
      </c>
      <c r="AG118" s="427">
        <f t="shared" ca="1" si="2"/>
        <v>2374.8000000000002</v>
      </c>
      <c r="AH118" s="493"/>
      <c r="AI118" s="427">
        <f t="shared" ca="1" si="3"/>
        <v>0</v>
      </c>
      <c r="AJ118" s="493"/>
      <c r="AK118" s="428">
        <f t="shared" ref="AK118:AK120" ca="1" si="367">IF(B118&lt;&gt;"",B118,INDIRECT(ADDRESS(ROW()+1,COLUMN($AK$9),,,)))</f>
        <v>2</v>
      </c>
      <c r="AL118" s="428">
        <f ca="1">IF(A118&lt;&gt;"",IFERROR(INDEX('1_INPUT'!$B$69:$E$89,MATCH($A118,'1_INPUT'!$E$69:$E$89,0),1),""),INDIRECT(ADDRESS(ROW()+1,COLUMN($AL$9),,,)))</f>
        <v>3</v>
      </c>
      <c r="AM118" s="428" t="str">
        <f ca="1">IF(AN118="","",MAX(INDIRECT(ADDRESS(9,COLUMN($AM$9),,,)):INDIRECT(ADDRESS(ROW()-1,COLUMN($AM$9),,,)))+1)</f>
        <v/>
      </c>
      <c r="AN118" s="429" t="str">
        <f>IF($AO118&lt;&gt;"",VLOOKUP($AK118,'1_INPUT'!$B$124:$D$136,2,FALSE),"")</f>
        <v/>
      </c>
      <c r="AO118" s="429" t="str">
        <f t="shared" si="10"/>
        <v/>
      </c>
      <c r="AP118" s="427">
        <f ca="1">SUMIF($AL$10:AL118,$AL118,$I$10:I118)</f>
        <v>298.12500000000028</v>
      </c>
      <c r="AR118" s="430" t="str">
        <f t="shared" ca="1" si="5"/>
        <v>WORKOVER SECTION</v>
      </c>
      <c r="AS118" s="430">
        <f ca="1">MATCH(AR118,'1_INPUT'!$V$43:$V$64,0)+1</f>
        <v>6</v>
      </c>
      <c r="AT118" s="430">
        <f ca="1">VLOOKUP(AR118,'1_INPUT'!$V$43:$W$64,2,FALSE)</f>
        <v>21</v>
      </c>
      <c r="AU118" s="430">
        <f ca="1">COUNTIF('1_INPUT'!$W$43:$W$64,AT118)-1</f>
        <v>5</v>
      </c>
      <c r="AV118" s="430" t="e">
        <f ca="1">OFFSET('1_INPUT'!$V$42,$AS118,,$AU118,)</f>
        <v>#VALUE!</v>
      </c>
      <c r="AX118" s="430" t="str">
        <f t="shared" ref="AX118:AX120" si="368">IF(A118&lt;&gt;"",""&amp;AR118&amp;"-"&amp;A118&amp;"","")</f>
        <v/>
      </c>
      <c r="CK118" s="9"/>
      <c r="CL118" s="9"/>
    </row>
    <row r="119" spans="1:90" ht="27.6">
      <c r="A119" s="205"/>
      <c r="B119" s="518"/>
      <c r="C119" s="208" t="str">
        <f>IF(D119&lt;&gt;"",MAX($C$9:C118)+1,"")</f>
        <v/>
      </c>
      <c r="D119" s="523"/>
      <c r="E119" s="406"/>
      <c r="F119" s="407"/>
      <c r="G119" s="209">
        <f t="shared" ca="1" si="359"/>
        <v>116.5</v>
      </c>
      <c r="H119" s="209">
        <f t="shared" si="218"/>
        <v>0</v>
      </c>
      <c r="I119" s="209">
        <f t="shared" ca="1" si="360"/>
        <v>4.8541666666666661</v>
      </c>
      <c r="J119" s="540">
        <v>1112</v>
      </c>
      <c r="K119" s="200"/>
      <c r="L119" s="532" t="s">
        <v>727</v>
      </c>
      <c r="M119" s="400" t="s">
        <v>91</v>
      </c>
      <c r="N119" s="400">
        <v>1</v>
      </c>
      <c r="O119" s="95">
        <f t="shared" ca="1" si="361"/>
        <v>403</v>
      </c>
      <c r="P119" s="403">
        <v>2374.8000000000002</v>
      </c>
      <c r="Q119" s="116">
        <f>IF(N119&gt;0,VLOOKUP(M119,'3_TIME SUM'!$F$7:$G$128,2,FALSE),0)</f>
        <v>0</v>
      </c>
      <c r="R119" s="517"/>
      <c r="S119" s="94">
        <f t="shared" si="12"/>
        <v>4.1666666666666664E-2</v>
      </c>
      <c r="T119" s="94">
        <f t="shared" ca="1" si="362"/>
        <v>16.791666666666671</v>
      </c>
      <c r="U119" s="535">
        <f ca="1">$T119+'1_INPUT'!$E$18</f>
        <v>44960.583333333328</v>
      </c>
      <c r="V119" s="95">
        <f t="shared" ca="1" si="363"/>
        <v>-286.50000000000011</v>
      </c>
      <c r="W119" s="110">
        <f t="shared" ca="1" si="364"/>
        <v>11.9375</v>
      </c>
      <c r="X119" s="111">
        <f t="shared" ca="1" si="365"/>
        <v>44961</v>
      </c>
      <c r="Y119" s="112" t="str">
        <f ca="1">IFERROR(IF(SUMIFS($N$9:$N119,$X$9:$X119,ROUNDUP(VALUE(U119),0),$Q$9:$Q119,"npt")=0,"-",SUMIFS($N$9:$N119,$X$9:$X119,ROUNDUP(VALUE(U119),0),$Q$9:$Q119,"npt")/SUMIFS($N$9:$N119,$X$9:$X119,ROUNDUP(VALUE(U119),0))),"")</f>
        <v>-</v>
      </c>
      <c r="Z119" s="112">
        <f ca="1">IFERROR(IF($N119=0,"-",SUMIF($Q$11:$Q119,"npt",$N$11:$N119)/(T119*24)),"")</f>
        <v>2.8535980148883366E-2</v>
      </c>
      <c r="AA119" s="491"/>
      <c r="AB119" s="491"/>
      <c r="AC119" s="398" t="s">
        <v>224</v>
      </c>
      <c r="AD119" s="427">
        <f t="shared" ca="1" si="9"/>
        <v>4.8541666666666661</v>
      </c>
      <c r="AE119" s="427">
        <f t="shared" ca="1" si="0"/>
        <v>1112</v>
      </c>
      <c r="AF119" s="427">
        <f t="shared" ca="1" si="366"/>
        <v>16.791666666666671</v>
      </c>
      <c r="AG119" s="427">
        <f t="shared" ca="1" si="2"/>
        <v>2374.8000000000002</v>
      </c>
      <c r="AH119" s="493"/>
      <c r="AI119" s="427">
        <f t="shared" ca="1" si="3"/>
        <v>0</v>
      </c>
      <c r="AJ119" s="493"/>
      <c r="AK119" s="428">
        <f t="shared" ca="1" si="367"/>
        <v>2</v>
      </c>
      <c r="AL119" s="428">
        <f ca="1">IF(A119&lt;&gt;"",IFERROR(INDEX('1_INPUT'!$B$69:$E$89,MATCH($A119,'1_INPUT'!$E$69:$E$89,0),1),""),INDIRECT(ADDRESS(ROW()+1,COLUMN($AL$9),,,)))</f>
        <v>3</v>
      </c>
      <c r="AM119" s="428" t="str">
        <f ca="1">IF(AN119="","",MAX(INDIRECT(ADDRESS(9,COLUMN($AM$9),,,)):INDIRECT(ADDRESS(ROW()-1,COLUMN($AM$9),,,)))+1)</f>
        <v/>
      </c>
      <c r="AN119" s="429" t="str">
        <f>IF($AO119&lt;&gt;"",VLOOKUP($AK119,'1_INPUT'!$B$124:$D$136,2,FALSE),"")</f>
        <v/>
      </c>
      <c r="AO119" s="429" t="str">
        <f t="shared" si="10"/>
        <v/>
      </c>
      <c r="AP119" s="427">
        <f ca="1">SUMIF($AL$10:AL119,$AL119,$I$10:I119)</f>
        <v>302.97916666666697</v>
      </c>
      <c r="AR119" s="430" t="str">
        <f t="shared" ca="1" si="5"/>
        <v>WORKOVER SECTION</v>
      </c>
      <c r="AS119" s="430">
        <f ca="1">MATCH(AR119,'1_INPUT'!$V$43:$V$64,0)+1</f>
        <v>6</v>
      </c>
      <c r="AT119" s="430">
        <f ca="1">VLOOKUP(AR119,'1_INPUT'!$V$43:$W$64,2,FALSE)</f>
        <v>21</v>
      </c>
      <c r="AU119" s="430">
        <f ca="1">COUNTIF('1_INPUT'!$W$43:$W$64,AT119)-1</f>
        <v>5</v>
      </c>
      <c r="AV119" s="430" t="e">
        <f ca="1">OFFSET('1_INPUT'!$V$42,$AS119,,$AU119,)</f>
        <v>#VALUE!</v>
      </c>
      <c r="AX119" s="430" t="str">
        <f t="shared" si="368"/>
        <v/>
      </c>
      <c r="CK119" s="9"/>
      <c r="CL119" s="9"/>
    </row>
    <row r="120" spans="1:90" ht="13.8">
      <c r="A120" s="205"/>
      <c r="B120" s="518"/>
      <c r="C120" s="208" t="str">
        <f>IF(D120&lt;&gt;"",MAX($C$9:C119)+1,"")</f>
        <v/>
      </c>
      <c r="D120" s="523"/>
      <c r="E120" s="406"/>
      <c r="F120" s="407"/>
      <c r="G120" s="209">
        <f t="shared" ca="1" si="359"/>
        <v>116.5</v>
      </c>
      <c r="H120" s="209">
        <f t="shared" si="218"/>
        <v>0</v>
      </c>
      <c r="I120" s="209">
        <f t="shared" ca="1" si="360"/>
        <v>4.8541666666666661</v>
      </c>
      <c r="J120" s="540">
        <v>1112</v>
      </c>
      <c r="K120" s="200"/>
      <c r="L120" s="532" t="s">
        <v>725</v>
      </c>
      <c r="M120" s="400" t="s">
        <v>185</v>
      </c>
      <c r="N120" s="400">
        <v>1</v>
      </c>
      <c r="O120" s="95">
        <f t="shared" ca="1" si="361"/>
        <v>404</v>
      </c>
      <c r="P120" s="403">
        <v>2374.8000000000002</v>
      </c>
      <c r="Q120" s="116">
        <f>IF(N120&gt;0,VLOOKUP(M120,'3_TIME SUM'!$F$7:$G$128,2,FALSE),0)</f>
        <v>0</v>
      </c>
      <c r="R120" s="517"/>
      <c r="S120" s="94">
        <f t="shared" si="12"/>
        <v>4.1666666666666664E-2</v>
      </c>
      <c r="T120" s="94">
        <f t="shared" ca="1" si="362"/>
        <v>16.833333333333339</v>
      </c>
      <c r="U120" s="535">
        <f ca="1">$T120+'1_INPUT'!$E$18</f>
        <v>44960.625</v>
      </c>
      <c r="V120" s="95">
        <f t="shared" ca="1" si="363"/>
        <v>-287.50000000000017</v>
      </c>
      <c r="W120" s="110">
        <f t="shared" ca="1" si="364"/>
        <v>11.979166666666666</v>
      </c>
      <c r="X120" s="111">
        <f t="shared" ca="1" si="365"/>
        <v>44961</v>
      </c>
      <c r="Y120" s="112" t="str">
        <f ca="1">IFERROR(IF(SUMIFS($N$9:$N120,$X$9:$X120,ROUNDUP(VALUE(U120),0),$Q$9:$Q120,"npt")=0,"-",SUMIFS($N$9:$N120,$X$9:$X120,ROUNDUP(VALUE(U120),0),$Q$9:$Q120,"npt")/SUMIFS($N$9:$N120,$X$9:$X120,ROUNDUP(VALUE(U120),0))),"")</f>
        <v>-</v>
      </c>
      <c r="Z120" s="112">
        <f ca="1">IFERROR(IF($N120=0,"-",SUMIF($Q$11:$Q120,"npt",$N$11:$N120)/(T120*24)),"")</f>
        <v>2.8465346534653456E-2</v>
      </c>
      <c r="AA120" s="491"/>
      <c r="AB120" s="491"/>
      <c r="AC120" s="398" t="s">
        <v>224</v>
      </c>
      <c r="AD120" s="427">
        <f t="shared" ca="1" si="9"/>
        <v>4.8541666666666661</v>
      </c>
      <c r="AE120" s="427">
        <f t="shared" ca="1" si="0"/>
        <v>1112</v>
      </c>
      <c r="AF120" s="427">
        <f t="shared" ca="1" si="366"/>
        <v>16.833333333333339</v>
      </c>
      <c r="AG120" s="427">
        <f t="shared" ca="1" si="2"/>
        <v>2374.8000000000002</v>
      </c>
      <c r="AH120" s="493"/>
      <c r="AI120" s="427">
        <f t="shared" ca="1" si="3"/>
        <v>0</v>
      </c>
      <c r="AJ120" s="493"/>
      <c r="AK120" s="428">
        <f t="shared" ca="1" si="367"/>
        <v>2</v>
      </c>
      <c r="AL120" s="428">
        <f ca="1">IF(A120&lt;&gt;"",IFERROR(INDEX('1_INPUT'!$B$69:$E$89,MATCH($A120,'1_INPUT'!$E$69:$E$89,0),1),""),INDIRECT(ADDRESS(ROW()+1,COLUMN($AL$9),,,)))</f>
        <v>3</v>
      </c>
      <c r="AM120" s="428" t="str">
        <f ca="1">IF(AN120="","",MAX(INDIRECT(ADDRESS(9,COLUMN($AM$9),,,)):INDIRECT(ADDRESS(ROW()-1,COLUMN($AM$9),,,)))+1)</f>
        <v/>
      </c>
      <c r="AN120" s="429" t="str">
        <f>IF($AO120&lt;&gt;"",VLOOKUP($AK120,'1_INPUT'!$B$124:$D$136,2,FALSE),"")</f>
        <v/>
      </c>
      <c r="AO120" s="429" t="str">
        <f t="shared" si="10"/>
        <v/>
      </c>
      <c r="AP120" s="427">
        <f ca="1">SUMIF($AL$10:AL120,$AL120,$I$10:I120)</f>
        <v>307.83333333333366</v>
      </c>
      <c r="AR120" s="430" t="str">
        <f t="shared" ca="1" si="5"/>
        <v>WORKOVER SECTION</v>
      </c>
      <c r="AS120" s="430">
        <f ca="1">MATCH(AR120,'1_INPUT'!$V$43:$V$64,0)+1</f>
        <v>6</v>
      </c>
      <c r="AT120" s="430">
        <f ca="1">VLOOKUP(AR120,'1_INPUT'!$V$43:$W$64,2,FALSE)</f>
        <v>21</v>
      </c>
      <c r="AU120" s="430">
        <f ca="1">COUNTIF('1_INPUT'!$W$43:$W$64,AT120)-1</f>
        <v>5</v>
      </c>
      <c r="AV120" s="430" t="e">
        <f ca="1">OFFSET('1_INPUT'!$V$42,$AS120,,$AU120,)</f>
        <v>#VALUE!</v>
      </c>
      <c r="AX120" s="430" t="str">
        <f t="shared" si="368"/>
        <v/>
      </c>
      <c r="CK120" s="9"/>
      <c r="CL120" s="9"/>
    </row>
    <row r="121" spans="1:90" ht="41.4">
      <c r="A121" s="205"/>
      <c r="B121" s="518"/>
      <c r="C121" s="208" t="str">
        <f>IF(D121&lt;&gt;"",MAX($C$9:C120)+1,"")</f>
        <v/>
      </c>
      <c r="D121" s="523"/>
      <c r="E121" s="406"/>
      <c r="F121" s="407"/>
      <c r="G121" s="209">
        <f t="shared" ref="G121" ca="1" si="369">IF(INDIRECT(ADDRESS(ROW()-1,COLUMN(B$7),,,))&lt;&gt;"",INDIRECT(ADDRESS(ROW(),COLUMN(F$7),,,)),INDIRECT(ADDRESS(ROW()-1,COLUMN(G$7),,,))+INDIRECT(ADDRESS(ROW(),COLUMN(F$7),,,)))</f>
        <v>116.5</v>
      </c>
      <c r="H121" s="209">
        <f t="shared" si="218"/>
        <v>0</v>
      </c>
      <c r="I121" s="209">
        <f t="shared" ref="I121" ca="1" si="370">INDIRECT(ADDRESS(ROW()-1,COLUMN(I$7),,,))+INDIRECT(ADDRESS(ROW(),COLUMN(H$7),,,))</f>
        <v>4.8541666666666661</v>
      </c>
      <c r="J121" s="540">
        <v>1112</v>
      </c>
      <c r="K121" s="200"/>
      <c r="L121" s="532" t="s">
        <v>728</v>
      </c>
      <c r="M121" s="400" t="s">
        <v>555</v>
      </c>
      <c r="N121" s="400">
        <v>9</v>
      </c>
      <c r="O121" s="95">
        <f t="shared" ref="O121" ca="1" si="371">IF(INDIRECT(ADDRESS(ROW()-1,COLUMN(B$7),,,))&lt;&gt;"",INDIRECT(ADDRESS(ROW(),COLUMN(N$7),,,)),INDIRECT(ADDRESS(ROW()-1,COLUMN(O$7),,,))+INDIRECT(ADDRESS(ROW(),COLUMN(N$7),,,)))</f>
        <v>413</v>
      </c>
      <c r="P121" s="403">
        <v>2374.8000000000002</v>
      </c>
      <c r="Q121" s="116">
        <f>IF(N121&gt;0,VLOOKUP(M121,'3_TIME SUM'!$F$7:$G$128,2,FALSE),0)</f>
        <v>0</v>
      </c>
      <c r="R121" s="517"/>
      <c r="S121" s="94">
        <f t="shared" si="12"/>
        <v>0.375</v>
      </c>
      <c r="T121" s="94">
        <f t="shared" ref="T121" ca="1" si="372">INDIRECT(ADDRESS(ROW()-1,COLUMN(T$7),,,))+INDIRECT(ADDRESS(ROW(),COLUMN(S$7),,,))</f>
        <v>17.208333333333339</v>
      </c>
      <c r="U121" s="539">
        <f ca="1">$T121+'1_INPUT'!$E$18</f>
        <v>44961</v>
      </c>
      <c r="V121" s="95">
        <f t="shared" ref="V121" ca="1" si="373">IFERROR(IF($AI121=0,($I121-T121)*24,(($P121-INDIRECT(ADDRESS(ROW()-1,COLUMN($P$9),,,)))/$AI121)-$N121+(INDIRECT(ADDRESS(ROW()-1,COLUMN(V$9),,,)))),"")</f>
        <v>-296.50000000000017</v>
      </c>
      <c r="W121" s="110">
        <f t="shared" ref="W121" ca="1" si="374">IFERROR(IF(V121&gt;0,TIME(V121,(V121-ROUNDDOWN(V121,0))*60,0)+DAY((ROUNDDOWN(V121,0)/24)),TIME((-V121),((-V121)-ROUNDDOWN((-V121),0))*60,0)+DAY((ROUNDDOWN((-V121),0)/24))),"")</f>
        <v>12.354166666666666</v>
      </c>
      <c r="X121" s="111">
        <f t="shared" ref="X121" ca="1" si="375">IF(U121=0,"-",ROUNDUP(VALUE(U121),0))</f>
        <v>44961</v>
      </c>
      <c r="Y121" s="112" t="str">
        <f ca="1">IFERROR(IF(SUMIFS($N$9:$N121,$X$9:$X121,ROUNDUP(VALUE(U121),0),$Q$9:$Q121,"npt")=0,"-",SUMIFS($N$9:$N121,$X$9:$X121,ROUNDUP(VALUE(U121),0),$Q$9:$Q121,"npt")/SUMIFS($N$9:$N121,$X$9:$X121,ROUNDUP(VALUE(U121),0))),"")</f>
        <v>-</v>
      </c>
      <c r="Z121" s="112">
        <f ca="1">IFERROR(IF($N121=0,"-",SUMIF($Q$11:$Q121,"npt",$N$11:$N121)/(T121*24)),"")</f>
        <v>2.7845036319612583E-2</v>
      </c>
      <c r="AA121" s="491"/>
      <c r="AB121" s="491"/>
      <c r="AC121" s="398" t="s">
        <v>224</v>
      </c>
      <c r="AD121" s="427">
        <f t="shared" ca="1" si="9"/>
        <v>4.8541666666666661</v>
      </c>
      <c r="AE121" s="427">
        <f t="shared" ca="1" si="0"/>
        <v>1112</v>
      </c>
      <c r="AF121" s="427">
        <f t="shared" ref="AF121" ca="1" si="376">T121</f>
        <v>17.208333333333339</v>
      </c>
      <c r="AG121" s="427">
        <f t="shared" ca="1" si="2"/>
        <v>2374.8000000000002</v>
      </c>
      <c r="AH121" s="493"/>
      <c r="AI121" s="427">
        <f t="shared" ca="1" si="3"/>
        <v>0</v>
      </c>
      <c r="AJ121" s="493"/>
      <c r="AK121" s="428">
        <f t="shared" ref="AK121" ca="1" si="377">IF(B121&lt;&gt;"",B121,INDIRECT(ADDRESS(ROW()+1,COLUMN($AK$9),,,)))</f>
        <v>2</v>
      </c>
      <c r="AL121" s="428">
        <f ca="1">IF(A121&lt;&gt;"",IFERROR(INDEX('1_INPUT'!$B$69:$E$89,MATCH($A121,'1_INPUT'!$E$69:$E$89,0),1),""),INDIRECT(ADDRESS(ROW()+1,COLUMN($AL$9),,,)))</f>
        <v>3</v>
      </c>
      <c r="AM121" s="428" t="str">
        <f ca="1">IF(AN121="","",MAX(INDIRECT(ADDRESS(9,COLUMN($AM$9),,,)):INDIRECT(ADDRESS(ROW()-1,COLUMN($AM$9),,,)))+1)</f>
        <v/>
      </c>
      <c r="AN121" s="429" t="str">
        <f>IF($AO121&lt;&gt;"",VLOOKUP($AK121,'1_INPUT'!$B$124:$D$136,2,FALSE),"")</f>
        <v/>
      </c>
      <c r="AO121" s="429" t="str">
        <f t="shared" si="10"/>
        <v/>
      </c>
      <c r="AP121" s="427">
        <f ca="1">SUMIF($AL$10:AL121,$AL121,$I$10:I121)</f>
        <v>312.68750000000034</v>
      </c>
      <c r="AR121" s="430" t="str">
        <f t="shared" ca="1" si="5"/>
        <v>WORKOVER SECTION</v>
      </c>
      <c r="AS121" s="430">
        <f ca="1">MATCH(AR121,'1_INPUT'!$V$43:$V$64,0)+1</f>
        <v>6</v>
      </c>
      <c r="AT121" s="430">
        <f ca="1">VLOOKUP(AR121,'1_INPUT'!$V$43:$W$64,2,FALSE)</f>
        <v>21</v>
      </c>
      <c r="AU121" s="430">
        <f ca="1">COUNTIF('1_INPUT'!$W$43:$W$64,AT121)-1</f>
        <v>5</v>
      </c>
      <c r="AV121" s="430" t="e">
        <f ca="1">OFFSET('1_INPUT'!$V$42,$AS121,,$AU121,)</f>
        <v>#VALUE!</v>
      </c>
      <c r="AX121" s="430" t="str">
        <f t="shared" ref="AX121" si="378">IF(A121&lt;&gt;"",""&amp;AR121&amp;"-"&amp;A121&amp;"","")</f>
        <v/>
      </c>
      <c r="CK121" s="9"/>
      <c r="CL121" s="9"/>
    </row>
    <row r="122" spans="1:90" ht="41.4">
      <c r="A122" s="205"/>
      <c r="B122" s="518"/>
      <c r="C122" s="208" t="str">
        <f>IF(D122&lt;&gt;"",MAX($C$9:C121)+1,"")</f>
        <v/>
      </c>
      <c r="D122" s="523"/>
      <c r="E122" s="406"/>
      <c r="F122" s="407"/>
      <c r="G122" s="209">
        <f t="shared" ref="G122:G124" ca="1" si="379">IF(INDIRECT(ADDRESS(ROW()-1,COLUMN(B$7),,,))&lt;&gt;"",INDIRECT(ADDRESS(ROW(),COLUMN(F$7),,,)),INDIRECT(ADDRESS(ROW()-1,COLUMN(G$7),,,))+INDIRECT(ADDRESS(ROW(),COLUMN(F$7),,,)))</f>
        <v>116.5</v>
      </c>
      <c r="H122" s="209">
        <f t="shared" si="218"/>
        <v>0</v>
      </c>
      <c r="I122" s="209">
        <f t="shared" ref="I122:I124" ca="1" si="380">INDIRECT(ADDRESS(ROW()-1,COLUMN(I$7),,,))+INDIRECT(ADDRESS(ROW(),COLUMN(H$7),,,))</f>
        <v>4.8541666666666661</v>
      </c>
      <c r="J122" s="540">
        <v>1112</v>
      </c>
      <c r="K122" s="200"/>
      <c r="L122" s="532" t="s">
        <v>729</v>
      </c>
      <c r="M122" s="400" t="s">
        <v>555</v>
      </c>
      <c r="N122" s="400">
        <v>4</v>
      </c>
      <c r="O122" s="95">
        <f t="shared" ref="O122:O124" ca="1" si="381">IF(INDIRECT(ADDRESS(ROW()-1,COLUMN(B$7),,,))&lt;&gt;"",INDIRECT(ADDRESS(ROW(),COLUMN(N$7),,,)),INDIRECT(ADDRESS(ROW()-1,COLUMN(O$7),,,))+INDIRECT(ADDRESS(ROW(),COLUMN(N$7),,,)))</f>
        <v>417</v>
      </c>
      <c r="P122" s="403">
        <v>2374.8000000000002</v>
      </c>
      <c r="Q122" s="116">
        <f>IF(N122&gt;0,VLOOKUP(M122,'3_TIME SUM'!$F$7:$G$128,2,FALSE),0)</f>
        <v>0</v>
      </c>
      <c r="R122" s="517"/>
      <c r="S122" s="94">
        <f t="shared" si="12"/>
        <v>0.16666666666666666</v>
      </c>
      <c r="T122" s="94">
        <f t="shared" ref="T122:T124" ca="1" si="382">INDIRECT(ADDRESS(ROW()-1,COLUMN(T$7),,,))+INDIRECT(ADDRESS(ROW(),COLUMN(S$7),,,))</f>
        <v>17.375000000000007</v>
      </c>
      <c r="U122" s="535">
        <f ca="1">$T122+'1_INPUT'!$E$18</f>
        <v>44961.166666666664</v>
      </c>
      <c r="V122" s="95">
        <f t="shared" ref="V122:V124" ca="1" si="383">IFERROR(IF($AI122=0,($I122-T122)*24,(($P122-INDIRECT(ADDRESS(ROW()-1,COLUMN($P$9),,,)))/$AI122)-$N122+(INDIRECT(ADDRESS(ROW()-1,COLUMN(V$9),,,)))),"")</f>
        <v>-300.50000000000017</v>
      </c>
      <c r="W122" s="110">
        <f t="shared" ref="W122:W124" ca="1" si="384">IFERROR(IF(V122&gt;0,TIME(V122,(V122-ROUNDDOWN(V122,0))*60,0)+DAY((ROUNDDOWN(V122,0)/24)),TIME((-V122),((-V122)-ROUNDDOWN((-V122),0))*60,0)+DAY((ROUNDDOWN((-V122),0)/24))),"")</f>
        <v>12.520833333333334</v>
      </c>
      <c r="X122" s="111">
        <f t="shared" ref="X122:X124" ca="1" si="385">IF(U122=0,"-",ROUNDUP(VALUE(U122),0))</f>
        <v>44962</v>
      </c>
      <c r="Y122" s="112" t="str">
        <f ca="1">IFERROR(IF(SUMIFS($N$9:$N122,$X$9:$X122,ROUNDUP(VALUE(U122),0),$Q$9:$Q122,"npt")=0,"-",SUMIFS($N$9:$N122,$X$9:$X122,ROUNDUP(VALUE(U122),0),$Q$9:$Q122,"npt")/SUMIFS($N$9:$N122,$X$9:$X122,ROUNDUP(VALUE(U122),0))),"")</f>
        <v>-</v>
      </c>
      <c r="Z122" s="112">
        <f ca="1">IFERROR(IF($N122=0,"-",SUMIF($Q$11:$Q122,"npt",$N$11:$N122)/(T122*24)),"")</f>
        <v>2.7577937649880084E-2</v>
      </c>
      <c r="AA122" s="491"/>
      <c r="AB122" s="491"/>
      <c r="AC122" s="398" t="s">
        <v>224</v>
      </c>
      <c r="AD122" s="427">
        <f t="shared" ca="1" si="9"/>
        <v>4.8541666666666661</v>
      </c>
      <c r="AE122" s="427">
        <f t="shared" ca="1" si="0"/>
        <v>1112</v>
      </c>
      <c r="AF122" s="427">
        <f t="shared" ref="AF122:AF124" ca="1" si="386">T122</f>
        <v>17.375000000000007</v>
      </c>
      <c r="AG122" s="427">
        <f t="shared" ca="1" si="2"/>
        <v>2374.8000000000002</v>
      </c>
      <c r="AH122" s="493"/>
      <c r="AI122" s="427">
        <f t="shared" ca="1" si="3"/>
        <v>0</v>
      </c>
      <c r="AJ122" s="493"/>
      <c r="AK122" s="428">
        <f t="shared" ref="AK122:AK124" ca="1" si="387">IF(B122&lt;&gt;"",B122,INDIRECT(ADDRESS(ROW()+1,COLUMN($AK$9),,,)))</f>
        <v>2</v>
      </c>
      <c r="AL122" s="428">
        <f ca="1">IF(A122&lt;&gt;"",IFERROR(INDEX('1_INPUT'!$B$69:$E$89,MATCH($A122,'1_INPUT'!$E$69:$E$89,0),1),""),INDIRECT(ADDRESS(ROW()+1,COLUMN($AL$9),,,)))</f>
        <v>3</v>
      </c>
      <c r="AM122" s="428" t="str">
        <f ca="1">IF(AN122="","",MAX(INDIRECT(ADDRESS(9,COLUMN($AM$9),,,)):INDIRECT(ADDRESS(ROW()-1,COLUMN($AM$9),,,)))+1)</f>
        <v/>
      </c>
      <c r="AN122" s="429" t="str">
        <f>IF($AO122&lt;&gt;"",VLOOKUP($AK122,'1_INPUT'!$B$124:$D$136,2,FALSE),"")</f>
        <v/>
      </c>
      <c r="AO122" s="429" t="str">
        <f t="shared" si="10"/>
        <v/>
      </c>
      <c r="AP122" s="427">
        <f ca="1">SUMIF($AL$10:AL122,$AL122,$I$10:I122)</f>
        <v>317.54166666666703</v>
      </c>
      <c r="AR122" s="430" t="str">
        <f t="shared" ca="1" si="5"/>
        <v>WORKOVER SECTION</v>
      </c>
      <c r="AS122" s="430">
        <f ca="1">MATCH(AR122,'1_INPUT'!$V$43:$V$64,0)+1</f>
        <v>6</v>
      </c>
      <c r="AT122" s="430">
        <f ca="1">VLOOKUP(AR122,'1_INPUT'!$V$43:$W$64,2,FALSE)</f>
        <v>21</v>
      </c>
      <c r="AU122" s="430">
        <f ca="1">COUNTIF('1_INPUT'!$W$43:$W$64,AT122)-1</f>
        <v>5</v>
      </c>
      <c r="AV122" s="430" t="e">
        <f ca="1">OFFSET('1_INPUT'!$V$42,$AS122,,$AU122,)</f>
        <v>#VALUE!</v>
      </c>
      <c r="AX122" s="430" t="str">
        <f t="shared" ref="AX122:AX124" si="388">IF(A122&lt;&gt;"",""&amp;AR122&amp;"-"&amp;A122&amp;"","")</f>
        <v/>
      </c>
      <c r="CK122" s="9"/>
      <c r="CL122" s="9"/>
    </row>
    <row r="123" spans="1:90" ht="72" customHeight="1">
      <c r="A123" s="205"/>
      <c r="B123" s="518"/>
      <c r="C123" s="208" t="str">
        <f>IF(D123&lt;&gt;"",MAX($C$9:C122)+1,"")</f>
        <v/>
      </c>
      <c r="D123" s="523"/>
      <c r="E123" s="406"/>
      <c r="F123" s="407"/>
      <c r="G123" s="209">
        <f t="shared" ca="1" si="379"/>
        <v>116.5</v>
      </c>
      <c r="H123" s="209">
        <f t="shared" si="218"/>
        <v>0</v>
      </c>
      <c r="I123" s="209">
        <f t="shared" ca="1" si="380"/>
        <v>4.8541666666666661</v>
      </c>
      <c r="J123" s="540">
        <v>1112</v>
      </c>
      <c r="K123" s="200"/>
      <c r="L123" s="532" t="s">
        <v>730</v>
      </c>
      <c r="M123" s="400" t="s">
        <v>555</v>
      </c>
      <c r="N123" s="400">
        <v>7</v>
      </c>
      <c r="O123" s="95">
        <f t="shared" ca="1" si="381"/>
        <v>424</v>
      </c>
      <c r="P123" s="403">
        <v>2374.8000000000002</v>
      </c>
      <c r="Q123" s="116">
        <f>IF(N123&gt;0,VLOOKUP(M123,'3_TIME SUM'!$F$7:$G$128,2,FALSE),0)</f>
        <v>0</v>
      </c>
      <c r="R123" s="517"/>
      <c r="S123" s="94">
        <f t="shared" si="12"/>
        <v>0.29166666666666669</v>
      </c>
      <c r="T123" s="94">
        <f t="shared" ca="1" si="382"/>
        <v>17.666666666666675</v>
      </c>
      <c r="U123" s="535">
        <f ca="1">$T123+'1_INPUT'!$E$18</f>
        <v>44961.458333333328</v>
      </c>
      <c r="V123" s="95">
        <f t="shared" ca="1" si="383"/>
        <v>-307.50000000000023</v>
      </c>
      <c r="W123" s="110">
        <f t="shared" ca="1" si="384"/>
        <v>12.8125</v>
      </c>
      <c r="X123" s="111">
        <f t="shared" ca="1" si="385"/>
        <v>44962</v>
      </c>
      <c r="Y123" s="112" t="str">
        <f ca="1">IFERROR(IF(SUMIFS($N$9:$N123,$X$9:$X123,ROUNDUP(VALUE(U123),0),$Q$9:$Q123,"npt")=0,"-",SUMIFS($N$9:$N123,$X$9:$X123,ROUNDUP(VALUE(U123),0),$Q$9:$Q123,"npt")/SUMIFS($N$9:$N123,$X$9:$X123,ROUNDUP(VALUE(U123),0))),"")</f>
        <v>-</v>
      </c>
      <c r="Z123" s="112">
        <f ca="1">IFERROR(IF($N123=0,"-",SUMIF($Q$11:$Q123,"npt",$N$11:$N123)/(T123*24)),"")</f>
        <v>2.7122641509433949E-2</v>
      </c>
      <c r="AA123" s="491"/>
      <c r="AB123" s="491"/>
      <c r="AC123" s="398" t="s">
        <v>224</v>
      </c>
      <c r="AD123" s="427">
        <f t="shared" ca="1" si="9"/>
        <v>4.8541666666666661</v>
      </c>
      <c r="AE123" s="427">
        <f t="shared" ca="1" si="0"/>
        <v>1112</v>
      </c>
      <c r="AF123" s="427">
        <f t="shared" ca="1" si="386"/>
        <v>17.666666666666675</v>
      </c>
      <c r="AG123" s="427">
        <f t="shared" ca="1" si="2"/>
        <v>2374.8000000000002</v>
      </c>
      <c r="AH123" s="493"/>
      <c r="AI123" s="427">
        <f t="shared" ca="1" si="3"/>
        <v>0</v>
      </c>
      <c r="AJ123" s="493"/>
      <c r="AK123" s="428">
        <f t="shared" ca="1" si="387"/>
        <v>2</v>
      </c>
      <c r="AL123" s="428">
        <f ca="1">IF(A123&lt;&gt;"",IFERROR(INDEX('1_INPUT'!$B$69:$E$89,MATCH($A123,'1_INPUT'!$E$69:$E$89,0),1),""),INDIRECT(ADDRESS(ROW()+1,COLUMN($AL$9),,,)))</f>
        <v>3</v>
      </c>
      <c r="AM123" s="428" t="str">
        <f ca="1">IF(AN123="","",MAX(INDIRECT(ADDRESS(9,COLUMN($AM$9),,,)):INDIRECT(ADDRESS(ROW()-1,COLUMN($AM$9),,,)))+1)</f>
        <v/>
      </c>
      <c r="AN123" s="429" t="str">
        <f>IF($AO123&lt;&gt;"",VLOOKUP($AK123,'1_INPUT'!$B$124:$D$136,2,FALSE),"")</f>
        <v/>
      </c>
      <c r="AO123" s="429" t="str">
        <f t="shared" si="10"/>
        <v/>
      </c>
      <c r="AP123" s="427">
        <f ca="1">SUMIF($AL$10:AL123,$AL123,$I$10:I123)</f>
        <v>322.39583333333371</v>
      </c>
      <c r="AR123" s="430" t="str">
        <f t="shared" ca="1" si="5"/>
        <v>WORKOVER SECTION</v>
      </c>
      <c r="AS123" s="430">
        <f ca="1">MATCH(AR123,'1_INPUT'!$V$43:$V$64,0)+1</f>
        <v>6</v>
      </c>
      <c r="AT123" s="430">
        <f ca="1">VLOOKUP(AR123,'1_INPUT'!$V$43:$W$64,2,FALSE)</f>
        <v>21</v>
      </c>
      <c r="AU123" s="430">
        <f ca="1">COUNTIF('1_INPUT'!$W$43:$W$64,AT123)-1</f>
        <v>5</v>
      </c>
      <c r="AV123" s="430" t="e">
        <f ca="1">OFFSET('1_INPUT'!$V$42,$AS123,,$AU123,)</f>
        <v>#VALUE!</v>
      </c>
      <c r="AX123" s="430" t="str">
        <f t="shared" si="388"/>
        <v/>
      </c>
      <c r="CK123" s="9"/>
      <c r="CL123" s="9"/>
    </row>
    <row r="124" spans="1:90" ht="13.8">
      <c r="A124" s="205" t="s">
        <v>575</v>
      </c>
      <c r="B124" s="518"/>
      <c r="C124" s="208" t="str">
        <f>IF(D124&lt;&gt;"",MAX($C$9:C123)+1,"")</f>
        <v/>
      </c>
      <c r="D124" s="523"/>
      <c r="E124" s="406"/>
      <c r="F124" s="407"/>
      <c r="G124" s="209">
        <f t="shared" ca="1" si="379"/>
        <v>116.5</v>
      </c>
      <c r="H124" s="209">
        <f t="shared" si="218"/>
        <v>0</v>
      </c>
      <c r="I124" s="209">
        <f t="shared" ca="1" si="380"/>
        <v>4.8541666666666661</v>
      </c>
      <c r="J124" s="540">
        <v>1112</v>
      </c>
      <c r="K124" s="200"/>
      <c r="L124" s="532" t="s">
        <v>722</v>
      </c>
      <c r="M124" s="400" t="s">
        <v>186</v>
      </c>
      <c r="N124" s="400">
        <v>1</v>
      </c>
      <c r="O124" s="95">
        <f t="shared" ca="1" si="381"/>
        <v>425</v>
      </c>
      <c r="P124" s="403">
        <v>2374.8000000000002</v>
      </c>
      <c r="Q124" s="116">
        <f>IF(N124&gt;0,VLOOKUP(M124,'3_TIME SUM'!$F$7:$G$128,2,FALSE),0)</f>
        <v>0</v>
      </c>
      <c r="R124" s="517"/>
      <c r="S124" s="94">
        <f t="shared" si="12"/>
        <v>4.1666666666666664E-2</v>
      </c>
      <c r="T124" s="94">
        <f t="shared" ca="1" si="382"/>
        <v>17.708333333333343</v>
      </c>
      <c r="U124" s="535">
        <f ca="1">$T124+'1_INPUT'!$E$18</f>
        <v>44961.5</v>
      </c>
      <c r="V124" s="95">
        <f t="shared" ca="1" si="383"/>
        <v>-308.50000000000023</v>
      </c>
      <c r="W124" s="110">
        <f t="shared" ca="1" si="384"/>
        <v>12.854166666666666</v>
      </c>
      <c r="X124" s="111">
        <f t="shared" ca="1" si="385"/>
        <v>44962</v>
      </c>
      <c r="Y124" s="112" t="str">
        <f ca="1">IFERROR(IF(SUMIFS($N$9:$N124,$X$9:$X124,ROUNDUP(VALUE(U124),0),$Q$9:$Q124,"npt")=0,"-",SUMIFS($N$9:$N124,$X$9:$X124,ROUNDUP(VALUE(U124),0),$Q$9:$Q124,"npt")/SUMIFS($N$9:$N124,$X$9:$X124,ROUNDUP(VALUE(U124),0))),"")</f>
        <v>-</v>
      </c>
      <c r="Z124" s="112">
        <f ca="1">IFERROR(IF($N124=0,"-",SUMIF($Q$11:$Q124,"npt",$N$11:$N124)/(T124*24)),"")</f>
        <v>2.705882352941175E-2</v>
      </c>
      <c r="AA124" s="491"/>
      <c r="AB124" s="491"/>
      <c r="AC124" s="398" t="s">
        <v>224</v>
      </c>
      <c r="AD124" s="427">
        <f t="shared" ca="1" si="9"/>
        <v>4.8541666666666661</v>
      </c>
      <c r="AE124" s="427">
        <f t="shared" ca="1" si="0"/>
        <v>1112</v>
      </c>
      <c r="AF124" s="427">
        <f t="shared" ca="1" si="386"/>
        <v>17.708333333333343</v>
      </c>
      <c r="AG124" s="427">
        <f t="shared" ca="1" si="2"/>
        <v>2374.8000000000002</v>
      </c>
      <c r="AH124" s="493"/>
      <c r="AI124" s="427">
        <f t="shared" ca="1" si="3"/>
        <v>0</v>
      </c>
      <c r="AJ124" s="493"/>
      <c r="AK124" s="428">
        <f t="shared" ca="1" si="387"/>
        <v>2</v>
      </c>
      <c r="AL124" s="428">
        <f ca="1">IF(A124&lt;&gt;"",IFERROR(INDEX('1_INPUT'!$B$69:$E$89,MATCH($A124,'1_INPUT'!$E$69:$E$89,0),1),""),INDIRECT(ADDRESS(ROW()+1,COLUMN($AL$9),,,)))</f>
        <v>3</v>
      </c>
      <c r="AM124" s="428">
        <f ca="1">IF(AN124="","",MAX(INDIRECT(ADDRESS(9,COLUMN($AM$9),,,)):INDIRECT(ADDRESS(ROW()-1,COLUMN($AM$9),,,)))+1)</f>
        <v>3</v>
      </c>
      <c r="AN124" s="429" t="str">
        <f ca="1">IF($AO124&lt;&gt;"",VLOOKUP($AK124,'1_INPUT'!$B$124:$D$136,2,FALSE),"")</f>
        <v>WORKOVER SECTION</v>
      </c>
      <c r="AO124" s="429" t="str">
        <f t="shared" si="10"/>
        <v>WORKOVER #1</v>
      </c>
      <c r="AP124" s="427">
        <f ca="1">SUMIF($AL$10:AL124,$AL124,$I$10:I124)</f>
        <v>327.2500000000004</v>
      </c>
      <c r="AR124" s="430" t="str">
        <f t="shared" ca="1" si="5"/>
        <v>WORKOVER SECTION</v>
      </c>
      <c r="AS124" s="430">
        <f ca="1">MATCH(AR124,'1_INPUT'!$V$43:$V$64,0)+1</f>
        <v>6</v>
      </c>
      <c r="AT124" s="430">
        <f ca="1">VLOOKUP(AR124,'1_INPUT'!$V$43:$W$64,2,FALSE)</f>
        <v>21</v>
      </c>
      <c r="AU124" s="430">
        <f ca="1">COUNTIF('1_INPUT'!$W$43:$W$64,AT124)-1</f>
        <v>5</v>
      </c>
      <c r="AV124" s="430" t="e">
        <f ca="1">OFFSET('1_INPUT'!$V$42,$AS124,,$AU124,)</f>
        <v>#VALUE!</v>
      </c>
      <c r="AX124" s="430" t="str">
        <f t="shared" ca="1" si="388"/>
        <v>WORKOVER SECTION-WORKOVER #1</v>
      </c>
      <c r="CK124" s="9"/>
      <c r="CL124" s="9"/>
    </row>
    <row r="125" spans="1:90" ht="13.8">
      <c r="A125" s="205"/>
      <c r="B125" s="518"/>
      <c r="C125" s="208">
        <f ca="1">IF(D125&lt;&gt;"",MAX($C$9:C117)+1,"")</f>
        <v>26</v>
      </c>
      <c r="D125" s="523" t="s">
        <v>600</v>
      </c>
      <c r="E125" s="406"/>
      <c r="F125" s="407">
        <v>48</v>
      </c>
      <c r="G125" s="209">
        <f t="shared" ca="1" si="48"/>
        <v>164.5</v>
      </c>
      <c r="H125" s="209">
        <f t="shared" si="218"/>
        <v>2</v>
      </c>
      <c r="I125" s="209">
        <f t="shared" ca="1" si="49"/>
        <v>6.8541666666666661</v>
      </c>
      <c r="J125" s="540">
        <v>1112</v>
      </c>
      <c r="K125" s="200"/>
      <c r="L125" s="532"/>
      <c r="M125" s="400"/>
      <c r="N125" s="400"/>
      <c r="O125" s="95">
        <f t="shared" ca="1" si="50"/>
        <v>425</v>
      </c>
      <c r="P125" s="403">
        <v>2374.8000000000002</v>
      </c>
      <c r="Q125" s="116">
        <f>IF(N125&gt;0,VLOOKUP(M125,'3_TIME SUM'!$F$7:$G$128,2,FALSE),0)</f>
        <v>0</v>
      </c>
      <c r="R125" s="517"/>
      <c r="S125" s="94">
        <f t="shared" si="12"/>
        <v>0</v>
      </c>
      <c r="T125" s="94">
        <f t="shared" ca="1" si="51"/>
        <v>17.708333333333343</v>
      </c>
      <c r="U125" s="535">
        <f ca="1">$T125+'1_INPUT'!$E$18</f>
        <v>44961.5</v>
      </c>
      <c r="V125" s="95">
        <f ca="1">IFERROR(IF($AI125=0,($I125-T125)*24,(($P125-INDIRECT(ADDRESS(ROW()-1,COLUMN($P$9),,,)))/$AI125)-$N125+(INDIRECT(ADDRESS(ROW()-1,COLUMN(V$9),,,)))),"")</f>
        <v>-260.50000000000023</v>
      </c>
      <c r="W125" s="110">
        <f ca="1">IFERROR(IF(V125&gt;0,TIME(V125,(V125-ROUNDDOWN(V125,0))*60,0)+DAY((ROUNDDOWN(V125,0)/24)),TIME((-V125),((-V125)-ROUNDDOWN((-V125),0))*60,0)+DAY((ROUNDDOWN((-V125),0)/24))),"")</f>
        <v>10.854166666666666</v>
      </c>
      <c r="X125" s="111">
        <f t="shared" ca="1" si="52"/>
        <v>44962</v>
      </c>
      <c r="Y125" s="112" t="str">
        <f ca="1">IFERROR(IF(SUMIFS($N$9:$N125,$X$9:$X125,ROUNDUP(VALUE(U125),0),$Q$9:$Q125,"npt")=0,"-",SUMIFS($N$9:$N125,$X$9:$X125,ROUNDUP(VALUE(U125),0),$Q$9:$Q125,"npt")/SUMIFS($N$9:$N125,$X$9:$X125,ROUNDUP(VALUE(U125),0))),"")</f>
        <v>-</v>
      </c>
      <c r="Z125" s="112" t="str">
        <f>IFERROR(IF($N125=0,"-",SUMIF($Q$11:$Q125,"npt",$N$11:$N125)/(T125*24)),"")</f>
        <v>-</v>
      </c>
      <c r="AA125" s="491"/>
      <c r="AB125" s="491"/>
      <c r="AC125" s="398" t="s">
        <v>224</v>
      </c>
      <c r="AD125" s="427">
        <f t="shared" ca="1" si="9"/>
        <v>6.8541666666666661</v>
      </c>
      <c r="AE125" s="427">
        <f t="shared" ca="1" si="0"/>
        <v>1112</v>
      </c>
      <c r="AF125" s="427">
        <f ca="1">T125</f>
        <v>17.708333333333343</v>
      </c>
      <c r="AG125" s="427">
        <f t="shared" ca="1" si="2"/>
        <v>2374.8000000000002</v>
      </c>
      <c r="AH125" s="493"/>
      <c r="AI125" s="427">
        <f t="shared" ca="1" si="3"/>
        <v>0</v>
      </c>
      <c r="AJ125" s="493"/>
      <c r="AK125" s="428">
        <f ca="1">IF(B125&lt;&gt;"",B125,INDIRECT(ADDRESS(ROW()+1,COLUMN($AK$9),,,)))</f>
        <v>2</v>
      </c>
      <c r="AL125" s="428">
        <f ca="1">IF(A125&lt;&gt;"",IFERROR(INDEX('1_INPUT'!$B$69:$E$89,MATCH($A125,'1_INPUT'!$E$69:$E$89,0),1),""),INDIRECT(ADDRESS(ROW()+1,COLUMN($AL$9),,,)))</f>
        <v>4</v>
      </c>
      <c r="AM125" s="428" t="str">
        <f ca="1">IF(AN125="","",MAX(INDIRECT(ADDRESS(9,COLUMN($AM$9),,,)):INDIRECT(ADDRESS(ROW()-1,COLUMN($AM$9),,,)))+1)</f>
        <v/>
      </c>
      <c r="AN125" s="429" t="str">
        <f>IF($AO125&lt;&gt;"",VLOOKUP($AK125,'1_INPUT'!$B$124:$D$136,2,FALSE),"")</f>
        <v/>
      </c>
      <c r="AO125" s="429" t="str">
        <f t="shared" si="10"/>
        <v/>
      </c>
      <c r="AP125" s="427">
        <f ca="1">SUMIF($AL$10:AL125,$AL125,$I$10:I125)</f>
        <v>6.8541666666666661</v>
      </c>
      <c r="AR125" s="430" t="str">
        <f t="shared" ca="1" si="5"/>
        <v>WORKOVER SECTION</v>
      </c>
      <c r="AS125" s="430">
        <f ca="1">MATCH(AR125,'1_INPUT'!$V$43:$V$64,0)+1</f>
        <v>6</v>
      </c>
      <c r="AT125" s="430">
        <f ca="1">VLOOKUP(AR125,'1_INPUT'!$V$43:$W$64,2,FALSE)</f>
        <v>21</v>
      </c>
      <c r="AU125" s="430">
        <f ca="1">COUNTIF('1_INPUT'!$W$43:$W$64,AT125)-1</f>
        <v>5</v>
      </c>
      <c r="AV125" s="430" t="e">
        <f ca="1">OFFSET('1_INPUT'!$V$42,$AS125,,$AU125,)</f>
        <v>#VALUE!</v>
      </c>
      <c r="AX125" s="430" t="str">
        <f>IF(A125&lt;&gt;"",""&amp;AR125&amp;"-"&amp;A125&amp;"","")</f>
        <v/>
      </c>
      <c r="CK125" s="9"/>
      <c r="CL125" s="9"/>
    </row>
    <row r="126" spans="1:90" ht="13.8">
      <c r="A126" s="205"/>
      <c r="B126" s="518"/>
      <c r="C126" s="208">
        <f ca="1">IF(D126&lt;&gt;"",MAX($C$9:C125)+1,"")</f>
        <v>27</v>
      </c>
      <c r="D126" s="523" t="s">
        <v>622</v>
      </c>
      <c r="E126" s="406"/>
      <c r="F126" s="407">
        <v>6</v>
      </c>
      <c r="G126" s="209">
        <f t="shared" ca="1" si="48"/>
        <v>170.5</v>
      </c>
      <c r="H126" s="209">
        <f t="shared" si="218"/>
        <v>0.25</v>
      </c>
      <c r="I126" s="209">
        <f t="shared" ca="1" si="49"/>
        <v>7.1041666666666661</v>
      </c>
      <c r="J126" s="540">
        <v>1112</v>
      </c>
      <c r="K126" s="200"/>
      <c r="L126" s="532"/>
      <c r="M126" s="400"/>
      <c r="N126" s="400"/>
      <c r="O126" s="95">
        <f t="shared" ca="1" si="50"/>
        <v>425</v>
      </c>
      <c r="P126" s="403">
        <v>2374.8000000000002</v>
      </c>
      <c r="Q126" s="116">
        <f>IF(N126&gt;0,VLOOKUP(M126,'3_TIME SUM'!$F$7:$G$128,2,FALSE),0)</f>
        <v>0</v>
      </c>
      <c r="R126" s="517"/>
      <c r="S126" s="94">
        <f t="shared" si="12"/>
        <v>0</v>
      </c>
      <c r="T126" s="94">
        <f t="shared" ca="1" si="51"/>
        <v>17.708333333333343</v>
      </c>
      <c r="U126" s="535">
        <f ca="1">$T126+'1_INPUT'!$E$18</f>
        <v>44961.5</v>
      </c>
      <c r="V126" s="95">
        <f ca="1">IFERROR(IF($AI126=0,($I126-T126)*24,(($P126-INDIRECT(ADDRESS(ROW()-1,COLUMN($P$9),,,)))/$AI126)-$N126+(INDIRECT(ADDRESS(ROW()-1,COLUMN(V$9),,,)))),"")</f>
        <v>-254.50000000000023</v>
      </c>
      <c r="W126" s="110">
        <f ca="1">IFERROR(IF(V126&gt;0,TIME(V126,(V126-ROUNDDOWN(V126,0))*60,0)+DAY((ROUNDDOWN(V126,0)/24)),TIME((-V126),((-V126)-ROUNDDOWN((-V126),0))*60,0)+DAY((ROUNDDOWN((-V126),0)/24))),"")</f>
        <v>10.604166666666666</v>
      </c>
      <c r="X126" s="111">
        <f t="shared" ca="1" si="52"/>
        <v>44962</v>
      </c>
      <c r="Y126" s="112" t="str">
        <f ca="1">IFERROR(IF(SUMIFS($N$9:$N126,$X$9:$X126,ROUNDUP(VALUE(U126),0),$Q$9:$Q126,"npt")=0,"-",SUMIFS($N$9:$N126,$X$9:$X126,ROUNDUP(VALUE(U126),0),$Q$9:$Q126,"npt")/SUMIFS($N$9:$N126,$X$9:$X126,ROUNDUP(VALUE(U126),0))),"")</f>
        <v>-</v>
      </c>
      <c r="Z126" s="112" t="str">
        <f>IFERROR(IF($N126=0,"-",SUMIF($Q$11:$Q126,"npt",$N$11:$N126)/(T126*24)),"")</f>
        <v>-</v>
      </c>
      <c r="AA126" s="491"/>
      <c r="AB126" s="491"/>
      <c r="AC126" s="398" t="s">
        <v>224</v>
      </c>
      <c r="AD126" s="427">
        <f t="shared" ca="1" si="9"/>
        <v>7.1041666666666661</v>
      </c>
      <c r="AE126" s="427">
        <f t="shared" ca="1" si="0"/>
        <v>1112</v>
      </c>
      <c r="AF126" s="427">
        <f ca="1">T126</f>
        <v>17.708333333333343</v>
      </c>
      <c r="AG126" s="427">
        <f t="shared" ca="1" si="2"/>
        <v>2374.8000000000002</v>
      </c>
      <c r="AH126" s="493"/>
      <c r="AI126" s="427">
        <f t="shared" ca="1" si="3"/>
        <v>0</v>
      </c>
      <c r="AJ126" s="493"/>
      <c r="AK126" s="428">
        <f ca="1">IF(B126&lt;&gt;"",B126,INDIRECT(ADDRESS(ROW()+1,COLUMN($AK$9),,,)))</f>
        <v>2</v>
      </c>
      <c r="AL126" s="428">
        <f ca="1">IF(A126&lt;&gt;"",IFERROR(INDEX('1_INPUT'!$B$69:$E$89,MATCH($A126,'1_INPUT'!$E$69:$E$89,0),1),""),INDIRECT(ADDRESS(ROW()+1,COLUMN($AL$9),,,)))</f>
        <v>4</v>
      </c>
      <c r="AM126" s="428" t="str">
        <f ca="1">IF(AN126="","",MAX(INDIRECT(ADDRESS(9,COLUMN($AM$9),,,)):INDIRECT(ADDRESS(ROW()-1,COLUMN($AM$9),,,)))+1)</f>
        <v/>
      </c>
      <c r="AN126" s="429" t="str">
        <f>IF($AO126&lt;&gt;"",VLOOKUP($AK126,'1_INPUT'!$B$124:$D$136,2,FALSE),"")</f>
        <v/>
      </c>
      <c r="AO126" s="429" t="str">
        <f t="shared" si="10"/>
        <v/>
      </c>
      <c r="AP126" s="427">
        <f ca="1">SUMIF($AL$10:AL126,$AL126,$I$10:I126)</f>
        <v>13.958333333333332</v>
      </c>
      <c r="AR126" s="430" t="str">
        <f t="shared" ca="1" si="5"/>
        <v>WORKOVER SECTION</v>
      </c>
      <c r="AS126" s="430">
        <f ca="1">MATCH(AR126,'1_INPUT'!$V$43:$V$64,0)+1</f>
        <v>6</v>
      </c>
      <c r="AT126" s="430">
        <f ca="1">VLOOKUP(AR126,'1_INPUT'!$V$43:$W$64,2,FALSE)</f>
        <v>21</v>
      </c>
      <c r="AU126" s="430">
        <f ca="1">COUNTIF('1_INPUT'!$W$43:$W$64,AT126)-1</f>
        <v>5</v>
      </c>
      <c r="AV126" s="430" t="e">
        <f ca="1">OFFSET('1_INPUT'!$V$42,$AS126,,$AU126,)</f>
        <v>#VALUE!</v>
      </c>
      <c r="AX126" s="430" t="str">
        <f>IF(A126&lt;&gt;"",""&amp;AR126&amp;"-"&amp;A126&amp;"","")</f>
        <v/>
      </c>
      <c r="CK126" s="9"/>
      <c r="CL126" s="9"/>
    </row>
    <row r="127" spans="1:90" ht="27.6">
      <c r="A127" s="205"/>
      <c r="B127" s="518"/>
      <c r="C127" s="208">
        <f ca="1">IF(D127&lt;&gt;"",MAX($C$9:C126)+1,"")</f>
        <v>28</v>
      </c>
      <c r="D127" s="523" t="s">
        <v>623</v>
      </c>
      <c r="E127" s="406"/>
      <c r="F127" s="407">
        <v>6.5</v>
      </c>
      <c r="G127" s="209">
        <f t="shared" ca="1" si="48"/>
        <v>177</v>
      </c>
      <c r="H127" s="209">
        <f t="shared" si="218"/>
        <v>0.27083333333333331</v>
      </c>
      <c r="I127" s="209">
        <f t="shared" ca="1" si="49"/>
        <v>7.3749999999999991</v>
      </c>
      <c r="J127" s="540">
        <v>1112</v>
      </c>
      <c r="K127" s="200"/>
      <c r="L127" s="532"/>
      <c r="M127" s="400"/>
      <c r="N127" s="400"/>
      <c r="O127" s="95">
        <f t="shared" ca="1" si="50"/>
        <v>425</v>
      </c>
      <c r="P127" s="403">
        <v>2374.8000000000002</v>
      </c>
      <c r="Q127" s="116">
        <f>IF(N127&gt;0,VLOOKUP(M127,'3_TIME SUM'!$F$7:$G$128,2,FALSE),0)</f>
        <v>0</v>
      </c>
      <c r="R127" s="517"/>
      <c r="S127" s="94">
        <f t="shared" si="12"/>
        <v>0</v>
      </c>
      <c r="T127" s="94">
        <f t="shared" ca="1" si="51"/>
        <v>17.708333333333343</v>
      </c>
      <c r="U127" s="535">
        <f ca="1">$T127+'1_INPUT'!$E$18</f>
        <v>44961.5</v>
      </c>
      <c r="V127" s="95">
        <f t="shared" ca="1" si="7"/>
        <v>-248.00000000000023</v>
      </c>
      <c r="W127" s="110">
        <f t="shared" ca="1" si="8"/>
        <v>10.333333333333334</v>
      </c>
      <c r="X127" s="111">
        <f t="shared" ca="1" si="52"/>
        <v>44962</v>
      </c>
      <c r="Y127" s="112" t="str">
        <f ca="1">IFERROR(IF(SUMIFS($N$9:$N127,$X$9:$X127,ROUNDUP(VALUE(U127),0),$Q$9:$Q127,"npt")=0,"-",SUMIFS($N$9:$N127,$X$9:$X127,ROUNDUP(VALUE(U127),0),$Q$9:$Q127,"npt")/SUMIFS($N$9:$N127,$X$9:$X127,ROUNDUP(VALUE(U127),0))),"")</f>
        <v>-</v>
      </c>
      <c r="Z127" s="112" t="str">
        <f>IFERROR(IF($N127=0,"-",SUMIF($Q$11:$Q127,"npt",$N$11:$N127)/(T127*24)),"")</f>
        <v>-</v>
      </c>
      <c r="AA127" s="491"/>
      <c r="AB127" s="491"/>
      <c r="AC127" s="398" t="s">
        <v>224</v>
      </c>
      <c r="AD127" s="427">
        <f t="shared" ca="1" si="9"/>
        <v>7.3749999999999991</v>
      </c>
      <c r="AE127" s="427">
        <f t="shared" ca="1" si="0"/>
        <v>1112</v>
      </c>
      <c r="AF127" s="427">
        <f t="shared" ca="1" si="1"/>
        <v>17.708333333333343</v>
      </c>
      <c r="AG127" s="427">
        <f t="shared" ca="1" si="2"/>
        <v>2374.8000000000002</v>
      </c>
      <c r="AH127" s="493"/>
      <c r="AI127" s="427">
        <f t="shared" ca="1" si="3"/>
        <v>0</v>
      </c>
      <c r="AJ127" s="493"/>
      <c r="AK127" s="428">
        <f t="shared" ca="1" si="4"/>
        <v>2</v>
      </c>
      <c r="AL127" s="428">
        <f ca="1">IF(A127&lt;&gt;"",IFERROR(INDEX('1_INPUT'!$B$69:$E$89,MATCH($A127,'1_INPUT'!$E$69:$E$89,0),1),""),INDIRECT(ADDRESS(ROW()+1,COLUMN($AL$9),,,)))</f>
        <v>4</v>
      </c>
      <c r="AM127" s="428" t="str">
        <f ca="1">IF(AN127="","",MAX(INDIRECT(ADDRESS(9,COLUMN($AM$9),,,)):INDIRECT(ADDRESS(ROW()-1,COLUMN($AM$9),,,)))+1)</f>
        <v/>
      </c>
      <c r="AN127" s="429" t="str">
        <f>IF($AO127&lt;&gt;"",VLOOKUP($AK127,'1_INPUT'!$B$124:$D$136,2,FALSE),"")</f>
        <v/>
      </c>
      <c r="AO127" s="429" t="str">
        <f t="shared" si="10"/>
        <v/>
      </c>
      <c r="AP127" s="427">
        <f ca="1">SUMIF($AL$10:AL127,$AL127,$I$10:I127)</f>
        <v>21.333333333333332</v>
      </c>
      <c r="AR127" s="430" t="str">
        <f t="shared" ca="1" si="5"/>
        <v>WORKOVER SECTION</v>
      </c>
      <c r="AS127" s="430">
        <f ca="1">MATCH(AR127,'1_INPUT'!$V$43:$V$64,0)+1</f>
        <v>6</v>
      </c>
      <c r="AT127" s="430">
        <f ca="1">VLOOKUP(AR127,'1_INPUT'!$V$43:$W$64,2,FALSE)</f>
        <v>21</v>
      </c>
      <c r="AU127" s="430">
        <f ca="1">COUNTIF('1_INPUT'!$W$43:$W$64,AT127)-1</f>
        <v>5</v>
      </c>
      <c r="AV127" s="430" t="e">
        <f ca="1">OFFSET('1_INPUT'!$V$42,$AS127,,$AU127,)</f>
        <v>#VALUE!</v>
      </c>
      <c r="AX127" s="430" t="str">
        <f t="shared" si="6"/>
        <v/>
      </c>
      <c r="CK127" s="9"/>
      <c r="CL127" s="9"/>
    </row>
    <row r="128" spans="1:90" ht="27.6">
      <c r="A128" s="205"/>
      <c r="B128" s="518"/>
      <c r="C128" s="208">
        <f ca="1">IF(D128&lt;&gt;"",MAX($C$9:C127)+1,"")</f>
        <v>29</v>
      </c>
      <c r="D128" s="523" t="s">
        <v>590</v>
      </c>
      <c r="E128" s="406"/>
      <c r="F128" s="407">
        <v>6</v>
      </c>
      <c r="G128" s="209">
        <f t="shared" ca="1" si="48"/>
        <v>183</v>
      </c>
      <c r="H128" s="209">
        <f t="shared" si="218"/>
        <v>0.25</v>
      </c>
      <c r="I128" s="209">
        <f t="shared" ca="1" si="49"/>
        <v>7.6249999999999991</v>
      </c>
      <c r="J128" s="540">
        <v>1112</v>
      </c>
      <c r="K128" s="200"/>
      <c r="L128" s="532"/>
      <c r="M128" s="400"/>
      <c r="N128" s="400"/>
      <c r="O128" s="95">
        <f t="shared" ca="1" si="50"/>
        <v>425</v>
      </c>
      <c r="P128" s="403">
        <v>2374.8000000000002</v>
      </c>
      <c r="Q128" s="116">
        <f>IF(N128&gt;0,VLOOKUP(M128,'3_TIME SUM'!$F$7:$G$128,2,FALSE),0)</f>
        <v>0</v>
      </c>
      <c r="R128" s="517"/>
      <c r="S128" s="94">
        <f t="shared" si="12"/>
        <v>0</v>
      </c>
      <c r="T128" s="94">
        <f t="shared" ca="1" si="51"/>
        <v>17.708333333333343</v>
      </c>
      <c r="U128" s="535">
        <f ca="1">$T128+'1_INPUT'!$E$18</f>
        <v>44961.5</v>
      </c>
      <c r="V128" s="95">
        <f t="shared" ca="1" si="7"/>
        <v>-242.00000000000023</v>
      </c>
      <c r="W128" s="110">
        <f t="shared" ca="1" si="8"/>
        <v>10.083333333333334</v>
      </c>
      <c r="X128" s="111">
        <f t="shared" ca="1" si="52"/>
        <v>44962</v>
      </c>
      <c r="Y128" s="112" t="str">
        <f ca="1">IFERROR(IF(SUMIFS($N$9:$N128,$X$9:$X128,ROUNDUP(VALUE(U128),0),$Q$9:$Q128,"npt")=0,"-",SUMIFS($N$9:$N128,$X$9:$X128,ROUNDUP(VALUE(U128),0),$Q$9:$Q128,"npt")/SUMIFS($N$9:$N128,$X$9:$X128,ROUNDUP(VALUE(U128),0))),"")</f>
        <v>-</v>
      </c>
      <c r="Z128" s="112" t="str">
        <f>IFERROR(IF($N128=0,"-",SUMIF($Q$11:$Q128,"npt",$N$11:$N128)/(T128*24)),"")</f>
        <v>-</v>
      </c>
      <c r="AA128" s="491"/>
      <c r="AB128" s="491"/>
      <c r="AC128" s="398" t="s">
        <v>224</v>
      </c>
      <c r="AD128" s="427">
        <f t="shared" ca="1" si="9"/>
        <v>7.6249999999999991</v>
      </c>
      <c r="AE128" s="427">
        <f t="shared" ca="1" si="0"/>
        <v>1112</v>
      </c>
      <c r="AF128" s="427">
        <f t="shared" ca="1" si="1"/>
        <v>17.708333333333343</v>
      </c>
      <c r="AG128" s="427">
        <f t="shared" ca="1" si="2"/>
        <v>2374.8000000000002</v>
      </c>
      <c r="AH128" s="493"/>
      <c r="AI128" s="427">
        <f t="shared" ca="1" si="3"/>
        <v>0</v>
      </c>
      <c r="AJ128" s="493"/>
      <c r="AK128" s="428">
        <f t="shared" ca="1" si="4"/>
        <v>2</v>
      </c>
      <c r="AL128" s="428">
        <f ca="1">IF(A128&lt;&gt;"",IFERROR(INDEX('1_INPUT'!$B$69:$E$89,MATCH($A128,'1_INPUT'!$E$69:$E$89,0),1),""),INDIRECT(ADDRESS(ROW()+1,COLUMN($AL$9),,,)))</f>
        <v>4</v>
      </c>
      <c r="AM128" s="428" t="str">
        <f ca="1">IF(AN128="","",MAX(INDIRECT(ADDRESS(9,COLUMN($AM$9),,,)):INDIRECT(ADDRESS(ROW()-1,COLUMN($AM$9),,,)))+1)</f>
        <v/>
      </c>
      <c r="AN128" s="429" t="str">
        <f>IF($AO128&lt;&gt;"",VLOOKUP($AK128,'1_INPUT'!$B$124:$D$136,2,FALSE),"")</f>
        <v/>
      </c>
      <c r="AO128" s="429" t="str">
        <f t="shared" si="10"/>
        <v/>
      </c>
      <c r="AP128" s="427">
        <f ca="1">SUMIF($AL$10:AL128,$AL128,$I$10:I128)</f>
        <v>28.958333333333332</v>
      </c>
      <c r="AR128" s="430" t="str">
        <f t="shared" ca="1" si="5"/>
        <v>WORKOVER SECTION</v>
      </c>
      <c r="AS128" s="430">
        <f ca="1">MATCH(AR128,'1_INPUT'!$V$43:$V$64,0)+1</f>
        <v>6</v>
      </c>
      <c r="AT128" s="430">
        <f ca="1">VLOOKUP(AR128,'1_INPUT'!$V$43:$W$64,2,FALSE)</f>
        <v>21</v>
      </c>
      <c r="AU128" s="430">
        <f ca="1">COUNTIF('1_INPUT'!$W$43:$W$64,AT128)-1</f>
        <v>5</v>
      </c>
      <c r="AV128" s="430" t="e">
        <f ca="1">OFFSET('1_INPUT'!$V$42,$AS128,,$AU128,)</f>
        <v>#VALUE!</v>
      </c>
      <c r="AX128" s="430" t="str">
        <f t="shared" si="6"/>
        <v/>
      </c>
      <c r="CK128" s="9"/>
      <c r="CL128" s="9"/>
    </row>
    <row r="129" spans="1:90" ht="13.8">
      <c r="A129" s="205"/>
      <c r="B129" s="518"/>
      <c r="C129" s="208">
        <f ca="1">IF(D129&lt;&gt;"",MAX($C$9:C128)+1,"")</f>
        <v>30</v>
      </c>
      <c r="D129" s="523" t="s">
        <v>586</v>
      </c>
      <c r="E129" s="406"/>
      <c r="F129" s="407">
        <v>8</v>
      </c>
      <c r="G129" s="209">
        <f t="shared" ca="1" si="48"/>
        <v>191</v>
      </c>
      <c r="H129" s="209">
        <f t="shared" si="218"/>
        <v>0.33333333333333331</v>
      </c>
      <c r="I129" s="209">
        <f t="shared" ca="1" si="49"/>
        <v>7.9583333333333321</v>
      </c>
      <c r="J129" s="540">
        <v>1112</v>
      </c>
      <c r="K129" s="200"/>
      <c r="L129" s="532"/>
      <c r="M129" s="400"/>
      <c r="N129" s="400"/>
      <c r="O129" s="95">
        <f t="shared" ca="1" si="50"/>
        <v>425</v>
      </c>
      <c r="P129" s="403">
        <v>2374.8000000000002</v>
      </c>
      <c r="Q129" s="116">
        <f>IF(N129&gt;0,VLOOKUP(M129,'3_TIME SUM'!$F$7:$G$128,2,FALSE),0)</f>
        <v>0</v>
      </c>
      <c r="R129" s="517"/>
      <c r="S129" s="94">
        <f t="shared" si="12"/>
        <v>0</v>
      </c>
      <c r="T129" s="94">
        <f t="shared" ca="1" si="51"/>
        <v>17.708333333333343</v>
      </c>
      <c r="U129" s="535">
        <f ca="1">$T129+'1_INPUT'!$E$18</f>
        <v>44961.5</v>
      </c>
      <c r="V129" s="95">
        <f t="shared" ca="1" si="7"/>
        <v>-234.00000000000026</v>
      </c>
      <c r="W129" s="110">
        <f t="shared" ca="1" si="8"/>
        <v>9.75</v>
      </c>
      <c r="X129" s="111">
        <f t="shared" ca="1" si="52"/>
        <v>44962</v>
      </c>
      <c r="Y129" s="112" t="str">
        <f ca="1">IFERROR(IF(SUMIFS($N$9:$N129,$X$9:$X129,ROUNDUP(VALUE(U129),0),$Q$9:$Q129,"npt")=0,"-",SUMIFS($N$9:$N129,$X$9:$X129,ROUNDUP(VALUE(U129),0),$Q$9:$Q129,"npt")/SUMIFS($N$9:$N129,$X$9:$X129,ROUNDUP(VALUE(U129),0))),"")</f>
        <v>-</v>
      </c>
      <c r="Z129" s="112" t="str">
        <f>IFERROR(IF($N129=0,"-",SUMIF($Q$11:$Q129,"npt",$N$11:$N129)/(T129*24)),"")</f>
        <v>-</v>
      </c>
      <c r="AA129" s="491"/>
      <c r="AB129" s="491"/>
      <c r="AC129" s="398" t="s">
        <v>224</v>
      </c>
      <c r="AD129" s="427">
        <f t="shared" ca="1" si="9"/>
        <v>7.9583333333333321</v>
      </c>
      <c r="AE129" s="427">
        <f t="shared" ca="1" si="0"/>
        <v>1112</v>
      </c>
      <c r="AF129" s="427">
        <f t="shared" ca="1" si="1"/>
        <v>17.708333333333343</v>
      </c>
      <c r="AG129" s="427">
        <f t="shared" ca="1" si="2"/>
        <v>2374.8000000000002</v>
      </c>
      <c r="AH129" s="493"/>
      <c r="AI129" s="427">
        <f t="shared" ca="1" si="3"/>
        <v>0</v>
      </c>
      <c r="AJ129" s="493"/>
      <c r="AK129" s="428">
        <f t="shared" ca="1" si="4"/>
        <v>2</v>
      </c>
      <c r="AL129" s="428">
        <f ca="1">IF(A129&lt;&gt;"",IFERROR(INDEX('1_INPUT'!$B$69:$E$89,MATCH($A129,'1_INPUT'!$E$69:$E$89,0),1),""),INDIRECT(ADDRESS(ROW()+1,COLUMN($AL$9),,,)))</f>
        <v>4</v>
      </c>
      <c r="AM129" s="428" t="str">
        <f ca="1">IF(AN129="","",MAX(INDIRECT(ADDRESS(9,COLUMN($AM$9),,,)):INDIRECT(ADDRESS(ROW()-1,COLUMN($AM$9),,,)))+1)</f>
        <v/>
      </c>
      <c r="AN129" s="429" t="str">
        <f>IF($AO129&lt;&gt;"",VLOOKUP($AK129,'1_INPUT'!$B$124:$D$136,2,FALSE),"")</f>
        <v/>
      </c>
      <c r="AO129" s="429" t="str">
        <f t="shared" si="10"/>
        <v/>
      </c>
      <c r="AP129" s="427">
        <f ca="1">SUMIF($AL$10:AL129,$AL129,$I$10:I129)</f>
        <v>36.916666666666664</v>
      </c>
      <c r="AR129" s="430" t="str">
        <f t="shared" ca="1" si="5"/>
        <v>WORKOVER SECTION</v>
      </c>
      <c r="AS129" s="430">
        <f ca="1">MATCH(AR129,'1_INPUT'!$V$43:$V$64,0)+1</f>
        <v>6</v>
      </c>
      <c r="AT129" s="430">
        <f ca="1">VLOOKUP(AR129,'1_INPUT'!$V$43:$W$64,2,FALSE)</f>
        <v>21</v>
      </c>
      <c r="AU129" s="430">
        <f ca="1">COUNTIF('1_INPUT'!$W$43:$W$64,AT129)-1</f>
        <v>5</v>
      </c>
      <c r="AV129" s="430" t="e">
        <f ca="1">OFFSET('1_INPUT'!$V$42,$AS129,,$AU129,)</f>
        <v>#VALUE!</v>
      </c>
      <c r="AX129" s="430" t="str">
        <f t="shared" si="6"/>
        <v/>
      </c>
      <c r="CK129" s="9"/>
      <c r="CL129" s="9"/>
    </row>
    <row r="130" spans="1:90" ht="27.6">
      <c r="A130" s="205"/>
      <c r="B130" s="518"/>
      <c r="C130" s="208">
        <f ca="1">IF(D130&lt;&gt;"",MAX($C$9:C129)+1,"")</f>
        <v>31</v>
      </c>
      <c r="D130" s="523" t="s">
        <v>618</v>
      </c>
      <c r="E130" s="406"/>
      <c r="F130" s="407">
        <v>6</v>
      </c>
      <c r="G130" s="209">
        <f t="shared" ca="1" si="48"/>
        <v>197</v>
      </c>
      <c r="H130" s="209">
        <f t="shared" si="218"/>
        <v>0.25</v>
      </c>
      <c r="I130" s="209">
        <f t="shared" ca="1" si="49"/>
        <v>8.2083333333333321</v>
      </c>
      <c r="J130" s="540">
        <v>1112</v>
      </c>
      <c r="K130" s="200"/>
      <c r="L130" s="573"/>
      <c r="M130" s="400"/>
      <c r="N130" s="400"/>
      <c r="O130" s="95">
        <f t="shared" ca="1" si="50"/>
        <v>425</v>
      </c>
      <c r="P130" s="403">
        <v>2374.8000000000002</v>
      </c>
      <c r="Q130" s="116">
        <f>IF(N130&gt;0,VLOOKUP(M130,'3_TIME SUM'!$F$7:$G$128,2,FALSE),0)</f>
        <v>0</v>
      </c>
      <c r="R130" s="517"/>
      <c r="S130" s="94">
        <f t="shared" si="12"/>
        <v>0</v>
      </c>
      <c r="T130" s="94">
        <f t="shared" ca="1" si="51"/>
        <v>17.708333333333343</v>
      </c>
      <c r="U130" s="535">
        <f ca="1">$T130+'1_INPUT'!$E$18</f>
        <v>44961.5</v>
      </c>
      <c r="V130" s="95">
        <f t="shared" ca="1" si="7"/>
        <v>-228.00000000000026</v>
      </c>
      <c r="W130" s="110">
        <f t="shared" ca="1" si="8"/>
        <v>9.5</v>
      </c>
      <c r="X130" s="111">
        <f t="shared" ca="1" si="52"/>
        <v>44962</v>
      </c>
      <c r="Y130" s="112" t="str">
        <f ca="1">IFERROR(IF(SUMIFS($N$9:$N130,$X$9:$X130,ROUNDUP(VALUE(U130),0),$Q$9:$Q130,"npt")=0,"-",SUMIFS($N$9:$N130,$X$9:$X130,ROUNDUP(VALUE(U130),0),$Q$9:$Q130,"npt")/SUMIFS($N$9:$N130,$X$9:$X130,ROUNDUP(VALUE(U130),0))),"")</f>
        <v>-</v>
      </c>
      <c r="Z130" s="112" t="str">
        <f>IFERROR(IF($N130=0,"-",SUMIF($Q$11:$Q130,"npt",$N$11:$N130)/(T130*24)),"")</f>
        <v>-</v>
      </c>
      <c r="AA130" s="491"/>
      <c r="AB130" s="491"/>
      <c r="AC130" s="398" t="s">
        <v>224</v>
      </c>
      <c r="AD130" s="427">
        <f t="shared" ca="1" si="9"/>
        <v>8.2083333333333321</v>
      </c>
      <c r="AE130" s="427">
        <f t="shared" ca="1" si="0"/>
        <v>1112</v>
      </c>
      <c r="AF130" s="427">
        <f t="shared" ca="1" si="1"/>
        <v>17.708333333333343</v>
      </c>
      <c r="AG130" s="427">
        <f t="shared" ca="1" si="2"/>
        <v>2374.8000000000002</v>
      </c>
      <c r="AH130" s="493"/>
      <c r="AI130" s="427">
        <f t="shared" ca="1" si="3"/>
        <v>0</v>
      </c>
      <c r="AJ130" s="493"/>
      <c r="AK130" s="428">
        <f t="shared" ca="1" si="4"/>
        <v>2</v>
      </c>
      <c r="AL130" s="428">
        <f ca="1">IF(A130&lt;&gt;"",IFERROR(INDEX('1_INPUT'!$B$69:$E$89,MATCH($A130,'1_INPUT'!$E$69:$E$89,0),1),""),INDIRECT(ADDRESS(ROW()+1,COLUMN($AL$9),,,)))</f>
        <v>4</v>
      </c>
      <c r="AM130" s="428" t="str">
        <f ca="1">IF(AN130="","",MAX(INDIRECT(ADDRESS(9,COLUMN($AM$9),,,)):INDIRECT(ADDRESS(ROW()-1,COLUMN($AM$9),,,)))+1)</f>
        <v/>
      </c>
      <c r="AN130" s="429" t="str">
        <f>IF($AO130&lt;&gt;"",VLOOKUP($AK130,'1_INPUT'!$B$124:$D$136,2,FALSE),"")</f>
        <v/>
      </c>
      <c r="AO130" s="429" t="str">
        <f t="shared" si="10"/>
        <v/>
      </c>
      <c r="AP130" s="427">
        <f ca="1">SUMIF($AL$10:AL130,$AL130,$I$10:I130)</f>
        <v>45.125</v>
      </c>
      <c r="AR130" s="430" t="str">
        <f t="shared" ca="1" si="5"/>
        <v>WORKOVER SECTION</v>
      </c>
      <c r="AS130" s="430">
        <f ca="1">MATCH(AR130,'1_INPUT'!$V$43:$V$64,0)+1</f>
        <v>6</v>
      </c>
      <c r="AT130" s="430">
        <f ca="1">VLOOKUP(AR130,'1_INPUT'!$V$43:$W$64,2,FALSE)</f>
        <v>21</v>
      </c>
      <c r="AU130" s="430">
        <f ca="1">COUNTIF('1_INPUT'!$W$43:$W$64,AT130)-1</f>
        <v>5</v>
      </c>
      <c r="AV130" s="430" t="e">
        <f ca="1">OFFSET('1_INPUT'!$V$42,$AS130,,$AU130,)</f>
        <v>#VALUE!</v>
      </c>
      <c r="AX130" s="430" t="str">
        <f t="shared" si="6"/>
        <v/>
      </c>
      <c r="CK130" s="9"/>
      <c r="CL130" s="9"/>
    </row>
    <row r="131" spans="1:90" ht="27.6">
      <c r="A131" s="205"/>
      <c r="B131" s="518"/>
      <c r="C131" s="208">
        <f ca="1">IF(D131&lt;&gt;"",MAX($C$9:C130)+1,"")</f>
        <v>32</v>
      </c>
      <c r="D131" s="523" t="s">
        <v>624</v>
      </c>
      <c r="E131" s="406"/>
      <c r="F131" s="407">
        <v>6</v>
      </c>
      <c r="G131" s="209">
        <f t="shared" ca="1" si="48"/>
        <v>203</v>
      </c>
      <c r="H131" s="209">
        <f t="shared" si="218"/>
        <v>0.25</v>
      </c>
      <c r="I131" s="209">
        <f t="shared" ca="1" si="49"/>
        <v>8.4583333333333321</v>
      </c>
      <c r="J131" s="540">
        <v>1112</v>
      </c>
      <c r="K131" s="200"/>
      <c r="L131" s="532"/>
      <c r="M131" s="400"/>
      <c r="N131" s="400"/>
      <c r="O131" s="95">
        <f t="shared" ca="1" si="50"/>
        <v>425</v>
      </c>
      <c r="P131" s="403">
        <v>2374.8000000000002</v>
      </c>
      <c r="Q131" s="116">
        <f>IF(N131&gt;0,VLOOKUP(M131,'3_TIME SUM'!$F$7:$G$128,2,FALSE),0)</f>
        <v>0</v>
      </c>
      <c r="R131" s="517"/>
      <c r="S131" s="94">
        <f t="shared" si="12"/>
        <v>0</v>
      </c>
      <c r="T131" s="94">
        <f t="shared" ca="1" si="51"/>
        <v>17.708333333333343</v>
      </c>
      <c r="U131" s="535">
        <f ca="1">$T131+'1_INPUT'!$E$18</f>
        <v>44961.5</v>
      </c>
      <c r="V131" s="95">
        <f t="shared" ca="1" si="7"/>
        <v>-222.00000000000026</v>
      </c>
      <c r="W131" s="110">
        <f t="shared" ca="1" si="8"/>
        <v>9.25</v>
      </c>
      <c r="X131" s="111">
        <f t="shared" ca="1" si="52"/>
        <v>44962</v>
      </c>
      <c r="Y131" s="112" t="str">
        <f ca="1">IFERROR(IF(SUMIFS($N$9:$N131,$X$9:$X131,ROUNDUP(VALUE(U131),0),$Q$9:$Q131,"npt")=0,"-",SUMIFS($N$9:$N131,$X$9:$X131,ROUNDUP(VALUE(U131),0),$Q$9:$Q131,"npt")/SUMIFS($N$9:$N131,$X$9:$X131,ROUNDUP(VALUE(U131),0))),"")</f>
        <v>-</v>
      </c>
      <c r="Z131" s="112" t="str">
        <f>IFERROR(IF($N131=0,"-",SUMIF($Q$11:$Q131,"npt",$N$11:$N131)/(T131*24)),"")</f>
        <v>-</v>
      </c>
      <c r="AA131" s="491"/>
      <c r="AB131" s="491"/>
      <c r="AC131" s="398" t="s">
        <v>224</v>
      </c>
      <c r="AD131" s="427">
        <f t="shared" ca="1" si="9"/>
        <v>8.4583333333333321</v>
      </c>
      <c r="AE131" s="427">
        <f t="shared" ca="1" si="0"/>
        <v>1112</v>
      </c>
      <c r="AF131" s="427">
        <f t="shared" ca="1" si="1"/>
        <v>17.708333333333343</v>
      </c>
      <c r="AG131" s="427">
        <f t="shared" ca="1" si="2"/>
        <v>2374.8000000000002</v>
      </c>
      <c r="AH131" s="493"/>
      <c r="AI131" s="427">
        <f t="shared" ca="1" si="3"/>
        <v>0</v>
      </c>
      <c r="AJ131" s="493"/>
      <c r="AK131" s="428">
        <f t="shared" ca="1" si="4"/>
        <v>2</v>
      </c>
      <c r="AL131" s="428">
        <f ca="1">IF(A131&lt;&gt;"",IFERROR(INDEX('1_INPUT'!$B$69:$E$89,MATCH($A131,'1_INPUT'!$E$69:$E$89,0),1),""),INDIRECT(ADDRESS(ROW()+1,COLUMN($AL$9),,,)))</f>
        <v>4</v>
      </c>
      <c r="AM131" s="428" t="str">
        <f ca="1">IF(AN131="","",MAX(INDIRECT(ADDRESS(9,COLUMN($AM$9),,,)):INDIRECT(ADDRESS(ROW()-1,COLUMN($AM$9),,,)))+1)</f>
        <v/>
      </c>
      <c r="AN131" s="429" t="str">
        <f>IF($AO131&lt;&gt;"",VLOOKUP($AK131,'1_INPUT'!$B$124:$D$136,2,FALSE),"")</f>
        <v/>
      </c>
      <c r="AO131" s="429" t="str">
        <f t="shared" si="10"/>
        <v/>
      </c>
      <c r="AP131" s="427">
        <f ca="1">SUMIF($AL$10:AL131,$AL131,$I$10:I131)</f>
        <v>53.583333333333329</v>
      </c>
      <c r="AR131" s="430" t="str">
        <f t="shared" ca="1" si="5"/>
        <v>WORKOVER SECTION</v>
      </c>
      <c r="AS131" s="430">
        <f ca="1">MATCH(AR131,'1_INPUT'!$V$43:$V$64,0)+1</f>
        <v>6</v>
      </c>
      <c r="AT131" s="430">
        <f ca="1">VLOOKUP(AR131,'1_INPUT'!$V$43:$W$64,2,FALSE)</f>
        <v>21</v>
      </c>
      <c r="AU131" s="430">
        <f ca="1">COUNTIF('1_INPUT'!$W$43:$W$64,AT131)-1</f>
        <v>5</v>
      </c>
      <c r="AV131" s="430" t="e">
        <f ca="1">OFFSET('1_INPUT'!$V$42,$AS131,,$AU131,)</f>
        <v>#VALUE!</v>
      </c>
      <c r="AX131" s="430" t="str">
        <f t="shared" si="6"/>
        <v/>
      </c>
      <c r="CK131" s="9"/>
      <c r="CL131" s="9"/>
    </row>
    <row r="132" spans="1:90" ht="41.4">
      <c r="A132" s="205"/>
      <c r="B132" s="518"/>
      <c r="C132" s="208">
        <f ca="1">IF(D132&lt;&gt;"",MAX($C$9:C131)+1,"")</f>
        <v>33</v>
      </c>
      <c r="D132" s="523" t="s">
        <v>625</v>
      </c>
      <c r="E132" s="406"/>
      <c r="F132" s="407">
        <v>10</v>
      </c>
      <c r="G132" s="209">
        <f t="shared" ca="1" si="48"/>
        <v>213</v>
      </c>
      <c r="H132" s="209">
        <f t="shared" si="218"/>
        <v>0.41666666666666669</v>
      </c>
      <c r="I132" s="209">
        <f t="shared" ca="1" si="49"/>
        <v>8.8749999999999982</v>
      </c>
      <c r="J132" s="540">
        <v>1112</v>
      </c>
      <c r="K132" s="200"/>
      <c r="L132" s="532"/>
      <c r="M132" s="400"/>
      <c r="N132" s="400"/>
      <c r="O132" s="95">
        <f t="shared" ca="1" si="50"/>
        <v>425</v>
      </c>
      <c r="P132" s="403">
        <v>2374.8000000000002</v>
      </c>
      <c r="Q132" s="116">
        <f>IF(N132&gt;0,VLOOKUP(M132,'3_TIME SUM'!$F$7:$G$128,2,FALSE),0)</f>
        <v>0</v>
      </c>
      <c r="R132" s="517"/>
      <c r="S132" s="94">
        <f t="shared" si="12"/>
        <v>0</v>
      </c>
      <c r="T132" s="94">
        <f t="shared" ca="1" si="51"/>
        <v>17.708333333333343</v>
      </c>
      <c r="U132" s="535">
        <f ca="1">$T132+'1_INPUT'!$E$18</f>
        <v>44961.5</v>
      </c>
      <c r="V132" s="95">
        <f t="shared" ca="1" si="7"/>
        <v>-212.00000000000028</v>
      </c>
      <c r="W132" s="110">
        <f t="shared" ca="1" si="8"/>
        <v>8.8333333333333339</v>
      </c>
      <c r="X132" s="111">
        <f t="shared" ca="1" si="52"/>
        <v>44962</v>
      </c>
      <c r="Y132" s="112" t="str">
        <f ca="1">IFERROR(IF(SUMIFS($N$9:$N132,$X$9:$X132,ROUNDUP(VALUE(U132),0),$Q$9:$Q132,"npt")=0,"-",SUMIFS($N$9:$N132,$X$9:$X132,ROUNDUP(VALUE(U132),0),$Q$9:$Q132,"npt")/SUMIFS($N$9:$N132,$X$9:$X132,ROUNDUP(VALUE(U132),0))),"")</f>
        <v>-</v>
      </c>
      <c r="Z132" s="112" t="str">
        <f>IFERROR(IF($N132=0,"-",SUMIF($Q$11:$Q132,"npt",$N$11:$N132)/(T132*24)),"")</f>
        <v>-</v>
      </c>
      <c r="AA132" s="491"/>
      <c r="AB132" s="491"/>
      <c r="AC132" s="398" t="s">
        <v>224</v>
      </c>
      <c r="AD132" s="427">
        <f t="shared" ca="1" si="9"/>
        <v>8.8749999999999982</v>
      </c>
      <c r="AE132" s="427">
        <f t="shared" ca="1" si="0"/>
        <v>1112</v>
      </c>
      <c r="AF132" s="427">
        <f t="shared" ca="1" si="1"/>
        <v>17.708333333333343</v>
      </c>
      <c r="AG132" s="427">
        <f t="shared" ca="1" si="2"/>
        <v>2374.8000000000002</v>
      </c>
      <c r="AH132" s="493"/>
      <c r="AI132" s="427">
        <f t="shared" ca="1" si="3"/>
        <v>0</v>
      </c>
      <c r="AJ132" s="493"/>
      <c r="AK132" s="428">
        <f t="shared" ca="1" si="4"/>
        <v>2</v>
      </c>
      <c r="AL132" s="428">
        <f ca="1">IF(A132&lt;&gt;"",IFERROR(INDEX('1_INPUT'!$B$69:$E$89,MATCH($A132,'1_INPUT'!$E$69:$E$89,0),1),""),INDIRECT(ADDRESS(ROW()+1,COLUMN($AL$9),,,)))</f>
        <v>4</v>
      </c>
      <c r="AM132" s="428" t="str">
        <f ca="1">IF(AN132="","",MAX(INDIRECT(ADDRESS(9,COLUMN($AM$9),,,)):INDIRECT(ADDRESS(ROW()-1,COLUMN($AM$9),,,)))+1)</f>
        <v/>
      </c>
      <c r="AN132" s="429" t="str">
        <f>IF($AO132&lt;&gt;"",VLOOKUP($AK132,'1_INPUT'!$B$124:$D$136,2,FALSE),"")</f>
        <v/>
      </c>
      <c r="AO132" s="429" t="str">
        <f t="shared" si="10"/>
        <v/>
      </c>
      <c r="AP132" s="427">
        <f ca="1">SUMIF($AL$10:AL132,$AL132,$I$10:I132)</f>
        <v>62.458333333333329</v>
      </c>
      <c r="AR132" s="430" t="str">
        <f t="shared" ca="1" si="5"/>
        <v>WORKOVER SECTION</v>
      </c>
      <c r="AS132" s="430">
        <f ca="1">MATCH(AR132,'1_INPUT'!$V$43:$V$64,0)+1</f>
        <v>6</v>
      </c>
      <c r="AT132" s="430">
        <f ca="1">VLOOKUP(AR132,'1_INPUT'!$V$43:$W$64,2,FALSE)</f>
        <v>21</v>
      </c>
      <c r="AU132" s="430">
        <f ca="1">COUNTIF('1_INPUT'!$W$43:$W$64,AT132)-1</f>
        <v>5</v>
      </c>
      <c r="AV132" s="430" t="e">
        <f ca="1">OFFSET('1_INPUT'!$V$42,$AS132,,$AU132,)</f>
        <v>#VALUE!</v>
      </c>
      <c r="AX132" s="430" t="str">
        <f t="shared" si="6"/>
        <v/>
      </c>
      <c r="CK132" s="9"/>
      <c r="CL132" s="9"/>
    </row>
    <row r="133" spans="1:90" ht="13.8">
      <c r="A133" s="205"/>
      <c r="B133" s="518"/>
      <c r="C133" s="208">
        <f ca="1">IF(D133&lt;&gt;"",MAX($C$9:C132)+1,"")</f>
        <v>34</v>
      </c>
      <c r="D133" s="523" t="s">
        <v>591</v>
      </c>
      <c r="E133" s="406"/>
      <c r="F133" s="407">
        <v>2</v>
      </c>
      <c r="G133" s="209">
        <f t="shared" ca="1" si="48"/>
        <v>215</v>
      </c>
      <c r="H133" s="209">
        <f t="shared" si="218"/>
        <v>8.3333333333333329E-2</v>
      </c>
      <c r="I133" s="209">
        <f t="shared" ca="1" si="49"/>
        <v>8.9583333333333321</v>
      </c>
      <c r="J133" s="540">
        <v>1112</v>
      </c>
      <c r="K133" s="200"/>
      <c r="L133" s="532"/>
      <c r="M133" s="400"/>
      <c r="N133" s="400"/>
      <c r="O133" s="95">
        <f t="shared" ca="1" si="50"/>
        <v>425</v>
      </c>
      <c r="P133" s="403">
        <v>2374.8000000000002</v>
      </c>
      <c r="Q133" s="116">
        <f>IF(N133&gt;0,VLOOKUP(M133,'3_TIME SUM'!$F$7:$G$128,2,FALSE),0)</f>
        <v>0</v>
      </c>
      <c r="R133" s="517"/>
      <c r="S133" s="94">
        <f t="shared" si="12"/>
        <v>0</v>
      </c>
      <c r="T133" s="94">
        <f t="shared" ca="1" si="51"/>
        <v>17.708333333333343</v>
      </c>
      <c r="U133" s="535">
        <f ca="1">$T133+'1_INPUT'!$E$18</f>
        <v>44961.5</v>
      </c>
      <c r="V133" s="95">
        <f t="shared" ca="1" si="7"/>
        <v>-210.00000000000026</v>
      </c>
      <c r="W133" s="110">
        <f t="shared" ca="1" si="8"/>
        <v>8.75</v>
      </c>
      <c r="X133" s="111">
        <f t="shared" ca="1" si="52"/>
        <v>44962</v>
      </c>
      <c r="Y133" s="112" t="str">
        <f ca="1">IFERROR(IF(SUMIFS($N$9:$N133,$X$9:$X133,ROUNDUP(VALUE(U133),0),$Q$9:$Q133,"npt")=0,"-",SUMIFS($N$9:$N133,$X$9:$X133,ROUNDUP(VALUE(U133),0),$Q$9:$Q133,"npt")/SUMIFS($N$9:$N133,$X$9:$X133,ROUNDUP(VALUE(U133),0))),"")</f>
        <v>-</v>
      </c>
      <c r="Z133" s="112" t="str">
        <f>IFERROR(IF($N133=0,"-",SUMIF($Q$11:$Q133,"npt",$N$11:$N133)/(T133*24)),"")</f>
        <v>-</v>
      </c>
      <c r="AA133" s="491"/>
      <c r="AB133" s="491"/>
      <c r="AC133" s="398" t="s">
        <v>224</v>
      </c>
      <c r="AD133" s="427">
        <f t="shared" ca="1" si="9"/>
        <v>8.9583333333333321</v>
      </c>
      <c r="AE133" s="427">
        <f t="shared" ca="1" si="0"/>
        <v>1112</v>
      </c>
      <c r="AF133" s="427">
        <f t="shared" ca="1" si="1"/>
        <v>17.708333333333343</v>
      </c>
      <c r="AG133" s="427">
        <f t="shared" ca="1" si="2"/>
        <v>2374.8000000000002</v>
      </c>
      <c r="AH133" s="493"/>
      <c r="AI133" s="427">
        <f t="shared" ca="1" si="3"/>
        <v>0</v>
      </c>
      <c r="AJ133" s="493"/>
      <c r="AK133" s="428">
        <f t="shared" ca="1" si="4"/>
        <v>2</v>
      </c>
      <c r="AL133" s="428">
        <f ca="1">IF(A133&lt;&gt;"",IFERROR(INDEX('1_INPUT'!$B$69:$E$89,MATCH($A133,'1_INPUT'!$E$69:$E$89,0),1),""),INDIRECT(ADDRESS(ROW()+1,COLUMN($AL$9),,,)))</f>
        <v>4</v>
      </c>
      <c r="AM133" s="428" t="str">
        <f ca="1">IF(AN133="","",MAX(INDIRECT(ADDRESS(9,COLUMN($AM$9),,,)):INDIRECT(ADDRESS(ROW()-1,COLUMN($AM$9),,,)))+1)</f>
        <v/>
      </c>
      <c r="AN133" s="429" t="str">
        <f>IF($AO133&lt;&gt;"",VLOOKUP($AK133,'1_INPUT'!$B$124:$D$136,2,FALSE),"")</f>
        <v/>
      </c>
      <c r="AO133" s="429" t="str">
        <f t="shared" si="10"/>
        <v/>
      </c>
      <c r="AP133" s="427">
        <f ca="1">SUMIF($AL$10:AL133,$AL133,$I$10:I133)</f>
        <v>71.416666666666657</v>
      </c>
      <c r="AR133" s="430" t="str">
        <f t="shared" ca="1" si="5"/>
        <v>WORKOVER SECTION</v>
      </c>
      <c r="AS133" s="430">
        <f ca="1">MATCH(AR133,'1_INPUT'!$V$43:$V$64,0)+1</f>
        <v>6</v>
      </c>
      <c r="AT133" s="430">
        <f ca="1">VLOOKUP(AR133,'1_INPUT'!$V$43:$W$64,2,FALSE)</f>
        <v>21</v>
      </c>
      <c r="AU133" s="430">
        <f ca="1">COUNTIF('1_INPUT'!$W$43:$W$64,AT133)-1</f>
        <v>5</v>
      </c>
      <c r="AV133" s="430" t="e">
        <f ca="1">OFFSET('1_INPUT'!$V$42,$AS133,,$AU133,)</f>
        <v>#VALUE!</v>
      </c>
      <c r="AX133" s="430" t="str">
        <f t="shared" si="6"/>
        <v/>
      </c>
      <c r="CK133" s="9"/>
      <c r="CL133" s="9"/>
    </row>
    <row r="134" spans="1:90" ht="13.8">
      <c r="A134" s="205"/>
      <c r="B134" s="518"/>
      <c r="C134" s="208">
        <f ca="1">IF(D134&lt;&gt;"",MAX($C$9:C133)+1,"")</f>
        <v>35</v>
      </c>
      <c r="D134" s="523" t="s">
        <v>592</v>
      </c>
      <c r="E134" s="406"/>
      <c r="F134" s="407">
        <v>1</v>
      </c>
      <c r="G134" s="209">
        <f t="shared" ca="1" si="48"/>
        <v>216</v>
      </c>
      <c r="H134" s="209">
        <f t="shared" si="218"/>
        <v>4.1666666666666664E-2</v>
      </c>
      <c r="I134" s="209">
        <f t="shared" ca="1" si="49"/>
        <v>8.9999999999999982</v>
      </c>
      <c r="J134" s="540">
        <v>1112</v>
      </c>
      <c r="K134" s="200"/>
      <c r="L134" s="532"/>
      <c r="M134" s="400"/>
      <c r="N134" s="400"/>
      <c r="O134" s="95">
        <f t="shared" ca="1" si="50"/>
        <v>425</v>
      </c>
      <c r="P134" s="403">
        <v>2374.8000000000002</v>
      </c>
      <c r="Q134" s="116">
        <f>IF(N134&gt;0,VLOOKUP(M134,'3_TIME SUM'!$F$7:$G$128,2,FALSE),0)</f>
        <v>0</v>
      </c>
      <c r="R134" s="517"/>
      <c r="S134" s="94">
        <f t="shared" si="12"/>
        <v>0</v>
      </c>
      <c r="T134" s="94">
        <f t="shared" ca="1" si="51"/>
        <v>17.708333333333343</v>
      </c>
      <c r="U134" s="535">
        <f ca="1">$T134+'1_INPUT'!$E$18</f>
        <v>44961.5</v>
      </c>
      <c r="V134" s="95">
        <f t="shared" ca="1" si="7"/>
        <v>-209.00000000000028</v>
      </c>
      <c r="W134" s="110">
        <f t="shared" ca="1" si="8"/>
        <v>8.7083333333333339</v>
      </c>
      <c r="X134" s="111">
        <f t="shared" ca="1" si="52"/>
        <v>44962</v>
      </c>
      <c r="Y134" s="112" t="str">
        <f ca="1">IFERROR(IF(SUMIFS($N$9:$N134,$X$9:$X134,ROUNDUP(VALUE(U134),0),$Q$9:$Q134,"npt")=0,"-",SUMIFS($N$9:$N134,$X$9:$X134,ROUNDUP(VALUE(U134),0),$Q$9:$Q134,"npt")/SUMIFS($N$9:$N134,$X$9:$X134,ROUNDUP(VALUE(U134),0))),"")</f>
        <v>-</v>
      </c>
      <c r="Z134" s="112" t="str">
        <f>IFERROR(IF($N134=0,"-",SUMIF($Q$11:$Q134,"npt",$N$11:$N134)/(T134*24)),"")</f>
        <v>-</v>
      </c>
      <c r="AA134" s="491"/>
      <c r="AB134" s="491"/>
      <c r="AC134" s="398" t="s">
        <v>224</v>
      </c>
      <c r="AD134" s="427">
        <f t="shared" ca="1" si="9"/>
        <v>8.9999999999999982</v>
      </c>
      <c r="AE134" s="427">
        <f t="shared" ca="1" si="0"/>
        <v>1112</v>
      </c>
      <c r="AF134" s="427">
        <f t="shared" ca="1" si="1"/>
        <v>17.708333333333343</v>
      </c>
      <c r="AG134" s="427">
        <f t="shared" ca="1" si="2"/>
        <v>2374.8000000000002</v>
      </c>
      <c r="AH134" s="493"/>
      <c r="AI134" s="427">
        <f t="shared" ca="1" si="3"/>
        <v>0</v>
      </c>
      <c r="AJ134" s="493"/>
      <c r="AK134" s="428">
        <f t="shared" ca="1" si="4"/>
        <v>2</v>
      </c>
      <c r="AL134" s="428">
        <f ca="1">IF(A134&lt;&gt;"",IFERROR(INDEX('1_INPUT'!$B$69:$E$89,MATCH($A134,'1_INPUT'!$E$69:$E$89,0),1),""),INDIRECT(ADDRESS(ROW()+1,COLUMN($AL$9),,,)))</f>
        <v>4</v>
      </c>
      <c r="AM134" s="428" t="str">
        <f ca="1">IF(AN134="","",MAX(INDIRECT(ADDRESS(9,COLUMN($AM$9),,,)):INDIRECT(ADDRESS(ROW()-1,COLUMN($AM$9),,,)))+1)</f>
        <v/>
      </c>
      <c r="AN134" s="429" t="str">
        <f>IF($AO134&lt;&gt;"",VLOOKUP($AK134,'1_INPUT'!$B$124:$D$136,2,FALSE),"")</f>
        <v/>
      </c>
      <c r="AO134" s="429" t="str">
        <f t="shared" si="10"/>
        <v/>
      </c>
      <c r="AP134" s="427">
        <f ca="1">SUMIF($AL$10:AL134,$AL134,$I$10:I134)</f>
        <v>80.416666666666657</v>
      </c>
      <c r="AR134" s="430" t="str">
        <f t="shared" ca="1" si="5"/>
        <v>WORKOVER SECTION</v>
      </c>
      <c r="AS134" s="430">
        <f ca="1">MATCH(AR134,'1_INPUT'!$V$43:$V$64,0)+1</f>
        <v>6</v>
      </c>
      <c r="AT134" s="430">
        <f ca="1">VLOOKUP(AR134,'1_INPUT'!$V$43:$W$64,2,FALSE)</f>
        <v>21</v>
      </c>
      <c r="AU134" s="430">
        <f ca="1">COUNTIF('1_INPUT'!$W$43:$W$64,AT134)-1</f>
        <v>5</v>
      </c>
      <c r="AV134" s="430" t="e">
        <f ca="1">OFFSET('1_INPUT'!$V$42,$AS134,,$AU134,)</f>
        <v>#VALUE!</v>
      </c>
      <c r="AX134" s="430" t="str">
        <f t="shared" si="6"/>
        <v/>
      </c>
      <c r="CK134" s="9"/>
      <c r="CL134" s="9"/>
    </row>
    <row r="135" spans="1:90" ht="27.6">
      <c r="A135" s="205"/>
      <c r="B135" s="518"/>
      <c r="C135" s="208">
        <f ca="1">IF(D135&lt;&gt;"",MAX($C$9:C134)+1,"")</f>
        <v>36</v>
      </c>
      <c r="D135" s="523" t="s">
        <v>620</v>
      </c>
      <c r="E135" s="406"/>
      <c r="F135" s="407">
        <v>7</v>
      </c>
      <c r="G135" s="209">
        <f t="shared" ca="1" si="48"/>
        <v>223</v>
      </c>
      <c r="H135" s="209">
        <f t="shared" si="218"/>
        <v>0.29166666666666669</v>
      </c>
      <c r="I135" s="209">
        <f t="shared" ca="1" si="49"/>
        <v>9.2916666666666643</v>
      </c>
      <c r="J135" s="540">
        <v>1112</v>
      </c>
      <c r="K135" s="200"/>
      <c r="L135" s="532"/>
      <c r="M135" s="400"/>
      <c r="N135" s="400"/>
      <c r="O135" s="95">
        <f t="shared" ca="1" si="50"/>
        <v>425</v>
      </c>
      <c r="P135" s="403">
        <v>2374.8000000000002</v>
      </c>
      <c r="Q135" s="116">
        <f>IF(N135&gt;0,VLOOKUP(M135,'3_TIME SUM'!$F$7:$G$128,2,FALSE),0)</f>
        <v>0</v>
      </c>
      <c r="R135" s="517"/>
      <c r="S135" s="94">
        <f t="shared" si="12"/>
        <v>0</v>
      </c>
      <c r="T135" s="94">
        <f t="shared" ca="1" si="51"/>
        <v>17.708333333333343</v>
      </c>
      <c r="U135" s="535">
        <f ca="1">$T135+'1_INPUT'!$E$18</f>
        <v>44961.5</v>
      </c>
      <c r="V135" s="95">
        <f t="shared" ref="V135:V155" ca="1" si="389">IFERROR(IF($AI135=0,($I135-T135)*24,(($P135-INDIRECT(ADDRESS(ROW()-1,COLUMN($P$9),,,)))/$AI135)-$N135+(INDIRECT(ADDRESS(ROW()-1,COLUMN(V$9),,,)))),"")</f>
        <v>-202.00000000000028</v>
      </c>
      <c r="W135" s="110">
        <f t="shared" ref="W135:W155" ca="1" si="390">IFERROR(IF(V135&gt;0,TIME(V135,(V135-ROUNDDOWN(V135,0))*60,0)+DAY((ROUNDDOWN(V135,0)/24)),TIME((-V135),((-V135)-ROUNDDOWN((-V135),0))*60,0)+DAY((ROUNDDOWN((-V135),0)/24))),"")</f>
        <v>8.4166666666666661</v>
      </c>
      <c r="X135" s="111">
        <f t="shared" ca="1" si="52"/>
        <v>44962</v>
      </c>
      <c r="Y135" s="112" t="str">
        <f ca="1">IFERROR(IF(SUMIFS($N$9:$N135,$X$9:$X135,ROUNDUP(VALUE(U135),0),$Q$9:$Q135,"npt")=0,"-",SUMIFS($N$9:$N135,$X$9:$X135,ROUNDUP(VALUE(U135),0),$Q$9:$Q135,"npt")/SUMIFS($N$9:$N135,$X$9:$X135,ROUNDUP(VALUE(U135),0))),"")</f>
        <v>-</v>
      </c>
      <c r="Z135" s="112" t="str">
        <f>IFERROR(IF($N135=0,"-",SUMIF($Q$11:$Q135,"npt",$N$11:$N135)/(T135*24)),"")</f>
        <v>-</v>
      </c>
      <c r="AA135" s="491"/>
      <c r="AB135" s="491"/>
      <c r="AC135" s="398" t="s">
        <v>224</v>
      </c>
      <c r="AD135" s="427">
        <f t="shared" ca="1" si="9"/>
        <v>9.2916666666666643</v>
      </c>
      <c r="AE135" s="427">
        <f t="shared" ca="1" si="0"/>
        <v>1112</v>
      </c>
      <c r="AF135" s="427">
        <f t="shared" ref="AF135:AF155" ca="1" si="391">T135</f>
        <v>17.708333333333343</v>
      </c>
      <c r="AG135" s="427">
        <f t="shared" ca="1" si="2"/>
        <v>2374.8000000000002</v>
      </c>
      <c r="AH135" s="493"/>
      <c r="AI135" s="427">
        <f t="shared" ca="1" si="3"/>
        <v>0</v>
      </c>
      <c r="AJ135" s="493"/>
      <c r="AK135" s="428">
        <f t="shared" ref="AK135:AK155" ca="1" si="392">IF(B135&lt;&gt;"",B135,INDIRECT(ADDRESS(ROW()+1,COLUMN($AK$9),,,)))</f>
        <v>2</v>
      </c>
      <c r="AL135" s="428">
        <f ca="1">IF(A135&lt;&gt;"",IFERROR(INDEX('1_INPUT'!$B$69:$E$89,MATCH($A135,'1_INPUT'!$E$69:$E$89,0),1),""),INDIRECT(ADDRESS(ROW()+1,COLUMN($AL$9),,,)))</f>
        <v>4</v>
      </c>
      <c r="AM135" s="428" t="str">
        <f ca="1">IF(AN135="","",MAX(INDIRECT(ADDRESS(9,COLUMN($AM$9),,,)):INDIRECT(ADDRESS(ROW()-1,COLUMN($AM$9),,,)))+1)</f>
        <v/>
      </c>
      <c r="AN135" s="429" t="str">
        <f>IF($AO135&lt;&gt;"",VLOOKUP($AK135,'1_INPUT'!$B$124:$D$136,2,FALSE),"")</f>
        <v/>
      </c>
      <c r="AO135" s="429" t="str">
        <f t="shared" si="10"/>
        <v/>
      </c>
      <c r="AP135" s="427">
        <f ca="1">SUMIF($AL$10:AL135,$AL135,$I$10:I135)</f>
        <v>89.708333333333314</v>
      </c>
      <c r="AR135" s="430" t="str">
        <f t="shared" ca="1" si="5"/>
        <v>WORKOVER SECTION</v>
      </c>
      <c r="AS135" s="430">
        <f ca="1">MATCH(AR135,'1_INPUT'!$V$43:$V$64,0)+1</f>
        <v>6</v>
      </c>
      <c r="AT135" s="430">
        <f ca="1">VLOOKUP(AR135,'1_INPUT'!$V$43:$W$64,2,FALSE)</f>
        <v>21</v>
      </c>
      <c r="AU135" s="430">
        <f ca="1">COUNTIF('1_INPUT'!$W$43:$W$64,AT135)-1</f>
        <v>5</v>
      </c>
      <c r="AV135" s="430" t="e">
        <f ca="1">OFFSET('1_INPUT'!$V$42,$AS135,,$AU135,)</f>
        <v>#VALUE!</v>
      </c>
      <c r="AX135" s="430" t="str">
        <f t="shared" ref="AX135:AX155" si="393">IF(A135&lt;&gt;"",""&amp;AR135&amp;"-"&amp;A135&amp;"","")</f>
        <v/>
      </c>
      <c r="CK135" s="9"/>
      <c r="CL135" s="9"/>
    </row>
    <row r="136" spans="1:90" ht="27.6">
      <c r="A136" s="205"/>
      <c r="B136" s="518"/>
      <c r="C136" s="208">
        <f ca="1">IF(D136&lt;&gt;"",MAX($C$9:C135)+1,"")</f>
        <v>37</v>
      </c>
      <c r="D136" s="523" t="s">
        <v>609</v>
      </c>
      <c r="E136" s="406"/>
      <c r="F136" s="407">
        <v>7</v>
      </c>
      <c r="G136" s="209">
        <f t="shared" ca="1" si="48"/>
        <v>230</v>
      </c>
      <c r="H136" s="209">
        <f t="shared" si="218"/>
        <v>0.29166666666666669</v>
      </c>
      <c r="I136" s="209">
        <f t="shared" ca="1" si="49"/>
        <v>9.5833333333333304</v>
      </c>
      <c r="J136" s="540">
        <v>1112</v>
      </c>
      <c r="K136" s="200"/>
      <c r="L136" s="532"/>
      <c r="M136" s="400"/>
      <c r="N136" s="400"/>
      <c r="O136" s="95">
        <f t="shared" ca="1" si="50"/>
        <v>425</v>
      </c>
      <c r="P136" s="403">
        <v>2374.8000000000002</v>
      </c>
      <c r="Q136" s="116">
        <f>IF(N136&gt;0,VLOOKUP(M136,'3_TIME SUM'!$F$7:$G$128,2,FALSE),0)</f>
        <v>0</v>
      </c>
      <c r="R136" s="517"/>
      <c r="S136" s="94">
        <f t="shared" si="12"/>
        <v>0</v>
      </c>
      <c r="T136" s="94">
        <f t="shared" ca="1" si="51"/>
        <v>17.708333333333343</v>
      </c>
      <c r="U136" s="535">
        <f ca="1">$T136+'1_INPUT'!$E$18</f>
        <v>44961.5</v>
      </c>
      <c r="V136" s="95">
        <f t="shared" ca="1" si="389"/>
        <v>-195.00000000000028</v>
      </c>
      <c r="W136" s="110">
        <f t="shared" ca="1" si="390"/>
        <v>8.125</v>
      </c>
      <c r="X136" s="111">
        <f t="shared" ca="1" si="52"/>
        <v>44962</v>
      </c>
      <c r="Y136" s="112" t="str">
        <f ca="1">IFERROR(IF(SUMIFS($N$9:$N136,$X$9:$X136,ROUNDUP(VALUE(U136),0),$Q$9:$Q136,"npt")=0,"-",SUMIFS($N$9:$N136,$X$9:$X136,ROUNDUP(VALUE(U136),0),$Q$9:$Q136,"npt")/SUMIFS($N$9:$N136,$X$9:$X136,ROUNDUP(VALUE(U136),0))),"")</f>
        <v>-</v>
      </c>
      <c r="Z136" s="112" t="str">
        <f>IFERROR(IF($N136=0,"-",SUMIF($Q$11:$Q136,"npt",$N$11:$N136)/(T136*24)),"")</f>
        <v>-</v>
      </c>
      <c r="AA136" s="491"/>
      <c r="AB136" s="491"/>
      <c r="AC136" s="398" t="s">
        <v>224</v>
      </c>
      <c r="AD136" s="427">
        <f t="shared" ca="1" si="9"/>
        <v>9.5833333333333304</v>
      </c>
      <c r="AE136" s="427">
        <f t="shared" ca="1" si="0"/>
        <v>1112</v>
      </c>
      <c r="AF136" s="427">
        <f t="shared" ca="1" si="391"/>
        <v>17.708333333333343</v>
      </c>
      <c r="AG136" s="427">
        <f t="shared" ca="1" si="2"/>
        <v>2374.8000000000002</v>
      </c>
      <c r="AH136" s="493"/>
      <c r="AI136" s="427">
        <f t="shared" ca="1" si="3"/>
        <v>0</v>
      </c>
      <c r="AJ136" s="493"/>
      <c r="AK136" s="428">
        <f t="shared" ca="1" si="392"/>
        <v>2</v>
      </c>
      <c r="AL136" s="428">
        <f ca="1">IF(A136&lt;&gt;"",IFERROR(INDEX('1_INPUT'!$B$69:$E$89,MATCH($A136,'1_INPUT'!$E$69:$E$89,0),1),""),INDIRECT(ADDRESS(ROW()+1,COLUMN($AL$9),,,)))</f>
        <v>4</v>
      </c>
      <c r="AM136" s="428" t="str">
        <f ca="1">IF(AN136="","",MAX(INDIRECT(ADDRESS(9,COLUMN($AM$9),,,)):INDIRECT(ADDRESS(ROW()-1,COLUMN($AM$9),,,)))+1)</f>
        <v/>
      </c>
      <c r="AN136" s="429" t="str">
        <f>IF($AO136&lt;&gt;"",VLOOKUP($AK136,'1_INPUT'!$B$124:$D$136,2,FALSE),"")</f>
        <v/>
      </c>
      <c r="AO136" s="429" t="str">
        <f t="shared" si="10"/>
        <v/>
      </c>
      <c r="AP136" s="427">
        <f ca="1">SUMIF($AL$10:AL136,$AL136,$I$10:I136)</f>
        <v>99.291666666666643</v>
      </c>
      <c r="AR136" s="430" t="str">
        <f t="shared" ca="1" si="5"/>
        <v>WORKOVER SECTION</v>
      </c>
      <c r="AS136" s="430">
        <f ca="1">MATCH(AR136,'1_INPUT'!$V$43:$V$64,0)+1</f>
        <v>6</v>
      </c>
      <c r="AT136" s="430">
        <f ca="1">VLOOKUP(AR136,'1_INPUT'!$V$43:$W$64,2,FALSE)</f>
        <v>21</v>
      </c>
      <c r="AU136" s="430">
        <f ca="1">COUNTIF('1_INPUT'!$W$43:$W$64,AT136)-1</f>
        <v>5</v>
      </c>
      <c r="AV136" s="430" t="e">
        <f ca="1">OFFSET('1_INPUT'!$V$42,$AS136,,$AU136,)</f>
        <v>#VALUE!</v>
      </c>
      <c r="AX136" s="430" t="str">
        <f t="shared" si="393"/>
        <v/>
      </c>
      <c r="CK136" s="9"/>
      <c r="CL136" s="9"/>
    </row>
    <row r="137" spans="1:90" ht="13.8">
      <c r="A137" s="205"/>
      <c r="B137" s="518"/>
      <c r="C137" s="208">
        <f ca="1">IF(D137&lt;&gt;"",MAX($C$9:C136)+1,"")</f>
        <v>38</v>
      </c>
      <c r="D137" s="523" t="s">
        <v>587</v>
      </c>
      <c r="E137" s="406"/>
      <c r="F137" s="407">
        <v>2</v>
      </c>
      <c r="G137" s="209">
        <f t="shared" ca="1" si="48"/>
        <v>232</v>
      </c>
      <c r="H137" s="209">
        <f t="shared" si="218"/>
        <v>8.3333333333333329E-2</v>
      </c>
      <c r="I137" s="209">
        <f t="shared" ca="1" si="49"/>
        <v>9.6666666666666643</v>
      </c>
      <c r="J137" s="540">
        <v>1112</v>
      </c>
      <c r="K137" s="200"/>
      <c r="L137" s="532"/>
      <c r="M137" s="400"/>
      <c r="N137" s="400"/>
      <c r="O137" s="95">
        <f t="shared" ca="1" si="50"/>
        <v>425</v>
      </c>
      <c r="P137" s="403">
        <v>2374.8000000000002</v>
      </c>
      <c r="Q137" s="116">
        <f>IF(N137&gt;0,VLOOKUP(M137,'3_TIME SUM'!$F$7:$G$128,2,FALSE),0)</f>
        <v>0</v>
      </c>
      <c r="R137" s="517"/>
      <c r="S137" s="94">
        <f t="shared" si="12"/>
        <v>0</v>
      </c>
      <c r="T137" s="94">
        <f t="shared" ca="1" si="51"/>
        <v>17.708333333333343</v>
      </c>
      <c r="U137" s="535">
        <f ca="1">$T137+'1_INPUT'!$E$18</f>
        <v>44961.5</v>
      </c>
      <c r="V137" s="95">
        <f t="shared" ca="1" si="389"/>
        <v>-193.00000000000028</v>
      </c>
      <c r="W137" s="110">
        <f t="shared" ca="1" si="390"/>
        <v>8.0416666666666661</v>
      </c>
      <c r="X137" s="111">
        <f t="shared" ca="1" si="52"/>
        <v>44962</v>
      </c>
      <c r="Y137" s="112" t="str">
        <f ca="1">IFERROR(IF(SUMIFS($N$9:$N137,$X$9:$X137,ROUNDUP(VALUE(U137),0),$Q$9:$Q137,"npt")=0,"-",SUMIFS($N$9:$N137,$X$9:$X137,ROUNDUP(VALUE(U137),0),$Q$9:$Q137,"npt")/SUMIFS($N$9:$N137,$X$9:$X137,ROUNDUP(VALUE(U137),0))),"")</f>
        <v>-</v>
      </c>
      <c r="Z137" s="112" t="str">
        <f>IFERROR(IF($N137=0,"-",SUMIF($Q$11:$Q137,"npt",$N$11:$N137)/(T137*24)),"")</f>
        <v>-</v>
      </c>
      <c r="AA137" s="491"/>
      <c r="AB137" s="491"/>
      <c r="AC137" s="398" t="s">
        <v>224</v>
      </c>
      <c r="AD137" s="427">
        <f t="shared" ca="1" si="9"/>
        <v>9.6666666666666643</v>
      </c>
      <c r="AE137" s="427">
        <f t="shared" ca="1" si="0"/>
        <v>1112</v>
      </c>
      <c r="AF137" s="427">
        <f t="shared" ca="1" si="391"/>
        <v>17.708333333333343</v>
      </c>
      <c r="AG137" s="427">
        <f t="shared" ca="1" si="2"/>
        <v>2374.8000000000002</v>
      </c>
      <c r="AH137" s="493"/>
      <c r="AI137" s="427">
        <f t="shared" ca="1" si="3"/>
        <v>0</v>
      </c>
      <c r="AJ137" s="493"/>
      <c r="AK137" s="428">
        <f t="shared" ca="1" si="392"/>
        <v>2</v>
      </c>
      <c r="AL137" s="428">
        <f ca="1">IF(A137&lt;&gt;"",IFERROR(INDEX('1_INPUT'!$B$69:$E$89,MATCH($A137,'1_INPUT'!$E$69:$E$89,0),1),""),INDIRECT(ADDRESS(ROW()+1,COLUMN($AL$9),,,)))</f>
        <v>4</v>
      </c>
      <c r="AM137" s="428" t="str">
        <f ca="1">IF(AN137="","",MAX(INDIRECT(ADDRESS(9,COLUMN($AM$9),,,)):INDIRECT(ADDRESS(ROW()-1,COLUMN($AM$9),,,)))+1)</f>
        <v/>
      </c>
      <c r="AN137" s="429" t="str">
        <f>IF($AO137&lt;&gt;"",VLOOKUP($AK137,'1_INPUT'!$B$124:$D$136,2,FALSE),"")</f>
        <v/>
      </c>
      <c r="AO137" s="429" t="str">
        <f t="shared" si="10"/>
        <v/>
      </c>
      <c r="AP137" s="427">
        <f ca="1">SUMIF($AL$10:AL137,$AL137,$I$10:I137)</f>
        <v>108.95833333333331</v>
      </c>
      <c r="AR137" s="430" t="str">
        <f t="shared" ca="1" si="5"/>
        <v>WORKOVER SECTION</v>
      </c>
      <c r="AS137" s="430">
        <f ca="1">MATCH(AR137,'1_INPUT'!$V$43:$V$64,0)+1</f>
        <v>6</v>
      </c>
      <c r="AT137" s="430">
        <f ca="1">VLOOKUP(AR137,'1_INPUT'!$V$43:$W$64,2,FALSE)</f>
        <v>21</v>
      </c>
      <c r="AU137" s="430">
        <f ca="1">COUNTIF('1_INPUT'!$W$43:$W$64,AT137)-1</f>
        <v>5</v>
      </c>
      <c r="AV137" s="430" t="e">
        <f ca="1">OFFSET('1_INPUT'!$V$42,$AS137,,$AU137,)</f>
        <v>#VALUE!</v>
      </c>
      <c r="AX137" s="430" t="str">
        <f t="shared" si="393"/>
        <v/>
      </c>
      <c r="CK137" s="9"/>
      <c r="CL137" s="9"/>
    </row>
    <row r="138" spans="1:90" ht="27.6">
      <c r="A138" s="205"/>
      <c r="B138" s="518"/>
      <c r="C138" s="208">
        <f ca="1">IF(D138&lt;&gt;"",MAX($C$9:C137)+1,"")</f>
        <v>39</v>
      </c>
      <c r="D138" s="523" t="s">
        <v>621</v>
      </c>
      <c r="E138" s="406"/>
      <c r="F138" s="407">
        <v>7</v>
      </c>
      <c r="G138" s="209">
        <f t="shared" ref="G138:G155" ca="1" si="394">IF(INDIRECT(ADDRESS(ROW()-1,COLUMN(B$7),,,))&lt;&gt;"",INDIRECT(ADDRESS(ROW(),COLUMN(F$7),,,)),INDIRECT(ADDRESS(ROW()-1,COLUMN(G$7),,,))+INDIRECT(ADDRESS(ROW(),COLUMN(F$7),,,)))</f>
        <v>239</v>
      </c>
      <c r="H138" s="209">
        <f t="shared" si="218"/>
        <v>0.29166666666666669</v>
      </c>
      <c r="I138" s="209">
        <f t="shared" ref="I138:I155" ca="1" si="395">INDIRECT(ADDRESS(ROW()-1,COLUMN(I$7),,,))+INDIRECT(ADDRESS(ROW(),COLUMN(H$7),,,))</f>
        <v>9.9583333333333304</v>
      </c>
      <c r="J138" s="540">
        <v>1112</v>
      </c>
      <c r="K138" s="200"/>
      <c r="L138" s="532"/>
      <c r="M138" s="400"/>
      <c r="N138" s="400"/>
      <c r="O138" s="95">
        <f t="shared" ref="O138:O155" ca="1" si="396">IF(INDIRECT(ADDRESS(ROW()-1,COLUMN(B$7),,,))&lt;&gt;"",INDIRECT(ADDRESS(ROW(),COLUMN(N$7),,,)),INDIRECT(ADDRESS(ROW()-1,COLUMN(O$7),,,))+INDIRECT(ADDRESS(ROW(),COLUMN(N$7),,,)))</f>
        <v>425</v>
      </c>
      <c r="P138" s="403">
        <v>2374.8000000000002</v>
      </c>
      <c r="Q138" s="116">
        <f>IF(N138&gt;0,VLOOKUP(M138,'3_TIME SUM'!$F$7:$G$128,2,FALSE),0)</f>
        <v>0</v>
      </c>
      <c r="R138" s="517"/>
      <c r="S138" s="94">
        <f t="shared" si="12"/>
        <v>0</v>
      </c>
      <c r="T138" s="94">
        <f t="shared" ref="T138:T155" ca="1" si="397">INDIRECT(ADDRESS(ROW()-1,COLUMN(T$7),,,))+INDIRECT(ADDRESS(ROW(),COLUMN(S$7),,,))</f>
        <v>17.708333333333343</v>
      </c>
      <c r="U138" s="535">
        <f ca="1">$T138+'1_INPUT'!$E$18</f>
        <v>44961.5</v>
      </c>
      <c r="V138" s="95">
        <f t="shared" ca="1" si="389"/>
        <v>-186.00000000000028</v>
      </c>
      <c r="W138" s="110">
        <f t="shared" ca="1" si="390"/>
        <v>7.75</v>
      </c>
      <c r="X138" s="111">
        <f t="shared" ref="X138:X155" ca="1" si="398">IF(U138=0,"-",ROUNDUP(VALUE(U138),0))</f>
        <v>44962</v>
      </c>
      <c r="Y138" s="112" t="str">
        <f ca="1">IFERROR(IF(SUMIFS($N$9:$N138,$X$9:$X138,ROUNDUP(VALUE(U138),0),$Q$9:$Q138,"npt")=0,"-",SUMIFS($N$9:$N138,$X$9:$X138,ROUNDUP(VALUE(U138),0),$Q$9:$Q138,"npt")/SUMIFS($N$9:$N138,$X$9:$X138,ROUNDUP(VALUE(U138),0))),"")</f>
        <v>-</v>
      </c>
      <c r="Z138" s="112" t="str">
        <f>IFERROR(IF($N138=0,"-",SUMIF($Q$11:$Q138,"npt",$N$11:$N138)/(T138*24)),"")</f>
        <v>-</v>
      </c>
      <c r="AA138" s="491"/>
      <c r="AB138" s="491"/>
      <c r="AC138" s="398" t="s">
        <v>224</v>
      </c>
      <c r="AD138" s="427">
        <f t="shared" ca="1" si="9"/>
        <v>9.9583333333333304</v>
      </c>
      <c r="AE138" s="427">
        <f t="shared" ca="1" si="0"/>
        <v>1112</v>
      </c>
      <c r="AF138" s="427">
        <f t="shared" ca="1" si="391"/>
        <v>17.708333333333343</v>
      </c>
      <c r="AG138" s="427">
        <f t="shared" ca="1" si="2"/>
        <v>2374.8000000000002</v>
      </c>
      <c r="AH138" s="493"/>
      <c r="AI138" s="427">
        <f t="shared" ca="1" si="3"/>
        <v>0</v>
      </c>
      <c r="AJ138" s="493"/>
      <c r="AK138" s="428">
        <f t="shared" ca="1" si="392"/>
        <v>2</v>
      </c>
      <c r="AL138" s="428">
        <f ca="1">IF(A138&lt;&gt;"",IFERROR(INDEX('1_INPUT'!$B$69:$E$89,MATCH($A138,'1_INPUT'!$E$69:$E$89,0),1),""),INDIRECT(ADDRESS(ROW()+1,COLUMN($AL$9),,,)))</f>
        <v>4</v>
      </c>
      <c r="AM138" s="428" t="str">
        <f ca="1">IF(AN138="","",MAX(INDIRECT(ADDRESS(9,COLUMN($AM$9),,,)):INDIRECT(ADDRESS(ROW()-1,COLUMN($AM$9),,,)))+1)</f>
        <v/>
      </c>
      <c r="AN138" s="429" t="str">
        <f>IF($AO138&lt;&gt;"",VLOOKUP($AK138,'1_INPUT'!$B$124:$D$136,2,FALSE),"")</f>
        <v/>
      </c>
      <c r="AO138" s="429" t="str">
        <f t="shared" si="10"/>
        <v/>
      </c>
      <c r="AP138" s="427">
        <f ca="1">SUMIF($AL$10:AL138,$AL138,$I$10:I138)</f>
        <v>118.91666666666664</v>
      </c>
      <c r="AR138" s="430" t="str">
        <f t="shared" ca="1" si="5"/>
        <v>WORKOVER SECTION</v>
      </c>
      <c r="AS138" s="430">
        <f ca="1">MATCH(AR138,'1_INPUT'!$V$43:$V$64,0)+1</f>
        <v>6</v>
      </c>
      <c r="AT138" s="430">
        <f ca="1">VLOOKUP(AR138,'1_INPUT'!$V$43:$W$64,2,FALSE)</f>
        <v>21</v>
      </c>
      <c r="AU138" s="430">
        <f ca="1">COUNTIF('1_INPUT'!$W$43:$W$64,AT138)-1</f>
        <v>5</v>
      </c>
      <c r="AV138" s="430" t="e">
        <f ca="1">OFFSET('1_INPUT'!$V$42,$AS138,,$AU138,)</f>
        <v>#VALUE!</v>
      </c>
      <c r="AX138" s="430" t="str">
        <f t="shared" si="393"/>
        <v/>
      </c>
      <c r="CK138" s="9"/>
      <c r="CL138" s="9"/>
    </row>
    <row r="139" spans="1:90" ht="55.2">
      <c r="A139" s="205"/>
      <c r="B139" s="518"/>
      <c r="C139" s="208">
        <f ca="1">IF(D139&lt;&gt;"",MAX($C$9:C138)+1,"")</f>
        <v>40</v>
      </c>
      <c r="D139" s="523" t="s">
        <v>607</v>
      </c>
      <c r="E139" s="406"/>
      <c r="F139" s="407">
        <v>2</v>
      </c>
      <c r="G139" s="209">
        <f t="shared" ca="1" si="394"/>
        <v>241</v>
      </c>
      <c r="H139" s="209">
        <f t="shared" si="218"/>
        <v>8.3333333333333329E-2</v>
      </c>
      <c r="I139" s="209">
        <f t="shared" ca="1" si="395"/>
        <v>10.041666666666664</v>
      </c>
      <c r="J139" s="540">
        <v>1112</v>
      </c>
      <c r="K139" s="200"/>
      <c r="L139" s="532" t="s">
        <v>731</v>
      </c>
      <c r="M139" s="400" t="s">
        <v>91</v>
      </c>
      <c r="N139" s="400">
        <v>1.5</v>
      </c>
      <c r="O139" s="95">
        <f t="shared" ca="1" si="396"/>
        <v>426.5</v>
      </c>
      <c r="P139" s="403">
        <v>2374.8000000000002</v>
      </c>
      <c r="Q139" s="116">
        <f>IF(N139&gt;0,VLOOKUP(M139,'3_TIME SUM'!$F$7:$G$128,2,FALSE),0)</f>
        <v>0</v>
      </c>
      <c r="R139" s="517"/>
      <c r="S139" s="94">
        <f t="shared" si="12"/>
        <v>6.25E-2</v>
      </c>
      <c r="T139" s="94">
        <f t="shared" ca="1" si="397"/>
        <v>17.770833333333343</v>
      </c>
      <c r="U139" s="535">
        <f ca="1">$T139+'1_INPUT'!$E$18</f>
        <v>44961.5625</v>
      </c>
      <c r="V139" s="95">
        <f t="shared" ca="1" si="389"/>
        <v>-185.50000000000028</v>
      </c>
      <c r="W139" s="110">
        <f t="shared" ca="1" si="390"/>
        <v>7.729166666666667</v>
      </c>
      <c r="X139" s="111">
        <f t="shared" ca="1" si="398"/>
        <v>44962</v>
      </c>
      <c r="Y139" s="112" t="str">
        <f ca="1">IFERROR(IF(SUMIFS($N$9:$N139,$X$9:$X139,ROUNDUP(VALUE(U139),0),$Q$9:$Q139,"npt")=0,"-",SUMIFS($N$9:$N139,$X$9:$X139,ROUNDUP(VALUE(U139),0),$Q$9:$Q139,"npt")/SUMIFS($N$9:$N139,$X$9:$X139,ROUNDUP(VALUE(U139),0))),"")</f>
        <v>-</v>
      </c>
      <c r="Z139" s="112">
        <f ca="1">IFERROR(IF($N139=0,"-",SUMIF($Q$11:$Q139,"npt",$N$11:$N139)/(T139*24)),"")</f>
        <v>2.6963657678780759E-2</v>
      </c>
      <c r="AA139" s="491"/>
      <c r="AB139" s="491"/>
      <c r="AC139" s="398" t="s">
        <v>224</v>
      </c>
      <c r="AD139" s="427">
        <f t="shared" ca="1" si="9"/>
        <v>10.041666666666664</v>
      </c>
      <c r="AE139" s="427">
        <f t="shared" ca="1" si="0"/>
        <v>1112</v>
      </c>
      <c r="AF139" s="427">
        <f t="shared" ca="1" si="391"/>
        <v>17.770833333333343</v>
      </c>
      <c r="AG139" s="427">
        <f t="shared" ca="1" si="2"/>
        <v>2374.8000000000002</v>
      </c>
      <c r="AH139" s="493"/>
      <c r="AI139" s="427">
        <f t="shared" ca="1" si="3"/>
        <v>0</v>
      </c>
      <c r="AJ139" s="493"/>
      <c r="AK139" s="428">
        <f t="shared" ca="1" si="392"/>
        <v>2</v>
      </c>
      <c r="AL139" s="428">
        <f ca="1">IF(A139&lt;&gt;"",IFERROR(INDEX('1_INPUT'!$B$69:$E$89,MATCH($A139,'1_INPUT'!$E$69:$E$89,0),1),""),INDIRECT(ADDRESS(ROW()+1,COLUMN($AL$9),,,)))</f>
        <v>4</v>
      </c>
      <c r="AM139" s="428" t="str">
        <f ca="1">IF(AN139="","",MAX(INDIRECT(ADDRESS(9,COLUMN($AM$9),,,)):INDIRECT(ADDRESS(ROW()-1,COLUMN($AM$9),,,)))+1)</f>
        <v/>
      </c>
      <c r="AN139" s="429" t="str">
        <f>IF($AO139&lt;&gt;"",VLOOKUP($AK139,'1_INPUT'!$B$124:$D$136,2,FALSE),"")</f>
        <v/>
      </c>
      <c r="AO139" s="429" t="str">
        <f t="shared" si="10"/>
        <v/>
      </c>
      <c r="AP139" s="427">
        <f ca="1">SUMIF($AL$10:AL139,$AL139,$I$10:I139)</f>
        <v>128.95833333333331</v>
      </c>
      <c r="AR139" s="430" t="str">
        <f t="shared" ca="1" si="5"/>
        <v>WORKOVER SECTION</v>
      </c>
      <c r="AS139" s="430">
        <f ca="1">MATCH(AR139,'1_INPUT'!$V$43:$V$64,0)+1</f>
        <v>6</v>
      </c>
      <c r="AT139" s="430">
        <f ca="1">VLOOKUP(AR139,'1_INPUT'!$V$43:$W$64,2,FALSE)</f>
        <v>21</v>
      </c>
      <c r="AU139" s="430">
        <f ca="1">COUNTIF('1_INPUT'!$W$43:$W$64,AT139)-1</f>
        <v>5</v>
      </c>
      <c r="AV139" s="430" t="e">
        <f ca="1">OFFSET('1_INPUT'!$V$42,$AS139,,$AU139,)</f>
        <v>#VALUE!</v>
      </c>
      <c r="AX139" s="430" t="str">
        <f t="shared" si="393"/>
        <v/>
      </c>
      <c r="CK139" s="9"/>
      <c r="CL139" s="9"/>
    </row>
    <row r="140" spans="1:90" ht="13.8">
      <c r="A140" s="205" t="s">
        <v>576</v>
      </c>
      <c r="B140" s="518"/>
      <c r="C140" s="208">
        <f ca="1">IF(D140&lt;&gt;"",MAX($C$9:C139)+1,"")</f>
        <v>41</v>
      </c>
      <c r="D140" s="523" t="s">
        <v>608</v>
      </c>
      <c r="E140" s="406"/>
      <c r="F140" s="407">
        <v>6</v>
      </c>
      <c r="G140" s="209">
        <f t="shared" ca="1" si="394"/>
        <v>247</v>
      </c>
      <c r="H140" s="209">
        <f t="shared" si="218"/>
        <v>0.25</v>
      </c>
      <c r="I140" s="209">
        <f t="shared" ca="1" si="395"/>
        <v>10.291666666666664</v>
      </c>
      <c r="J140" s="540">
        <v>1112</v>
      </c>
      <c r="K140" s="200"/>
      <c r="L140" s="532"/>
      <c r="M140" s="400"/>
      <c r="N140" s="400"/>
      <c r="O140" s="95">
        <f t="shared" ca="1" si="396"/>
        <v>426.5</v>
      </c>
      <c r="P140" s="403">
        <v>2374.8000000000002</v>
      </c>
      <c r="Q140" s="116">
        <f>IF(N140&gt;0,VLOOKUP(M140,'3_TIME SUM'!$F$7:$G$128,2,FALSE),0)</f>
        <v>0</v>
      </c>
      <c r="R140" s="517"/>
      <c r="S140" s="94">
        <f t="shared" si="12"/>
        <v>0</v>
      </c>
      <c r="T140" s="94">
        <f t="shared" ca="1" si="397"/>
        <v>17.770833333333343</v>
      </c>
      <c r="U140" s="535">
        <f ca="1">$T140+'1_INPUT'!$E$18</f>
        <v>44961.5625</v>
      </c>
      <c r="V140" s="95">
        <f t="shared" ca="1" si="389"/>
        <v>-179.50000000000028</v>
      </c>
      <c r="W140" s="110">
        <f t="shared" ca="1" si="390"/>
        <v>7.479166666666667</v>
      </c>
      <c r="X140" s="111">
        <f t="shared" ca="1" si="398"/>
        <v>44962</v>
      </c>
      <c r="Y140" s="112" t="str">
        <f ca="1">IFERROR(IF(SUMIFS($N$9:$N140,$X$9:$X140,ROUNDUP(VALUE(U140),0),$Q$9:$Q140,"npt")=0,"-",SUMIFS($N$9:$N140,$X$9:$X140,ROUNDUP(VALUE(U140),0),$Q$9:$Q140,"npt")/SUMIFS($N$9:$N140,$X$9:$X140,ROUNDUP(VALUE(U140),0))),"")</f>
        <v>-</v>
      </c>
      <c r="Z140" s="112" t="str">
        <f>IFERROR(IF($N140=0,"-",SUMIF($Q$11:$Q140,"npt",$N$11:$N140)/(T140*24)),"")</f>
        <v>-</v>
      </c>
      <c r="AA140" s="491"/>
      <c r="AB140" s="491"/>
      <c r="AC140" s="398" t="s">
        <v>224</v>
      </c>
      <c r="AD140" s="427">
        <f t="shared" ca="1" si="9"/>
        <v>10.291666666666664</v>
      </c>
      <c r="AE140" s="427">
        <f t="shared" ca="1" si="0"/>
        <v>1112</v>
      </c>
      <c r="AF140" s="427">
        <f t="shared" ca="1" si="391"/>
        <v>17.770833333333343</v>
      </c>
      <c r="AG140" s="427">
        <f t="shared" ca="1" si="2"/>
        <v>2374.8000000000002</v>
      </c>
      <c r="AH140" s="493"/>
      <c r="AI140" s="427">
        <f t="shared" ca="1" si="3"/>
        <v>0</v>
      </c>
      <c r="AJ140" s="493"/>
      <c r="AK140" s="428">
        <f t="shared" ca="1" si="392"/>
        <v>2</v>
      </c>
      <c r="AL140" s="428">
        <f ca="1">IF(A140&lt;&gt;"",IFERROR(INDEX('1_INPUT'!$B$69:$E$89,MATCH($A140,'1_INPUT'!$E$69:$E$89,0),1),""),INDIRECT(ADDRESS(ROW()+1,COLUMN($AL$9),,,)))</f>
        <v>4</v>
      </c>
      <c r="AM140" s="428">
        <f ca="1">IF(AN140="","",MAX(INDIRECT(ADDRESS(9,COLUMN($AM$9),,,)):INDIRECT(ADDRESS(ROW()-1,COLUMN($AM$9),,,)))+1)</f>
        <v>4</v>
      </c>
      <c r="AN140" s="429" t="str">
        <f ca="1">IF($AO140&lt;&gt;"",VLOOKUP($AK140,'1_INPUT'!$B$124:$D$136,2,FALSE),"")</f>
        <v>WORKOVER SECTION</v>
      </c>
      <c r="AO140" s="429" t="str">
        <f t="shared" si="10"/>
        <v>WORKOVER #2</v>
      </c>
      <c r="AP140" s="427">
        <f ca="1">SUMIF($AL$10:AL140,$AL140,$I$10:I140)</f>
        <v>139.24999999999997</v>
      </c>
      <c r="AR140" s="430" t="str">
        <f t="shared" ca="1" si="5"/>
        <v>WORKOVER SECTION</v>
      </c>
      <c r="AS140" s="430">
        <f ca="1">MATCH(AR140,'1_INPUT'!$V$43:$V$64,0)+1</f>
        <v>6</v>
      </c>
      <c r="AT140" s="430">
        <f ca="1">VLOOKUP(AR140,'1_INPUT'!$V$43:$W$64,2,FALSE)</f>
        <v>21</v>
      </c>
      <c r="AU140" s="430">
        <f ca="1">COUNTIF('1_INPUT'!$W$43:$W$64,AT140)-1</f>
        <v>5</v>
      </c>
      <c r="AV140" s="430" t="e">
        <f ca="1">OFFSET('1_INPUT'!$V$42,$AS140,,$AU140,)</f>
        <v>#VALUE!</v>
      </c>
      <c r="AX140" s="430" t="str">
        <f t="shared" ca="1" si="393"/>
        <v>WORKOVER SECTION-WORKOVER #2</v>
      </c>
      <c r="CK140" s="9"/>
      <c r="CL140" s="9"/>
    </row>
    <row r="141" spans="1:90" ht="120" customHeight="1">
      <c r="A141" s="205"/>
      <c r="B141" s="518"/>
      <c r="C141" s="208">
        <f ca="1">IF(D141&lt;&gt;"",MAX($C$9:C140)+1,"")</f>
        <v>42</v>
      </c>
      <c r="D141" s="523" t="s">
        <v>626</v>
      </c>
      <c r="E141" s="406"/>
      <c r="F141" s="407">
        <v>6</v>
      </c>
      <c r="G141" s="209">
        <f t="shared" ca="1" si="394"/>
        <v>253</v>
      </c>
      <c r="H141" s="209">
        <f t="shared" si="218"/>
        <v>0.25</v>
      </c>
      <c r="I141" s="209">
        <f t="shared" ca="1" si="395"/>
        <v>10.541666666666664</v>
      </c>
      <c r="J141" s="540">
        <v>1112</v>
      </c>
      <c r="K141" s="200"/>
      <c r="L141" s="532" t="s">
        <v>732</v>
      </c>
      <c r="M141" s="400" t="s">
        <v>91</v>
      </c>
      <c r="N141" s="400">
        <v>2.5</v>
      </c>
      <c r="O141" s="95">
        <f t="shared" ca="1" si="396"/>
        <v>429</v>
      </c>
      <c r="P141" s="403">
        <v>2374.8000000000002</v>
      </c>
      <c r="Q141" s="116">
        <f>IF(N141&gt;0,VLOOKUP(M141,'3_TIME SUM'!$F$7:$G$128,2,FALSE),0)</f>
        <v>0</v>
      </c>
      <c r="R141" s="517"/>
      <c r="S141" s="94">
        <f t="shared" si="12"/>
        <v>0.10416666666666667</v>
      </c>
      <c r="T141" s="94">
        <f t="shared" ca="1" si="397"/>
        <v>17.875000000000011</v>
      </c>
      <c r="U141" s="535">
        <f ca="1">$T141+'1_INPUT'!$E$18</f>
        <v>44961.666666666664</v>
      </c>
      <c r="V141" s="95">
        <f t="shared" ca="1" si="389"/>
        <v>-176.00000000000031</v>
      </c>
      <c r="W141" s="110">
        <f t="shared" ca="1" si="390"/>
        <v>7.333333333333333</v>
      </c>
      <c r="X141" s="111">
        <f t="shared" ca="1" si="398"/>
        <v>44962</v>
      </c>
      <c r="Y141" s="112" t="str">
        <f ca="1">IFERROR(IF(SUMIFS($N$9:$N141,$X$9:$X141,ROUNDUP(VALUE(U141),0),$Q$9:$Q141,"npt")=0,"-",SUMIFS($N$9:$N141,$X$9:$X141,ROUNDUP(VALUE(U141),0),$Q$9:$Q141,"npt")/SUMIFS($N$9:$N141,$X$9:$X141,ROUNDUP(VALUE(U141),0))),"")</f>
        <v>-</v>
      </c>
      <c r="Z141" s="112">
        <f ca="1">IFERROR(IF($N141=0,"-",SUMIF($Q$11:$Q141,"npt",$N$11:$N141)/(T141*24)),"")</f>
        <v>2.6806526806526794E-2</v>
      </c>
      <c r="AA141" s="491"/>
      <c r="AB141" s="491"/>
      <c r="AC141" s="398" t="s">
        <v>224</v>
      </c>
      <c r="AD141" s="427">
        <f t="shared" ca="1" si="9"/>
        <v>10.541666666666664</v>
      </c>
      <c r="AE141" s="427">
        <f t="shared" ca="1" si="0"/>
        <v>1112</v>
      </c>
      <c r="AF141" s="427">
        <f t="shared" ca="1" si="391"/>
        <v>17.875000000000011</v>
      </c>
      <c r="AG141" s="427">
        <f t="shared" ca="1" si="2"/>
        <v>2374.8000000000002</v>
      </c>
      <c r="AH141" s="493"/>
      <c r="AI141" s="427">
        <f t="shared" ca="1" si="3"/>
        <v>0</v>
      </c>
      <c r="AJ141" s="493"/>
      <c r="AK141" s="428">
        <f t="shared" ca="1" si="392"/>
        <v>2</v>
      </c>
      <c r="AL141" s="428">
        <f ca="1">IF(A141&lt;&gt;"",IFERROR(INDEX('1_INPUT'!$B$69:$E$89,MATCH($A141,'1_INPUT'!$E$69:$E$89,0),1),""),INDIRECT(ADDRESS(ROW()+1,COLUMN($AL$9),,,)))</f>
        <v>5</v>
      </c>
      <c r="AM141" s="428" t="str">
        <f ca="1">IF(AN141="","",MAX(INDIRECT(ADDRESS(9,COLUMN($AM$9),,,)):INDIRECT(ADDRESS(ROW()-1,COLUMN($AM$9),,,)))+1)</f>
        <v/>
      </c>
      <c r="AN141" s="429" t="str">
        <f>IF($AO141&lt;&gt;"",VLOOKUP($AK141,'1_INPUT'!$B$124:$D$136,2,FALSE),"")</f>
        <v/>
      </c>
      <c r="AO141" s="429" t="str">
        <f t="shared" si="10"/>
        <v/>
      </c>
      <c r="AP141" s="427">
        <f ca="1">SUMIF($AL$10:AL141,$AL141,$I$10:I141)</f>
        <v>10.541666666666664</v>
      </c>
      <c r="AR141" s="430" t="str">
        <f t="shared" ca="1" si="5"/>
        <v>WORKOVER SECTION</v>
      </c>
      <c r="AS141" s="430">
        <f ca="1">MATCH(AR141,'1_INPUT'!$V$43:$V$64,0)+1</f>
        <v>6</v>
      </c>
      <c r="AT141" s="430">
        <f ca="1">VLOOKUP(AR141,'1_INPUT'!$V$43:$W$64,2,FALSE)</f>
        <v>21</v>
      </c>
      <c r="AU141" s="430">
        <f ca="1">COUNTIF('1_INPUT'!$W$43:$W$64,AT141)-1</f>
        <v>5</v>
      </c>
      <c r="AV141" s="430" t="e">
        <f ca="1">OFFSET('1_INPUT'!$V$42,$AS141,,$AU141,)</f>
        <v>#VALUE!</v>
      </c>
      <c r="AX141" s="430" t="str">
        <f t="shared" si="393"/>
        <v/>
      </c>
      <c r="CK141" s="9"/>
      <c r="CL141" s="9"/>
    </row>
    <row r="142" spans="1:90" ht="115.2" customHeight="1">
      <c r="A142" s="205"/>
      <c r="B142" s="518"/>
      <c r="C142" s="208" t="str">
        <f>IF(D142&lt;&gt;"",MAX($C$9:C141)+1,"")</f>
        <v/>
      </c>
      <c r="D142" s="523"/>
      <c r="E142" s="406"/>
      <c r="F142" s="407"/>
      <c r="G142" s="209">
        <f t="shared" ref="G142:G144" ca="1" si="399">IF(INDIRECT(ADDRESS(ROW()-1,COLUMN(B$7),,,))&lt;&gt;"",INDIRECT(ADDRESS(ROW(),COLUMN(F$7),,,)),INDIRECT(ADDRESS(ROW()-1,COLUMN(G$7),,,))+INDIRECT(ADDRESS(ROW(),COLUMN(F$7),,,)))</f>
        <v>253</v>
      </c>
      <c r="H142" s="209">
        <f t="shared" si="218"/>
        <v>0</v>
      </c>
      <c r="I142" s="209">
        <f t="shared" ref="I142:I144" ca="1" si="400">INDIRECT(ADDRESS(ROW()-1,COLUMN(I$7),,,))+INDIRECT(ADDRESS(ROW(),COLUMN(H$7),,,))</f>
        <v>10.541666666666664</v>
      </c>
      <c r="J142" s="540">
        <v>1112</v>
      </c>
      <c r="K142" s="200"/>
      <c r="L142" s="532" t="s">
        <v>733</v>
      </c>
      <c r="M142" s="400" t="s">
        <v>91</v>
      </c>
      <c r="N142" s="400">
        <v>2</v>
      </c>
      <c r="O142" s="95">
        <f t="shared" ref="O142:O144" ca="1" si="401">IF(INDIRECT(ADDRESS(ROW()-1,COLUMN(B$7),,,))&lt;&gt;"",INDIRECT(ADDRESS(ROW(),COLUMN(N$7),,,)),INDIRECT(ADDRESS(ROW()-1,COLUMN(O$7),,,))+INDIRECT(ADDRESS(ROW(),COLUMN(N$7),,,)))</f>
        <v>431</v>
      </c>
      <c r="P142" s="403">
        <v>2374.8000000000002</v>
      </c>
      <c r="Q142" s="116">
        <f>IF(N142&gt;0,VLOOKUP(M142,'3_TIME SUM'!$F$7:$G$128,2,FALSE),0)</f>
        <v>0</v>
      </c>
      <c r="R142" s="517"/>
      <c r="S142" s="94">
        <f t="shared" si="12"/>
        <v>8.3333333333333329E-2</v>
      </c>
      <c r="T142" s="94">
        <f t="shared" ref="T142:T144" ca="1" si="402">INDIRECT(ADDRESS(ROW()-1,COLUMN(T$7),,,))+INDIRECT(ADDRESS(ROW(),COLUMN(S$7),,,))</f>
        <v>17.958333333333343</v>
      </c>
      <c r="U142" s="535">
        <f ca="1">$T142+'1_INPUT'!$E$18</f>
        <v>44961.75</v>
      </c>
      <c r="V142" s="95">
        <f t="shared" ref="V142:V144" ca="1" si="403">IFERROR(IF($AI142=0,($I142-T142)*24,(($P142-INDIRECT(ADDRESS(ROW()-1,COLUMN($P$9),,,)))/$AI142)-$N142+(INDIRECT(ADDRESS(ROW()-1,COLUMN(V$9),,,)))),"")</f>
        <v>-178.00000000000028</v>
      </c>
      <c r="W142" s="110">
        <f t="shared" ref="W142:W144" ca="1" si="404">IFERROR(IF(V142&gt;0,TIME(V142,(V142-ROUNDDOWN(V142,0))*60,0)+DAY((ROUNDDOWN(V142,0)/24)),TIME((-V142),((-V142)-ROUNDDOWN((-V142),0))*60,0)+DAY((ROUNDDOWN((-V142),0)/24))),"")</f>
        <v>7.416666666666667</v>
      </c>
      <c r="X142" s="111">
        <f t="shared" ref="X142:X144" ca="1" si="405">IF(U142=0,"-",ROUNDUP(VALUE(U142),0))</f>
        <v>44962</v>
      </c>
      <c r="Y142" s="112" t="str">
        <f ca="1">IFERROR(IF(SUMIFS($N$9:$N142,$X$9:$X142,ROUNDUP(VALUE(U142),0),$Q$9:$Q142,"npt")=0,"-",SUMIFS($N$9:$N142,$X$9:$X142,ROUNDUP(VALUE(U142),0),$Q$9:$Q142,"npt")/SUMIFS($N$9:$N142,$X$9:$X142,ROUNDUP(VALUE(U142),0))),"")</f>
        <v>-</v>
      </c>
      <c r="Z142" s="112">
        <f ca="1">IFERROR(IF($N142=0,"-",SUMIF($Q$11:$Q142,"npt",$N$11:$N142)/(T142*24)),"")</f>
        <v>2.6682134570765646E-2</v>
      </c>
      <c r="AA142" s="491"/>
      <c r="AB142" s="491"/>
      <c r="AC142" s="398" t="s">
        <v>224</v>
      </c>
      <c r="AD142" s="427">
        <f t="shared" ca="1" si="9"/>
        <v>10.541666666666664</v>
      </c>
      <c r="AE142" s="427">
        <f t="shared" ca="1" si="0"/>
        <v>1112</v>
      </c>
      <c r="AF142" s="427">
        <f t="shared" ref="AF142:AF144" ca="1" si="406">T142</f>
        <v>17.958333333333343</v>
      </c>
      <c r="AG142" s="427">
        <f t="shared" ca="1" si="2"/>
        <v>2374.8000000000002</v>
      </c>
      <c r="AH142" s="493"/>
      <c r="AI142" s="427">
        <f t="shared" ca="1" si="3"/>
        <v>0</v>
      </c>
      <c r="AJ142" s="493"/>
      <c r="AK142" s="428">
        <f t="shared" ref="AK142:AK144" ca="1" si="407">IF(B142&lt;&gt;"",B142,INDIRECT(ADDRESS(ROW()+1,COLUMN($AK$9),,,)))</f>
        <v>2</v>
      </c>
      <c r="AL142" s="428">
        <f ca="1">IF(A142&lt;&gt;"",IFERROR(INDEX('1_INPUT'!$B$69:$E$89,MATCH($A142,'1_INPUT'!$E$69:$E$89,0),1),""),INDIRECT(ADDRESS(ROW()+1,COLUMN($AL$9),,,)))</f>
        <v>5</v>
      </c>
      <c r="AM142" s="428" t="str">
        <f ca="1">IF(AN142="","",MAX(INDIRECT(ADDRESS(9,COLUMN($AM$9),,,)):INDIRECT(ADDRESS(ROW()-1,COLUMN($AM$9),,,)))+1)</f>
        <v/>
      </c>
      <c r="AN142" s="429" t="str">
        <f>IF($AO142&lt;&gt;"",VLOOKUP($AK142,'1_INPUT'!$B$124:$D$136,2,FALSE),"")</f>
        <v/>
      </c>
      <c r="AO142" s="429" t="str">
        <f t="shared" si="10"/>
        <v/>
      </c>
      <c r="AP142" s="427">
        <f ca="1">SUMIF($AL$10:AL142,$AL142,$I$10:I142)</f>
        <v>21.083333333333329</v>
      </c>
      <c r="AR142" s="430" t="str">
        <f t="shared" ca="1" si="5"/>
        <v>WORKOVER SECTION</v>
      </c>
      <c r="AS142" s="430">
        <f ca="1">MATCH(AR142,'1_INPUT'!$V$43:$V$64,0)+1</f>
        <v>6</v>
      </c>
      <c r="AT142" s="430">
        <f ca="1">VLOOKUP(AR142,'1_INPUT'!$V$43:$W$64,2,FALSE)</f>
        <v>21</v>
      </c>
      <c r="AU142" s="430">
        <f ca="1">COUNTIF('1_INPUT'!$W$43:$W$64,AT142)-1</f>
        <v>5</v>
      </c>
      <c r="AV142" s="430" t="e">
        <f ca="1">OFFSET('1_INPUT'!$V$42,$AS142,,$AU142,)</f>
        <v>#VALUE!</v>
      </c>
      <c r="AX142" s="430" t="str">
        <f t="shared" ref="AX142:AX144" si="408">IF(A142&lt;&gt;"",""&amp;AR142&amp;"-"&amp;A142&amp;"","")</f>
        <v/>
      </c>
      <c r="CK142" s="9"/>
      <c r="CL142" s="9"/>
    </row>
    <row r="143" spans="1:90" ht="41.4">
      <c r="A143" s="205"/>
      <c r="B143" s="518"/>
      <c r="C143" s="208" t="str">
        <f>IF(D143&lt;&gt;"",MAX($C$9:C142)+1,"")</f>
        <v/>
      </c>
      <c r="D143" s="523"/>
      <c r="E143" s="406"/>
      <c r="F143" s="407"/>
      <c r="G143" s="209">
        <f t="shared" ca="1" si="399"/>
        <v>253</v>
      </c>
      <c r="H143" s="209">
        <f t="shared" si="218"/>
        <v>0</v>
      </c>
      <c r="I143" s="209">
        <f t="shared" ca="1" si="400"/>
        <v>10.541666666666664</v>
      </c>
      <c r="J143" s="540">
        <v>1112</v>
      </c>
      <c r="K143" s="200"/>
      <c r="L143" s="532" t="s">
        <v>734</v>
      </c>
      <c r="M143" s="400" t="s">
        <v>91</v>
      </c>
      <c r="N143" s="400">
        <v>0.5</v>
      </c>
      <c r="O143" s="95">
        <f t="shared" ca="1" si="401"/>
        <v>431.5</v>
      </c>
      <c r="P143" s="403">
        <v>2374.8000000000002</v>
      </c>
      <c r="Q143" s="116">
        <f>IF(N143&gt;0,VLOOKUP(M143,'3_TIME SUM'!$F$7:$G$128,2,FALSE),0)</f>
        <v>0</v>
      </c>
      <c r="R143" s="517"/>
      <c r="S143" s="94">
        <f t="shared" si="12"/>
        <v>2.0833333333333332E-2</v>
      </c>
      <c r="T143" s="94">
        <f t="shared" ca="1" si="402"/>
        <v>17.979166666666675</v>
      </c>
      <c r="U143" s="535">
        <f ca="1">$T143+'1_INPUT'!$E$18</f>
        <v>44961.770833333328</v>
      </c>
      <c r="V143" s="95">
        <f t="shared" ca="1" si="403"/>
        <v>-178.50000000000026</v>
      </c>
      <c r="W143" s="110">
        <f t="shared" ca="1" si="404"/>
        <v>7.4375</v>
      </c>
      <c r="X143" s="111">
        <f t="shared" ca="1" si="405"/>
        <v>44962</v>
      </c>
      <c r="Y143" s="112" t="str">
        <f ca="1">IFERROR(IF(SUMIFS($N$9:$N143,$X$9:$X143,ROUNDUP(VALUE(U143),0),$Q$9:$Q143,"npt")=0,"-",SUMIFS($N$9:$N143,$X$9:$X143,ROUNDUP(VALUE(U143),0),$Q$9:$Q143,"npt")/SUMIFS($N$9:$N143,$X$9:$X143,ROUNDUP(VALUE(U143),0))),"")</f>
        <v>-</v>
      </c>
      <c r="Z143" s="112">
        <f ca="1">IFERROR(IF($N143=0,"-",SUMIF($Q$11:$Q143,"npt",$N$11:$N143)/(T143*24)),"")</f>
        <v>2.665121668597913E-2</v>
      </c>
      <c r="AA143" s="491"/>
      <c r="AB143" s="491"/>
      <c r="AC143" s="398" t="s">
        <v>224</v>
      </c>
      <c r="AD143" s="427">
        <f t="shared" ca="1" si="9"/>
        <v>10.541666666666664</v>
      </c>
      <c r="AE143" s="427">
        <f t="shared" ca="1" si="0"/>
        <v>1112</v>
      </c>
      <c r="AF143" s="427">
        <f t="shared" ca="1" si="406"/>
        <v>17.979166666666675</v>
      </c>
      <c r="AG143" s="427">
        <f t="shared" ca="1" si="2"/>
        <v>2374.8000000000002</v>
      </c>
      <c r="AH143" s="493"/>
      <c r="AI143" s="427">
        <f t="shared" ca="1" si="3"/>
        <v>0</v>
      </c>
      <c r="AJ143" s="493"/>
      <c r="AK143" s="428">
        <f t="shared" ca="1" si="407"/>
        <v>2</v>
      </c>
      <c r="AL143" s="428">
        <f ca="1">IF(A143&lt;&gt;"",IFERROR(INDEX('1_INPUT'!$B$69:$E$89,MATCH($A143,'1_INPUT'!$E$69:$E$89,0),1),""),INDIRECT(ADDRESS(ROW()+1,COLUMN($AL$9),,,)))</f>
        <v>5</v>
      </c>
      <c r="AM143" s="428" t="str">
        <f ca="1">IF(AN143="","",MAX(INDIRECT(ADDRESS(9,COLUMN($AM$9),,,)):INDIRECT(ADDRESS(ROW()-1,COLUMN($AM$9),,,)))+1)</f>
        <v/>
      </c>
      <c r="AN143" s="429" t="str">
        <f>IF($AO143&lt;&gt;"",VLOOKUP($AK143,'1_INPUT'!$B$124:$D$136,2,FALSE),"")</f>
        <v/>
      </c>
      <c r="AO143" s="429" t="str">
        <f t="shared" si="10"/>
        <v/>
      </c>
      <c r="AP143" s="427">
        <f ca="1">SUMIF($AL$10:AL143,$AL143,$I$10:I143)</f>
        <v>31.624999999999993</v>
      </c>
      <c r="AR143" s="430" t="str">
        <f t="shared" ca="1" si="5"/>
        <v>WORKOVER SECTION</v>
      </c>
      <c r="AS143" s="430">
        <f ca="1">MATCH(AR143,'1_INPUT'!$V$43:$V$64,0)+1</f>
        <v>6</v>
      </c>
      <c r="AT143" s="430">
        <f ca="1">VLOOKUP(AR143,'1_INPUT'!$V$43:$W$64,2,FALSE)</f>
        <v>21</v>
      </c>
      <c r="AU143" s="430">
        <f ca="1">COUNTIF('1_INPUT'!$W$43:$W$64,AT143)-1</f>
        <v>5</v>
      </c>
      <c r="AV143" s="430" t="e">
        <f ca="1">OFFSET('1_INPUT'!$V$42,$AS143,,$AU143,)</f>
        <v>#VALUE!</v>
      </c>
      <c r="AX143" s="430" t="str">
        <f t="shared" si="408"/>
        <v/>
      </c>
      <c r="CK143" s="9"/>
      <c r="CL143" s="9"/>
    </row>
    <row r="144" spans="1:90" ht="13.8">
      <c r="A144" s="205"/>
      <c r="B144" s="518"/>
      <c r="C144" s="208" t="str">
        <f>IF(D144&lt;&gt;"",MAX($C$9:C143)+1,"")</f>
        <v/>
      </c>
      <c r="D144" s="523"/>
      <c r="E144" s="406"/>
      <c r="F144" s="407"/>
      <c r="G144" s="209">
        <f t="shared" ca="1" si="399"/>
        <v>253</v>
      </c>
      <c r="H144" s="209">
        <f t="shared" si="218"/>
        <v>0</v>
      </c>
      <c r="I144" s="209">
        <f t="shared" ca="1" si="400"/>
        <v>10.541666666666664</v>
      </c>
      <c r="J144" s="540">
        <v>1112</v>
      </c>
      <c r="K144" s="200"/>
      <c r="L144" s="532" t="s">
        <v>725</v>
      </c>
      <c r="M144" s="400" t="s">
        <v>185</v>
      </c>
      <c r="N144" s="400">
        <v>0.5</v>
      </c>
      <c r="O144" s="95">
        <f t="shared" ca="1" si="401"/>
        <v>432</v>
      </c>
      <c r="P144" s="403">
        <v>2374.8000000000002</v>
      </c>
      <c r="Q144" s="116">
        <f>IF(N144&gt;0,VLOOKUP(M144,'3_TIME SUM'!$F$7:$G$128,2,FALSE),0)</f>
        <v>0</v>
      </c>
      <c r="R144" s="517"/>
      <c r="S144" s="94">
        <f t="shared" si="12"/>
        <v>2.0833333333333332E-2</v>
      </c>
      <c r="T144" s="94">
        <f t="shared" ca="1" si="402"/>
        <v>18.000000000000007</v>
      </c>
      <c r="U144" s="535">
        <f ca="1">$T144+'1_INPUT'!$E$18</f>
        <v>44961.791666666664</v>
      </c>
      <c r="V144" s="95">
        <f t="shared" ca="1" si="403"/>
        <v>-179.00000000000023</v>
      </c>
      <c r="W144" s="110">
        <f t="shared" ca="1" si="404"/>
        <v>7.458333333333333</v>
      </c>
      <c r="X144" s="111">
        <f t="shared" ca="1" si="405"/>
        <v>44962</v>
      </c>
      <c r="Y144" s="112" t="str">
        <f ca="1">IFERROR(IF(SUMIFS($N$9:$N144,$X$9:$X144,ROUNDUP(VALUE(U144),0),$Q$9:$Q144,"npt")=0,"-",SUMIFS($N$9:$N144,$X$9:$X144,ROUNDUP(VALUE(U144),0),$Q$9:$Q144,"npt")/SUMIFS($N$9:$N144,$X$9:$X144,ROUNDUP(VALUE(U144),0))),"")</f>
        <v>-</v>
      </c>
      <c r="Z144" s="112">
        <f ca="1">IFERROR(IF($N144=0,"-",SUMIF($Q$11:$Q144,"npt",$N$11:$N144)/(T144*24)),"")</f>
        <v>2.662037037037036E-2</v>
      </c>
      <c r="AA144" s="491"/>
      <c r="AB144" s="491"/>
      <c r="AC144" s="398" t="s">
        <v>224</v>
      </c>
      <c r="AD144" s="427">
        <f t="shared" ca="1" si="9"/>
        <v>10.541666666666664</v>
      </c>
      <c r="AE144" s="427">
        <f t="shared" ca="1" si="0"/>
        <v>1112</v>
      </c>
      <c r="AF144" s="427">
        <f t="shared" ca="1" si="406"/>
        <v>18.000000000000007</v>
      </c>
      <c r="AG144" s="427">
        <f t="shared" ca="1" si="2"/>
        <v>2374.8000000000002</v>
      </c>
      <c r="AH144" s="493"/>
      <c r="AI144" s="427">
        <f t="shared" ca="1" si="3"/>
        <v>0</v>
      </c>
      <c r="AJ144" s="493"/>
      <c r="AK144" s="428">
        <f t="shared" ca="1" si="407"/>
        <v>2</v>
      </c>
      <c r="AL144" s="428">
        <f ca="1">IF(A144&lt;&gt;"",IFERROR(INDEX('1_INPUT'!$B$69:$E$89,MATCH($A144,'1_INPUT'!$E$69:$E$89,0),1),""),INDIRECT(ADDRESS(ROW()+1,COLUMN($AL$9),,,)))</f>
        <v>5</v>
      </c>
      <c r="AM144" s="428" t="str">
        <f ca="1">IF(AN144="","",MAX(INDIRECT(ADDRESS(9,COLUMN($AM$9),,,)):INDIRECT(ADDRESS(ROW()-1,COLUMN($AM$9),,,)))+1)</f>
        <v/>
      </c>
      <c r="AN144" s="429" t="str">
        <f>IF($AO144&lt;&gt;"",VLOOKUP($AK144,'1_INPUT'!$B$124:$D$136,2,FALSE),"")</f>
        <v/>
      </c>
      <c r="AO144" s="429" t="str">
        <f t="shared" si="10"/>
        <v/>
      </c>
      <c r="AP144" s="427">
        <f ca="1">SUMIF($AL$10:AL144,$AL144,$I$10:I144)</f>
        <v>42.166666666666657</v>
      </c>
      <c r="AR144" s="430" t="str">
        <f t="shared" ca="1" si="5"/>
        <v>WORKOVER SECTION</v>
      </c>
      <c r="AS144" s="430">
        <f ca="1">MATCH(AR144,'1_INPUT'!$V$43:$V$64,0)+1</f>
        <v>6</v>
      </c>
      <c r="AT144" s="430">
        <f ca="1">VLOOKUP(AR144,'1_INPUT'!$V$43:$W$64,2,FALSE)</f>
        <v>21</v>
      </c>
      <c r="AU144" s="430">
        <f ca="1">COUNTIF('1_INPUT'!$W$43:$W$64,AT144)-1</f>
        <v>5</v>
      </c>
      <c r="AV144" s="430" t="e">
        <f ca="1">OFFSET('1_INPUT'!$V$42,$AS144,,$AU144,)</f>
        <v>#VALUE!</v>
      </c>
      <c r="AX144" s="430" t="str">
        <f t="shared" si="408"/>
        <v/>
      </c>
      <c r="CK144" s="9"/>
      <c r="CL144" s="9"/>
    </row>
    <row r="145" spans="1:90" ht="27.6">
      <c r="A145" s="205"/>
      <c r="B145" s="518"/>
      <c r="C145" s="208" t="str">
        <f>IF(D145&lt;&gt;"",MAX($C$9:C144)+1,"")</f>
        <v/>
      </c>
      <c r="D145" s="523"/>
      <c r="E145" s="406"/>
      <c r="F145" s="407"/>
      <c r="G145" s="209">
        <f t="shared" ref="G145" ca="1" si="409">IF(INDIRECT(ADDRESS(ROW()-1,COLUMN(B$7),,,))&lt;&gt;"",INDIRECT(ADDRESS(ROW(),COLUMN(F$7),,,)),INDIRECT(ADDRESS(ROW()-1,COLUMN(G$7),,,))+INDIRECT(ADDRESS(ROW(),COLUMN(F$7),,,)))</f>
        <v>253</v>
      </c>
      <c r="H145" s="209">
        <f t="shared" si="218"/>
        <v>0</v>
      </c>
      <c r="I145" s="209">
        <f t="shared" ref="I145" ca="1" si="410">INDIRECT(ADDRESS(ROW()-1,COLUMN(I$7),,,))+INDIRECT(ADDRESS(ROW(),COLUMN(H$7),,,))</f>
        <v>10.541666666666664</v>
      </c>
      <c r="J145" s="540">
        <v>1112</v>
      </c>
      <c r="K145" s="200"/>
      <c r="L145" s="532" t="s">
        <v>735</v>
      </c>
      <c r="M145" s="400" t="s">
        <v>122</v>
      </c>
      <c r="N145" s="400">
        <v>0.5</v>
      </c>
      <c r="O145" s="95">
        <f t="shared" ref="O145" ca="1" si="411">IF(INDIRECT(ADDRESS(ROW()-1,COLUMN(B$7),,,))&lt;&gt;"",INDIRECT(ADDRESS(ROW(),COLUMN(N$7),,,)),INDIRECT(ADDRESS(ROW()-1,COLUMN(O$7),,,))+INDIRECT(ADDRESS(ROW(),COLUMN(N$7),,,)))</f>
        <v>432.5</v>
      </c>
      <c r="P145" s="403">
        <v>2374.8000000000002</v>
      </c>
      <c r="Q145" s="116">
        <f>IF(N145&gt;0,VLOOKUP(M145,'3_TIME SUM'!$F$7:$G$128,2,FALSE),0)</f>
        <v>0</v>
      </c>
      <c r="R145" s="517"/>
      <c r="S145" s="94">
        <f t="shared" si="12"/>
        <v>2.0833333333333332E-2</v>
      </c>
      <c r="T145" s="94">
        <f t="shared" ref="T145" ca="1" si="412">INDIRECT(ADDRESS(ROW()-1,COLUMN(T$7),,,))+INDIRECT(ADDRESS(ROW(),COLUMN(S$7),,,))</f>
        <v>18.020833333333339</v>
      </c>
      <c r="U145" s="535">
        <f ca="1">$T145+'1_INPUT'!$E$18</f>
        <v>44961.8125</v>
      </c>
      <c r="V145" s="95">
        <f t="shared" ref="V145" ca="1" si="413">IFERROR(IF($AI145=0,($I145-T145)*24,(($P145-INDIRECT(ADDRESS(ROW()-1,COLUMN($P$9),,,)))/$AI145)-$N145+(INDIRECT(ADDRESS(ROW()-1,COLUMN(V$9),,,)))),"")</f>
        <v>-179.5000000000002</v>
      </c>
      <c r="W145" s="110">
        <f t="shared" ref="W145" ca="1" si="414">IFERROR(IF(V145&gt;0,TIME(V145,(V145-ROUNDDOWN(V145,0))*60,0)+DAY((ROUNDDOWN(V145,0)/24)),TIME((-V145),((-V145)-ROUNDDOWN((-V145),0))*60,0)+DAY((ROUNDDOWN((-V145),0)/24))),"")</f>
        <v>7.479166666666667</v>
      </c>
      <c r="X145" s="111">
        <f t="shared" ref="X145" ca="1" si="415">IF(U145=0,"-",ROUNDUP(VALUE(U145),0))</f>
        <v>44962</v>
      </c>
      <c r="Y145" s="112" t="str">
        <f ca="1">IFERROR(IF(SUMIFS($N$9:$N145,$X$9:$X145,ROUNDUP(VALUE(U145),0),$Q$9:$Q145,"npt")=0,"-",SUMIFS($N$9:$N145,$X$9:$X145,ROUNDUP(VALUE(U145),0),$Q$9:$Q145,"npt")/SUMIFS($N$9:$N145,$X$9:$X145,ROUNDUP(VALUE(U145),0))),"")</f>
        <v>-</v>
      </c>
      <c r="Z145" s="112">
        <f ca="1">IFERROR(IF($N145=0,"-",SUMIF($Q$11:$Q145,"npt",$N$11:$N145)/(T145*24)),"")</f>
        <v>2.6589595375722537E-2</v>
      </c>
      <c r="AA145" s="491"/>
      <c r="AB145" s="491"/>
      <c r="AC145" s="398" t="s">
        <v>224</v>
      </c>
      <c r="AD145" s="427">
        <f t="shared" ca="1" si="9"/>
        <v>10.541666666666664</v>
      </c>
      <c r="AE145" s="427">
        <f t="shared" ca="1" si="0"/>
        <v>1112</v>
      </c>
      <c r="AF145" s="427">
        <f t="shared" ref="AF145" ca="1" si="416">T145</f>
        <v>18.020833333333339</v>
      </c>
      <c r="AG145" s="427">
        <f t="shared" ca="1" si="2"/>
        <v>2374.8000000000002</v>
      </c>
      <c r="AH145" s="493"/>
      <c r="AI145" s="427">
        <f t="shared" ca="1" si="3"/>
        <v>0</v>
      </c>
      <c r="AJ145" s="493"/>
      <c r="AK145" s="428">
        <f t="shared" ref="AK145" ca="1" si="417">IF(B145&lt;&gt;"",B145,INDIRECT(ADDRESS(ROW()+1,COLUMN($AK$9),,,)))</f>
        <v>2</v>
      </c>
      <c r="AL145" s="428">
        <f ca="1">IF(A145&lt;&gt;"",IFERROR(INDEX('1_INPUT'!$B$69:$E$89,MATCH($A145,'1_INPUT'!$E$69:$E$89,0),1),""),INDIRECT(ADDRESS(ROW()+1,COLUMN($AL$9),,,)))</f>
        <v>5</v>
      </c>
      <c r="AM145" s="428" t="str">
        <f ca="1">IF(AN145="","",MAX(INDIRECT(ADDRESS(9,COLUMN($AM$9),,,)):INDIRECT(ADDRESS(ROW()-1,COLUMN($AM$9),,,)))+1)</f>
        <v/>
      </c>
      <c r="AN145" s="429" t="str">
        <f>IF($AO145&lt;&gt;"",VLOOKUP($AK145,'1_INPUT'!$B$124:$D$136,2,FALSE),"")</f>
        <v/>
      </c>
      <c r="AO145" s="429" t="str">
        <f t="shared" si="10"/>
        <v/>
      </c>
      <c r="AP145" s="427">
        <f ca="1">SUMIF($AL$10:AL145,$AL145,$I$10:I145)</f>
        <v>52.708333333333321</v>
      </c>
      <c r="AR145" s="430" t="str">
        <f t="shared" ca="1" si="5"/>
        <v>WORKOVER SECTION</v>
      </c>
      <c r="AS145" s="430">
        <f ca="1">MATCH(AR145,'1_INPUT'!$V$43:$V$64,0)+1</f>
        <v>6</v>
      </c>
      <c r="AT145" s="430">
        <f ca="1">VLOOKUP(AR145,'1_INPUT'!$V$43:$W$64,2,FALSE)</f>
        <v>21</v>
      </c>
      <c r="AU145" s="430">
        <f ca="1">COUNTIF('1_INPUT'!$W$43:$W$64,AT145)-1</f>
        <v>5</v>
      </c>
      <c r="AV145" s="430" t="e">
        <f ca="1">OFFSET('1_INPUT'!$V$42,$AS145,,$AU145,)</f>
        <v>#VALUE!</v>
      </c>
      <c r="AX145" s="430" t="str">
        <f t="shared" ref="AX145" si="418">IF(A145&lt;&gt;"",""&amp;AR145&amp;"-"&amp;A145&amp;"","")</f>
        <v/>
      </c>
      <c r="CK145" s="9"/>
      <c r="CL145" s="9"/>
    </row>
    <row r="146" spans="1:90" ht="27.6">
      <c r="A146" s="205"/>
      <c r="B146" s="518"/>
      <c r="C146" s="208">
        <f ca="1">IF(D146&lt;&gt;"",MAX($C$9:C141)+1,"")</f>
        <v>43</v>
      </c>
      <c r="D146" s="523" t="s">
        <v>627</v>
      </c>
      <c r="E146" s="406"/>
      <c r="F146" s="407">
        <v>6</v>
      </c>
      <c r="G146" s="209">
        <f t="shared" ca="1" si="394"/>
        <v>259</v>
      </c>
      <c r="H146" s="209">
        <f t="shared" si="218"/>
        <v>0.25</v>
      </c>
      <c r="I146" s="209">
        <f t="shared" ca="1" si="395"/>
        <v>10.791666666666664</v>
      </c>
      <c r="J146" s="540">
        <v>1112</v>
      </c>
      <c r="K146" s="200"/>
      <c r="L146" s="532"/>
      <c r="M146" s="400"/>
      <c r="N146" s="400"/>
      <c r="O146" s="95">
        <f t="shared" ca="1" si="396"/>
        <v>432.5</v>
      </c>
      <c r="P146" s="403">
        <v>2374.8000000000002</v>
      </c>
      <c r="Q146" s="116">
        <f>IF(N146&gt;0,VLOOKUP(M146,'3_TIME SUM'!$F$7:$G$128,2,FALSE),0)</f>
        <v>0</v>
      </c>
      <c r="R146" s="517"/>
      <c r="S146" s="94">
        <f t="shared" si="12"/>
        <v>0</v>
      </c>
      <c r="T146" s="94">
        <f t="shared" ca="1" si="397"/>
        <v>18.020833333333339</v>
      </c>
      <c r="U146" s="535">
        <f ca="1">$T146+'1_INPUT'!$E$18</f>
        <v>44961.8125</v>
      </c>
      <c r="V146" s="95">
        <f t="shared" ca="1" si="389"/>
        <v>-173.5000000000002</v>
      </c>
      <c r="W146" s="110">
        <f t="shared" ca="1" si="390"/>
        <v>7.229166666666667</v>
      </c>
      <c r="X146" s="111">
        <f t="shared" ca="1" si="398"/>
        <v>44962</v>
      </c>
      <c r="Y146" s="112" t="str">
        <f ca="1">IFERROR(IF(SUMIFS($N$9:$N146,$X$9:$X146,ROUNDUP(VALUE(U146),0),$Q$9:$Q146,"npt")=0,"-",SUMIFS($N$9:$N146,$X$9:$X146,ROUNDUP(VALUE(U146),0),$Q$9:$Q146,"npt")/SUMIFS($N$9:$N146,$X$9:$X146,ROUNDUP(VALUE(U146),0))),"")</f>
        <v>-</v>
      </c>
      <c r="Z146" s="112" t="str">
        <f>IFERROR(IF($N146=0,"-",SUMIF($Q$11:$Q146,"npt",$N$11:$N146)/(T146*24)),"")</f>
        <v>-</v>
      </c>
      <c r="AA146" s="491"/>
      <c r="AB146" s="491"/>
      <c r="AC146" s="398" t="s">
        <v>224</v>
      </c>
      <c r="AD146" s="427">
        <f t="shared" ca="1" si="9"/>
        <v>10.791666666666664</v>
      </c>
      <c r="AE146" s="427">
        <f t="shared" ca="1" si="0"/>
        <v>1112</v>
      </c>
      <c r="AF146" s="427">
        <f t="shared" ca="1" si="391"/>
        <v>18.020833333333339</v>
      </c>
      <c r="AG146" s="427">
        <f t="shared" ca="1" si="2"/>
        <v>2374.8000000000002</v>
      </c>
      <c r="AH146" s="493"/>
      <c r="AI146" s="427">
        <f t="shared" ca="1" si="3"/>
        <v>0</v>
      </c>
      <c r="AJ146" s="493"/>
      <c r="AK146" s="428">
        <f t="shared" ca="1" si="392"/>
        <v>2</v>
      </c>
      <c r="AL146" s="428">
        <f ca="1">IF(A146&lt;&gt;"",IFERROR(INDEX('1_INPUT'!$B$69:$E$89,MATCH($A146,'1_INPUT'!$E$69:$E$89,0),1),""),INDIRECT(ADDRESS(ROW()+1,COLUMN($AL$9),,,)))</f>
        <v>5</v>
      </c>
      <c r="AM146" s="428" t="str">
        <f ca="1">IF(AN146="","",MAX(INDIRECT(ADDRESS(9,COLUMN($AM$9),,,)):INDIRECT(ADDRESS(ROW()-1,COLUMN($AM$9),,,)))+1)</f>
        <v/>
      </c>
      <c r="AN146" s="429" t="str">
        <f>IF($AO146&lt;&gt;"",VLOOKUP($AK146,'1_INPUT'!$B$124:$D$136,2,FALSE),"")</f>
        <v/>
      </c>
      <c r="AO146" s="429" t="str">
        <f t="shared" si="10"/>
        <v/>
      </c>
      <c r="AP146" s="427">
        <f ca="1">SUMIF($AL$10:AL146,$AL146,$I$10:I146)</f>
        <v>63.499999999999986</v>
      </c>
      <c r="AR146" s="430" t="str">
        <f t="shared" ca="1" si="5"/>
        <v>WORKOVER SECTION</v>
      </c>
      <c r="AS146" s="430">
        <f ca="1">MATCH(AR146,'1_INPUT'!$V$43:$V$64,0)+1</f>
        <v>6</v>
      </c>
      <c r="AT146" s="430">
        <f ca="1">VLOOKUP(AR146,'1_INPUT'!$V$43:$W$64,2,FALSE)</f>
        <v>21</v>
      </c>
      <c r="AU146" s="430">
        <f ca="1">COUNTIF('1_INPUT'!$W$43:$W$64,AT146)-1</f>
        <v>5</v>
      </c>
      <c r="AV146" s="430" t="e">
        <f ca="1">OFFSET('1_INPUT'!$V$42,$AS146,,$AU146,)</f>
        <v>#VALUE!</v>
      </c>
      <c r="AX146" s="430" t="str">
        <f t="shared" si="393"/>
        <v/>
      </c>
      <c r="CK146" s="9"/>
      <c r="CL146" s="9"/>
    </row>
    <row r="147" spans="1:90" ht="27.6">
      <c r="A147" s="205"/>
      <c r="B147" s="518"/>
      <c r="C147" s="208">
        <f ca="1">IF(D147&lt;&gt;"",MAX($C$9:C146)+1,"")</f>
        <v>44</v>
      </c>
      <c r="D147" s="523" t="s">
        <v>599</v>
      </c>
      <c r="E147" s="406"/>
      <c r="F147" s="407">
        <v>6</v>
      </c>
      <c r="G147" s="209">
        <f t="shared" ca="1" si="394"/>
        <v>265</v>
      </c>
      <c r="H147" s="209">
        <f t="shared" si="218"/>
        <v>0.25</v>
      </c>
      <c r="I147" s="209">
        <f t="shared" ca="1" si="395"/>
        <v>11.041666666666664</v>
      </c>
      <c r="J147" s="540">
        <v>1112</v>
      </c>
      <c r="K147" s="200"/>
      <c r="L147" s="532"/>
      <c r="M147" s="400"/>
      <c r="N147" s="400"/>
      <c r="O147" s="95">
        <f t="shared" ca="1" si="396"/>
        <v>432.5</v>
      </c>
      <c r="P147" s="403">
        <v>2374.8000000000002</v>
      </c>
      <c r="Q147" s="116">
        <f>IF(N147&gt;0,VLOOKUP(M147,'3_TIME SUM'!$F$7:$G$128,2,FALSE),0)</f>
        <v>0</v>
      </c>
      <c r="R147" s="517"/>
      <c r="S147" s="94">
        <f t="shared" si="12"/>
        <v>0</v>
      </c>
      <c r="T147" s="94">
        <f t="shared" ca="1" si="397"/>
        <v>18.020833333333339</v>
      </c>
      <c r="U147" s="535">
        <f ca="1">$T147+'1_INPUT'!$E$18</f>
        <v>44961.8125</v>
      </c>
      <c r="V147" s="95">
        <f t="shared" ca="1" si="389"/>
        <v>-167.5000000000002</v>
      </c>
      <c r="W147" s="110">
        <f t="shared" ca="1" si="390"/>
        <v>6.979166666666667</v>
      </c>
      <c r="X147" s="111">
        <f t="shared" ca="1" si="398"/>
        <v>44962</v>
      </c>
      <c r="Y147" s="112" t="str">
        <f ca="1">IFERROR(IF(SUMIFS($N$9:$N147,$X$9:$X147,ROUNDUP(VALUE(U147),0),$Q$9:$Q147,"npt")=0,"-",SUMIFS($N$9:$N147,$X$9:$X147,ROUNDUP(VALUE(U147),0),$Q$9:$Q147,"npt")/SUMIFS($N$9:$N147,$X$9:$X147,ROUNDUP(VALUE(U147),0))),"")</f>
        <v>-</v>
      </c>
      <c r="Z147" s="112" t="str">
        <f>IFERROR(IF($N147=0,"-",SUMIF($Q$11:$Q147,"npt",$N$11:$N147)/(T147*24)),"")</f>
        <v>-</v>
      </c>
      <c r="AA147" s="491"/>
      <c r="AB147" s="491"/>
      <c r="AC147" s="398" t="s">
        <v>224</v>
      </c>
      <c r="AD147" s="427">
        <f t="shared" ca="1" si="9"/>
        <v>11.041666666666664</v>
      </c>
      <c r="AE147" s="427">
        <f t="shared" ca="1" si="0"/>
        <v>1112</v>
      </c>
      <c r="AF147" s="427">
        <f t="shared" ca="1" si="391"/>
        <v>18.020833333333339</v>
      </c>
      <c r="AG147" s="427">
        <f t="shared" ca="1" si="2"/>
        <v>2374.8000000000002</v>
      </c>
      <c r="AH147" s="493"/>
      <c r="AI147" s="427">
        <f t="shared" ca="1" si="3"/>
        <v>0</v>
      </c>
      <c r="AJ147" s="493"/>
      <c r="AK147" s="428">
        <f t="shared" ca="1" si="392"/>
        <v>2</v>
      </c>
      <c r="AL147" s="428">
        <f ca="1">IF(A147&lt;&gt;"",IFERROR(INDEX('1_INPUT'!$B$69:$E$89,MATCH($A147,'1_INPUT'!$E$69:$E$89,0),1),""),INDIRECT(ADDRESS(ROW()+1,COLUMN($AL$9),,,)))</f>
        <v>5</v>
      </c>
      <c r="AM147" s="428" t="str">
        <f ca="1">IF(AN147="","",MAX(INDIRECT(ADDRESS(9,COLUMN($AM$9),,,)):INDIRECT(ADDRESS(ROW()-1,COLUMN($AM$9),,,)))+1)</f>
        <v/>
      </c>
      <c r="AN147" s="429" t="str">
        <f>IF($AO147&lt;&gt;"",VLOOKUP($AK147,'1_INPUT'!$B$124:$D$136,2,FALSE),"")</f>
        <v/>
      </c>
      <c r="AO147" s="429" t="str">
        <f t="shared" si="10"/>
        <v/>
      </c>
      <c r="AP147" s="427">
        <f ca="1">SUMIF($AL$10:AL147,$AL147,$I$10:I147)</f>
        <v>74.541666666666657</v>
      </c>
      <c r="AR147" s="430" t="str">
        <f t="shared" ca="1" si="5"/>
        <v>WORKOVER SECTION</v>
      </c>
      <c r="AS147" s="430">
        <f ca="1">MATCH(AR147,'1_INPUT'!$V$43:$V$64,0)+1</f>
        <v>6</v>
      </c>
      <c r="AT147" s="430">
        <f ca="1">VLOOKUP(AR147,'1_INPUT'!$V$43:$W$64,2,FALSE)</f>
        <v>21</v>
      </c>
      <c r="AU147" s="430">
        <f ca="1">COUNTIF('1_INPUT'!$W$43:$W$64,AT147)-1</f>
        <v>5</v>
      </c>
      <c r="AV147" s="430" t="e">
        <f ca="1">OFFSET('1_INPUT'!$V$42,$AS147,,$AU147,)</f>
        <v>#VALUE!</v>
      </c>
      <c r="AX147" s="430" t="str">
        <f t="shared" si="393"/>
        <v/>
      </c>
      <c r="CK147" s="9"/>
      <c r="CL147" s="9"/>
    </row>
    <row r="148" spans="1:90" ht="27.6">
      <c r="A148" s="205"/>
      <c r="B148" s="518"/>
      <c r="C148" s="208">
        <f ca="1">IF(D148&lt;&gt;"",MAX($C$9:C147)+1,"")</f>
        <v>45</v>
      </c>
      <c r="D148" s="523" t="s">
        <v>628</v>
      </c>
      <c r="E148" s="406"/>
      <c r="F148" s="407">
        <v>4</v>
      </c>
      <c r="G148" s="209">
        <f t="shared" ca="1" si="394"/>
        <v>269</v>
      </c>
      <c r="H148" s="209">
        <f t="shared" si="218"/>
        <v>0.16666666666666666</v>
      </c>
      <c r="I148" s="209">
        <f t="shared" ca="1" si="395"/>
        <v>11.20833333333333</v>
      </c>
      <c r="J148" s="540">
        <v>1112</v>
      </c>
      <c r="K148" s="200"/>
      <c r="L148" s="532"/>
      <c r="M148" s="400"/>
      <c r="N148" s="400"/>
      <c r="O148" s="95">
        <f t="shared" ca="1" si="396"/>
        <v>432.5</v>
      </c>
      <c r="P148" s="403">
        <v>2374.8000000000002</v>
      </c>
      <c r="Q148" s="116">
        <f>IF(N148&gt;0,VLOOKUP(M148,'3_TIME SUM'!$F$7:$G$128,2,FALSE),0)</f>
        <v>0</v>
      </c>
      <c r="R148" s="517"/>
      <c r="S148" s="94">
        <f t="shared" si="12"/>
        <v>0</v>
      </c>
      <c r="T148" s="94">
        <f t="shared" ca="1" si="397"/>
        <v>18.020833333333339</v>
      </c>
      <c r="U148" s="535">
        <f ca="1">$T148+'1_INPUT'!$E$18</f>
        <v>44961.8125</v>
      </c>
      <c r="V148" s="95">
        <f t="shared" ca="1" si="389"/>
        <v>-163.50000000000023</v>
      </c>
      <c r="W148" s="110">
        <f t="shared" ca="1" si="390"/>
        <v>6.8125</v>
      </c>
      <c r="X148" s="111">
        <f t="shared" ca="1" si="398"/>
        <v>44962</v>
      </c>
      <c r="Y148" s="112" t="str">
        <f ca="1">IFERROR(IF(SUMIFS($N$9:$N148,$X$9:$X148,ROUNDUP(VALUE(U148),0),$Q$9:$Q148,"npt")=0,"-",SUMIFS($N$9:$N148,$X$9:$X148,ROUNDUP(VALUE(U148),0),$Q$9:$Q148,"npt")/SUMIFS($N$9:$N148,$X$9:$X148,ROUNDUP(VALUE(U148),0))),"")</f>
        <v>-</v>
      </c>
      <c r="Z148" s="112" t="str">
        <f>IFERROR(IF($N148=0,"-",SUMIF($Q$11:$Q148,"npt",$N$11:$N148)/(T148*24)),"")</f>
        <v>-</v>
      </c>
      <c r="AA148" s="491"/>
      <c r="AB148" s="491"/>
      <c r="AC148" s="398" t="s">
        <v>224</v>
      </c>
      <c r="AD148" s="427">
        <f t="shared" ca="1" si="9"/>
        <v>11.20833333333333</v>
      </c>
      <c r="AE148" s="427">
        <f t="shared" ca="1" si="0"/>
        <v>1112</v>
      </c>
      <c r="AF148" s="427">
        <f t="shared" ca="1" si="391"/>
        <v>18.020833333333339</v>
      </c>
      <c r="AG148" s="427">
        <f t="shared" ca="1" si="2"/>
        <v>2374.8000000000002</v>
      </c>
      <c r="AH148" s="493"/>
      <c r="AI148" s="427">
        <f t="shared" ca="1" si="3"/>
        <v>0</v>
      </c>
      <c r="AJ148" s="493"/>
      <c r="AK148" s="428">
        <f t="shared" ca="1" si="392"/>
        <v>2</v>
      </c>
      <c r="AL148" s="428">
        <f ca="1">IF(A148&lt;&gt;"",IFERROR(INDEX('1_INPUT'!$B$69:$E$89,MATCH($A148,'1_INPUT'!$E$69:$E$89,0),1),""),INDIRECT(ADDRESS(ROW()+1,COLUMN($AL$9),,,)))</f>
        <v>5</v>
      </c>
      <c r="AM148" s="428" t="str">
        <f ca="1">IF(AN148="","",MAX(INDIRECT(ADDRESS(9,COLUMN($AM$9),,,)):INDIRECT(ADDRESS(ROW()-1,COLUMN($AM$9),,,)))+1)</f>
        <v/>
      </c>
      <c r="AN148" s="429" t="str">
        <f>IF($AO148&lt;&gt;"",VLOOKUP($AK148,'1_INPUT'!$B$124:$D$136,2,FALSE),"")</f>
        <v/>
      </c>
      <c r="AO148" s="429" t="str">
        <f t="shared" ref="AO148:AO151" si="419">IF(ISTEXT($A148),$A148,"")</f>
        <v/>
      </c>
      <c r="AP148" s="427">
        <f ca="1">SUMIF($AL$10:AL148,$AL148,$I$10:I148)</f>
        <v>85.749999999999986</v>
      </c>
      <c r="AR148" s="430" t="str">
        <f t="shared" ca="1" si="5"/>
        <v>WORKOVER SECTION</v>
      </c>
      <c r="AS148" s="430">
        <f ca="1">MATCH(AR148,'1_INPUT'!$V$43:$V$64,0)+1</f>
        <v>6</v>
      </c>
      <c r="AT148" s="430">
        <f ca="1">VLOOKUP(AR148,'1_INPUT'!$V$43:$W$64,2,FALSE)</f>
        <v>21</v>
      </c>
      <c r="AU148" s="430">
        <f ca="1">COUNTIF('1_INPUT'!$W$43:$W$64,AT148)-1</f>
        <v>5</v>
      </c>
      <c r="AV148" s="430" t="e">
        <f ca="1">OFFSET('1_INPUT'!$V$42,$AS148,,$AU148,)</f>
        <v>#VALUE!</v>
      </c>
      <c r="AX148" s="430" t="str">
        <f t="shared" si="393"/>
        <v/>
      </c>
      <c r="CK148" s="9"/>
      <c r="CL148" s="9"/>
    </row>
    <row r="149" spans="1:90" ht="27.6">
      <c r="A149" s="205"/>
      <c r="B149" s="518"/>
      <c r="C149" s="208">
        <f ca="1">IF(D149&lt;&gt;"",MAX($C$9:C148)+1,"")</f>
        <v>46</v>
      </c>
      <c r="D149" s="523" t="s">
        <v>593</v>
      </c>
      <c r="E149" s="406"/>
      <c r="F149" s="407">
        <v>48</v>
      </c>
      <c r="G149" s="209">
        <f t="shared" ca="1" si="394"/>
        <v>317</v>
      </c>
      <c r="H149" s="209">
        <f t="shared" si="218"/>
        <v>2</v>
      </c>
      <c r="I149" s="209">
        <f t="shared" ca="1" si="395"/>
        <v>13.20833333333333</v>
      </c>
      <c r="J149" s="540">
        <v>1112</v>
      </c>
      <c r="K149" s="200"/>
      <c r="L149" s="525"/>
      <c r="M149" s="400"/>
      <c r="N149" s="400"/>
      <c r="O149" s="95">
        <f t="shared" ca="1" si="396"/>
        <v>432.5</v>
      </c>
      <c r="P149" s="403">
        <v>2374.8000000000002</v>
      </c>
      <c r="Q149" s="116">
        <f>IF(N149&gt;0,VLOOKUP(M149,'3_TIME SUM'!$F$7:$G$128,2,FALSE),0)</f>
        <v>0</v>
      </c>
      <c r="R149" s="517"/>
      <c r="S149" s="94">
        <f t="shared" si="12"/>
        <v>0</v>
      </c>
      <c r="T149" s="94">
        <f t="shared" ca="1" si="397"/>
        <v>18.020833333333339</v>
      </c>
      <c r="U149" s="535">
        <f ca="1">$T149+'1_INPUT'!$E$18</f>
        <v>44961.8125</v>
      </c>
      <c r="V149" s="95">
        <f t="shared" ca="1" si="389"/>
        <v>-115.50000000000021</v>
      </c>
      <c r="W149" s="110">
        <f t="shared" ca="1" si="390"/>
        <v>4.8125</v>
      </c>
      <c r="X149" s="111">
        <f t="shared" ca="1" si="398"/>
        <v>44962</v>
      </c>
      <c r="Y149" s="112" t="str">
        <f ca="1">IFERROR(IF(SUMIFS($N$9:$N149,$X$9:$X149,ROUNDUP(VALUE(U149),0),$Q$9:$Q149,"npt")=0,"-",SUMIFS($N$9:$N149,$X$9:$X149,ROUNDUP(VALUE(U149),0),$Q$9:$Q149,"npt")/SUMIFS($N$9:$N149,$X$9:$X149,ROUNDUP(VALUE(U149),0))),"")</f>
        <v>-</v>
      </c>
      <c r="Z149" s="112" t="str">
        <f>IFERROR(IF($N149=0,"-",SUMIF($Q$11:$Q149,"npt",$N$11:$N149)/(T149*24)),"")</f>
        <v>-</v>
      </c>
      <c r="AA149" s="491"/>
      <c r="AB149" s="491"/>
      <c r="AC149" s="398" t="s">
        <v>224</v>
      </c>
      <c r="AD149" s="427">
        <f t="shared" ca="1" si="9"/>
        <v>13.20833333333333</v>
      </c>
      <c r="AE149" s="427">
        <f t="shared" ca="1" si="0"/>
        <v>1112</v>
      </c>
      <c r="AF149" s="427">
        <f t="shared" ca="1" si="391"/>
        <v>18.020833333333339</v>
      </c>
      <c r="AG149" s="427">
        <f t="shared" ca="1" si="2"/>
        <v>2374.8000000000002</v>
      </c>
      <c r="AH149" s="493"/>
      <c r="AI149" s="427">
        <f t="shared" ca="1" si="3"/>
        <v>0</v>
      </c>
      <c r="AJ149" s="493"/>
      <c r="AK149" s="428">
        <f t="shared" ca="1" si="392"/>
        <v>2</v>
      </c>
      <c r="AL149" s="428">
        <f ca="1">IF(A149&lt;&gt;"",IFERROR(INDEX('1_INPUT'!$B$69:$E$89,MATCH($A149,'1_INPUT'!$E$69:$E$89,0),1),""),INDIRECT(ADDRESS(ROW()+1,COLUMN($AL$9),,,)))</f>
        <v>5</v>
      </c>
      <c r="AM149" s="428" t="str">
        <f ca="1">IF(AN149="","",MAX(INDIRECT(ADDRESS(9,COLUMN($AM$9),,,)):INDIRECT(ADDRESS(ROW()-1,COLUMN($AM$9),,,)))+1)</f>
        <v/>
      </c>
      <c r="AN149" s="429" t="str">
        <f>IF($AO149&lt;&gt;"",VLOOKUP($AK149,'1_INPUT'!$B$124:$D$136,2,FALSE),"")</f>
        <v/>
      </c>
      <c r="AO149" s="429" t="str">
        <f t="shared" si="419"/>
        <v/>
      </c>
      <c r="AP149" s="427">
        <f ca="1">SUMIF($AL$10:AL149,$AL149,$I$10:I149)</f>
        <v>98.958333333333314</v>
      </c>
      <c r="AR149" s="430" t="str">
        <f t="shared" ca="1" si="5"/>
        <v>WORKOVER SECTION</v>
      </c>
      <c r="AS149" s="430">
        <f ca="1">MATCH(AR149,'1_INPUT'!$V$43:$V$64,0)+1</f>
        <v>6</v>
      </c>
      <c r="AT149" s="430">
        <f ca="1">VLOOKUP(AR149,'1_INPUT'!$V$43:$W$64,2,FALSE)</f>
        <v>21</v>
      </c>
      <c r="AU149" s="430">
        <f ca="1">COUNTIF('1_INPUT'!$W$43:$W$64,AT149)-1</f>
        <v>5</v>
      </c>
      <c r="AV149" s="430" t="e">
        <f ca="1">OFFSET('1_INPUT'!$V$42,$AS149,,$AU149,)</f>
        <v>#VALUE!</v>
      </c>
      <c r="AX149" s="430" t="str">
        <f t="shared" si="393"/>
        <v/>
      </c>
      <c r="CK149" s="9"/>
      <c r="CL149" s="9"/>
    </row>
    <row r="150" spans="1:90" ht="27.6">
      <c r="A150" s="205"/>
      <c r="B150" s="518"/>
      <c r="C150" s="208">
        <f ca="1">IF(D150&lt;&gt;"",MAX($C$9:C149)+1,"")</f>
        <v>47</v>
      </c>
      <c r="D150" s="523" t="s">
        <v>578</v>
      </c>
      <c r="E150" s="406"/>
      <c r="F150" s="407">
        <v>4</v>
      </c>
      <c r="G150" s="209">
        <f t="shared" ca="1" si="394"/>
        <v>321</v>
      </c>
      <c r="H150" s="209">
        <f t="shared" si="218"/>
        <v>0.16666666666666666</v>
      </c>
      <c r="I150" s="209">
        <f t="shared" ca="1" si="395"/>
        <v>13.374999999999996</v>
      </c>
      <c r="J150" s="540">
        <v>1112</v>
      </c>
      <c r="K150" s="200"/>
      <c r="L150" s="525"/>
      <c r="M150" s="400"/>
      <c r="N150" s="400"/>
      <c r="O150" s="95">
        <f t="shared" ca="1" si="396"/>
        <v>432.5</v>
      </c>
      <c r="P150" s="403">
        <v>2374.8000000000002</v>
      </c>
      <c r="Q150" s="116">
        <f>IF(N150&gt;0,VLOOKUP(M150,'3_TIME SUM'!$F$7:$G$128,2,FALSE),0)</f>
        <v>0</v>
      </c>
      <c r="R150" s="517"/>
      <c r="S150" s="94">
        <f t="shared" si="12"/>
        <v>0</v>
      </c>
      <c r="T150" s="94">
        <f t="shared" ca="1" si="397"/>
        <v>18.020833333333339</v>
      </c>
      <c r="U150" s="535">
        <f ca="1">$T150+'1_INPUT'!$E$18</f>
        <v>44961.8125</v>
      </c>
      <c r="V150" s="95">
        <f t="shared" ca="1" si="389"/>
        <v>-111.50000000000023</v>
      </c>
      <c r="W150" s="110">
        <f t="shared" ca="1" si="390"/>
        <v>4.645833333333333</v>
      </c>
      <c r="X150" s="111">
        <f t="shared" ca="1" si="398"/>
        <v>44962</v>
      </c>
      <c r="Y150" s="112" t="str">
        <f ca="1">IFERROR(IF(SUMIFS($N$9:$N150,$X$9:$X150,ROUNDUP(VALUE(U150),0),$Q$9:$Q150,"npt")=0,"-",SUMIFS($N$9:$N150,$X$9:$X150,ROUNDUP(VALUE(U150),0),$Q$9:$Q150,"npt")/SUMIFS($N$9:$N150,$X$9:$X150,ROUNDUP(VALUE(U150),0))),"")</f>
        <v>-</v>
      </c>
      <c r="Z150" s="112" t="str">
        <f>IFERROR(IF($N150=0,"-",SUMIF($Q$11:$Q150,"npt",$N$11:$N150)/(T150*24)),"")</f>
        <v>-</v>
      </c>
      <c r="AA150" s="491"/>
      <c r="AB150" s="491"/>
      <c r="AC150" s="398" t="s">
        <v>224</v>
      </c>
      <c r="AD150" s="427">
        <f t="shared" ca="1" si="9"/>
        <v>13.374999999999996</v>
      </c>
      <c r="AE150" s="427">
        <f t="shared" ca="1" si="0"/>
        <v>1112</v>
      </c>
      <c r="AF150" s="427">
        <f t="shared" ca="1" si="391"/>
        <v>18.020833333333339</v>
      </c>
      <c r="AG150" s="427">
        <f t="shared" ca="1" si="2"/>
        <v>2374.8000000000002</v>
      </c>
      <c r="AH150" s="493"/>
      <c r="AI150" s="427">
        <f t="shared" ca="1" si="3"/>
        <v>0</v>
      </c>
      <c r="AJ150" s="493"/>
      <c r="AK150" s="428">
        <f t="shared" ca="1" si="392"/>
        <v>2</v>
      </c>
      <c r="AL150" s="428">
        <f ca="1">IF(A150&lt;&gt;"",IFERROR(INDEX('1_INPUT'!$B$69:$E$89,MATCH($A150,'1_INPUT'!$E$69:$E$89,0),1),""),INDIRECT(ADDRESS(ROW()+1,COLUMN($AL$9),,,)))</f>
        <v>5</v>
      </c>
      <c r="AM150" s="428" t="str">
        <f ca="1">IF(AN150="","",MAX(INDIRECT(ADDRESS(9,COLUMN($AM$9),,,)):INDIRECT(ADDRESS(ROW()-1,COLUMN($AM$9),,,)))+1)</f>
        <v/>
      </c>
      <c r="AN150" s="429" t="str">
        <f>IF($AO150&lt;&gt;"",VLOOKUP($AK150,'1_INPUT'!$B$124:$D$136,2,FALSE),"")</f>
        <v/>
      </c>
      <c r="AO150" s="429" t="str">
        <f t="shared" si="419"/>
        <v/>
      </c>
      <c r="AP150" s="427">
        <f ca="1">SUMIF($AL$10:AL150,$AL150,$I$10:I150)</f>
        <v>112.33333333333331</v>
      </c>
      <c r="AR150" s="430" t="str">
        <f t="shared" ca="1" si="5"/>
        <v>WORKOVER SECTION</v>
      </c>
      <c r="AS150" s="430">
        <f ca="1">MATCH(AR150,'1_INPUT'!$V$43:$V$64,0)+1</f>
        <v>6</v>
      </c>
      <c r="AT150" s="430">
        <f ca="1">VLOOKUP(AR150,'1_INPUT'!$V$43:$W$64,2,FALSE)</f>
        <v>21</v>
      </c>
      <c r="AU150" s="430">
        <f ca="1">COUNTIF('1_INPUT'!$W$43:$W$64,AT150)-1</f>
        <v>5</v>
      </c>
      <c r="AV150" s="430" t="e">
        <f ca="1">OFFSET('1_INPUT'!$V$42,$AS150,,$AU150,)</f>
        <v>#VALUE!</v>
      </c>
      <c r="AX150" s="430" t="str">
        <f t="shared" si="393"/>
        <v/>
      </c>
      <c r="CK150" s="9"/>
      <c r="CL150" s="9"/>
    </row>
    <row r="151" spans="1:90" ht="13.8">
      <c r="A151" s="205"/>
      <c r="B151" s="518"/>
      <c r="C151" s="208">
        <f ca="1">IF(D151&lt;&gt;"",MAX($C$9:C150)+1,"")</f>
        <v>48</v>
      </c>
      <c r="D151" s="523" t="s">
        <v>579</v>
      </c>
      <c r="E151" s="406"/>
      <c r="F151" s="407">
        <v>1</v>
      </c>
      <c r="G151" s="209">
        <f t="shared" ca="1" si="394"/>
        <v>322</v>
      </c>
      <c r="H151" s="209">
        <f t="shared" si="218"/>
        <v>4.1666666666666664E-2</v>
      </c>
      <c r="I151" s="209">
        <f t="shared" ca="1" si="395"/>
        <v>13.416666666666663</v>
      </c>
      <c r="J151" s="540">
        <v>1112</v>
      </c>
      <c r="K151" s="200"/>
      <c r="L151" s="525"/>
      <c r="M151" s="400"/>
      <c r="N151" s="400"/>
      <c r="O151" s="95">
        <f t="shared" ca="1" si="396"/>
        <v>432.5</v>
      </c>
      <c r="P151" s="403">
        <v>2374.8000000000002</v>
      </c>
      <c r="Q151" s="116">
        <f>IF(N151&gt;0,VLOOKUP(M151,'3_TIME SUM'!$F$7:$G$128,2,FALSE),0)</f>
        <v>0</v>
      </c>
      <c r="R151" s="517"/>
      <c r="S151" s="94">
        <f t="shared" si="12"/>
        <v>0</v>
      </c>
      <c r="T151" s="94">
        <f t="shared" ca="1" si="397"/>
        <v>18.020833333333339</v>
      </c>
      <c r="U151" s="535">
        <f ca="1">$T151+'1_INPUT'!$E$18</f>
        <v>44961.8125</v>
      </c>
      <c r="V151" s="95">
        <f t="shared" ca="1" si="389"/>
        <v>-110.50000000000024</v>
      </c>
      <c r="W151" s="110">
        <f t="shared" ca="1" si="390"/>
        <v>4.604166666666667</v>
      </c>
      <c r="X151" s="111">
        <f t="shared" ca="1" si="398"/>
        <v>44962</v>
      </c>
      <c r="Y151" s="112" t="str">
        <f ca="1">IFERROR(IF(SUMIFS($N$9:$N151,$X$9:$X151,ROUNDUP(VALUE(U151),0),$Q$9:$Q151,"npt")=0,"-",SUMIFS($N$9:$N151,$X$9:$X151,ROUNDUP(VALUE(U151),0),$Q$9:$Q151,"npt")/SUMIFS($N$9:$N151,$X$9:$X151,ROUNDUP(VALUE(U151),0))),"")</f>
        <v>-</v>
      </c>
      <c r="Z151" s="112" t="str">
        <f>IFERROR(IF($N151=0,"-",SUMIF($Q$11:$Q151,"npt",$N$11:$N151)/(T151*24)),"")</f>
        <v>-</v>
      </c>
      <c r="AA151" s="491"/>
      <c r="AB151" s="491"/>
      <c r="AC151" s="398" t="s">
        <v>224</v>
      </c>
      <c r="AD151" s="427">
        <f t="shared" ca="1" si="9"/>
        <v>13.416666666666663</v>
      </c>
      <c r="AE151" s="427">
        <f t="shared" ca="1" si="0"/>
        <v>1112</v>
      </c>
      <c r="AF151" s="427">
        <f t="shared" ca="1" si="391"/>
        <v>18.020833333333339</v>
      </c>
      <c r="AG151" s="427">
        <f t="shared" ca="1" si="2"/>
        <v>2374.8000000000002</v>
      </c>
      <c r="AH151" s="493"/>
      <c r="AI151" s="427">
        <f t="shared" ca="1" si="3"/>
        <v>0</v>
      </c>
      <c r="AJ151" s="493"/>
      <c r="AK151" s="428">
        <f t="shared" ca="1" si="392"/>
        <v>2</v>
      </c>
      <c r="AL151" s="428">
        <f ca="1">IF(A151&lt;&gt;"",IFERROR(INDEX('1_INPUT'!$B$69:$E$89,MATCH($A151,'1_INPUT'!$E$69:$E$89,0),1),""),INDIRECT(ADDRESS(ROW()+1,COLUMN($AL$9),,,)))</f>
        <v>5</v>
      </c>
      <c r="AM151" s="428" t="str">
        <f ca="1">IF(AN151="","",MAX(INDIRECT(ADDRESS(9,COLUMN($AM$9),,,)):INDIRECT(ADDRESS(ROW()-1,COLUMN($AM$9),,,)))+1)</f>
        <v/>
      </c>
      <c r="AN151" s="429" t="str">
        <f>IF($AO151&lt;&gt;"",VLOOKUP($AK151,'1_INPUT'!$B$124:$D$136,2,FALSE),"")</f>
        <v/>
      </c>
      <c r="AO151" s="429" t="str">
        <f t="shared" si="419"/>
        <v/>
      </c>
      <c r="AP151" s="427">
        <f ca="1">SUMIF($AL$10:AL151,$AL151,$I$10:I151)</f>
        <v>125.74999999999997</v>
      </c>
      <c r="AR151" s="430" t="str">
        <f t="shared" ca="1" si="5"/>
        <v>WORKOVER SECTION</v>
      </c>
      <c r="AS151" s="430">
        <f ca="1">MATCH(AR151,'1_INPUT'!$V$43:$V$64,0)+1</f>
        <v>6</v>
      </c>
      <c r="AT151" s="430">
        <f ca="1">VLOOKUP(AR151,'1_INPUT'!$V$43:$W$64,2,FALSE)</f>
        <v>21</v>
      </c>
      <c r="AU151" s="430">
        <f ca="1">COUNTIF('1_INPUT'!$W$43:$W$64,AT151)-1</f>
        <v>5</v>
      </c>
      <c r="AV151" s="430" t="e">
        <f ca="1">OFFSET('1_INPUT'!$V$42,$AS151,,$AU151,)</f>
        <v>#VALUE!</v>
      </c>
      <c r="AX151" s="430" t="str">
        <f t="shared" si="393"/>
        <v/>
      </c>
      <c r="CK151" s="9"/>
      <c r="CL151" s="9"/>
    </row>
    <row r="152" spans="1:90" ht="13.8">
      <c r="A152" s="205"/>
      <c r="B152" s="518"/>
      <c r="C152" s="208">
        <f ca="1">IF(D152&lt;&gt;"",MAX($C$9:C151)+1,"")</f>
        <v>49</v>
      </c>
      <c r="D152" s="523" t="s">
        <v>615</v>
      </c>
      <c r="E152" s="406"/>
      <c r="F152" s="407">
        <v>4</v>
      </c>
      <c r="G152" s="209">
        <f t="shared" ca="1" si="394"/>
        <v>326</v>
      </c>
      <c r="H152" s="209">
        <f t="shared" si="218"/>
        <v>0.16666666666666666</v>
      </c>
      <c r="I152" s="209">
        <f t="shared" ca="1" si="395"/>
        <v>13.583333333333329</v>
      </c>
      <c r="J152" s="540">
        <v>1112</v>
      </c>
      <c r="K152" s="200"/>
      <c r="L152" s="525"/>
      <c r="M152" s="400"/>
      <c r="N152" s="400"/>
      <c r="O152" s="95">
        <f t="shared" ca="1" si="396"/>
        <v>432.5</v>
      </c>
      <c r="P152" s="403">
        <v>2374.8000000000002</v>
      </c>
      <c r="Q152" s="116">
        <f>IF(N152&gt;0,VLOOKUP(M152,'3_TIME SUM'!$F$7:$G$128,2,FALSE),0)</f>
        <v>0</v>
      </c>
      <c r="R152" s="517"/>
      <c r="S152" s="94">
        <f t="shared" si="12"/>
        <v>0</v>
      </c>
      <c r="T152" s="94">
        <f t="shared" ca="1" si="397"/>
        <v>18.020833333333339</v>
      </c>
      <c r="U152" s="535">
        <f ca="1">$T152+'1_INPUT'!$E$18</f>
        <v>44961.8125</v>
      </c>
      <c r="V152" s="95">
        <f t="shared" ca="1" si="389"/>
        <v>-106.50000000000026</v>
      </c>
      <c r="W152" s="110">
        <f t="shared" ca="1" si="390"/>
        <v>4.4375</v>
      </c>
      <c r="X152" s="111">
        <f t="shared" ca="1" si="398"/>
        <v>44962</v>
      </c>
      <c r="Y152" s="112" t="str">
        <f ca="1">IFERROR(IF(SUMIFS($N$9:$N152,$X$9:$X152,ROUNDUP(VALUE(U152),0),$Q$9:$Q152,"npt")=0,"-",SUMIFS($N$9:$N152,$X$9:$X152,ROUNDUP(VALUE(U152),0),$Q$9:$Q152,"npt")/SUMIFS($N$9:$N152,$X$9:$X152,ROUNDUP(VALUE(U152),0))),"")</f>
        <v>-</v>
      </c>
      <c r="Z152" s="112" t="str">
        <f>IFERROR(IF($N152=0,"-",SUMIF($Q$11:$Q152,"npt",$N$11:$N152)/(T152*24)),"")</f>
        <v>-</v>
      </c>
      <c r="AA152" s="491"/>
      <c r="AB152" s="491"/>
      <c r="AC152" s="398" t="s">
        <v>224</v>
      </c>
      <c r="AD152" s="427">
        <f t="shared" ca="1" si="9"/>
        <v>13.583333333333329</v>
      </c>
      <c r="AE152" s="427">
        <f t="shared" ca="1" si="0"/>
        <v>1112</v>
      </c>
      <c r="AF152" s="427">
        <f t="shared" ca="1" si="391"/>
        <v>18.020833333333339</v>
      </c>
      <c r="AG152" s="427">
        <f t="shared" ca="1" si="2"/>
        <v>2374.8000000000002</v>
      </c>
      <c r="AH152" s="493"/>
      <c r="AI152" s="427">
        <f t="shared" ca="1" si="3"/>
        <v>0</v>
      </c>
      <c r="AJ152" s="493"/>
      <c r="AK152" s="428">
        <f t="shared" ca="1" si="392"/>
        <v>2</v>
      </c>
      <c r="AL152" s="428">
        <f ca="1">IF(A152&lt;&gt;"",IFERROR(INDEX('1_INPUT'!$B$69:$E$89,MATCH($A152,'1_INPUT'!$E$69:$E$89,0),1),""),INDIRECT(ADDRESS(ROW()+1,COLUMN($AL$9),,,)))</f>
        <v>5</v>
      </c>
      <c r="AM152" s="428" t="str">
        <f ca="1">IF(AN152="","",MAX(INDIRECT(ADDRESS(9,COLUMN($AM$9),,,)):INDIRECT(ADDRESS(ROW()-1,COLUMN($AM$9),,,)))+1)</f>
        <v/>
      </c>
      <c r="AN152" s="429" t="str">
        <f>IF($AO152&lt;&gt;"",VLOOKUP($AK152,'1_INPUT'!$B$124:$D$136,2,FALSE),"")</f>
        <v/>
      </c>
      <c r="AO152" s="429" t="str">
        <f t="shared" si="10"/>
        <v/>
      </c>
      <c r="AP152" s="427">
        <f ca="1">SUMIF($AL$10:AL152,$AL152,$I$10:I152)</f>
        <v>139.33333333333331</v>
      </c>
      <c r="AR152" s="430" t="str">
        <f t="shared" ca="1" si="5"/>
        <v>WORKOVER SECTION</v>
      </c>
      <c r="AS152" s="430">
        <f ca="1">MATCH(AR152,'1_INPUT'!$V$43:$V$64,0)+1</f>
        <v>6</v>
      </c>
      <c r="AT152" s="430">
        <f ca="1">VLOOKUP(AR152,'1_INPUT'!$V$43:$W$64,2,FALSE)</f>
        <v>21</v>
      </c>
      <c r="AU152" s="430">
        <f ca="1">COUNTIF('1_INPUT'!$W$43:$W$64,AT152)-1</f>
        <v>5</v>
      </c>
      <c r="AV152" s="430" t="e">
        <f ca="1">OFFSET('1_INPUT'!$V$42,$AS152,,$AU152,)</f>
        <v>#VALUE!</v>
      </c>
      <c r="AX152" s="430" t="str">
        <f t="shared" si="393"/>
        <v/>
      </c>
      <c r="CK152" s="9"/>
      <c r="CL152" s="9"/>
    </row>
    <row r="153" spans="1:90" ht="27.6">
      <c r="A153" s="205"/>
      <c r="B153" s="518"/>
      <c r="C153" s="208">
        <f ca="1">IF(D153&lt;&gt;"",MAX($C$9:C152)+1,"")</f>
        <v>50</v>
      </c>
      <c r="D153" s="523" t="s">
        <v>614</v>
      </c>
      <c r="E153" s="406"/>
      <c r="F153" s="407">
        <v>6</v>
      </c>
      <c r="G153" s="209">
        <f t="shared" ca="1" si="394"/>
        <v>332</v>
      </c>
      <c r="H153" s="209">
        <f t="shared" si="218"/>
        <v>0.25</v>
      </c>
      <c r="I153" s="209">
        <f t="shared" ca="1" si="395"/>
        <v>13.833333333333329</v>
      </c>
      <c r="J153" s="540">
        <v>1112</v>
      </c>
      <c r="K153" s="200"/>
      <c r="L153" s="525"/>
      <c r="M153" s="400"/>
      <c r="N153" s="400"/>
      <c r="O153" s="95">
        <f t="shared" ca="1" si="396"/>
        <v>432.5</v>
      </c>
      <c r="P153" s="403">
        <v>2374.8000000000002</v>
      </c>
      <c r="Q153" s="116">
        <f>IF(N153&gt;0,VLOOKUP(M153,'3_TIME SUM'!$F$7:$G$128,2,FALSE),0)</f>
        <v>0</v>
      </c>
      <c r="R153" s="517"/>
      <c r="S153" s="94">
        <f t="shared" si="12"/>
        <v>0</v>
      </c>
      <c r="T153" s="94">
        <f t="shared" ca="1" si="397"/>
        <v>18.020833333333339</v>
      </c>
      <c r="U153" s="535">
        <f ca="1">$T153+'1_INPUT'!$E$18</f>
        <v>44961.8125</v>
      </c>
      <c r="V153" s="95">
        <f t="shared" ca="1" si="389"/>
        <v>-100.50000000000026</v>
      </c>
      <c r="W153" s="110">
        <f t="shared" ca="1" si="390"/>
        <v>4.1875</v>
      </c>
      <c r="X153" s="111">
        <f t="shared" ca="1" si="398"/>
        <v>44962</v>
      </c>
      <c r="Y153" s="112" t="str">
        <f ca="1">IFERROR(IF(SUMIFS($N$9:$N153,$X$9:$X153,ROUNDUP(VALUE(U153),0),$Q$9:$Q153,"npt")=0,"-",SUMIFS($N$9:$N153,$X$9:$X153,ROUNDUP(VALUE(U153),0),$Q$9:$Q153,"npt")/SUMIFS($N$9:$N153,$X$9:$X153,ROUNDUP(VALUE(U153),0))),"")</f>
        <v>-</v>
      </c>
      <c r="Z153" s="112" t="str">
        <f>IFERROR(IF($N153=0,"-",SUMIF($Q$11:$Q153,"npt",$N$11:$N153)/(T153*24)),"")</f>
        <v>-</v>
      </c>
      <c r="AA153" s="491"/>
      <c r="AB153" s="491"/>
      <c r="AC153" s="398" t="s">
        <v>224</v>
      </c>
      <c r="AD153" s="427">
        <f t="shared" ca="1" si="9"/>
        <v>13.833333333333329</v>
      </c>
      <c r="AE153" s="427">
        <f t="shared" ca="1" si="0"/>
        <v>1112</v>
      </c>
      <c r="AF153" s="427">
        <f t="shared" ca="1" si="391"/>
        <v>18.020833333333339</v>
      </c>
      <c r="AG153" s="427">
        <f t="shared" ca="1" si="2"/>
        <v>2374.8000000000002</v>
      </c>
      <c r="AH153" s="493"/>
      <c r="AI153" s="427">
        <f t="shared" ca="1" si="3"/>
        <v>0</v>
      </c>
      <c r="AJ153" s="493"/>
      <c r="AK153" s="428">
        <f t="shared" ca="1" si="392"/>
        <v>2</v>
      </c>
      <c r="AL153" s="428">
        <f ca="1">IF(A153&lt;&gt;"",IFERROR(INDEX('1_INPUT'!$B$69:$E$89,MATCH($A153,'1_INPUT'!$E$69:$E$89,0),1),""),INDIRECT(ADDRESS(ROW()+1,COLUMN($AL$9),,,)))</f>
        <v>5</v>
      </c>
      <c r="AM153" s="428" t="str">
        <f ca="1">IF(AN153="","",MAX(INDIRECT(ADDRESS(9,COLUMN($AM$9),,,)):INDIRECT(ADDRESS(ROW()-1,COLUMN($AM$9),,,)))+1)</f>
        <v/>
      </c>
      <c r="AN153" s="429" t="str">
        <f>IF($AO153&lt;&gt;"",VLOOKUP($AK153,'1_INPUT'!$B$124:$D$136,2,FALSE),"")</f>
        <v/>
      </c>
      <c r="AO153" s="429" t="str">
        <f t="shared" si="10"/>
        <v/>
      </c>
      <c r="AP153" s="427">
        <f ca="1">SUMIF($AL$10:AL153,$AL153,$I$10:I153)</f>
        <v>153.16666666666663</v>
      </c>
      <c r="AR153" s="430" t="str">
        <f t="shared" ca="1" si="5"/>
        <v>WORKOVER SECTION</v>
      </c>
      <c r="AS153" s="430">
        <f ca="1">MATCH(AR153,'1_INPUT'!$V$43:$V$64,0)+1</f>
        <v>6</v>
      </c>
      <c r="AT153" s="430">
        <f ca="1">VLOOKUP(AR153,'1_INPUT'!$V$43:$W$64,2,FALSE)</f>
        <v>21</v>
      </c>
      <c r="AU153" s="430">
        <f ca="1">COUNTIF('1_INPUT'!$W$43:$W$64,AT153)-1</f>
        <v>5</v>
      </c>
      <c r="AV153" s="430" t="e">
        <f ca="1">OFFSET('1_INPUT'!$V$42,$AS153,,$AU153,)</f>
        <v>#VALUE!</v>
      </c>
      <c r="AX153" s="430" t="str">
        <f t="shared" si="393"/>
        <v/>
      </c>
      <c r="CK153" s="9"/>
      <c r="CL153" s="9"/>
    </row>
    <row r="154" spans="1:90" ht="13.8">
      <c r="A154" s="205"/>
      <c r="B154" s="518"/>
      <c r="C154" s="208">
        <f ca="1">IF(D154&lt;&gt;"",MAX($C$9:C153)+1,"")</f>
        <v>51</v>
      </c>
      <c r="D154" s="523" t="s">
        <v>610</v>
      </c>
      <c r="E154" s="406"/>
      <c r="F154" s="407">
        <v>1</v>
      </c>
      <c r="G154" s="209">
        <f t="shared" ca="1" si="394"/>
        <v>333</v>
      </c>
      <c r="H154" s="209">
        <f t="shared" si="218"/>
        <v>4.1666666666666664E-2</v>
      </c>
      <c r="I154" s="209">
        <f t="shared" ca="1" si="395"/>
        <v>13.874999999999995</v>
      </c>
      <c r="J154" s="540">
        <v>1112</v>
      </c>
      <c r="K154" s="200"/>
      <c r="L154" s="525"/>
      <c r="M154" s="400"/>
      <c r="N154" s="400"/>
      <c r="O154" s="95">
        <f t="shared" ca="1" si="396"/>
        <v>432.5</v>
      </c>
      <c r="P154" s="403">
        <v>2374.8000000000002</v>
      </c>
      <c r="Q154" s="116">
        <f>IF(N154&gt;0,VLOOKUP(M154,'3_TIME SUM'!$F$7:$G$128,2,FALSE),0)</f>
        <v>0</v>
      </c>
      <c r="R154" s="517"/>
      <c r="S154" s="94">
        <f t="shared" si="12"/>
        <v>0</v>
      </c>
      <c r="T154" s="94">
        <f t="shared" ca="1" si="397"/>
        <v>18.020833333333339</v>
      </c>
      <c r="U154" s="535">
        <f ca="1">$T154+'1_INPUT'!$E$18</f>
        <v>44961.8125</v>
      </c>
      <c r="V154" s="95">
        <f t="shared" ca="1" si="389"/>
        <v>-99.50000000000027</v>
      </c>
      <c r="W154" s="110">
        <f t="shared" ca="1" si="390"/>
        <v>4.145833333333333</v>
      </c>
      <c r="X154" s="111">
        <f t="shared" ca="1" si="398"/>
        <v>44962</v>
      </c>
      <c r="Y154" s="112" t="str">
        <f ca="1">IFERROR(IF(SUMIFS($N$9:$N154,$X$9:$X154,ROUNDUP(VALUE(U154),0),$Q$9:$Q154,"npt")=0,"-",SUMIFS($N$9:$N154,$X$9:$X154,ROUNDUP(VALUE(U154),0),$Q$9:$Q154,"npt")/SUMIFS($N$9:$N154,$X$9:$X154,ROUNDUP(VALUE(U154),0))),"")</f>
        <v>-</v>
      </c>
      <c r="Z154" s="112" t="str">
        <f>IFERROR(IF($N154=0,"-",SUMIF($Q$11:$Q154,"npt",$N$11:$N154)/(T154*24)),"")</f>
        <v>-</v>
      </c>
      <c r="AA154" s="491"/>
      <c r="AB154" s="491"/>
      <c r="AC154" s="398" t="s">
        <v>224</v>
      </c>
      <c r="AD154" s="427">
        <f t="shared" ca="1" si="9"/>
        <v>13.874999999999995</v>
      </c>
      <c r="AE154" s="427">
        <f t="shared" ca="1" si="0"/>
        <v>1112</v>
      </c>
      <c r="AF154" s="427">
        <f t="shared" ca="1" si="391"/>
        <v>18.020833333333339</v>
      </c>
      <c r="AG154" s="427">
        <f t="shared" ca="1" si="2"/>
        <v>2374.8000000000002</v>
      </c>
      <c r="AH154" s="493"/>
      <c r="AI154" s="427">
        <f t="shared" ca="1" si="3"/>
        <v>0</v>
      </c>
      <c r="AJ154" s="493"/>
      <c r="AK154" s="428">
        <f t="shared" ca="1" si="392"/>
        <v>2</v>
      </c>
      <c r="AL154" s="428">
        <f ca="1">IF(A154&lt;&gt;"",IFERROR(INDEX('1_INPUT'!$B$69:$E$89,MATCH($A154,'1_INPUT'!$E$69:$E$89,0),1),""),INDIRECT(ADDRESS(ROW()+1,COLUMN($AL$9),,,)))</f>
        <v>5</v>
      </c>
      <c r="AM154" s="428" t="str">
        <f ca="1">IF(AN154="","",MAX(INDIRECT(ADDRESS(9,COLUMN($AM$9),,,)):INDIRECT(ADDRESS(ROW()-1,COLUMN($AM$9),,,)))+1)</f>
        <v/>
      </c>
      <c r="AN154" s="429" t="str">
        <f>IF($AO154&lt;&gt;"",VLOOKUP($AK154,'1_INPUT'!$B$124:$D$136,2,FALSE),"")</f>
        <v/>
      </c>
      <c r="AO154" s="429" t="str">
        <f t="shared" si="10"/>
        <v/>
      </c>
      <c r="AP154" s="427">
        <f ca="1">SUMIF($AL$10:AL154,$AL154,$I$10:I154)</f>
        <v>167.04166666666663</v>
      </c>
      <c r="AR154" s="430" t="str">
        <f t="shared" ca="1" si="5"/>
        <v>WORKOVER SECTION</v>
      </c>
      <c r="AS154" s="430">
        <f ca="1">MATCH(AR154,'1_INPUT'!$V$43:$V$64,0)+1</f>
        <v>6</v>
      </c>
      <c r="AT154" s="430">
        <f ca="1">VLOOKUP(AR154,'1_INPUT'!$V$43:$W$64,2,FALSE)</f>
        <v>21</v>
      </c>
      <c r="AU154" s="430">
        <f ca="1">COUNTIF('1_INPUT'!$W$43:$W$64,AT154)-1</f>
        <v>5</v>
      </c>
      <c r="AV154" s="430" t="e">
        <f ca="1">OFFSET('1_INPUT'!$V$42,$AS154,,$AU154,)</f>
        <v>#VALUE!</v>
      </c>
      <c r="AX154" s="430" t="str">
        <f t="shared" si="393"/>
        <v/>
      </c>
      <c r="CK154" s="9"/>
      <c r="CL154" s="9"/>
    </row>
    <row r="155" spans="1:90" ht="27.6">
      <c r="A155" s="205"/>
      <c r="B155" s="518"/>
      <c r="C155" s="208">
        <f ca="1">IF(D155&lt;&gt;"",MAX($C$9:C154)+1,"")</f>
        <v>52</v>
      </c>
      <c r="D155" s="523" t="s">
        <v>584</v>
      </c>
      <c r="E155" s="406"/>
      <c r="F155" s="407">
        <v>2</v>
      </c>
      <c r="G155" s="209">
        <f t="shared" ca="1" si="394"/>
        <v>335</v>
      </c>
      <c r="H155" s="209">
        <f t="shared" si="218"/>
        <v>8.3333333333333329E-2</v>
      </c>
      <c r="I155" s="209">
        <f t="shared" ca="1" si="395"/>
        <v>13.958333333333329</v>
      </c>
      <c r="J155" s="540">
        <v>1112</v>
      </c>
      <c r="K155" s="200"/>
      <c r="L155" s="525"/>
      <c r="M155" s="400"/>
      <c r="N155" s="407"/>
      <c r="O155" s="95">
        <f t="shared" ca="1" si="396"/>
        <v>432.5</v>
      </c>
      <c r="P155" s="403">
        <v>2374.8000000000002</v>
      </c>
      <c r="Q155" s="116">
        <f>IF(N155&gt;0,VLOOKUP(M155,'3_TIME SUM'!$F$7:$G$128,2,FALSE),0)</f>
        <v>0</v>
      </c>
      <c r="R155" s="517"/>
      <c r="S155" s="94">
        <f t="shared" si="12"/>
        <v>0</v>
      </c>
      <c r="T155" s="94">
        <f t="shared" ca="1" si="397"/>
        <v>18.020833333333339</v>
      </c>
      <c r="U155" s="535">
        <f ca="1">$T155+'1_INPUT'!$E$18</f>
        <v>44961.8125</v>
      </c>
      <c r="V155" s="95">
        <f t="shared" ca="1" si="389"/>
        <v>-97.500000000000256</v>
      </c>
      <c r="W155" s="110">
        <f t="shared" ca="1" si="390"/>
        <v>4.0625</v>
      </c>
      <c r="X155" s="111">
        <f t="shared" ca="1" si="398"/>
        <v>44962</v>
      </c>
      <c r="Y155" s="112" t="str">
        <f ca="1">IFERROR(IF(SUMIFS($N$9:$N155,$X$9:$X155,ROUNDUP(VALUE(U155),0),$Q$9:$Q155,"npt")=0,"-",SUMIFS($N$9:$N155,$X$9:$X155,ROUNDUP(VALUE(U155),0),$Q$9:$Q155,"npt")/SUMIFS($N$9:$N155,$X$9:$X155,ROUNDUP(VALUE(U155),0))),"")</f>
        <v>-</v>
      </c>
      <c r="Z155" s="112" t="str">
        <f>IFERROR(IF($N155=0,"-",SUMIF($Q$11:$Q155,"npt",$N$11:$N155)/(T155*24)),"")</f>
        <v>-</v>
      </c>
      <c r="AA155" s="491"/>
      <c r="AB155" s="491"/>
      <c r="AC155" s="398" t="s">
        <v>224</v>
      </c>
      <c r="AD155" s="427">
        <f t="shared" ca="1" si="9"/>
        <v>13.958333333333329</v>
      </c>
      <c r="AE155" s="427">
        <f t="shared" ca="1" si="0"/>
        <v>1112</v>
      </c>
      <c r="AF155" s="427">
        <f t="shared" ca="1" si="391"/>
        <v>18.020833333333339</v>
      </c>
      <c r="AG155" s="427">
        <f t="shared" ca="1" si="2"/>
        <v>2374.8000000000002</v>
      </c>
      <c r="AH155" s="493"/>
      <c r="AI155" s="427">
        <f t="shared" ca="1" si="3"/>
        <v>0</v>
      </c>
      <c r="AJ155" s="493"/>
      <c r="AK155" s="428">
        <f t="shared" ca="1" si="392"/>
        <v>2</v>
      </c>
      <c r="AL155" s="428">
        <f ca="1">IF(A155&lt;&gt;"",IFERROR(INDEX('1_INPUT'!$B$69:$E$89,MATCH($A155,'1_INPUT'!$E$69:$E$89,0),1),""),INDIRECT(ADDRESS(ROW()+1,COLUMN($AL$9),,,)))</f>
        <v>5</v>
      </c>
      <c r="AM155" s="428" t="str">
        <f ca="1">IF(AN155="","",MAX(INDIRECT(ADDRESS(9,COLUMN($AM$9),,,)):INDIRECT(ADDRESS(ROW()-1,COLUMN($AM$9),,,)))+1)</f>
        <v/>
      </c>
      <c r="AN155" s="429" t="str">
        <f>IF($AO155&lt;&gt;"",VLOOKUP($AK155,'1_INPUT'!$B$124:$D$136,2,FALSE),"")</f>
        <v/>
      </c>
      <c r="AO155" s="429" t="str">
        <f t="shared" si="10"/>
        <v/>
      </c>
      <c r="AP155" s="427">
        <f ca="1">SUMIF($AL$10:AL155,$AL155,$I$10:I155)</f>
        <v>180.99999999999994</v>
      </c>
      <c r="AR155" s="430" t="str">
        <f t="shared" ca="1" si="5"/>
        <v>WORKOVER SECTION</v>
      </c>
      <c r="AS155" s="430">
        <f ca="1">MATCH(AR155,'1_INPUT'!$V$43:$V$64,0)+1</f>
        <v>6</v>
      </c>
      <c r="AT155" s="430">
        <f ca="1">VLOOKUP(AR155,'1_INPUT'!$V$43:$W$64,2,FALSE)</f>
        <v>21</v>
      </c>
      <c r="AU155" s="430">
        <f ca="1">COUNTIF('1_INPUT'!$W$43:$W$64,AT155)-1</f>
        <v>5</v>
      </c>
      <c r="AV155" s="430" t="e">
        <f ca="1">OFFSET('1_INPUT'!$V$42,$AS155,,$AU155,)</f>
        <v>#VALUE!</v>
      </c>
      <c r="AX155" s="430" t="str">
        <f t="shared" si="393"/>
        <v/>
      </c>
      <c r="CK155" s="9"/>
      <c r="CL155" s="9"/>
    </row>
    <row r="156" spans="1:90" ht="27.6">
      <c r="A156" s="205"/>
      <c r="B156" s="518"/>
      <c r="C156" s="208">
        <f ca="1">IF(D156&lt;&gt;"",MAX($C$9:C155)+1,"")</f>
        <v>53</v>
      </c>
      <c r="D156" s="523" t="s">
        <v>585</v>
      </c>
      <c r="E156" s="406"/>
      <c r="F156" s="407">
        <v>6</v>
      </c>
      <c r="G156" s="209">
        <f t="shared" ref="G156:G191" ca="1" si="420">IF(INDIRECT(ADDRESS(ROW()-1,COLUMN(B$7),,,))&lt;&gt;"",INDIRECT(ADDRESS(ROW(),COLUMN(F$7),,,)),INDIRECT(ADDRESS(ROW()-1,COLUMN(G$7),,,))+INDIRECT(ADDRESS(ROW(),COLUMN(F$7),,,)))</f>
        <v>341</v>
      </c>
      <c r="H156" s="209">
        <f t="shared" si="218"/>
        <v>0.25</v>
      </c>
      <c r="I156" s="209">
        <f t="shared" ref="I156:I191" ca="1" si="421">INDIRECT(ADDRESS(ROW()-1,COLUMN(I$7),,,))+INDIRECT(ADDRESS(ROW(),COLUMN(H$7),,,))</f>
        <v>14.208333333333329</v>
      </c>
      <c r="J156" s="540">
        <v>1112</v>
      </c>
      <c r="K156" s="200"/>
      <c r="L156" s="525"/>
      <c r="M156" s="400"/>
      <c r="N156" s="407"/>
      <c r="O156" s="95">
        <f t="shared" ref="O156:O191" ca="1" si="422">IF(INDIRECT(ADDRESS(ROW()-1,COLUMN(B$7),,,))&lt;&gt;"",INDIRECT(ADDRESS(ROW(),COLUMN(N$7),,,)),INDIRECT(ADDRESS(ROW()-1,COLUMN(O$7),,,))+INDIRECT(ADDRESS(ROW(),COLUMN(N$7),,,)))</f>
        <v>432.5</v>
      </c>
      <c r="P156" s="403">
        <v>2374.8000000000002</v>
      </c>
      <c r="Q156" s="116">
        <f>IF(N156&gt;0,VLOOKUP(M156,'3_TIME SUM'!$F$7:$G$128,2,FALSE),0)</f>
        <v>0</v>
      </c>
      <c r="R156" s="517"/>
      <c r="S156" s="94">
        <f t="shared" si="12"/>
        <v>0</v>
      </c>
      <c r="T156" s="94">
        <f t="shared" ref="T156:T191" ca="1" si="423">INDIRECT(ADDRESS(ROW()-1,COLUMN(T$7),,,))+INDIRECT(ADDRESS(ROW(),COLUMN(S$7),,,))</f>
        <v>18.020833333333339</v>
      </c>
      <c r="U156" s="535">
        <f ca="1">$T156+'1_INPUT'!$E$18</f>
        <v>44961.8125</v>
      </c>
      <c r="V156" s="95">
        <f t="shared" ref="V156:V194" ca="1" si="424">IFERROR(IF($AI156=0,($I156-T156)*24,(($P156-INDIRECT(ADDRESS(ROW()-1,COLUMN($P$9),,,)))/$AI156)-$N156+(INDIRECT(ADDRESS(ROW()-1,COLUMN(V$9),,,)))),"")</f>
        <v>-91.500000000000256</v>
      </c>
      <c r="W156" s="110">
        <f t="shared" ref="W156:W194" ca="1" si="425">IFERROR(IF(V156&gt;0,TIME(V156,(V156-ROUNDDOWN(V156,0))*60,0)+DAY((ROUNDDOWN(V156,0)/24)),TIME((-V156),((-V156)-ROUNDDOWN((-V156),0))*60,0)+DAY((ROUNDDOWN((-V156),0)/24))),"")</f>
        <v>3.8125</v>
      </c>
      <c r="X156" s="111">
        <f t="shared" ref="X156:X191" ca="1" si="426">IF(U156=0,"-",ROUNDUP(VALUE(U156),0))</f>
        <v>44962</v>
      </c>
      <c r="Y156" s="112" t="str">
        <f ca="1">IFERROR(IF(SUMIFS($N$9:$N156,$X$9:$X156,ROUNDUP(VALUE(U156),0),$Q$9:$Q156,"npt")=0,"-",SUMIFS($N$9:$N156,$X$9:$X156,ROUNDUP(VALUE(U156),0),$Q$9:$Q156,"npt")/SUMIFS($N$9:$N156,$X$9:$X156,ROUNDUP(VALUE(U156),0))),"")</f>
        <v>-</v>
      </c>
      <c r="Z156" s="112" t="str">
        <f>IFERROR(IF($N156=0,"-",SUMIF($Q$11:$Q156,"npt",$N$11:$N156)/(T156*24)),"")</f>
        <v>-</v>
      </c>
      <c r="AA156" s="491"/>
      <c r="AB156" s="491"/>
      <c r="AC156" s="398" t="s">
        <v>224</v>
      </c>
      <c r="AD156" s="427">
        <f t="shared" ca="1" si="9"/>
        <v>14.208333333333329</v>
      </c>
      <c r="AE156" s="427">
        <f t="shared" ca="1" si="0"/>
        <v>1112</v>
      </c>
      <c r="AF156" s="427">
        <f t="shared" ref="AF156:AF194" ca="1" si="427">T156</f>
        <v>18.020833333333339</v>
      </c>
      <c r="AG156" s="427">
        <f t="shared" ca="1" si="2"/>
        <v>2374.8000000000002</v>
      </c>
      <c r="AH156" s="493"/>
      <c r="AI156" s="427">
        <f t="shared" ca="1" si="3"/>
        <v>0</v>
      </c>
      <c r="AJ156" s="493"/>
      <c r="AK156" s="428">
        <f t="shared" ref="AK156:AK194" ca="1" si="428">IF(B156&lt;&gt;"",B156,INDIRECT(ADDRESS(ROW()+1,COLUMN($AK$9),,,)))</f>
        <v>2</v>
      </c>
      <c r="AL156" s="428">
        <f ca="1">IF(A156&lt;&gt;"",IFERROR(INDEX('1_INPUT'!$B$69:$E$89,MATCH($A156,'1_INPUT'!$E$69:$E$89,0),1),""),INDIRECT(ADDRESS(ROW()+1,COLUMN($AL$9),,,)))</f>
        <v>5</v>
      </c>
      <c r="AM156" s="428" t="str">
        <f ca="1">IF(AN156="","",MAX(INDIRECT(ADDRESS(9,COLUMN($AM$9),,,)):INDIRECT(ADDRESS(ROW()-1,COLUMN($AM$9),,,)))+1)</f>
        <v/>
      </c>
      <c r="AN156" s="429" t="str">
        <f>IF($AO156&lt;&gt;"",VLOOKUP($AK156,'1_INPUT'!$B$124:$D$136,2,FALSE),"")</f>
        <v/>
      </c>
      <c r="AO156" s="429" t="str">
        <f t="shared" si="10"/>
        <v/>
      </c>
      <c r="AP156" s="427">
        <f ca="1">SUMIF($AL$10:AL156,$AL156,$I$10:I156)</f>
        <v>195.20833333333326</v>
      </c>
      <c r="AR156" s="430" t="str">
        <f t="shared" ca="1" si="5"/>
        <v>WORKOVER SECTION</v>
      </c>
      <c r="AS156" s="430">
        <f ca="1">MATCH(AR156,'1_INPUT'!$V$43:$V$64,0)+1</f>
        <v>6</v>
      </c>
      <c r="AT156" s="430">
        <f ca="1">VLOOKUP(AR156,'1_INPUT'!$V$43:$W$64,2,FALSE)</f>
        <v>21</v>
      </c>
      <c r="AU156" s="430">
        <f ca="1">COUNTIF('1_INPUT'!$W$43:$W$64,AT156)-1</f>
        <v>5</v>
      </c>
      <c r="AV156" s="430" t="e">
        <f ca="1">OFFSET('1_INPUT'!$V$42,$AS156,,$AU156,)</f>
        <v>#VALUE!</v>
      </c>
      <c r="AX156" s="430" t="str">
        <f t="shared" ref="AX156:AX194" si="429">IF(A156&lt;&gt;"",""&amp;AR156&amp;"-"&amp;A156&amp;"","")</f>
        <v/>
      </c>
      <c r="CK156" s="9"/>
      <c r="CL156" s="9"/>
    </row>
    <row r="157" spans="1:90" ht="27.6">
      <c r="A157" s="205"/>
      <c r="B157" s="518"/>
      <c r="C157" s="208">
        <f ca="1">IF(D157&lt;&gt;"",MAX($C$9:C156)+1,"")</f>
        <v>54</v>
      </c>
      <c r="D157" s="523" t="s">
        <v>611</v>
      </c>
      <c r="E157" s="406"/>
      <c r="F157" s="407">
        <v>6</v>
      </c>
      <c r="G157" s="209">
        <f t="shared" ca="1" si="420"/>
        <v>347</v>
      </c>
      <c r="H157" s="209">
        <f t="shared" si="218"/>
        <v>0.25</v>
      </c>
      <c r="I157" s="209">
        <f t="shared" ca="1" si="421"/>
        <v>14.458333333333329</v>
      </c>
      <c r="J157" s="540">
        <v>1112</v>
      </c>
      <c r="K157" s="200"/>
      <c r="L157" s="525" t="s">
        <v>736</v>
      </c>
      <c r="M157" s="400" t="s">
        <v>146</v>
      </c>
      <c r="N157" s="407">
        <v>0.5</v>
      </c>
      <c r="O157" s="95">
        <f t="shared" ca="1" si="422"/>
        <v>433</v>
      </c>
      <c r="P157" s="403">
        <v>2374.8000000000002</v>
      </c>
      <c r="Q157" s="116">
        <f>IF(N157&gt;0,VLOOKUP(M157,'3_TIME SUM'!$F$7:$G$128,2,FALSE),0)</f>
        <v>0</v>
      </c>
      <c r="R157" s="517"/>
      <c r="S157" s="94">
        <f t="shared" si="12"/>
        <v>2.0833333333333332E-2</v>
      </c>
      <c r="T157" s="94">
        <f t="shared" ca="1" si="423"/>
        <v>18.041666666666671</v>
      </c>
      <c r="U157" s="535">
        <f ca="1">$T157+'1_INPUT'!$E$18</f>
        <v>44961.833333333328</v>
      </c>
      <c r="V157" s="95">
        <f t="shared" ca="1" si="424"/>
        <v>-86.000000000000227</v>
      </c>
      <c r="W157" s="110">
        <f t="shared" ca="1" si="425"/>
        <v>3.5833333333333335</v>
      </c>
      <c r="X157" s="111">
        <f t="shared" ca="1" si="426"/>
        <v>44962</v>
      </c>
      <c r="Y157" s="112" t="str">
        <f ca="1">IFERROR(IF(SUMIFS($N$9:$N157,$X$9:$X157,ROUNDUP(VALUE(U157),0),$Q$9:$Q157,"npt")=0,"-",SUMIFS($N$9:$N157,$X$9:$X157,ROUNDUP(VALUE(U157),0),$Q$9:$Q157,"npt")/SUMIFS($N$9:$N157,$X$9:$X157,ROUNDUP(VALUE(U157),0))),"")</f>
        <v>-</v>
      </c>
      <c r="Z157" s="112">
        <f ca="1">IFERROR(IF($N157=0,"-",SUMIF($Q$11:$Q157,"npt",$N$11:$N157)/(T157*24)),"")</f>
        <v>2.6558891454965351E-2</v>
      </c>
      <c r="AA157" s="491"/>
      <c r="AB157" s="491"/>
      <c r="AC157" s="398" t="s">
        <v>224</v>
      </c>
      <c r="AD157" s="427">
        <f t="shared" ca="1" si="9"/>
        <v>14.458333333333329</v>
      </c>
      <c r="AE157" s="427">
        <f t="shared" ca="1" si="0"/>
        <v>1112</v>
      </c>
      <c r="AF157" s="427">
        <f t="shared" ca="1" si="427"/>
        <v>18.041666666666671</v>
      </c>
      <c r="AG157" s="427">
        <f t="shared" ca="1" si="2"/>
        <v>2374.8000000000002</v>
      </c>
      <c r="AH157" s="493"/>
      <c r="AI157" s="427">
        <f t="shared" ca="1" si="3"/>
        <v>0</v>
      </c>
      <c r="AJ157" s="493"/>
      <c r="AK157" s="428">
        <f t="shared" ca="1" si="428"/>
        <v>2</v>
      </c>
      <c r="AL157" s="428">
        <f ca="1">IF(A157&lt;&gt;"",IFERROR(INDEX('1_INPUT'!$B$69:$E$89,MATCH($A157,'1_INPUT'!$E$69:$E$89,0),1),""),INDIRECT(ADDRESS(ROW()+1,COLUMN($AL$9),,,)))</f>
        <v>5</v>
      </c>
      <c r="AM157" s="428" t="str">
        <f ca="1">IF(AN157="","",MAX(INDIRECT(ADDRESS(9,COLUMN($AM$9),,,)):INDIRECT(ADDRESS(ROW()-1,COLUMN($AM$9),,,)))+1)</f>
        <v/>
      </c>
      <c r="AN157" s="429" t="str">
        <f>IF($AO157&lt;&gt;"",VLOOKUP($AK157,'1_INPUT'!$B$124:$D$136,2,FALSE),"")</f>
        <v/>
      </c>
      <c r="AO157" s="429" t="str">
        <f t="shared" si="10"/>
        <v/>
      </c>
      <c r="AP157" s="427">
        <f ca="1">SUMIF($AL$10:AL157,$AL157,$I$10:I157)</f>
        <v>209.66666666666657</v>
      </c>
      <c r="AR157" s="430" t="str">
        <f t="shared" ca="1" si="5"/>
        <v>WORKOVER SECTION</v>
      </c>
      <c r="AS157" s="430">
        <f ca="1">MATCH(AR157,'1_INPUT'!$V$43:$V$64,0)+1</f>
        <v>6</v>
      </c>
      <c r="AT157" s="430">
        <f ca="1">VLOOKUP(AR157,'1_INPUT'!$V$43:$W$64,2,FALSE)</f>
        <v>21</v>
      </c>
      <c r="AU157" s="430">
        <f ca="1">COUNTIF('1_INPUT'!$W$43:$W$64,AT157)-1</f>
        <v>5</v>
      </c>
      <c r="AV157" s="430" t="e">
        <f ca="1">OFFSET('1_INPUT'!$V$42,$AS157,,$AU157,)</f>
        <v>#VALUE!</v>
      </c>
      <c r="AX157" s="430" t="str">
        <f t="shared" si="429"/>
        <v/>
      </c>
      <c r="CK157" s="9"/>
      <c r="CL157" s="9"/>
    </row>
    <row r="158" spans="1:90" ht="13.8">
      <c r="A158" s="205"/>
      <c r="B158" s="518"/>
      <c r="C158" s="208" t="str">
        <f>IF(D158&lt;&gt;"",MAX($C$9:C157)+1,"")</f>
        <v/>
      </c>
      <c r="D158" s="523"/>
      <c r="E158" s="406"/>
      <c r="F158" s="407"/>
      <c r="G158" s="209">
        <f t="shared" ref="G158:G159" ca="1" si="430">IF(INDIRECT(ADDRESS(ROW()-1,COLUMN(B$7),,,))&lt;&gt;"",INDIRECT(ADDRESS(ROW(),COLUMN(F$7),,,)),INDIRECT(ADDRESS(ROW()-1,COLUMN(G$7),,,))+INDIRECT(ADDRESS(ROW(),COLUMN(F$7),,,)))</f>
        <v>347</v>
      </c>
      <c r="H158" s="209">
        <f t="shared" si="218"/>
        <v>0</v>
      </c>
      <c r="I158" s="209">
        <f t="shared" ref="I158:I159" ca="1" si="431">INDIRECT(ADDRESS(ROW()-1,COLUMN(I$7),,,))+INDIRECT(ADDRESS(ROW(),COLUMN(H$7),,,))</f>
        <v>14.458333333333329</v>
      </c>
      <c r="J158" s="540">
        <v>1112</v>
      </c>
      <c r="K158" s="200"/>
      <c r="L158" s="525" t="s">
        <v>674</v>
      </c>
      <c r="M158" s="400" t="s">
        <v>529</v>
      </c>
      <c r="N158" s="407">
        <v>1</v>
      </c>
      <c r="O158" s="95">
        <f t="shared" ref="O158:O159" ca="1" si="432">IF(INDIRECT(ADDRESS(ROW()-1,COLUMN(B$7),,,))&lt;&gt;"",INDIRECT(ADDRESS(ROW(),COLUMN(N$7),,,)),INDIRECT(ADDRESS(ROW()-1,COLUMN(O$7),,,))+INDIRECT(ADDRESS(ROW(),COLUMN(N$7),,,)))</f>
        <v>434</v>
      </c>
      <c r="P158" s="403">
        <v>2374.8000000000002</v>
      </c>
      <c r="Q158" s="116">
        <f>IF(N158&gt;0,VLOOKUP(M158,'3_TIME SUM'!$F$7:$G$128,2,FALSE),0)</f>
        <v>0</v>
      </c>
      <c r="R158" s="517"/>
      <c r="S158" s="94">
        <f t="shared" si="12"/>
        <v>4.1666666666666664E-2</v>
      </c>
      <c r="T158" s="94">
        <f t="shared" ref="T158:T159" ca="1" si="433">INDIRECT(ADDRESS(ROW()-1,COLUMN(T$7),,,))+INDIRECT(ADDRESS(ROW(),COLUMN(S$7),,,))</f>
        <v>18.083333333333339</v>
      </c>
      <c r="U158" s="535">
        <f ca="1">$T158+'1_INPUT'!$E$18</f>
        <v>44961.875</v>
      </c>
      <c r="V158" s="95">
        <f t="shared" ref="V158:V159" ca="1" si="434">IFERROR(IF($AI158=0,($I158-T158)*24,(($P158-INDIRECT(ADDRESS(ROW()-1,COLUMN($P$9),,,)))/$AI158)-$N158+(INDIRECT(ADDRESS(ROW()-1,COLUMN(V$9),,,)))),"")</f>
        <v>-87.000000000000256</v>
      </c>
      <c r="W158" s="110">
        <f t="shared" ref="W158:W159" ca="1" si="435">IFERROR(IF(V158&gt;0,TIME(V158,(V158-ROUNDDOWN(V158,0))*60,0)+DAY((ROUNDDOWN(V158,0)/24)),TIME((-V158),((-V158)-ROUNDDOWN((-V158),0))*60,0)+DAY((ROUNDDOWN((-V158),0)/24))),"")</f>
        <v>3.625</v>
      </c>
      <c r="X158" s="111">
        <f t="shared" ref="X158:X159" ca="1" si="436">IF(U158=0,"-",ROUNDUP(VALUE(U158),0))</f>
        <v>44962</v>
      </c>
      <c r="Y158" s="112" t="str">
        <f ca="1">IFERROR(IF(SUMIFS($N$9:$N158,$X$9:$X158,ROUNDUP(VALUE(U158),0),$Q$9:$Q158,"npt")=0,"-",SUMIFS($N$9:$N158,$X$9:$X158,ROUNDUP(VALUE(U158),0),$Q$9:$Q158,"npt")/SUMIFS($N$9:$N158,$X$9:$X158,ROUNDUP(VALUE(U158),0))),"")</f>
        <v>-</v>
      </c>
      <c r="Z158" s="112">
        <f ca="1">IFERROR(IF($N158=0,"-",SUMIF($Q$11:$Q158,"npt",$N$11:$N158)/(T158*24)),"")</f>
        <v>2.6497695852534555E-2</v>
      </c>
      <c r="AA158" s="491"/>
      <c r="AB158" s="491"/>
      <c r="AC158" s="398" t="s">
        <v>224</v>
      </c>
      <c r="AD158" s="427">
        <f t="shared" ca="1" si="9"/>
        <v>14.458333333333329</v>
      </c>
      <c r="AE158" s="427">
        <f t="shared" ca="1" si="0"/>
        <v>1112</v>
      </c>
      <c r="AF158" s="427">
        <f t="shared" ref="AF158:AF159" ca="1" si="437">T158</f>
        <v>18.083333333333339</v>
      </c>
      <c r="AG158" s="427">
        <f t="shared" ca="1" si="2"/>
        <v>2374.8000000000002</v>
      </c>
      <c r="AH158" s="493"/>
      <c r="AI158" s="427">
        <f t="shared" ca="1" si="3"/>
        <v>0</v>
      </c>
      <c r="AJ158" s="493"/>
      <c r="AK158" s="428">
        <f t="shared" ref="AK158:AK159" ca="1" si="438">IF(B158&lt;&gt;"",B158,INDIRECT(ADDRESS(ROW()+1,COLUMN($AK$9),,,)))</f>
        <v>2</v>
      </c>
      <c r="AL158" s="428">
        <f ca="1">IF(A158&lt;&gt;"",IFERROR(INDEX('1_INPUT'!$B$69:$E$89,MATCH($A158,'1_INPUT'!$E$69:$E$89,0),1),""),INDIRECT(ADDRESS(ROW()+1,COLUMN($AL$9),,,)))</f>
        <v>5</v>
      </c>
      <c r="AM158" s="428" t="str">
        <f ca="1">IF(AN158="","",MAX(INDIRECT(ADDRESS(9,COLUMN($AM$9),,,)):INDIRECT(ADDRESS(ROW()-1,COLUMN($AM$9),,,)))+1)</f>
        <v/>
      </c>
      <c r="AN158" s="429" t="str">
        <f>IF($AO158&lt;&gt;"",VLOOKUP($AK158,'1_INPUT'!$B$124:$D$136,2,FALSE),"")</f>
        <v/>
      </c>
      <c r="AO158" s="429" t="str">
        <f t="shared" si="10"/>
        <v/>
      </c>
      <c r="AP158" s="427">
        <f ca="1">SUMIF($AL$10:AL158,$AL158,$I$10:I158)</f>
        <v>224.12499999999989</v>
      </c>
      <c r="AR158" s="430" t="str">
        <f t="shared" ca="1" si="5"/>
        <v>WORKOVER SECTION</v>
      </c>
      <c r="AS158" s="430">
        <f ca="1">MATCH(AR158,'1_INPUT'!$V$43:$V$64,0)+1</f>
        <v>6</v>
      </c>
      <c r="AT158" s="430">
        <f ca="1">VLOOKUP(AR158,'1_INPUT'!$V$43:$W$64,2,FALSE)</f>
        <v>21</v>
      </c>
      <c r="AU158" s="430">
        <f ca="1">COUNTIF('1_INPUT'!$W$43:$W$64,AT158)-1</f>
        <v>5</v>
      </c>
      <c r="AV158" s="430" t="e">
        <f ca="1">OFFSET('1_INPUT'!$V$42,$AS158,,$AU158,)</f>
        <v>#VALUE!</v>
      </c>
      <c r="AX158" s="430" t="str">
        <f t="shared" ref="AX158:AX159" si="439">IF(A158&lt;&gt;"",""&amp;AR158&amp;"-"&amp;A158&amp;"","")</f>
        <v/>
      </c>
      <c r="CK158" s="9"/>
      <c r="CL158" s="9"/>
    </row>
    <row r="159" spans="1:90" ht="74.25" customHeight="1">
      <c r="A159" s="205"/>
      <c r="B159" s="518"/>
      <c r="C159" s="208" t="str">
        <f>IF(D159&lt;&gt;"",MAX($C$9:C158)+1,"")</f>
        <v/>
      </c>
      <c r="D159" s="523"/>
      <c r="E159" s="406"/>
      <c r="F159" s="407"/>
      <c r="G159" s="209">
        <f t="shared" ca="1" si="430"/>
        <v>347</v>
      </c>
      <c r="H159" s="209">
        <f t="shared" si="218"/>
        <v>0</v>
      </c>
      <c r="I159" s="209">
        <f t="shared" ca="1" si="431"/>
        <v>14.458333333333329</v>
      </c>
      <c r="J159" s="540">
        <v>1112</v>
      </c>
      <c r="K159" s="200"/>
      <c r="L159" s="525" t="s">
        <v>737</v>
      </c>
      <c r="M159" s="400" t="s">
        <v>146</v>
      </c>
      <c r="N159" s="407">
        <v>3</v>
      </c>
      <c r="O159" s="95">
        <f t="shared" ca="1" si="432"/>
        <v>437</v>
      </c>
      <c r="P159" s="403">
        <v>2374.8000000000002</v>
      </c>
      <c r="Q159" s="116">
        <f>IF(N159&gt;0,VLOOKUP(M159,'3_TIME SUM'!$F$7:$G$128,2,FALSE),0)</f>
        <v>0</v>
      </c>
      <c r="R159" s="517"/>
      <c r="S159" s="94">
        <f t="shared" si="12"/>
        <v>0.125</v>
      </c>
      <c r="T159" s="94">
        <f t="shared" ca="1" si="433"/>
        <v>18.208333333333339</v>
      </c>
      <c r="U159" s="539">
        <f ca="1">$T159+'1_INPUT'!$E$18</f>
        <v>44962</v>
      </c>
      <c r="V159" s="95">
        <f t="shared" ca="1" si="434"/>
        <v>-90.000000000000256</v>
      </c>
      <c r="W159" s="110">
        <f t="shared" ca="1" si="435"/>
        <v>3.75</v>
      </c>
      <c r="X159" s="111">
        <f t="shared" ca="1" si="436"/>
        <v>44962</v>
      </c>
      <c r="Y159" s="112" t="str">
        <f ca="1">IFERROR(IF(SUMIFS($N$9:$N159,$X$9:$X159,ROUNDUP(VALUE(U159),0),$Q$9:$Q159,"npt")=0,"-",SUMIFS($N$9:$N159,$X$9:$X159,ROUNDUP(VALUE(U159),0),$Q$9:$Q159,"npt")/SUMIFS($N$9:$N159,$X$9:$X159,ROUNDUP(VALUE(U159),0))),"")</f>
        <v>-</v>
      </c>
      <c r="Z159" s="112">
        <f ca="1">IFERROR(IF($N159=0,"-",SUMIF($Q$11:$Q159,"npt",$N$11:$N159)/(T159*24)),"")</f>
        <v>2.6315789473684202E-2</v>
      </c>
      <c r="AA159" s="491"/>
      <c r="AB159" s="491"/>
      <c r="AC159" s="398" t="s">
        <v>224</v>
      </c>
      <c r="AD159" s="427">
        <f t="shared" ca="1" si="9"/>
        <v>14.458333333333329</v>
      </c>
      <c r="AE159" s="427">
        <f t="shared" ca="1" si="0"/>
        <v>1112</v>
      </c>
      <c r="AF159" s="427">
        <f t="shared" ca="1" si="437"/>
        <v>18.208333333333339</v>
      </c>
      <c r="AG159" s="427">
        <f t="shared" ca="1" si="2"/>
        <v>2374.8000000000002</v>
      </c>
      <c r="AH159" s="493"/>
      <c r="AI159" s="427">
        <f t="shared" ca="1" si="3"/>
        <v>0</v>
      </c>
      <c r="AJ159" s="493"/>
      <c r="AK159" s="428">
        <f t="shared" ca="1" si="438"/>
        <v>2</v>
      </c>
      <c r="AL159" s="428">
        <f ca="1">IF(A159&lt;&gt;"",IFERROR(INDEX('1_INPUT'!$B$69:$E$89,MATCH($A159,'1_INPUT'!$E$69:$E$89,0),1),""),INDIRECT(ADDRESS(ROW()+1,COLUMN($AL$9),,,)))</f>
        <v>5</v>
      </c>
      <c r="AM159" s="428" t="str">
        <f ca="1">IF(AN159="","",MAX(INDIRECT(ADDRESS(9,COLUMN($AM$9),,,)):INDIRECT(ADDRESS(ROW()-1,COLUMN($AM$9),,,)))+1)</f>
        <v/>
      </c>
      <c r="AN159" s="429" t="str">
        <f>IF($AO159&lt;&gt;"",VLOOKUP($AK159,'1_INPUT'!$B$124:$D$136,2,FALSE),"")</f>
        <v/>
      </c>
      <c r="AO159" s="429" t="str">
        <f t="shared" si="10"/>
        <v/>
      </c>
      <c r="AP159" s="427">
        <f ca="1">SUMIF($AL$10:AL159,$AL159,$I$10:I159)</f>
        <v>238.5833333333332</v>
      </c>
      <c r="AR159" s="430" t="str">
        <f t="shared" ca="1" si="5"/>
        <v>WORKOVER SECTION</v>
      </c>
      <c r="AS159" s="430">
        <f ca="1">MATCH(AR159,'1_INPUT'!$V$43:$V$64,0)+1</f>
        <v>6</v>
      </c>
      <c r="AT159" s="430">
        <f ca="1">VLOOKUP(AR159,'1_INPUT'!$V$43:$W$64,2,FALSE)</f>
        <v>21</v>
      </c>
      <c r="AU159" s="430">
        <f ca="1">COUNTIF('1_INPUT'!$W$43:$W$64,AT159)-1</f>
        <v>5</v>
      </c>
      <c r="AV159" s="430" t="e">
        <f ca="1">OFFSET('1_INPUT'!$V$42,$AS159,,$AU159,)</f>
        <v>#VALUE!</v>
      </c>
      <c r="AX159" s="430" t="str">
        <f t="shared" si="439"/>
        <v/>
      </c>
      <c r="CK159" s="9"/>
      <c r="CL159" s="9"/>
    </row>
    <row r="160" spans="1:90" ht="69">
      <c r="A160" s="205"/>
      <c r="B160" s="518"/>
      <c r="C160" s="208" t="str">
        <f>IF(D160&lt;&gt;"",MAX($C$9:C159)+1,"")</f>
        <v/>
      </c>
      <c r="D160" s="523"/>
      <c r="E160" s="406"/>
      <c r="F160" s="407"/>
      <c r="G160" s="209">
        <f t="shared" ref="G160" ca="1" si="440">IF(INDIRECT(ADDRESS(ROW()-1,COLUMN(B$7),,,))&lt;&gt;"",INDIRECT(ADDRESS(ROW(),COLUMN(F$7),,,)),INDIRECT(ADDRESS(ROW()-1,COLUMN(G$7),,,))+INDIRECT(ADDRESS(ROW(),COLUMN(F$7),,,)))</f>
        <v>347</v>
      </c>
      <c r="H160" s="209">
        <f t="shared" si="218"/>
        <v>0</v>
      </c>
      <c r="I160" s="209">
        <f t="shared" ref="I160" ca="1" si="441">INDIRECT(ADDRESS(ROW()-1,COLUMN(I$7),,,))+INDIRECT(ADDRESS(ROW(),COLUMN(H$7),,,))</f>
        <v>14.458333333333329</v>
      </c>
      <c r="J160" s="540">
        <v>1112</v>
      </c>
      <c r="K160" s="200"/>
      <c r="L160" s="525" t="s">
        <v>738</v>
      </c>
      <c r="M160" s="400" t="s">
        <v>146</v>
      </c>
      <c r="N160" s="407">
        <v>6</v>
      </c>
      <c r="O160" s="95">
        <f t="shared" ref="O160" ca="1" si="442">IF(INDIRECT(ADDRESS(ROW()-1,COLUMN(B$7),,,))&lt;&gt;"",INDIRECT(ADDRESS(ROW(),COLUMN(N$7),,,)),INDIRECT(ADDRESS(ROW()-1,COLUMN(O$7),,,))+INDIRECT(ADDRESS(ROW(),COLUMN(N$7),,,)))</f>
        <v>443</v>
      </c>
      <c r="P160" s="403">
        <v>2374.8000000000002</v>
      </c>
      <c r="Q160" s="116">
        <f>IF(N160&gt;0,VLOOKUP(M160,'3_TIME SUM'!$F$7:$G$128,2,FALSE),0)</f>
        <v>0</v>
      </c>
      <c r="R160" s="517"/>
      <c r="S160" s="94">
        <f t="shared" si="12"/>
        <v>0.25</v>
      </c>
      <c r="T160" s="94">
        <f t="shared" ref="T160" ca="1" si="443">INDIRECT(ADDRESS(ROW()-1,COLUMN(T$7),,,))+INDIRECT(ADDRESS(ROW(),COLUMN(S$7),,,))</f>
        <v>18.458333333333339</v>
      </c>
      <c r="U160" s="535">
        <f ca="1">$T160+'1_INPUT'!$E$18</f>
        <v>44962.25</v>
      </c>
      <c r="V160" s="95">
        <f t="shared" ref="V160" ca="1" si="444">IFERROR(IF($AI160=0,($I160-T160)*24,(($P160-INDIRECT(ADDRESS(ROW()-1,COLUMN($P$9),,,)))/$AI160)-$N160+(INDIRECT(ADDRESS(ROW()-1,COLUMN(V$9),,,)))),"")</f>
        <v>-96.000000000000256</v>
      </c>
      <c r="W160" s="110">
        <f t="shared" ref="W160" ca="1" si="445">IFERROR(IF(V160&gt;0,TIME(V160,(V160-ROUNDDOWN(V160,0))*60,0)+DAY((ROUNDDOWN(V160,0)/24)),TIME((-V160),((-V160)-ROUNDDOWN((-V160),0))*60,0)+DAY((ROUNDDOWN((-V160),0)/24))),"")</f>
        <v>4</v>
      </c>
      <c r="X160" s="111">
        <f t="shared" ref="X160" ca="1" si="446">IF(U160=0,"-",ROUNDUP(VALUE(U160),0))</f>
        <v>44963</v>
      </c>
      <c r="Y160" s="112" t="str">
        <f ca="1">IFERROR(IF(SUMIFS($N$9:$N160,$X$9:$X160,ROUNDUP(VALUE(U160),0),$Q$9:$Q160,"npt")=0,"-",SUMIFS($N$9:$N160,$X$9:$X160,ROUNDUP(VALUE(U160),0),$Q$9:$Q160,"npt")/SUMIFS($N$9:$N160,$X$9:$X160,ROUNDUP(VALUE(U160),0))),"")</f>
        <v>-</v>
      </c>
      <c r="Z160" s="112">
        <f ca="1">IFERROR(IF($N160=0,"-",SUMIF($Q$11:$Q160,"npt",$N$11:$N160)/(T160*24)),"")</f>
        <v>2.595936794582392E-2</v>
      </c>
      <c r="AA160" s="491"/>
      <c r="AB160" s="491"/>
      <c r="AC160" s="398" t="s">
        <v>224</v>
      </c>
      <c r="AD160" s="427">
        <f t="shared" ca="1" si="9"/>
        <v>14.458333333333329</v>
      </c>
      <c r="AE160" s="427">
        <f t="shared" ca="1" si="0"/>
        <v>1112</v>
      </c>
      <c r="AF160" s="427">
        <f t="shared" ref="AF160" ca="1" si="447">T160</f>
        <v>18.458333333333339</v>
      </c>
      <c r="AG160" s="427">
        <f t="shared" ca="1" si="2"/>
        <v>2374.8000000000002</v>
      </c>
      <c r="AH160" s="493"/>
      <c r="AI160" s="427">
        <f t="shared" ca="1" si="3"/>
        <v>0</v>
      </c>
      <c r="AJ160" s="493"/>
      <c r="AK160" s="428">
        <f t="shared" ref="AK160" ca="1" si="448">IF(B160&lt;&gt;"",B160,INDIRECT(ADDRESS(ROW()+1,COLUMN($AK$9),,,)))</f>
        <v>2</v>
      </c>
      <c r="AL160" s="428">
        <f ca="1">IF(A160&lt;&gt;"",IFERROR(INDEX('1_INPUT'!$B$69:$E$89,MATCH($A160,'1_INPUT'!$E$69:$E$89,0),1),""),INDIRECT(ADDRESS(ROW()+1,COLUMN($AL$9),,,)))</f>
        <v>5</v>
      </c>
      <c r="AM160" s="428" t="str">
        <f ca="1">IF(AN160="","",MAX(INDIRECT(ADDRESS(9,COLUMN($AM$9),,,)):INDIRECT(ADDRESS(ROW()-1,COLUMN($AM$9),,,)))+1)</f>
        <v/>
      </c>
      <c r="AN160" s="429" t="str">
        <f>IF($AO160&lt;&gt;"",VLOOKUP($AK160,'1_INPUT'!$B$124:$D$136,2,FALSE),"")</f>
        <v/>
      </c>
      <c r="AO160" s="429" t="str">
        <f t="shared" si="10"/>
        <v/>
      </c>
      <c r="AP160" s="427">
        <f ca="1">SUMIF($AL$10:AL160,$AL160,$I$10:I160)</f>
        <v>253.04166666666652</v>
      </c>
      <c r="AR160" s="430" t="str">
        <f t="shared" ca="1" si="5"/>
        <v>WORKOVER SECTION</v>
      </c>
      <c r="AS160" s="430">
        <f ca="1">MATCH(AR160,'1_INPUT'!$V$43:$V$64,0)+1</f>
        <v>6</v>
      </c>
      <c r="AT160" s="430">
        <f ca="1">VLOOKUP(AR160,'1_INPUT'!$V$43:$W$64,2,FALSE)</f>
        <v>21</v>
      </c>
      <c r="AU160" s="430">
        <f ca="1">COUNTIF('1_INPUT'!$W$43:$W$64,AT160)-1</f>
        <v>5</v>
      </c>
      <c r="AV160" s="430" t="e">
        <f ca="1">OFFSET('1_INPUT'!$V$42,$AS160,,$AU160,)</f>
        <v>#VALUE!</v>
      </c>
      <c r="AX160" s="430" t="str">
        <f t="shared" ref="AX160" si="449">IF(A160&lt;&gt;"",""&amp;AR160&amp;"-"&amp;A160&amp;"","")</f>
        <v/>
      </c>
      <c r="CK160" s="9"/>
      <c r="CL160" s="9"/>
    </row>
    <row r="161" spans="1:90" ht="27.6">
      <c r="A161" s="205"/>
      <c r="B161" s="518"/>
      <c r="C161" s="208">
        <f ca="1">IF(D161&lt;&gt;"",MAX($C$9:C157)+1,"")</f>
        <v>55</v>
      </c>
      <c r="D161" s="523" t="s">
        <v>612</v>
      </c>
      <c r="E161" s="406"/>
      <c r="F161" s="407">
        <v>24</v>
      </c>
      <c r="G161" s="209">
        <f t="shared" ca="1" si="420"/>
        <v>371</v>
      </c>
      <c r="H161" s="209">
        <f t="shared" si="218"/>
        <v>1</v>
      </c>
      <c r="I161" s="209">
        <f t="shared" ca="1" si="421"/>
        <v>15.458333333333329</v>
      </c>
      <c r="J161" s="540">
        <v>1112</v>
      </c>
      <c r="K161" s="200"/>
      <c r="L161" s="525" t="s">
        <v>739</v>
      </c>
      <c r="M161" s="400" t="s">
        <v>545</v>
      </c>
      <c r="N161" s="407">
        <v>5.5</v>
      </c>
      <c r="O161" s="95">
        <f t="shared" ca="1" si="422"/>
        <v>448.5</v>
      </c>
      <c r="P161" s="403">
        <v>2374.8000000000002</v>
      </c>
      <c r="Q161" s="116">
        <f>IF(N161&gt;0,VLOOKUP(M161,'3_TIME SUM'!$F$7:$G$128,2,FALSE),0)</f>
        <v>0</v>
      </c>
      <c r="R161" s="517"/>
      <c r="S161" s="94">
        <f t="shared" si="12"/>
        <v>0.22916666666666666</v>
      </c>
      <c r="T161" s="94">
        <f t="shared" ca="1" si="423"/>
        <v>18.687500000000007</v>
      </c>
      <c r="U161" s="535">
        <f ca="1">$T161+'1_INPUT'!$E$18</f>
        <v>44962.479166666664</v>
      </c>
      <c r="V161" s="95">
        <f t="shared" ca="1" si="424"/>
        <v>-77.500000000000284</v>
      </c>
      <c r="W161" s="110">
        <f t="shared" ca="1" si="425"/>
        <v>3.2291666666666665</v>
      </c>
      <c r="X161" s="111">
        <f t="shared" ca="1" si="426"/>
        <v>44963</v>
      </c>
      <c r="Y161" s="112" t="str">
        <f ca="1">IFERROR(IF(SUMIFS($N$9:$N161,$X$9:$X161,ROUNDUP(VALUE(U161),0),$Q$9:$Q161,"npt")=0,"-",SUMIFS($N$9:$N161,$X$9:$X161,ROUNDUP(VALUE(U161),0),$Q$9:$Q161,"npt")/SUMIFS($N$9:$N161,$X$9:$X161,ROUNDUP(VALUE(U161),0))),"")</f>
        <v>-</v>
      </c>
      <c r="Z161" s="112">
        <f ca="1">IFERROR(IF($N161=0,"-",SUMIF($Q$11:$Q161,"npt",$N$11:$N161)/(T161*24)),"")</f>
        <v>2.564102564102563E-2</v>
      </c>
      <c r="AA161" s="491"/>
      <c r="AB161" s="491"/>
      <c r="AC161" s="398" t="s">
        <v>224</v>
      </c>
      <c r="AD161" s="427">
        <f t="shared" ca="1" si="9"/>
        <v>15.458333333333329</v>
      </c>
      <c r="AE161" s="427">
        <f t="shared" ca="1" si="0"/>
        <v>1112</v>
      </c>
      <c r="AF161" s="427">
        <f t="shared" ca="1" si="427"/>
        <v>18.687500000000007</v>
      </c>
      <c r="AG161" s="427">
        <f t="shared" ca="1" si="2"/>
        <v>2374.8000000000002</v>
      </c>
      <c r="AH161" s="493"/>
      <c r="AI161" s="427">
        <f t="shared" ca="1" si="3"/>
        <v>0</v>
      </c>
      <c r="AJ161" s="493"/>
      <c r="AK161" s="428">
        <f t="shared" ca="1" si="428"/>
        <v>2</v>
      </c>
      <c r="AL161" s="428">
        <f ca="1">IF(A161&lt;&gt;"",IFERROR(INDEX('1_INPUT'!$B$69:$E$89,MATCH($A161,'1_INPUT'!$E$69:$E$89,0),1),""),INDIRECT(ADDRESS(ROW()+1,COLUMN($AL$9),,,)))</f>
        <v>5</v>
      </c>
      <c r="AM161" s="428" t="str">
        <f ca="1">IF(AN161="","",MAX(INDIRECT(ADDRESS(9,COLUMN($AM$9),,,)):INDIRECT(ADDRESS(ROW()-1,COLUMN($AM$9),,,)))+1)</f>
        <v/>
      </c>
      <c r="AN161" s="429" t="str">
        <f>IF($AO161&lt;&gt;"",VLOOKUP($AK161,'1_INPUT'!$B$124:$D$136,2,FALSE),"")</f>
        <v/>
      </c>
      <c r="AO161" s="429" t="str">
        <f t="shared" si="10"/>
        <v/>
      </c>
      <c r="AP161" s="427">
        <f ca="1">SUMIF($AL$10:AL161,$AL161,$I$10:I161)</f>
        <v>268.49999999999983</v>
      </c>
      <c r="AR161" s="430" t="str">
        <f t="shared" ca="1" si="5"/>
        <v>WORKOVER SECTION</v>
      </c>
      <c r="AS161" s="430">
        <f ca="1">MATCH(AR161,'1_INPUT'!$V$43:$V$64,0)+1</f>
        <v>6</v>
      </c>
      <c r="AT161" s="430">
        <f ca="1">VLOOKUP(AR161,'1_INPUT'!$V$43:$W$64,2,FALSE)</f>
        <v>21</v>
      </c>
      <c r="AU161" s="430">
        <f ca="1">COUNTIF('1_INPUT'!$W$43:$W$64,AT161)-1</f>
        <v>5</v>
      </c>
      <c r="AV161" s="430" t="e">
        <f ca="1">OFFSET('1_INPUT'!$V$42,$AS161,,$AU161,)</f>
        <v>#VALUE!</v>
      </c>
      <c r="AX161" s="430" t="str">
        <f t="shared" si="429"/>
        <v/>
      </c>
      <c r="CK161" s="9"/>
      <c r="CL161" s="9"/>
    </row>
    <row r="162" spans="1:90" ht="27.6">
      <c r="A162" s="205"/>
      <c r="B162" s="518"/>
      <c r="C162" s="208" t="str">
        <f>IF(D162&lt;&gt;"",MAX($C$9:C158)+1,"")</f>
        <v/>
      </c>
      <c r="D162" s="523"/>
      <c r="E162" s="406"/>
      <c r="F162" s="407"/>
      <c r="G162" s="209">
        <f t="shared" ref="G162:G168" ca="1" si="450">IF(INDIRECT(ADDRESS(ROW()-1,COLUMN(B$7),,,))&lt;&gt;"",INDIRECT(ADDRESS(ROW(),COLUMN(F$7),,,)),INDIRECT(ADDRESS(ROW()-1,COLUMN(G$7),,,))+INDIRECT(ADDRESS(ROW(),COLUMN(F$7),,,)))</f>
        <v>371</v>
      </c>
      <c r="H162" s="209">
        <f t="shared" si="218"/>
        <v>0</v>
      </c>
      <c r="I162" s="209">
        <f t="shared" ref="I162:I168" ca="1" si="451">INDIRECT(ADDRESS(ROW()-1,COLUMN(I$7),,,))+INDIRECT(ADDRESS(ROW(),COLUMN(H$7),,,))</f>
        <v>15.458333333333329</v>
      </c>
      <c r="J162" s="540">
        <v>1112</v>
      </c>
      <c r="K162" s="200"/>
      <c r="L162" s="525" t="s">
        <v>740</v>
      </c>
      <c r="M162" s="400" t="s">
        <v>545</v>
      </c>
      <c r="N162" s="407">
        <v>0.5</v>
      </c>
      <c r="O162" s="95">
        <f t="shared" ref="O162:O168" ca="1" si="452">IF(INDIRECT(ADDRESS(ROW()-1,COLUMN(B$7),,,))&lt;&gt;"",INDIRECT(ADDRESS(ROW(),COLUMN(N$7),,,)),INDIRECT(ADDRESS(ROW()-1,COLUMN(O$7),,,))+INDIRECT(ADDRESS(ROW(),COLUMN(N$7),,,)))</f>
        <v>449</v>
      </c>
      <c r="P162" s="403">
        <v>2374.8000000000002</v>
      </c>
      <c r="Q162" s="116">
        <f>IF(N162&gt;0,VLOOKUP(M162,'3_TIME SUM'!$F$7:$G$128,2,FALSE),0)</f>
        <v>0</v>
      </c>
      <c r="R162" s="517"/>
      <c r="S162" s="94">
        <f t="shared" si="12"/>
        <v>2.0833333333333332E-2</v>
      </c>
      <c r="T162" s="94">
        <f t="shared" ref="T162:T168" ca="1" si="453">INDIRECT(ADDRESS(ROW()-1,COLUMN(T$7),,,))+INDIRECT(ADDRESS(ROW(),COLUMN(S$7),,,))</f>
        <v>18.708333333333339</v>
      </c>
      <c r="U162" s="535">
        <f ca="1">$T162+'1_INPUT'!$E$18</f>
        <v>44962.5</v>
      </c>
      <c r="V162" s="95">
        <f t="shared" ref="V162:V168" ca="1" si="454">IFERROR(IF($AI162=0,($I162-T162)*24,(($P162-INDIRECT(ADDRESS(ROW()-1,COLUMN($P$9),,,)))/$AI162)-$N162+(INDIRECT(ADDRESS(ROW()-1,COLUMN(V$9),,,)))),"")</f>
        <v>-78.000000000000256</v>
      </c>
      <c r="W162" s="110">
        <f t="shared" ref="W162:W168" ca="1" si="455">IFERROR(IF(V162&gt;0,TIME(V162,(V162-ROUNDDOWN(V162,0))*60,0)+DAY((ROUNDDOWN(V162,0)/24)),TIME((-V162),((-V162)-ROUNDDOWN((-V162),0))*60,0)+DAY((ROUNDDOWN((-V162),0)/24))),"")</f>
        <v>3.25</v>
      </c>
      <c r="X162" s="111">
        <f t="shared" ref="X162:X168" ca="1" si="456">IF(U162=0,"-",ROUNDUP(VALUE(U162),0))</f>
        <v>44963</v>
      </c>
      <c r="Y162" s="112" t="str">
        <f ca="1">IFERROR(IF(SUMIFS($N$9:$N162,$X$9:$X162,ROUNDUP(VALUE(U162),0),$Q$9:$Q162,"npt")=0,"-",SUMIFS($N$9:$N162,$X$9:$X162,ROUNDUP(VALUE(U162),0),$Q$9:$Q162,"npt")/SUMIFS($N$9:$N162,$X$9:$X162,ROUNDUP(VALUE(U162),0))),"")</f>
        <v>-</v>
      </c>
      <c r="Z162" s="112">
        <f ca="1">IFERROR(IF($N162=0,"-",SUMIF($Q$11:$Q162,"npt",$N$11:$N162)/(T162*24)),"")</f>
        <v>2.561247216035634E-2</v>
      </c>
      <c r="AA162" s="491"/>
      <c r="AB162" s="491"/>
      <c r="AC162" s="398" t="s">
        <v>224</v>
      </c>
      <c r="AD162" s="427">
        <f t="shared" ca="1" si="9"/>
        <v>15.458333333333329</v>
      </c>
      <c r="AE162" s="427">
        <f t="shared" ca="1" si="0"/>
        <v>1112</v>
      </c>
      <c r="AF162" s="427">
        <f t="shared" ref="AF162:AF168" ca="1" si="457">T162</f>
        <v>18.708333333333339</v>
      </c>
      <c r="AG162" s="427">
        <f t="shared" ca="1" si="2"/>
        <v>2374.8000000000002</v>
      </c>
      <c r="AH162" s="493"/>
      <c r="AI162" s="427">
        <f t="shared" ca="1" si="3"/>
        <v>0</v>
      </c>
      <c r="AJ162" s="493"/>
      <c r="AK162" s="428">
        <f t="shared" ref="AK162:AK168" ca="1" si="458">IF(B162&lt;&gt;"",B162,INDIRECT(ADDRESS(ROW()+1,COLUMN($AK$9),,,)))</f>
        <v>2</v>
      </c>
      <c r="AL162" s="428">
        <f ca="1">IF(A162&lt;&gt;"",IFERROR(INDEX('1_INPUT'!$B$69:$E$89,MATCH($A162,'1_INPUT'!$E$69:$E$89,0),1),""),INDIRECT(ADDRESS(ROW()+1,COLUMN($AL$9),,,)))</f>
        <v>5</v>
      </c>
      <c r="AM162" s="428" t="str">
        <f ca="1">IF(AN162="","",MAX(INDIRECT(ADDRESS(9,COLUMN($AM$9),,,)):INDIRECT(ADDRESS(ROW()-1,COLUMN($AM$9),,,)))+1)</f>
        <v/>
      </c>
      <c r="AN162" s="429" t="str">
        <f>IF($AO162&lt;&gt;"",VLOOKUP($AK162,'1_INPUT'!$B$124:$D$136,2,FALSE),"")</f>
        <v/>
      </c>
      <c r="AO162" s="429" t="str">
        <f t="shared" si="10"/>
        <v/>
      </c>
      <c r="AP162" s="427">
        <f ca="1">SUMIF($AL$10:AL162,$AL162,$I$10:I162)</f>
        <v>283.95833333333314</v>
      </c>
      <c r="AR162" s="430" t="str">
        <f t="shared" ca="1" si="5"/>
        <v>WORKOVER SECTION</v>
      </c>
      <c r="AS162" s="430">
        <f ca="1">MATCH(AR162,'1_INPUT'!$V$43:$V$64,0)+1</f>
        <v>6</v>
      </c>
      <c r="AT162" s="430">
        <f ca="1">VLOOKUP(AR162,'1_INPUT'!$V$43:$W$64,2,FALSE)</f>
        <v>21</v>
      </c>
      <c r="AU162" s="430">
        <f ca="1">COUNTIF('1_INPUT'!$W$43:$W$64,AT162)-1</f>
        <v>5</v>
      </c>
      <c r="AV162" s="430" t="e">
        <f ca="1">OFFSET('1_INPUT'!$V$42,$AS162,,$AU162,)</f>
        <v>#VALUE!</v>
      </c>
      <c r="AX162" s="430" t="str">
        <f t="shared" ref="AX162:AX168" si="459">IF(A162&lt;&gt;"",""&amp;AR162&amp;"-"&amp;A162&amp;"","")</f>
        <v/>
      </c>
      <c r="CK162" s="9"/>
      <c r="CL162" s="9"/>
    </row>
    <row r="163" spans="1:90" ht="110.4">
      <c r="A163" s="205"/>
      <c r="B163" s="518"/>
      <c r="C163" s="208" t="str">
        <f>IF(D163&lt;&gt;"",MAX($C$9:C159)+1,"")</f>
        <v/>
      </c>
      <c r="D163" s="523"/>
      <c r="E163" s="406"/>
      <c r="F163" s="407"/>
      <c r="G163" s="209">
        <f t="shared" ca="1" si="450"/>
        <v>371</v>
      </c>
      <c r="H163" s="209">
        <f t="shared" si="218"/>
        <v>0</v>
      </c>
      <c r="I163" s="209">
        <f t="shared" ca="1" si="451"/>
        <v>15.458333333333329</v>
      </c>
      <c r="J163" s="540">
        <v>1112</v>
      </c>
      <c r="K163" s="200"/>
      <c r="L163" s="525" t="s">
        <v>741</v>
      </c>
      <c r="M163" s="400" t="s">
        <v>545</v>
      </c>
      <c r="N163" s="407">
        <v>2</v>
      </c>
      <c r="O163" s="95">
        <f t="shared" ca="1" si="452"/>
        <v>451</v>
      </c>
      <c r="P163" s="403">
        <v>2374.8000000000002</v>
      </c>
      <c r="Q163" s="116">
        <f>IF(N163&gt;0,VLOOKUP(M163,'3_TIME SUM'!$F$7:$G$128,2,FALSE),0)</f>
        <v>0</v>
      </c>
      <c r="R163" s="517"/>
      <c r="S163" s="94">
        <f t="shared" si="12"/>
        <v>8.3333333333333329E-2</v>
      </c>
      <c r="T163" s="94">
        <f t="shared" ca="1" si="453"/>
        <v>18.791666666666671</v>
      </c>
      <c r="U163" s="535">
        <f ca="1">$T163+'1_INPUT'!$E$18</f>
        <v>44962.583333333328</v>
      </c>
      <c r="V163" s="95">
        <f t="shared" ca="1" si="454"/>
        <v>-80.000000000000227</v>
      </c>
      <c r="W163" s="110">
        <f t="shared" ca="1" si="455"/>
        <v>3.3333333333333335</v>
      </c>
      <c r="X163" s="111">
        <f t="shared" ca="1" si="456"/>
        <v>44963</v>
      </c>
      <c r="Y163" s="112" t="str">
        <f ca="1">IFERROR(IF(SUMIFS($N$9:$N163,$X$9:$X163,ROUNDUP(VALUE(U163),0),$Q$9:$Q163,"npt")=0,"-",SUMIFS($N$9:$N163,$X$9:$X163,ROUNDUP(VALUE(U163),0),$Q$9:$Q163,"npt")/SUMIFS($N$9:$N163,$X$9:$X163,ROUNDUP(VALUE(U163),0))),"")</f>
        <v>-</v>
      </c>
      <c r="Z163" s="112">
        <f ca="1">IFERROR(IF($N163=0,"-",SUMIF($Q$11:$Q163,"npt",$N$11:$N163)/(T163*24)),"")</f>
        <v>2.5498891352549884E-2</v>
      </c>
      <c r="AA163" s="491"/>
      <c r="AB163" s="491"/>
      <c r="AC163" s="398" t="s">
        <v>224</v>
      </c>
      <c r="AD163" s="427">
        <f t="shared" ca="1" si="9"/>
        <v>15.458333333333329</v>
      </c>
      <c r="AE163" s="427">
        <f t="shared" ca="1" si="0"/>
        <v>1112</v>
      </c>
      <c r="AF163" s="427">
        <f t="shared" ca="1" si="457"/>
        <v>18.791666666666671</v>
      </c>
      <c r="AG163" s="427">
        <f t="shared" ca="1" si="2"/>
        <v>2374.8000000000002</v>
      </c>
      <c r="AH163" s="493"/>
      <c r="AI163" s="427">
        <f t="shared" ca="1" si="3"/>
        <v>0</v>
      </c>
      <c r="AJ163" s="493"/>
      <c r="AK163" s="428">
        <f t="shared" ca="1" si="458"/>
        <v>2</v>
      </c>
      <c r="AL163" s="428">
        <f ca="1">IF(A163&lt;&gt;"",IFERROR(INDEX('1_INPUT'!$B$69:$E$89,MATCH($A163,'1_INPUT'!$E$69:$E$89,0),1),""),INDIRECT(ADDRESS(ROW()+1,COLUMN($AL$9),,,)))</f>
        <v>5</v>
      </c>
      <c r="AM163" s="428" t="str">
        <f ca="1">IF(AN163="","",MAX(INDIRECT(ADDRESS(9,COLUMN($AM$9),,,)):INDIRECT(ADDRESS(ROW()-1,COLUMN($AM$9),,,)))+1)</f>
        <v/>
      </c>
      <c r="AN163" s="429" t="str">
        <f>IF($AO163&lt;&gt;"",VLOOKUP($AK163,'1_INPUT'!$B$124:$D$136,2,FALSE),"")</f>
        <v/>
      </c>
      <c r="AO163" s="429" t="str">
        <f t="shared" si="10"/>
        <v/>
      </c>
      <c r="AP163" s="427">
        <f ca="1">SUMIF($AL$10:AL163,$AL163,$I$10:I163)</f>
        <v>299.41666666666646</v>
      </c>
      <c r="AR163" s="430" t="str">
        <f t="shared" ca="1" si="5"/>
        <v>WORKOVER SECTION</v>
      </c>
      <c r="AS163" s="430">
        <f ca="1">MATCH(AR163,'1_INPUT'!$V$43:$V$64,0)+1</f>
        <v>6</v>
      </c>
      <c r="AT163" s="430">
        <f ca="1">VLOOKUP(AR163,'1_INPUT'!$V$43:$W$64,2,FALSE)</f>
        <v>21</v>
      </c>
      <c r="AU163" s="430">
        <f ca="1">COUNTIF('1_INPUT'!$W$43:$W$64,AT163)-1</f>
        <v>5</v>
      </c>
      <c r="AV163" s="430" t="e">
        <f ca="1">OFFSET('1_INPUT'!$V$42,$AS163,,$AU163,)</f>
        <v>#VALUE!</v>
      </c>
      <c r="AX163" s="430" t="str">
        <f t="shared" si="459"/>
        <v/>
      </c>
      <c r="CK163" s="9"/>
      <c r="CL163" s="9"/>
    </row>
    <row r="164" spans="1:90" ht="27.6">
      <c r="A164" s="205"/>
      <c r="B164" s="518"/>
      <c r="C164" s="208" t="str">
        <f>IF(D164&lt;&gt;"",MAX($C$9:C160)+1,"")</f>
        <v/>
      </c>
      <c r="D164" s="523"/>
      <c r="E164" s="406"/>
      <c r="F164" s="407"/>
      <c r="G164" s="209">
        <f t="shared" ca="1" si="450"/>
        <v>371</v>
      </c>
      <c r="H164" s="209">
        <f t="shared" si="218"/>
        <v>0</v>
      </c>
      <c r="I164" s="209">
        <f t="shared" ca="1" si="451"/>
        <v>15.458333333333329</v>
      </c>
      <c r="J164" s="540">
        <v>1112</v>
      </c>
      <c r="K164" s="200"/>
      <c r="L164" s="525" t="s">
        <v>742</v>
      </c>
      <c r="M164" s="400" t="s">
        <v>146</v>
      </c>
      <c r="N164" s="407">
        <v>0.5</v>
      </c>
      <c r="O164" s="95">
        <f t="shared" ca="1" si="452"/>
        <v>451.5</v>
      </c>
      <c r="P164" s="403">
        <v>2374.8000000000002</v>
      </c>
      <c r="Q164" s="116">
        <f>IF(N164&gt;0,VLOOKUP(M164,'3_TIME SUM'!$F$7:$G$128,2,FALSE),0)</f>
        <v>0</v>
      </c>
      <c r="R164" s="517"/>
      <c r="S164" s="94">
        <f t="shared" si="12"/>
        <v>2.0833333333333332E-2</v>
      </c>
      <c r="T164" s="94">
        <f t="shared" ca="1" si="453"/>
        <v>18.812500000000004</v>
      </c>
      <c r="U164" s="535">
        <f ca="1">$T164+'1_INPUT'!$E$18</f>
        <v>44962.604166666664</v>
      </c>
      <c r="V164" s="95">
        <f t="shared" ca="1" si="454"/>
        <v>-80.500000000000199</v>
      </c>
      <c r="W164" s="110">
        <f t="shared" ca="1" si="455"/>
        <v>3.3541666666666665</v>
      </c>
      <c r="X164" s="111">
        <f t="shared" ca="1" si="456"/>
        <v>44963</v>
      </c>
      <c r="Y164" s="112" t="str">
        <f ca="1">IFERROR(IF(SUMIFS($N$9:$N164,$X$9:$X164,ROUNDUP(VALUE(U164),0),$Q$9:$Q164,"npt")=0,"-",SUMIFS($N$9:$N164,$X$9:$X164,ROUNDUP(VALUE(U164),0),$Q$9:$Q164,"npt")/SUMIFS($N$9:$N164,$X$9:$X164,ROUNDUP(VALUE(U164),0))),"")</f>
        <v>-</v>
      </c>
      <c r="Z164" s="112">
        <f ca="1">IFERROR(IF($N164=0,"-",SUMIF($Q$11:$Q164,"npt",$N$11:$N164)/(T164*24)),"")</f>
        <v>2.5470653377630114E-2</v>
      </c>
      <c r="AA164" s="491"/>
      <c r="AB164" s="491"/>
      <c r="AC164" s="398" t="s">
        <v>224</v>
      </c>
      <c r="AD164" s="427">
        <f t="shared" ca="1" si="9"/>
        <v>15.458333333333329</v>
      </c>
      <c r="AE164" s="427">
        <f t="shared" ca="1" si="0"/>
        <v>1112</v>
      </c>
      <c r="AF164" s="427">
        <f t="shared" ca="1" si="457"/>
        <v>18.812500000000004</v>
      </c>
      <c r="AG164" s="427">
        <f t="shared" ca="1" si="2"/>
        <v>2374.8000000000002</v>
      </c>
      <c r="AH164" s="493"/>
      <c r="AI164" s="427">
        <f t="shared" ca="1" si="3"/>
        <v>0</v>
      </c>
      <c r="AJ164" s="493"/>
      <c r="AK164" s="428">
        <f t="shared" ca="1" si="458"/>
        <v>2</v>
      </c>
      <c r="AL164" s="428">
        <f ca="1">IF(A164&lt;&gt;"",IFERROR(INDEX('1_INPUT'!$B$69:$E$89,MATCH($A164,'1_INPUT'!$E$69:$E$89,0),1),""),INDIRECT(ADDRESS(ROW()+1,COLUMN($AL$9),,,)))</f>
        <v>5</v>
      </c>
      <c r="AM164" s="428" t="str">
        <f ca="1">IF(AN164="","",MAX(INDIRECT(ADDRESS(9,COLUMN($AM$9),,,)):INDIRECT(ADDRESS(ROW()-1,COLUMN($AM$9),,,)))+1)</f>
        <v/>
      </c>
      <c r="AN164" s="429" t="str">
        <f>IF($AO164&lt;&gt;"",VLOOKUP($AK164,'1_INPUT'!$B$124:$D$136,2,FALSE),"")</f>
        <v/>
      </c>
      <c r="AO164" s="429" t="str">
        <f t="shared" si="10"/>
        <v/>
      </c>
      <c r="AP164" s="427">
        <f ca="1">SUMIF($AL$10:AL164,$AL164,$I$10:I164)</f>
        <v>314.87499999999977</v>
      </c>
      <c r="AR164" s="430" t="str">
        <f t="shared" ca="1" si="5"/>
        <v>WORKOVER SECTION</v>
      </c>
      <c r="AS164" s="430">
        <f ca="1">MATCH(AR164,'1_INPUT'!$V$43:$V$64,0)+1</f>
        <v>6</v>
      </c>
      <c r="AT164" s="430">
        <f ca="1">VLOOKUP(AR164,'1_INPUT'!$V$43:$W$64,2,FALSE)</f>
        <v>21</v>
      </c>
      <c r="AU164" s="430">
        <f ca="1">COUNTIF('1_INPUT'!$W$43:$W$64,AT164)-1</f>
        <v>5</v>
      </c>
      <c r="AV164" s="430" t="e">
        <f ca="1">OFFSET('1_INPUT'!$V$42,$AS164,,$AU164,)</f>
        <v>#VALUE!</v>
      </c>
      <c r="AX164" s="430" t="str">
        <f t="shared" si="459"/>
        <v/>
      </c>
      <c r="CK164" s="9"/>
      <c r="CL164" s="9"/>
    </row>
    <row r="165" spans="1:90" ht="151.80000000000001">
      <c r="A165" s="205"/>
      <c r="B165" s="518"/>
      <c r="C165" s="208" t="str">
        <f>IF(D165&lt;&gt;"",MAX($C$9:C161)+1,"")</f>
        <v/>
      </c>
      <c r="D165" s="523"/>
      <c r="E165" s="406"/>
      <c r="F165" s="407"/>
      <c r="G165" s="209">
        <f t="shared" ca="1" si="450"/>
        <v>371</v>
      </c>
      <c r="H165" s="209">
        <f t="shared" si="218"/>
        <v>0</v>
      </c>
      <c r="I165" s="209">
        <f t="shared" ca="1" si="451"/>
        <v>15.458333333333329</v>
      </c>
      <c r="J165" s="540">
        <v>1112</v>
      </c>
      <c r="K165" s="200"/>
      <c r="L165" s="525" t="s">
        <v>744</v>
      </c>
      <c r="M165" s="400" t="s">
        <v>545</v>
      </c>
      <c r="N165" s="407">
        <v>0.5</v>
      </c>
      <c r="O165" s="95">
        <f t="shared" ca="1" si="452"/>
        <v>452</v>
      </c>
      <c r="P165" s="403">
        <v>2374.8000000000002</v>
      </c>
      <c r="Q165" s="116">
        <f>IF(N165&gt;0,VLOOKUP(M165,'3_TIME SUM'!$F$7:$G$128,2,FALSE),0)</f>
        <v>0</v>
      </c>
      <c r="R165" s="517"/>
      <c r="S165" s="94">
        <f t="shared" si="12"/>
        <v>2.0833333333333332E-2</v>
      </c>
      <c r="T165" s="94">
        <f t="shared" ca="1" si="453"/>
        <v>18.833333333333336</v>
      </c>
      <c r="U165" s="535">
        <f ca="1">$T165+'1_INPUT'!$E$18</f>
        <v>44962.625</v>
      </c>
      <c r="V165" s="95">
        <f t="shared" ca="1" si="454"/>
        <v>-81.000000000000171</v>
      </c>
      <c r="W165" s="110">
        <f t="shared" ca="1" si="455"/>
        <v>3.375</v>
      </c>
      <c r="X165" s="111">
        <f t="shared" ca="1" si="456"/>
        <v>44963</v>
      </c>
      <c r="Y165" s="112" t="str">
        <f ca="1">IFERROR(IF(SUMIFS($N$9:$N165,$X$9:$X165,ROUNDUP(VALUE(U165),0),$Q$9:$Q165,"npt")=0,"-",SUMIFS($N$9:$N165,$X$9:$X165,ROUNDUP(VALUE(U165),0),$Q$9:$Q165,"npt")/SUMIFS($N$9:$N165,$X$9:$X165,ROUNDUP(VALUE(U165),0))),"")</f>
        <v>-</v>
      </c>
      <c r="Z165" s="112">
        <f ca="1">IFERROR(IF($N165=0,"-",SUMIF($Q$11:$Q165,"npt",$N$11:$N165)/(T165*24)),"")</f>
        <v>2.5442477876106193E-2</v>
      </c>
      <c r="AA165" s="491"/>
      <c r="AB165" s="491"/>
      <c r="AC165" s="398" t="s">
        <v>224</v>
      </c>
      <c r="AD165" s="427">
        <f t="shared" ca="1" si="9"/>
        <v>15.458333333333329</v>
      </c>
      <c r="AE165" s="427">
        <f t="shared" ca="1" si="0"/>
        <v>1112</v>
      </c>
      <c r="AF165" s="427">
        <f t="shared" ca="1" si="457"/>
        <v>18.833333333333336</v>
      </c>
      <c r="AG165" s="427">
        <f t="shared" ca="1" si="2"/>
        <v>2374.8000000000002</v>
      </c>
      <c r="AH165" s="493"/>
      <c r="AI165" s="427">
        <f t="shared" ca="1" si="3"/>
        <v>0</v>
      </c>
      <c r="AJ165" s="493"/>
      <c r="AK165" s="428">
        <f t="shared" ca="1" si="458"/>
        <v>2</v>
      </c>
      <c r="AL165" s="428">
        <f ca="1">IF(A165&lt;&gt;"",IFERROR(INDEX('1_INPUT'!$B$69:$E$89,MATCH($A165,'1_INPUT'!$E$69:$E$89,0),1),""),INDIRECT(ADDRESS(ROW()+1,COLUMN($AL$9),,,)))</f>
        <v>5</v>
      </c>
      <c r="AM165" s="428" t="str">
        <f ca="1">IF(AN165="","",MAX(INDIRECT(ADDRESS(9,COLUMN($AM$9),,,)):INDIRECT(ADDRESS(ROW()-1,COLUMN($AM$9),,,)))+1)</f>
        <v/>
      </c>
      <c r="AN165" s="429" t="str">
        <f>IF($AO165&lt;&gt;"",VLOOKUP($AK165,'1_INPUT'!$B$124:$D$136,2,FALSE),"")</f>
        <v/>
      </c>
      <c r="AO165" s="429" t="str">
        <f t="shared" si="10"/>
        <v/>
      </c>
      <c r="AP165" s="427">
        <f ca="1">SUMIF($AL$10:AL165,$AL165,$I$10:I165)</f>
        <v>330.33333333333309</v>
      </c>
      <c r="AR165" s="430" t="str">
        <f t="shared" ca="1" si="5"/>
        <v>WORKOVER SECTION</v>
      </c>
      <c r="AS165" s="430">
        <f ca="1">MATCH(AR165,'1_INPUT'!$V$43:$V$64,0)+1</f>
        <v>6</v>
      </c>
      <c r="AT165" s="430">
        <f ca="1">VLOOKUP(AR165,'1_INPUT'!$V$43:$W$64,2,FALSE)</f>
        <v>21</v>
      </c>
      <c r="AU165" s="430">
        <f ca="1">COUNTIF('1_INPUT'!$W$43:$W$64,AT165)-1</f>
        <v>5</v>
      </c>
      <c r="AV165" s="430" t="e">
        <f ca="1">OFFSET('1_INPUT'!$V$42,$AS165,,$AU165,)</f>
        <v>#VALUE!</v>
      </c>
      <c r="AX165" s="430" t="str">
        <f t="shared" si="459"/>
        <v/>
      </c>
      <c r="CK165" s="9"/>
      <c r="CL165" s="9"/>
    </row>
    <row r="166" spans="1:90" ht="13.8">
      <c r="A166" s="205"/>
      <c r="B166" s="518"/>
      <c r="C166" s="208" t="str">
        <f>IF(D166&lt;&gt;"",MAX($C$9:C162)+1,"")</f>
        <v/>
      </c>
      <c r="D166" s="523"/>
      <c r="E166" s="406"/>
      <c r="F166" s="407"/>
      <c r="G166" s="209">
        <f t="shared" ca="1" si="450"/>
        <v>371</v>
      </c>
      <c r="H166" s="209">
        <f t="shared" si="218"/>
        <v>0</v>
      </c>
      <c r="I166" s="209">
        <f t="shared" ca="1" si="451"/>
        <v>15.458333333333329</v>
      </c>
      <c r="J166" s="540">
        <v>1112</v>
      </c>
      <c r="K166" s="200"/>
      <c r="L166" s="525" t="s">
        <v>743</v>
      </c>
      <c r="M166" s="400" t="s">
        <v>545</v>
      </c>
      <c r="N166" s="407">
        <v>1</v>
      </c>
      <c r="O166" s="95">
        <f t="shared" ca="1" si="452"/>
        <v>453</v>
      </c>
      <c r="P166" s="403">
        <v>2374.8000000000002</v>
      </c>
      <c r="Q166" s="116">
        <f>IF(N166&gt;0,VLOOKUP(M166,'3_TIME SUM'!$F$7:$G$128,2,FALSE),0)</f>
        <v>0</v>
      </c>
      <c r="R166" s="517"/>
      <c r="S166" s="94">
        <f t="shared" si="12"/>
        <v>4.1666666666666664E-2</v>
      </c>
      <c r="T166" s="94">
        <f t="shared" ca="1" si="453"/>
        <v>18.875000000000004</v>
      </c>
      <c r="U166" s="535">
        <f ca="1">$T166+'1_INPUT'!$E$18</f>
        <v>44962.666666666664</v>
      </c>
      <c r="V166" s="95">
        <f t="shared" ca="1" si="454"/>
        <v>-82.000000000000199</v>
      </c>
      <c r="W166" s="110">
        <f t="shared" ca="1" si="455"/>
        <v>3.4166666666666665</v>
      </c>
      <c r="X166" s="111">
        <f t="shared" ca="1" si="456"/>
        <v>44963</v>
      </c>
      <c r="Y166" s="112" t="str">
        <f ca="1">IFERROR(IF(SUMIFS($N$9:$N166,$X$9:$X166,ROUNDUP(VALUE(U166),0),$Q$9:$Q166,"npt")=0,"-",SUMIFS($N$9:$N166,$X$9:$X166,ROUNDUP(VALUE(U166),0),$Q$9:$Q166,"npt")/SUMIFS($N$9:$N166,$X$9:$X166,ROUNDUP(VALUE(U166),0))),"")</f>
        <v>-</v>
      </c>
      <c r="Z166" s="112">
        <f ca="1">IFERROR(IF($N166=0,"-",SUMIF($Q$11:$Q166,"npt",$N$11:$N166)/(T166*24)),"")</f>
        <v>2.5386313465783659E-2</v>
      </c>
      <c r="AA166" s="491"/>
      <c r="AB166" s="491"/>
      <c r="AC166" s="398" t="s">
        <v>224</v>
      </c>
      <c r="AD166" s="427">
        <f t="shared" ca="1" si="9"/>
        <v>15.458333333333329</v>
      </c>
      <c r="AE166" s="427">
        <f t="shared" ca="1" si="0"/>
        <v>1112</v>
      </c>
      <c r="AF166" s="427">
        <f t="shared" ca="1" si="457"/>
        <v>18.875000000000004</v>
      </c>
      <c r="AG166" s="427">
        <f t="shared" ca="1" si="2"/>
        <v>2374.8000000000002</v>
      </c>
      <c r="AH166" s="493"/>
      <c r="AI166" s="427">
        <f t="shared" ca="1" si="3"/>
        <v>0</v>
      </c>
      <c r="AJ166" s="493"/>
      <c r="AK166" s="428">
        <f t="shared" ca="1" si="458"/>
        <v>2</v>
      </c>
      <c r="AL166" s="428">
        <f ca="1">IF(A166&lt;&gt;"",IFERROR(INDEX('1_INPUT'!$B$69:$E$89,MATCH($A166,'1_INPUT'!$E$69:$E$89,0),1),""),INDIRECT(ADDRESS(ROW()+1,COLUMN($AL$9),,,)))</f>
        <v>5</v>
      </c>
      <c r="AM166" s="428" t="str">
        <f ca="1">IF(AN166="","",MAX(INDIRECT(ADDRESS(9,COLUMN($AM$9),,,)):INDIRECT(ADDRESS(ROW()-1,COLUMN($AM$9),,,)))+1)</f>
        <v/>
      </c>
      <c r="AN166" s="429" t="str">
        <f>IF($AO166&lt;&gt;"",VLOOKUP($AK166,'1_INPUT'!$B$124:$D$136,2,FALSE),"")</f>
        <v/>
      </c>
      <c r="AO166" s="429" t="str">
        <f t="shared" si="10"/>
        <v/>
      </c>
      <c r="AP166" s="427">
        <f ca="1">SUMIF($AL$10:AL166,$AL166,$I$10:I166)</f>
        <v>345.7916666666664</v>
      </c>
      <c r="AR166" s="430" t="str">
        <f t="shared" ca="1" si="5"/>
        <v>WORKOVER SECTION</v>
      </c>
      <c r="AS166" s="430">
        <f ca="1">MATCH(AR166,'1_INPUT'!$V$43:$V$64,0)+1</f>
        <v>6</v>
      </c>
      <c r="AT166" s="430">
        <f ca="1">VLOOKUP(AR166,'1_INPUT'!$V$43:$W$64,2,FALSE)</f>
        <v>21</v>
      </c>
      <c r="AU166" s="430">
        <f ca="1">COUNTIF('1_INPUT'!$W$43:$W$64,AT166)-1</f>
        <v>5</v>
      </c>
      <c r="AV166" s="430" t="e">
        <f ca="1">OFFSET('1_INPUT'!$V$42,$AS166,,$AU166,)</f>
        <v>#VALUE!</v>
      </c>
      <c r="AX166" s="430" t="str">
        <f t="shared" si="459"/>
        <v/>
      </c>
      <c r="CK166" s="9"/>
      <c r="CL166" s="9"/>
    </row>
    <row r="167" spans="1:90" ht="99.75" customHeight="1">
      <c r="A167" s="205"/>
      <c r="B167" s="518"/>
      <c r="C167" s="208" t="str">
        <f>IF(D167&lt;&gt;"",MAX($C$9:C163)+1,"")</f>
        <v/>
      </c>
      <c r="D167" s="523"/>
      <c r="E167" s="406"/>
      <c r="F167" s="407"/>
      <c r="G167" s="209">
        <f t="shared" ca="1" si="450"/>
        <v>371</v>
      </c>
      <c r="H167" s="209">
        <f t="shared" si="218"/>
        <v>0</v>
      </c>
      <c r="I167" s="209">
        <f t="shared" ca="1" si="451"/>
        <v>15.458333333333329</v>
      </c>
      <c r="J167" s="540">
        <v>1112</v>
      </c>
      <c r="K167" s="200"/>
      <c r="L167" s="525" t="s">
        <v>745</v>
      </c>
      <c r="M167" s="400" t="s">
        <v>545</v>
      </c>
      <c r="N167" s="407">
        <v>1</v>
      </c>
      <c r="O167" s="95">
        <f t="shared" ca="1" si="452"/>
        <v>454</v>
      </c>
      <c r="P167" s="403">
        <v>2374.8000000000002</v>
      </c>
      <c r="Q167" s="116">
        <f>IF(N167&gt;0,VLOOKUP(M167,'3_TIME SUM'!$F$7:$G$128,2,FALSE),0)</f>
        <v>0</v>
      </c>
      <c r="R167" s="517"/>
      <c r="S167" s="94">
        <f t="shared" si="12"/>
        <v>4.1666666666666664E-2</v>
      </c>
      <c r="T167" s="94">
        <f t="shared" ca="1" si="453"/>
        <v>18.916666666666671</v>
      </c>
      <c r="U167" s="535">
        <f ca="1">$T167+'1_INPUT'!$E$18</f>
        <v>44962.708333333328</v>
      </c>
      <c r="V167" s="95">
        <f t="shared" ca="1" si="454"/>
        <v>-83.000000000000227</v>
      </c>
      <c r="W167" s="110">
        <f t="shared" ca="1" si="455"/>
        <v>3.4583333333333335</v>
      </c>
      <c r="X167" s="111">
        <f t="shared" ca="1" si="456"/>
        <v>44963</v>
      </c>
      <c r="Y167" s="112" t="str">
        <f ca="1">IFERROR(IF(SUMIFS($N$9:$N167,$X$9:$X167,ROUNDUP(VALUE(U167),0),$Q$9:$Q167,"npt")=0,"-",SUMIFS($N$9:$N167,$X$9:$X167,ROUNDUP(VALUE(U167),0),$Q$9:$Q167,"npt")/SUMIFS($N$9:$N167,$X$9:$X167,ROUNDUP(VALUE(U167),0))),"")</f>
        <v>-</v>
      </c>
      <c r="Z167" s="112">
        <f ca="1">IFERROR(IF($N167=0,"-",SUMIF($Q$11:$Q167,"npt",$N$11:$N167)/(T167*24)),"")</f>
        <v>2.5330396475770917E-2</v>
      </c>
      <c r="AA167" s="491"/>
      <c r="AB167" s="491"/>
      <c r="AC167" s="398" t="s">
        <v>224</v>
      </c>
      <c r="AD167" s="427">
        <f t="shared" ca="1" si="9"/>
        <v>15.458333333333329</v>
      </c>
      <c r="AE167" s="427">
        <f t="shared" ca="1" si="0"/>
        <v>1112</v>
      </c>
      <c r="AF167" s="427">
        <f t="shared" ca="1" si="457"/>
        <v>18.916666666666671</v>
      </c>
      <c r="AG167" s="427">
        <f t="shared" ca="1" si="2"/>
        <v>2374.8000000000002</v>
      </c>
      <c r="AH167" s="493"/>
      <c r="AI167" s="427">
        <f t="shared" ca="1" si="3"/>
        <v>0</v>
      </c>
      <c r="AJ167" s="493"/>
      <c r="AK167" s="428">
        <f t="shared" ca="1" si="458"/>
        <v>2</v>
      </c>
      <c r="AL167" s="428">
        <f ca="1">IF(A167&lt;&gt;"",IFERROR(INDEX('1_INPUT'!$B$69:$E$89,MATCH($A167,'1_INPUT'!$E$69:$E$89,0),1),""),INDIRECT(ADDRESS(ROW()+1,COLUMN($AL$9),,,)))</f>
        <v>5</v>
      </c>
      <c r="AM167" s="428" t="str">
        <f ca="1">IF(AN167="","",MAX(INDIRECT(ADDRESS(9,COLUMN($AM$9),,,)):INDIRECT(ADDRESS(ROW()-1,COLUMN($AM$9),,,)))+1)</f>
        <v/>
      </c>
      <c r="AN167" s="429" t="str">
        <f>IF($AO167&lt;&gt;"",VLOOKUP($AK167,'1_INPUT'!$B$124:$D$136,2,FALSE),"")</f>
        <v/>
      </c>
      <c r="AO167" s="429" t="str">
        <f t="shared" si="10"/>
        <v/>
      </c>
      <c r="AP167" s="427">
        <f ca="1">SUMIF($AL$10:AL167,$AL167,$I$10:I167)</f>
        <v>361.24999999999972</v>
      </c>
      <c r="AR167" s="430" t="str">
        <f t="shared" ca="1" si="5"/>
        <v>WORKOVER SECTION</v>
      </c>
      <c r="AS167" s="430">
        <f ca="1">MATCH(AR167,'1_INPUT'!$V$43:$V$64,0)+1</f>
        <v>6</v>
      </c>
      <c r="AT167" s="430">
        <f ca="1">VLOOKUP(AR167,'1_INPUT'!$V$43:$W$64,2,FALSE)</f>
        <v>21</v>
      </c>
      <c r="AU167" s="430">
        <f ca="1">COUNTIF('1_INPUT'!$W$43:$W$64,AT167)-1</f>
        <v>5</v>
      </c>
      <c r="AV167" s="430" t="e">
        <f ca="1">OFFSET('1_INPUT'!$V$42,$AS167,,$AU167,)</f>
        <v>#VALUE!</v>
      </c>
      <c r="AX167" s="430" t="str">
        <f t="shared" si="459"/>
        <v/>
      </c>
      <c r="CK167" s="9"/>
      <c r="CL167" s="9"/>
    </row>
    <row r="168" spans="1:90" ht="13.8">
      <c r="A168" s="205"/>
      <c r="B168" s="518"/>
      <c r="C168" s="208" t="str">
        <f>IF(D168&lt;&gt;"",MAX($C$9:C164)+1,"")</f>
        <v/>
      </c>
      <c r="D168" s="523"/>
      <c r="E168" s="406"/>
      <c r="F168" s="407"/>
      <c r="G168" s="209">
        <f t="shared" ca="1" si="450"/>
        <v>371</v>
      </c>
      <c r="H168" s="209">
        <f t="shared" si="218"/>
        <v>0</v>
      </c>
      <c r="I168" s="209">
        <f t="shared" ca="1" si="451"/>
        <v>15.458333333333329</v>
      </c>
      <c r="J168" s="540">
        <v>1112</v>
      </c>
      <c r="K168" s="200"/>
      <c r="L168" s="525" t="s">
        <v>746</v>
      </c>
      <c r="M168" s="400" t="s">
        <v>545</v>
      </c>
      <c r="N168" s="407">
        <v>1</v>
      </c>
      <c r="O168" s="95">
        <f t="shared" ca="1" si="452"/>
        <v>455</v>
      </c>
      <c r="P168" s="403">
        <v>2374.8000000000002</v>
      </c>
      <c r="Q168" s="116">
        <f>IF(N168&gt;0,VLOOKUP(M168,'3_TIME SUM'!$F$7:$G$128,2,FALSE),0)</f>
        <v>0</v>
      </c>
      <c r="R168" s="517"/>
      <c r="S168" s="94">
        <f t="shared" si="12"/>
        <v>4.1666666666666664E-2</v>
      </c>
      <c r="T168" s="94">
        <f t="shared" ca="1" si="453"/>
        <v>18.958333333333339</v>
      </c>
      <c r="U168" s="535">
        <f ca="1">$T168+'1_INPUT'!$E$18</f>
        <v>44962.75</v>
      </c>
      <c r="V168" s="95">
        <f t="shared" ca="1" si="454"/>
        <v>-84.000000000000256</v>
      </c>
      <c r="W168" s="110">
        <f t="shared" ca="1" si="455"/>
        <v>3.5</v>
      </c>
      <c r="X168" s="111">
        <f t="shared" ca="1" si="456"/>
        <v>44963</v>
      </c>
      <c r="Y168" s="112" t="str">
        <f ca="1">IFERROR(IF(SUMIFS($N$9:$N168,$X$9:$X168,ROUNDUP(VALUE(U168),0),$Q$9:$Q168,"npt")=0,"-",SUMIFS($N$9:$N168,$X$9:$X168,ROUNDUP(VALUE(U168),0),$Q$9:$Q168,"npt")/SUMIFS($N$9:$N168,$X$9:$X168,ROUNDUP(VALUE(U168),0))),"")</f>
        <v>-</v>
      </c>
      <c r="Z168" s="112">
        <f ca="1">IFERROR(IF($N168=0,"-",SUMIF($Q$11:$Q168,"npt",$N$11:$N168)/(T168*24)),"")</f>
        <v>2.5274725274725268E-2</v>
      </c>
      <c r="AA168" s="491"/>
      <c r="AB168" s="491"/>
      <c r="AC168" s="398" t="s">
        <v>224</v>
      </c>
      <c r="AD168" s="427">
        <f t="shared" ca="1" si="9"/>
        <v>15.458333333333329</v>
      </c>
      <c r="AE168" s="427">
        <f t="shared" ca="1" si="0"/>
        <v>1112</v>
      </c>
      <c r="AF168" s="427">
        <f t="shared" ca="1" si="457"/>
        <v>18.958333333333339</v>
      </c>
      <c r="AG168" s="427">
        <f t="shared" ca="1" si="2"/>
        <v>2374.8000000000002</v>
      </c>
      <c r="AH168" s="493"/>
      <c r="AI168" s="427">
        <f t="shared" ca="1" si="3"/>
        <v>0</v>
      </c>
      <c r="AJ168" s="493"/>
      <c r="AK168" s="428">
        <f t="shared" ca="1" si="458"/>
        <v>2</v>
      </c>
      <c r="AL168" s="428">
        <f ca="1">IF(A168&lt;&gt;"",IFERROR(INDEX('1_INPUT'!$B$69:$E$89,MATCH($A168,'1_INPUT'!$E$69:$E$89,0),1),""),INDIRECT(ADDRESS(ROW()+1,COLUMN($AL$9),,,)))</f>
        <v>5</v>
      </c>
      <c r="AM168" s="428" t="str">
        <f ca="1">IF(AN168="","",MAX(INDIRECT(ADDRESS(9,COLUMN($AM$9),,,)):INDIRECT(ADDRESS(ROW()-1,COLUMN($AM$9),,,)))+1)</f>
        <v/>
      </c>
      <c r="AN168" s="429" t="str">
        <f>IF($AO168&lt;&gt;"",VLOOKUP($AK168,'1_INPUT'!$B$124:$D$136,2,FALSE),"")</f>
        <v/>
      </c>
      <c r="AO168" s="429" t="str">
        <f t="shared" si="10"/>
        <v/>
      </c>
      <c r="AP168" s="427">
        <f ca="1">SUMIF($AL$10:AL168,$AL168,$I$10:I168)</f>
        <v>376.70833333333303</v>
      </c>
      <c r="AR168" s="430" t="str">
        <f t="shared" ca="1" si="5"/>
        <v>WORKOVER SECTION</v>
      </c>
      <c r="AS168" s="430">
        <f ca="1">MATCH(AR168,'1_INPUT'!$V$43:$V$64,0)+1</f>
        <v>6</v>
      </c>
      <c r="AT168" s="430">
        <f ca="1">VLOOKUP(AR168,'1_INPUT'!$V$43:$W$64,2,FALSE)</f>
        <v>21</v>
      </c>
      <c r="AU168" s="430">
        <f ca="1">COUNTIF('1_INPUT'!$W$43:$W$64,AT168)-1</f>
        <v>5</v>
      </c>
      <c r="AV168" s="430" t="e">
        <f ca="1">OFFSET('1_INPUT'!$V$42,$AS168,,$AU168,)</f>
        <v>#VALUE!</v>
      </c>
      <c r="AX168" s="430" t="str">
        <f t="shared" si="459"/>
        <v/>
      </c>
      <c r="CK168" s="9"/>
      <c r="CL168" s="9"/>
    </row>
    <row r="169" spans="1:90" ht="27.6">
      <c r="A169" s="205"/>
      <c r="B169" s="518"/>
      <c r="C169" s="208">
        <f ca="1">IF(D169&lt;&gt;"",MAX($C$9:C161)+1,"")</f>
        <v>56</v>
      </c>
      <c r="D169" s="523" t="s">
        <v>613</v>
      </c>
      <c r="E169" s="406"/>
      <c r="F169" s="407">
        <v>4</v>
      </c>
      <c r="G169" s="209">
        <f t="shared" ca="1" si="420"/>
        <v>375</v>
      </c>
      <c r="H169" s="209">
        <f t="shared" si="218"/>
        <v>0.16666666666666666</v>
      </c>
      <c r="I169" s="209">
        <f t="shared" ca="1" si="421"/>
        <v>15.624999999999995</v>
      </c>
      <c r="J169" s="540">
        <v>1112</v>
      </c>
      <c r="K169" s="200"/>
      <c r="L169" s="525"/>
      <c r="M169" s="400"/>
      <c r="N169" s="407"/>
      <c r="O169" s="95">
        <f t="shared" ca="1" si="422"/>
        <v>455</v>
      </c>
      <c r="P169" s="403">
        <v>2374.8000000000002</v>
      </c>
      <c r="Q169" s="116">
        <f>IF(N169&gt;0,VLOOKUP(M169,'3_TIME SUM'!$F$7:$G$128,2,FALSE),0)</f>
        <v>0</v>
      </c>
      <c r="R169" s="517"/>
      <c r="S169" s="94">
        <f t="shared" si="12"/>
        <v>0</v>
      </c>
      <c r="T169" s="94">
        <f t="shared" ca="1" si="423"/>
        <v>18.958333333333339</v>
      </c>
      <c r="U169" s="535">
        <f ca="1">$T169+'1_INPUT'!$E$18</f>
        <v>44962.75</v>
      </c>
      <c r="V169" s="95">
        <f t="shared" ca="1" si="424"/>
        <v>-80.00000000000027</v>
      </c>
      <c r="W169" s="110">
        <f t="shared" ca="1" si="425"/>
        <v>3.3333333333333335</v>
      </c>
      <c r="X169" s="111">
        <f t="shared" ca="1" si="426"/>
        <v>44963</v>
      </c>
      <c r="Y169" s="112" t="str">
        <f ca="1">IFERROR(IF(SUMIFS($N$9:$N169,$X$9:$X169,ROUNDUP(VALUE(U169),0),$Q$9:$Q169,"npt")=0,"-",SUMIFS($N$9:$N169,$X$9:$X169,ROUNDUP(VALUE(U169),0),$Q$9:$Q169,"npt")/SUMIFS($N$9:$N169,$X$9:$X169,ROUNDUP(VALUE(U169),0))),"")</f>
        <v>-</v>
      </c>
      <c r="Z169" s="112" t="str">
        <f>IFERROR(IF($N169=0,"-",SUMIF($Q$11:$Q169,"npt",$N$11:$N169)/(T169*24)),"")</f>
        <v>-</v>
      </c>
      <c r="AA169" s="491"/>
      <c r="AB169" s="491"/>
      <c r="AC169" s="398" t="s">
        <v>224</v>
      </c>
      <c r="AD169" s="427">
        <f t="shared" ca="1" si="9"/>
        <v>15.624999999999995</v>
      </c>
      <c r="AE169" s="427">
        <f t="shared" ca="1" si="0"/>
        <v>1112</v>
      </c>
      <c r="AF169" s="427">
        <f t="shared" ca="1" si="427"/>
        <v>18.958333333333339</v>
      </c>
      <c r="AG169" s="427">
        <f t="shared" ca="1" si="2"/>
        <v>2374.8000000000002</v>
      </c>
      <c r="AH169" s="493"/>
      <c r="AI169" s="427">
        <f t="shared" ca="1" si="3"/>
        <v>0</v>
      </c>
      <c r="AJ169" s="493"/>
      <c r="AK169" s="428">
        <f t="shared" ca="1" si="428"/>
        <v>2</v>
      </c>
      <c r="AL169" s="428">
        <f ca="1">IF(A169&lt;&gt;"",IFERROR(INDEX('1_INPUT'!$B$69:$E$89,MATCH($A169,'1_INPUT'!$E$69:$E$89,0),1),""),INDIRECT(ADDRESS(ROW()+1,COLUMN($AL$9),,,)))</f>
        <v>5</v>
      </c>
      <c r="AM169" s="428" t="str">
        <f ca="1">IF(AN169="","",MAX(INDIRECT(ADDRESS(9,COLUMN($AM$9),,,)):INDIRECT(ADDRESS(ROW()-1,COLUMN($AM$9),,,)))+1)</f>
        <v/>
      </c>
      <c r="AN169" s="429" t="str">
        <f>IF($AO169&lt;&gt;"",VLOOKUP($AK169,'1_INPUT'!$B$124:$D$136,2,FALSE),"")</f>
        <v/>
      </c>
      <c r="AO169" s="429" t="str">
        <f t="shared" si="10"/>
        <v/>
      </c>
      <c r="AP169" s="427">
        <f ca="1">SUMIF($AL$10:AL169,$AL169,$I$10:I169)</f>
        <v>392.33333333333303</v>
      </c>
      <c r="AR169" s="430" t="str">
        <f t="shared" ca="1" si="5"/>
        <v>WORKOVER SECTION</v>
      </c>
      <c r="AS169" s="430">
        <f ca="1">MATCH(AR169,'1_INPUT'!$V$43:$V$64,0)+1</f>
        <v>6</v>
      </c>
      <c r="AT169" s="430">
        <f ca="1">VLOOKUP(AR169,'1_INPUT'!$V$43:$W$64,2,FALSE)</f>
        <v>21</v>
      </c>
      <c r="AU169" s="430">
        <f ca="1">COUNTIF('1_INPUT'!$W$43:$W$64,AT169)-1</f>
        <v>5</v>
      </c>
      <c r="AV169" s="430" t="e">
        <f ca="1">OFFSET('1_INPUT'!$V$42,$AS169,,$AU169,)</f>
        <v>#VALUE!</v>
      </c>
      <c r="AX169" s="430" t="str">
        <f t="shared" si="429"/>
        <v/>
      </c>
      <c r="CK169" s="9"/>
      <c r="CL169" s="9"/>
    </row>
    <row r="170" spans="1:90" ht="13.8">
      <c r="A170" s="205"/>
      <c r="B170" s="518"/>
      <c r="C170" s="208">
        <f ca="1">IF(D170&lt;&gt;"",MAX($C$9:C169)+1,"")</f>
        <v>57</v>
      </c>
      <c r="D170" s="523" t="s">
        <v>579</v>
      </c>
      <c r="E170" s="406"/>
      <c r="F170" s="407">
        <v>1</v>
      </c>
      <c r="G170" s="209">
        <f t="shared" ca="1" si="420"/>
        <v>376</v>
      </c>
      <c r="H170" s="209">
        <f t="shared" si="218"/>
        <v>4.1666666666666664E-2</v>
      </c>
      <c r="I170" s="209">
        <f t="shared" ca="1" si="421"/>
        <v>15.666666666666661</v>
      </c>
      <c r="J170" s="540">
        <v>1112</v>
      </c>
      <c r="K170" s="200"/>
      <c r="L170" s="525"/>
      <c r="M170" s="400"/>
      <c r="N170" s="407"/>
      <c r="O170" s="95">
        <f t="shared" ca="1" si="422"/>
        <v>455</v>
      </c>
      <c r="P170" s="403">
        <v>2374.8000000000002</v>
      </c>
      <c r="Q170" s="116">
        <f>IF(N170&gt;0,VLOOKUP(M170,'3_TIME SUM'!$F$7:$G$128,2,FALSE),0)</f>
        <v>0</v>
      </c>
      <c r="R170" s="517"/>
      <c r="S170" s="94">
        <f t="shared" si="12"/>
        <v>0</v>
      </c>
      <c r="T170" s="94">
        <f t="shared" ca="1" si="423"/>
        <v>18.958333333333339</v>
      </c>
      <c r="U170" s="535">
        <f ca="1">$T170+'1_INPUT'!$E$18</f>
        <v>44962.75</v>
      </c>
      <c r="V170" s="95">
        <f t="shared" ca="1" si="424"/>
        <v>-79.000000000000284</v>
      </c>
      <c r="W170" s="110">
        <f t="shared" ca="1" si="425"/>
        <v>3.2916666666666665</v>
      </c>
      <c r="X170" s="111">
        <f t="shared" ca="1" si="426"/>
        <v>44963</v>
      </c>
      <c r="Y170" s="112" t="str">
        <f ca="1">IFERROR(IF(SUMIFS($N$9:$N170,$X$9:$X170,ROUNDUP(VALUE(U170),0),$Q$9:$Q170,"npt")=0,"-",SUMIFS($N$9:$N170,$X$9:$X170,ROUNDUP(VALUE(U170),0),$Q$9:$Q170,"npt")/SUMIFS($N$9:$N170,$X$9:$X170,ROUNDUP(VALUE(U170),0))),"")</f>
        <v>-</v>
      </c>
      <c r="Z170" s="112" t="str">
        <f>IFERROR(IF($N170=0,"-",SUMIF($Q$11:$Q170,"npt",$N$11:$N170)/(T170*24)),"")</f>
        <v>-</v>
      </c>
      <c r="AA170" s="491"/>
      <c r="AB170" s="491"/>
      <c r="AC170" s="398" t="s">
        <v>224</v>
      </c>
      <c r="AD170" s="427">
        <f t="shared" ca="1" si="9"/>
        <v>15.666666666666661</v>
      </c>
      <c r="AE170" s="427">
        <f t="shared" ca="1" si="0"/>
        <v>1112</v>
      </c>
      <c r="AF170" s="427">
        <f t="shared" ca="1" si="427"/>
        <v>18.958333333333339</v>
      </c>
      <c r="AG170" s="427">
        <f t="shared" ca="1" si="2"/>
        <v>2374.8000000000002</v>
      </c>
      <c r="AH170" s="493"/>
      <c r="AI170" s="427">
        <f t="shared" ca="1" si="3"/>
        <v>0</v>
      </c>
      <c r="AJ170" s="493"/>
      <c r="AK170" s="428">
        <f t="shared" ca="1" si="428"/>
        <v>2</v>
      </c>
      <c r="AL170" s="428">
        <f ca="1">IF(A170&lt;&gt;"",IFERROR(INDEX('1_INPUT'!$B$69:$E$89,MATCH($A170,'1_INPUT'!$E$69:$E$89,0),1),""),INDIRECT(ADDRESS(ROW()+1,COLUMN($AL$9),,,)))</f>
        <v>5</v>
      </c>
      <c r="AM170" s="428" t="str">
        <f ca="1">IF(AN170="","",MAX(INDIRECT(ADDRESS(9,COLUMN($AM$9),,,)):INDIRECT(ADDRESS(ROW()-1,COLUMN($AM$9),,,)))+1)</f>
        <v/>
      </c>
      <c r="AN170" s="429" t="str">
        <f>IF($AO170&lt;&gt;"",VLOOKUP($AK170,'1_INPUT'!$B$124:$D$136,2,FALSE),"")</f>
        <v/>
      </c>
      <c r="AO170" s="429" t="str">
        <f t="shared" si="10"/>
        <v/>
      </c>
      <c r="AP170" s="427">
        <f ca="1">SUMIF($AL$10:AL170,$AL170,$I$10:I170)</f>
        <v>407.99999999999972</v>
      </c>
      <c r="AR170" s="430" t="str">
        <f t="shared" ca="1" si="5"/>
        <v>WORKOVER SECTION</v>
      </c>
      <c r="AS170" s="430">
        <f ca="1">MATCH(AR170,'1_INPUT'!$V$43:$V$64,0)+1</f>
        <v>6</v>
      </c>
      <c r="AT170" s="430">
        <f ca="1">VLOOKUP(AR170,'1_INPUT'!$V$43:$W$64,2,FALSE)</f>
        <v>21</v>
      </c>
      <c r="AU170" s="430">
        <f ca="1">COUNTIF('1_INPUT'!$W$43:$W$64,AT170)-1</f>
        <v>5</v>
      </c>
      <c r="AV170" s="430" t="e">
        <f ca="1">OFFSET('1_INPUT'!$V$42,$AS170,,$AU170,)</f>
        <v>#VALUE!</v>
      </c>
      <c r="AX170" s="430" t="str">
        <f t="shared" si="429"/>
        <v/>
      </c>
      <c r="CK170" s="9"/>
      <c r="CL170" s="9"/>
    </row>
    <row r="171" spans="1:90" ht="13.8">
      <c r="A171" s="205"/>
      <c r="B171" s="518"/>
      <c r="C171" s="208">
        <f ca="1">IF(D171&lt;&gt;"",MAX($C$9:C170)+1,"")</f>
        <v>58</v>
      </c>
      <c r="D171" s="523" t="s">
        <v>615</v>
      </c>
      <c r="E171" s="406"/>
      <c r="F171" s="407">
        <v>4</v>
      </c>
      <c r="G171" s="209">
        <f t="shared" ca="1" si="420"/>
        <v>380</v>
      </c>
      <c r="H171" s="209">
        <f t="shared" si="218"/>
        <v>0.16666666666666666</v>
      </c>
      <c r="I171" s="209">
        <f t="shared" ca="1" si="421"/>
        <v>15.833333333333327</v>
      </c>
      <c r="J171" s="540">
        <v>1112</v>
      </c>
      <c r="K171" s="200"/>
      <c r="L171" s="525"/>
      <c r="M171" s="400"/>
      <c r="N171" s="407"/>
      <c r="O171" s="95">
        <f t="shared" ca="1" si="422"/>
        <v>455</v>
      </c>
      <c r="P171" s="403">
        <v>2374.8000000000002</v>
      </c>
      <c r="Q171" s="116">
        <f>IF(N171&gt;0,VLOOKUP(M171,'3_TIME SUM'!$F$7:$G$128,2,FALSE),0)</f>
        <v>0</v>
      </c>
      <c r="R171" s="517"/>
      <c r="S171" s="94">
        <f t="shared" si="12"/>
        <v>0</v>
      </c>
      <c r="T171" s="94">
        <f t="shared" ca="1" si="423"/>
        <v>18.958333333333339</v>
      </c>
      <c r="U171" s="535">
        <f ca="1">$T171+'1_INPUT'!$E$18</f>
        <v>44962.75</v>
      </c>
      <c r="V171" s="95">
        <f t="shared" ca="1" si="424"/>
        <v>-75.000000000000298</v>
      </c>
      <c r="W171" s="110">
        <f t="shared" ca="1" si="425"/>
        <v>3.125</v>
      </c>
      <c r="X171" s="111">
        <f t="shared" ca="1" si="426"/>
        <v>44963</v>
      </c>
      <c r="Y171" s="112" t="str">
        <f ca="1">IFERROR(IF(SUMIFS($N$9:$N171,$X$9:$X171,ROUNDUP(VALUE(U171),0),$Q$9:$Q171,"npt")=0,"-",SUMIFS($N$9:$N171,$X$9:$X171,ROUNDUP(VALUE(U171),0),$Q$9:$Q171,"npt")/SUMIFS($N$9:$N171,$X$9:$X171,ROUNDUP(VALUE(U171),0))),"")</f>
        <v>-</v>
      </c>
      <c r="Z171" s="112" t="str">
        <f>IFERROR(IF($N171=0,"-",SUMIF($Q$11:$Q171,"npt",$N$11:$N171)/(T171*24)),"")</f>
        <v>-</v>
      </c>
      <c r="AA171" s="491"/>
      <c r="AB171" s="491"/>
      <c r="AC171" s="398" t="s">
        <v>224</v>
      </c>
      <c r="AD171" s="427">
        <f t="shared" ca="1" si="9"/>
        <v>15.833333333333327</v>
      </c>
      <c r="AE171" s="427">
        <f t="shared" ca="1" si="0"/>
        <v>1112</v>
      </c>
      <c r="AF171" s="427">
        <f t="shared" ca="1" si="427"/>
        <v>18.958333333333339</v>
      </c>
      <c r="AG171" s="427">
        <f t="shared" ca="1" si="2"/>
        <v>2374.8000000000002</v>
      </c>
      <c r="AH171" s="493"/>
      <c r="AI171" s="427">
        <f t="shared" ca="1" si="3"/>
        <v>0</v>
      </c>
      <c r="AJ171" s="493"/>
      <c r="AK171" s="428">
        <f t="shared" ca="1" si="428"/>
        <v>2</v>
      </c>
      <c r="AL171" s="428">
        <f ca="1">IF(A171&lt;&gt;"",IFERROR(INDEX('1_INPUT'!$B$69:$E$89,MATCH($A171,'1_INPUT'!$E$69:$E$89,0),1),""),INDIRECT(ADDRESS(ROW()+1,COLUMN($AL$9),,,)))</f>
        <v>5</v>
      </c>
      <c r="AM171" s="428" t="str">
        <f ca="1">IF(AN171="","",MAX(INDIRECT(ADDRESS(9,COLUMN($AM$9),,,)):INDIRECT(ADDRESS(ROW()-1,COLUMN($AM$9),,,)))+1)</f>
        <v/>
      </c>
      <c r="AN171" s="429" t="str">
        <f>IF($AO171&lt;&gt;"",VLOOKUP($AK171,'1_INPUT'!$B$124:$D$136,2,FALSE),"")</f>
        <v/>
      </c>
      <c r="AO171" s="429" t="str">
        <f t="shared" si="10"/>
        <v/>
      </c>
      <c r="AP171" s="427">
        <f ca="1">SUMIF($AL$10:AL171,$AL171,$I$10:I171)</f>
        <v>423.83333333333303</v>
      </c>
      <c r="AR171" s="430" t="str">
        <f t="shared" ca="1" si="5"/>
        <v>WORKOVER SECTION</v>
      </c>
      <c r="AS171" s="430">
        <f ca="1">MATCH(AR171,'1_INPUT'!$V$43:$V$64,0)+1</f>
        <v>6</v>
      </c>
      <c r="AT171" s="430">
        <f ca="1">VLOOKUP(AR171,'1_INPUT'!$V$43:$W$64,2,FALSE)</f>
        <v>21</v>
      </c>
      <c r="AU171" s="430">
        <f ca="1">COUNTIF('1_INPUT'!$W$43:$W$64,AT171)-1</f>
        <v>5</v>
      </c>
      <c r="AV171" s="430" t="e">
        <f ca="1">OFFSET('1_INPUT'!$V$42,$AS171,,$AU171,)</f>
        <v>#VALUE!</v>
      </c>
      <c r="AX171" s="430" t="str">
        <f t="shared" si="429"/>
        <v/>
      </c>
      <c r="CK171" s="9"/>
      <c r="CL171" s="9"/>
    </row>
    <row r="172" spans="1:90" ht="27.6">
      <c r="A172" s="205"/>
      <c r="B172" s="518"/>
      <c r="C172" s="208">
        <f ca="1">IF(D172&lt;&gt;"",MAX($C$9:C171)+1,"")</f>
        <v>59</v>
      </c>
      <c r="D172" s="523" t="s">
        <v>614</v>
      </c>
      <c r="E172" s="406"/>
      <c r="F172" s="407">
        <v>6</v>
      </c>
      <c r="G172" s="209">
        <f t="shared" ca="1" si="420"/>
        <v>386</v>
      </c>
      <c r="H172" s="209">
        <f t="shared" si="218"/>
        <v>0.25</v>
      </c>
      <c r="I172" s="209">
        <f t="shared" ca="1" si="421"/>
        <v>16.083333333333329</v>
      </c>
      <c r="J172" s="540">
        <v>1112</v>
      </c>
      <c r="K172" s="200"/>
      <c r="L172" s="525"/>
      <c r="M172" s="400"/>
      <c r="N172" s="407"/>
      <c r="O172" s="95">
        <f t="shared" ca="1" si="422"/>
        <v>455</v>
      </c>
      <c r="P172" s="403">
        <v>2374.8000000000002</v>
      </c>
      <c r="Q172" s="116">
        <f>IF(N172&gt;0,VLOOKUP(M172,'3_TIME SUM'!$F$7:$G$128,2,FALSE),0)</f>
        <v>0</v>
      </c>
      <c r="R172" s="517"/>
      <c r="S172" s="94">
        <f t="shared" si="12"/>
        <v>0</v>
      </c>
      <c r="T172" s="94">
        <f t="shared" ca="1" si="423"/>
        <v>18.958333333333339</v>
      </c>
      <c r="U172" s="535">
        <f ca="1">$T172+'1_INPUT'!$E$18</f>
        <v>44962.75</v>
      </c>
      <c r="V172" s="95">
        <f t="shared" ca="1" si="424"/>
        <v>-69.000000000000256</v>
      </c>
      <c r="W172" s="110">
        <f t="shared" ca="1" si="425"/>
        <v>2.875</v>
      </c>
      <c r="X172" s="111">
        <f t="shared" ca="1" si="426"/>
        <v>44963</v>
      </c>
      <c r="Y172" s="112" t="str">
        <f ca="1">IFERROR(IF(SUMIFS($N$9:$N172,$X$9:$X172,ROUNDUP(VALUE(U172),0),$Q$9:$Q172,"npt")=0,"-",SUMIFS($N$9:$N172,$X$9:$X172,ROUNDUP(VALUE(U172),0),$Q$9:$Q172,"npt")/SUMIFS($N$9:$N172,$X$9:$X172,ROUNDUP(VALUE(U172),0))),"")</f>
        <v>-</v>
      </c>
      <c r="Z172" s="112" t="str">
        <f>IFERROR(IF($N172=0,"-",SUMIF($Q$11:$Q172,"npt",$N$11:$N172)/(T172*24)),"")</f>
        <v>-</v>
      </c>
      <c r="AA172" s="491"/>
      <c r="AB172" s="491"/>
      <c r="AC172" s="398" t="s">
        <v>224</v>
      </c>
      <c r="AD172" s="427">
        <f t="shared" ca="1" si="9"/>
        <v>16.083333333333329</v>
      </c>
      <c r="AE172" s="427">
        <f t="shared" ca="1" si="0"/>
        <v>1112</v>
      </c>
      <c r="AF172" s="427">
        <f t="shared" ca="1" si="427"/>
        <v>18.958333333333339</v>
      </c>
      <c r="AG172" s="427">
        <f t="shared" ca="1" si="2"/>
        <v>2374.8000000000002</v>
      </c>
      <c r="AH172" s="493"/>
      <c r="AI172" s="427">
        <f t="shared" ca="1" si="3"/>
        <v>0</v>
      </c>
      <c r="AJ172" s="493"/>
      <c r="AK172" s="428">
        <f t="shared" ca="1" si="428"/>
        <v>2</v>
      </c>
      <c r="AL172" s="428">
        <f ca="1">IF(A172&lt;&gt;"",IFERROR(INDEX('1_INPUT'!$B$69:$E$89,MATCH($A172,'1_INPUT'!$E$69:$E$89,0),1),""),INDIRECT(ADDRESS(ROW()+1,COLUMN($AL$9),,,)))</f>
        <v>5</v>
      </c>
      <c r="AM172" s="428" t="str">
        <f ca="1">IF(AN172="","",MAX(INDIRECT(ADDRESS(9,COLUMN($AM$9),,,)):INDIRECT(ADDRESS(ROW()-1,COLUMN($AM$9),,,)))+1)</f>
        <v/>
      </c>
      <c r="AN172" s="429" t="str">
        <f>IF($AO172&lt;&gt;"",VLOOKUP($AK172,'1_INPUT'!$B$124:$D$136,2,FALSE),"")</f>
        <v/>
      </c>
      <c r="AO172" s="429" t="str">
        <f t="shared" si="10"/>
        <v/>
      </c>
      <c r="AP172" s="427">
        <f ca="1">SUMIF($AL$10:AL172,$AL172,$I$10:I172)</f>
        <v>439.91666666666634</v>
      </c>
      <c r="AR172" s="430" t="str">
        <f t="shared" ca="1" si="5"/>
        <v>WORKOVER SECTION</v>
      </c>
      <c r="AS172" s="430">
        <f ca="1">MATCH(AR172,'1_INPUT'!$V$43:$V$64,0)+1</f>
        <v>6</v>
      </c>
      <c r="AT172" s="430">
        <f ca="1">VLOOKUP(AR172,'1_INPUT'!$V$43:$W$64,2,FALSE)</f>
        <v>21</v>
      </c>
      <c r="AU172" s="430">
        <f ca="1">COUNTIF('1_INPUT'!$W$43:$W$64,AT172)-1</f>
        <v>5</v>
      </c>
      <c r="AV172" s="430" t="e">
        <f ca="1">OFFSET('1_INPUT'!$V$42,$AS172,,$AU172,)</f>
        <v>#VALUE!</v>
      </c>
      <c r="AX172" s="430" t="str">
        <f t="shared" si="429"/>
        <v/>
      </c>
      <c r="CK172" s="9"/>
      <c r="CL172" s="9"/>
    </row>
    <row r="173" spans="1:90" ht="55.2">
      <c r="A173" s="205"/>
      <c r="B173" s="518"/>
      <c r="C173" s="208">
        <f ca="1">IF(D173&lt;&gt;"",MAX($C$9:C172)+1,"")</f>
        <v>60</v>
      </c>
      <c r="D173" s="523" t="s">
        <v>610</v>
      </c>
      <c r="E173" s="406"/>
      <c r="F173" s="407">
        <v>1</v>
      </c>
      <c r="G173" s="209">
        <f t="shared" ref="G173" ca="1" si="460">IF(INDIRECT(ADDRESS(ROW()-1,COLUMN(B$7),,,))&lt;&gt;"",INDIRECT(ADDRESS(ROW(),COLUMN(F$7),,,)),INDIRECT(ADDRESS(ROW()-1,COLUMN(G$7),,,))+INDIRECT(ADDRESS(ROW(),COLUMN(F$7),,,)))</f>
        <v>387</v>
      </c>
      <c r="H173" s="209">
        <f t="shared" si="218"/>
        <v>4.1666666666666664E-2</v>
      </c>
      <c r="I173" s="209">
        <f t="shared" ref="I173" ca="1" si="461">INDIRECT(ADDRESS(ROW()-1,COLUMN(I$7),,,))+INDIRECT(ADDRESS(ROW(),COLUMN(H$7),,,))</f>
        <v>16.124999999999996</v>
      </c>
      <c r="J173" s="540">
        <v>1112</v>
      </c>
      <c r="K173" s="200"/>
      <c r="L173" s="525" t="s">
        <v>747</v>
      </c>
      <c r="M173" s="400" t="s">
        <v>146</v>
      </c>
      <c r="N173" s="407">
        <v>1</v>
      </c>
      <c r="O173" s="95">
        <f t="shared" ref="O173" ca="1" si="462">IF(INDIRECT(ADDRESS(ROW()-1,COLUMN(B$7),,,))&lt;&gt;"",INDIRECT(ADDRESS(ROW(),COLUMN(N$7),,,)),INDIRECT(ADDRESS(ROW()-1,COLUMN(O$7),,,))+INDIRECT(ADDRESS(ROW(),COLUMN(N$7),,,)))</f>
        <v>456</v>
      </c>
      <c r="P173" s="403">
        <v>2374.8000000000002</v>
      </c>
      <c r="Q173" s="116">
        <f>IF(N173&gt;0,VLOOKUP(M173,'3_TIME SUM'!$F$7:$G$128,2,FALSE),0)</f>
        <v>0</v>
      </c>
      <c r="R173" s="517"/>
      <c r="S173" s="94">
        <f t="shared" si="12"/>
        <v>4.1666666666666664E-2</v>
      </c>
      <c r="T173" s="94">
        <f t="shared" ref="T173" ca="1" si="463">INDIRECT(ADDRESS(ROW()-1,COLUMN(T$7),,,))+INDIRECT(ADDRESS(ROW(),COLUMN(S$7),,,))</f>
        <v>19.000000000000007</v>
      </c>
      <c r="U173" s="535">
        <f ca="1">$T173+'1_INPUT'!$E$18</f>
        <v>44962.791666666664</v>
      </c>
      <c r="V173" s="95">
        <f t="shared" ref="V173" ca="1" si="464">IFERROR(IF($AI173=0,($I173-T173)*24,(($P173-INDIRECT(ADDRESS(ROW()-1,COLUMN($P$9),,,)))/$AI173)-$N173+(INDIRECT(ADDRESS(ROW()-1,COLUMN(V$9),,,)))),"")</f>
        <v>-69.000000000000256</v>
      </c>
      <c r="W173" s="110">
        <f t="shared" ref="W173" ca="1" si="465">IFERROR(IF(V173&gt;0,TIME(V173,(V173-ROUNDDOWN(V173,0))*60,0)+DAY((ROUNDDOWN(V173,0)/24)),TIME((-V173),((-V173)-ROUNDDOWN((-V173),0))*60,0)+DAY((ROUNDDOWN((-V173),0)/24))),"")</f>
        <v>2.875</v>
      </c>
      <c r="X173" s="111">
        <f t="shared" ref="X173" ca="1" si="466">IF(U173=0,"-",ROUNDUP(VALUE(U173),0))</f>
        <v>44963</v>
      </c>
      <c r="Y173" s="112" t="str">
        <f ca="1">IFERROR(IF(SUMIFS($N$9:$N173,$X$9:$X173,ROUNDUP(VALUE(U173),0),$Q$9:$Q173,"npt")=0,"-",SUMIFS($N$9:$N173,$X$9:$X173,ROUNDUP(VALUE(U173),0),$Q$9:$Q173,"npt")/SUMIFS($N$9:$N173,$X$9:$X173,ROUNDUP(VALUE(U173),0))),"")</f>
        <v>-</v>
      </c>
      <c r="Z173" s="112">
        <f ca="1">IFERROR(IF($N173=0,"-",SUMIF($Q$11:$Q173,"npt",$N$11:$N173)/(T173*24)),"")</f>
        <v>2.5219298245614027E-2</v>
      </c>
      <c r="AA173" s="491"/>
      <c r="AB173" s="491"/>
      <c r="AC173" s="398" t="s">
        <v>224</v>
      </c>
      <c r="AD173" s="427">
        <f t="shared" ca="1" si="9"/>
        <v>16.124999999999996</v>
      </c>
      <c r="AE173" s="427">
        <f t="shared" ca="1" si="0"/>
        <v>1112</v>
      </c>
      <c r="AF173" s="427">
        <f t="shared" ref="AF173" ca="1" si="467">T173</f>
        <v>19.000000000000007</v>
      </c>
      <c r="AG173" s="427">
        <f t="shared" ca="1" si="2"/>
        <v>2374.8000000000002</v>
      </c>
      <c r="AH173" s="493"/>
      <c r="AI173" s="427">
        <f t="shared" ca="1" si="3"/>
        <v>0</v>
      </c>
      <c r="AJ173" s="493"/>
      <c r="AK173" s="428">
        <f t="shared" ref="AK173" ca="1" si="468">IF(B173&lt;&gt;"",B173,INDIRECT(ADDRESS(ROW()+1,COLUMN($AK$9),,,)))</f>
        <v>2</v>
      </c>
      <c r="AL173" s="428">
        <f ca="1">IF(A173&lt;&gt;"",IFERROR(INDEX('1_INPUT'!$B$69:$E$89,MATCH($A173,'1_INPUT'!$E$69:$E$89,0),1),""),INDIRECT(ADDRESS(ROW()+1,COLUMN($AL$9),,,)))</f>
        <v>5</v>
      </c>
      <c r="AM173" s="428" t="str">
        <f ca="1">IF(AN173="","",MAX(INDIRECT(ADDRESS(9,COLUMN($AM$9),,,)):INDIRECT(ADDRESS(ROW()-1,COLUMN($AM$9),,,)))+1)</f>
        <v/>
      </c>
      <c r="AN173" s="429" t="str">
        <f>IF($AO173&lt;&gt;"",VLOOKUP($AK173,'1_INPUT'!$B$124:$D$136,2,FALSE),"")</f>
        <v/>
      </c>
      <c r="AO173" s="429" t="str">
        <f t="shared" si="10"/>
        <v/>
      </c>
      <c r="AP173" s="427">
        <f ca="1">SUMIF($AL$10:AL173,$AL173,$I$10:I173)</f>
        <v>456.04166666666634</v>
      </c>
      <c r="AR173" s="430" t="str">
        <f t="shared" ca="1" si="5"/>
        <v>WORKOVER SECTION</v>
      </c>
      <c r="AS173" s="430">
        <f ca="1">MATCH(AR173,'1_INPUT'!$V$43:$V$64,0)+1</f>
        <v>6</v>
      </c>
      <c r="AT173" s="430">
        <f ca="1">VLOOKUP(AR173,'1_INPUT'!$V$43:$W$64,2,FALSE)</f>
        <v>21</v>
      </c>
      <c r="AU173" s="430">
        <f ca="1">COUNTIF('1_INPUT'!$W$43:$W$64,AT173)-1</f>
        <v>5</v>
      </c>
      <c r="AV173" s="430" t="e">
        <f ca="1">OFFSET('1_INPUT'!$V$42,$AS173,,$AU173,)</f>
        <v>#VALUE!</v>
      </c>
      <c r="AX173" s="430" t="str">
        <f t="shared" ref="AX173" si="469">IF(A173&lt;&gt;"",""&amp;AR173&amp;"-"&amp;A173&amp;"","")</f>
        <v/>
      </c>
      <c r="CK173" s="9"/>
      <c r="CL173" s="9"/>
    </row>
    <row r="174" spans="1:90" ht="27.6">
      <c r="A174" s="205"/>
      <c r="B174" s="518"/>
      <c r="C174" s="208">
        <f ca="1">IF(D174&lt;&gt;"",MAX($C$9:C173)+1,"")</f>
        <v>61</v>
      </c>
      <c r="D174" s="523" t="s">
        <v>584</v>
      </c>
      <c r="E174" s="406"/>
      <c r="F174" s="407">
        <v>2</v>
      </c>
      <c r="G174" s="209">
        <f t="shared" ca="1" si="420"/>
        <v>389</v>
      </c>
      <c r="H174" s="209">
        <f t="shared" si="218"/>
        <v>8.3333333333333329E-2</v>
      </c>
      <c r="I174" s="209">
        <f t="shared" ca="1" si="421"/>
        <v>16.208333333333329</v>
      </c>
      <c r="J174" s="540">
        <v>1112</v>
      </c>
      <c r="K174" s="200"/>
      <c r="L174" s="525" t="s">
        <v>748</v>
      </c>
      <c r="M174" s="400" t="s">
        <v>36</v>
      </c>
      <c r="N174" s="407">
        <v>0.5</v>
      </c>
      <c r="O174" s="95">
        <f t="shared" ca="1" si="422"/>
        <v>456.5</v>
      </c>
      <c r="P174" s="403">
        <v>2374.8000000000002</v>
      </c>
      <c r="Q174" s="116">
        <f>IF(N174&gt;0,VLOOKUP(M174,'3_TIME SUM'!$F$7:$G$128,2,FALSE),0)</f>
        <v>0</v>
      </c>
      <c r="R174" s="517"/>
      <c r="S174" s="94">
        <f t="shared" si="12"/>
        <v>2.0833333333333332E-2</v>
      </c>
      <c r="T174" s="94">
        <f t="shared" ca="1" si="423"/>
        <v>19.020833333333339</v>
      </c>
      <c r="U174" s="535">
        <f ca="1">$T174+'1_INPUT'!$E$18</f>
        <v>44962.8125</v>
      </c>
      <c r="V174" s="95">
        <f t="shared" ca="1" si="424"/>
        <v>-67.500000000000256</v>
      </c>
      <c r="W174" s="110">
        <f t="shared" ca="1" si="425"/>
        <v>2.8125</v>
      </c>
      <c r="X174" s="111">
        <f t="shared" ca="1" si="426"/>
        <v>44963</v>
      </c>
      <c r="Y174" s="112" t="str">
        <f ca="1">IFERROR(IF(SUMIFS($N$9:$N174,$X$9:$X174,ROUNDUP(VALUE(U174),0),$Q$9:$Q174,"npt")=0,"-",SUMIFS($N$9:$N174,$X$9:$X174,ROUNDUP(VALUE(U174),0),$Q$9:$Q174,"npt")/SUMIFS($N$9:$N174,$X$9:$X174,ROUNDUP(VALUE(U174),0))),"")</f>
        <v>-</v>
      </c>
      <c r="Z174" s="112">
        <f ca="1">IFERROR(IF($N174=0,"-",SUMIF($Q$11:$Q174,"npt",$N$11:$N174)/(T174*24)),"")</f>
        <v>2.5191675794085426E-2</v>
      </c>
      <c r="AA174" s="491"/>
      <c r="AB174" s="491"/>
      <c r="AC174" s="398" t="s">
        <v>224</v>
      </c>
      <c r="AD174" s="427">
        <f t="shared" ca="1" si="9"/>
        <v>16.208333333333329</v>
      </c>
      <c r="AE174" s="427">
        <f t="shared" ca="1" si="0"/>
        <v>1112</v>
      </c>
      <c r="AF174" s="427">
        <f t="shared" ca="1" si="427"/>
        <v>19.020833333333339</v>
      </c>
      <c r="AG174" s="427">
        <f t="shared" ca="1" si="2"/>
        <v>2374.8000000000002</v>
      </c>
      <c r="AH174" s="493"/>
      <c r="AI174" s="427">
        <f t="shared" ca="1" si="3"/>
        <v>0</v>
      </c>
      <c r="AJ174" s="493"/>
      <c r="AK174" s="428">
        <f t="shared" ca="1" si="428"/>
        <v>2</v>
      </c>
      <c r="AL174" s="428">
        <f ca="1">IF(A174&lt;&gt;"",IFERROR(INDEX('1_INPUT'!$B$69:$E$89,MATCH($A174,'1_INPUT'!$E$69:$E$89,0),1),""),INDIRECT(ADDRESS(ROW()+1,COLUMN($AL$9),,,)))</f>
        <v>5</v>
      </c>
      <c r="AM174" s="428" t="str">
        <f ca="1">IF(AN174="","",MAX(INDIRECT(ADDRESS(9,COLUMN($AM$9),,,)):INDIRECT(ADDRESS(ROW()-1,COLUMN($AM$9),,,)))+1)</f>
        <v/>
      </c>
      <c r="AN174" s="429" t="str">
        <f>IF($AO174&lt;&gt;"",VLOOKUP($AK174,'1_INPUT'!$B$124:$D$136,2,FALSE),"")</f>
        <v/>
      </c>
      <c r="AO174" s="429" t="str">
        <f t="shared" si="10"/>
        <v/>
      </c>
      <c r="AP174" s="427">
        <f ca="1">SUMIF($AL$10:AL174,$AL174,$I$10:I174)</f>
        <v>472.24999999999966</v>
      </c>
      <c r="AR174" s="430" t="str">
        <f t="shared" ca="1" si="5"/>
        <v>WORKOVER SECTION</v>
      </c>
      <c r="AS174" s="430">
        <f ca="1">MATCH(AR174,'1_INPUT'!$V$43:$V$64,0)+1</f>
        <v>6</v>
      </c>
      <c r="AT174" s="430">
        <f ca="1">VLOOKUP(AR174,'1_INPUT'!$V$43:$W$64,2,FALSE)</f>
        <v>21</v>
      </c>
      <c r="AU174" s="430">
        <f ca="1">COUNTIF('1_INPUT'!$W$43:$W$64,AT174)-1</f>
        <v>5</v>
      </c>
      <c r="AV174" s="430" t="e">
        <f ca="1">OFFSET('1_INPUT'!$V$42,$AS174,,$AU174,)</f>
        <v>#VALUE!</v>
      </c>
      <c r="AX174" s="430" t="str">
        <f t="shared" si="429"/>
        <v/>
      </c>
      <c r="CK174" s="9"/>
      <c r="CL174" s="9"/>
    </row>
    <row r="175" spans="1:90" ht="41.4">
      <c r="A175" s="205"/>
      <c r="B175" s="518"/>
      <c r="C175" s="208">
        <f ca="1">IF(D175&lt;&gt;"",MAX($C$9:C174)+1,"")</f>
        <v>62</v>
      </c>
      <c r="D175" s="523" t="s">
        <v>585</v>
      </c>
      <c r="E175" s="406"/>
      <c r="F175" s="407">
        <v>6</v>
      </c>
      <c r="G175" s="209">
        <f t="shared" ca="1" si="420"/>
        <v>395</v>
      </c>
      <c r="H175" s="209">
        <f t="shared" si="218"/>
        <v>0.25</v>
      </c>
      <c r="I175" s="209">
        <f t="shared" ca="1" si="421"/>
        <v>16.458333333333329</v>
      </c>
      <c r="J175" s="540">
        <v>1112</v>
      </c>
      <c r="K175" s="200"/>
      <c r="L175" s="564" t="s">
        <v>749</v>
      </c>
      <c r="M175" s="400" t="s">
        <v>146</v>
      </c>
      <c r="N175" s="407">
        <v>4.5</v>
      </c>
      <c r="O175" s="95">
        <f t="shared" ca="1" si="422"/>
        <v>461</v>
      </c>
      <c r="P175" s="403">
        <v>2374.8000000000002</v>
      </c>
      <c r="Q175" s="116">
        <f>IF(N175&gt;0,VLOOKUP(M175,'3_TIME SUM'!$F$7:$G$128,2,FALSE),0)</f>
        <v>0</v>
      </c>
      <c r="R175" s="517"/>
      <c r="S175" s="94">
        <f t="shared" si="12"/>
        <v>0.1875</v>
      </c>
      <c r="T175" s="94">
        <f t="shared" ca="1" si="423"/>
        <v>19.208333333333339</v>
      </c>
      <c r="U175" s="539">
        <f ca="1">$T175+'1_INPUT'!$E$18</f>
        <v>44963</v>
      </c>
      <c r="V175" s="95">
        <f t="shared" ca="1" si="424"/>
        <v>-66.000000000000256</v>
      </c>
      <c r="W175" s="110">
        <f t="shared" ca="1" si="425"/>
        <v>2.75</v>
      </c>
      <c r="X175" s="111">
        <f t="shared" ca="1" si="426"/>
        <v>44963</v>
      </c>
      <c r="Y175" s="112" t="str">
        <f ca="1">IFERROR(IF(SUMIFS($N$9:$N175,$X$9:$X175,ROUNDUP(VALUE(U175),0),$Q$9:$Q175,"npt")=0,"-",SUMIFS($N$9:$N175,$X$9:$X175,ROUNDUP(VALUE(U175),0),$Q$9:$Q175,"npt")/SUMIFS($N$9:$N175,$X$9:$X175,ROUNDUP(VALUE(U175),0))),"")</f>
        <v>-</v>
      </c>
      <c r="Z175" s="112">
        <f ca="1">IFERROR(IF($N175=0,"-",SUMIF($Q$11:$Q175,"npt",$N$11:$N175)/(T175*24)),"")</f>
        <v>2.4945770065075916E-2</v>
      </c>
      <c r="AA175" s="491"/>
      <c r="AB175" s="491"/>
      <c r="AC175" s="398" t="s">
        <v>224</v>
      </c>
      <c r="AD175" s="427">
        <f t="shared" ca="1" si="9"/>
        <v>16.458333333333329</v>
      </c>
      <c r="AE175" s="427">
        <f t="shared" ca="1" si="0"/>
        <v>1112</v>
      </c>
      <c r="AF175" s="427">
        <f t="shared" ca="1" si="427"/>
        <v>19.208333333333339</v>
      </c>
      <c r="AG175" s="427">
        <f t="shared" ca="1" si="2"/>
        <v>2374.8000000000002</v>
      </c>
      <c r="AH175" s="493"/>
      <c r="AI175" s="427">
        <f t="shared" ca="1" si="3"/>
        <v>0</v>
      </c>
      <c r="AJ175" s="493"/>
      <c r="AK175" s="428">
        <f t="shared" ca="1" si="428"/>
        <v>2</v>
      </c>
      <c r="AL175" s="428">
        <f ca="1">IF(A175&lt;&gt;"",IFERROR(INDEX('1_INPUT'!$B$69:$E$89,MATCH($A175,'1_INPUT'!$E$69:$E$89,0),1),""),INDIRECT(ADDRESS(ROW()+1,COLUMN($AL$9),,,)))</f>
        <v>5</v>
      </c>
      <c r="AM175" s="428" t="str">
        <f ca="1">IF(AN175="","",MAX(INDIRECT(ADDRESS(9,COLUMN($AM$9),,,)):INDIRECT(ADDRESS(ROW()-1,COLUMN($AM$9),,,)))+1)</f>
        <v/>
      </c>
      <c r="AN175" s="429" t="str">
        <f>IF($AO175&lt;&gt;"",VLOOKUP($AK175,'1_INPUT'!$B$124:$D$136,2,FALSE),"")</f>
        <v/>
      </c>
      <c r="AO175" s="429" t="str">
        <f t="shared" si="10"/>
        <v/>
      </c>
      <c r="AP175" s="427">
        <f ca="1">SUMIF($AL$10:AL175,$AL175,$I$10:I175)</f>
        <v>488.70833333333297</v>
      </c>
      <c r="AR175" s="430" t="str">
        <f t="shared" ca="1" si="5"/>
        <v>WORKOVER SECTION</v>
      </c>
      <c r="AS175" s="430">
        <f ca="1">MATCH(AR175,'1_INPUT'!$V$43:$V$64,0)+1</f>
        <v>6</v>
      </c>
      <c r="AT175" s="430">
        <f ca="1">VLOOKUP(AR175,'1_INPUT'!$V$43:$W$64,2,FALSE)</f>
        <v>21</v>
      </c>
      <c r="AU175" s="430">
        <f ca="1">COUNTIF('1_INPUT'!$W$43:$W$64,AT175)-1</f>
        <v>5</v>
      </c>
      <c r="AV175" s="430" t="e">
        <f ca="1">OFFSET('1_INPUT'!$V$42,$AS175,,$AU175,)</f>
        <v>#VALUE!</v>
      </c>
      <c r="AX175" s="430" t="str">
        <f t="shared" si="429"/>
        <v/>
      </c>
      <c r="CK175" s="9"/>
      <c r="CL175" s="9"/>
    </row>
    <row r="176" spans="1:90" ht="96.6">
      <c r="A176" s="205"/>
      <c r="B176" s="518"/>
      <c r="C176" s="208"/>
      <c r="D176" s="523"/>
      <c r="E176" s="406"/>
      <c r="F176" s="407"/>
      <c r="G176" s="209">
        <f t="shared" ref="G176:G179" ca="1" si="470">IF(INDIRECT(ADDRESS(ROW()-1,COLUMN(B$7),,,))&lt;&gt;"",INDIRECT(ADDRESS(ROW(),COLUMN(F$7),,,)),INDIRECT(ADDRESS(ROW()-1,COLUMN(G$7),,,))+INDIRECT(ADDRESS(ROW(),COLUMN(F$7),,,)))</f>
        <v>395</v>
      </c>
      <c r="H176" s="209">
        <f t="shared" si="218"/>
        <v>0</v>
      </c>
      <c r="I176" s="209">
        <f t="shared" ref="I176:I179" ca="1" si="471">INDIRECT(ADDRESS(ROW()-1,COLUMN(I$7),,,))+INDIRECT(ADDRESS(ROW(),COLUMN(H$7),,,))</f>
        <v>16.458333333333329</v>
      </c>
      <c r="J176" s="540">
        <v>1112</v>
      </c>
      <c r="K176" s="200"/>
      <c r="L176" s="564" t="s">
        <v>750</v>
      </c>
      <c r="M176" s="400" t="s">
        <v>146</v>
      </c>
      <c r="N176" s="407">
        <v>13</v>
      </c>
      <c r="O176" s="95">
        <f t="shared" ref="O176:O179" ca="1" si="472">IF(INDIRECT(ADDRESS(ROW()-1,COLUMN(B$7),,,))&lt;&gt;"",INDIRECT(ADDRESS(ROW(),COLUMN(N$7),,,)),INDIRECT(ADDRESS(ROW()-1,COLUMN(O$7),,,))+INDIRECT(ADDRESS(ROW(),COLUMN(N$7),,,)))</f>
        <v>474</v>
      </c>
      <c r="P176" s="403">
        <v>2374.8000000000002</v>
      </c>
      <c r="Q176" s="116">
        <f>IF(N176&gt;0,VLOOKUP(M176,'3_TIME SUM'!$F$7:$G$128,2,FALSE),0)</f>
        <v>0</v>
      </c>
      <c r="R176" s="517"/>
      <c r="S176" s="94">
        <f t="shared" si="12"/>
        <v>0.54166666666666663</v>
      </c>
      <c r="T176" s="94">
        <f t="shared" ref="T176:T179" ca="1" si="473">INDIRECT(ADDRESS(ROW()-1,COLUMN(T$7),,,))+INDIRECT(ADDRESS(ROW(),COLUMN(S$7),,,))</f>
        <v>19.750000000000007</v>
      </c>
      <c r="U176" s="535">
        <f ca="1">$T176+'1_INPUT'!$E$18</f>
        <v>44963.541666666664</v>
      </c>
      <c r="V176" s="95">
        <f t="shared" ref="V176:V179" ca="1" si="474">IFERROR(IF($AI176=0,($I176-T176)*24,(($P176-INDIRECT(ADDRESS(ROW()-1,COLUMN($P$9),,,)))/$AI176)-$N176+(INDIRECT(ADDRESS(ROW()-1,COLUMN(V$9),,,)))),"")</f>
        <v>-79.000000000000284</v>
      </c>
      <c r="W176" s="110">
        <f t="shared" ref="W176:W179" ca="1" si="475">IFERROR(IF(V176&gt;0,TIME(V176,(V176-ROUNDDOWN(V176,0))*60,0)+DAY((ROUNDDOWN(V176,0)/24)),TIME((-V176),((-V176)-ROUNDDOWN((-V176),0))*60,0)+DAY((ROUNDDOWN((-V176),0)/24))),"")</f>
        <v>3.2916666666666665</v>
      </c>
      <c r="X176" s="111">
        <f t="shared" ref="X176:X179" ca="1" si="476">IF(U176=0,"-",ROUNDUP(VALUE(U176),0))</f>
        <v>44964</v>
      </c>
      <c r="Y176" s="112" t="str">
        <f ca="1">IFERROR(IF(SUMIFS($N$9:$N176,$X$9:$X176,ROUNDUP(VALUE(U176),0),$Q$9:$Q176,"npt")=0,"-",SUMIFS($N$9:$N176,$X$9:$X176,ROUNDUP(VALUE(U176),0),$Q$9:$Q176,"npt")/SUMIFS($N$9:$N176,$X$9:$X176,ROUNDUP(VALUE(U176),0))),"")</f>
        <v>-</v>
      </c>
      <c r="Z176" s="112">
        <f ca="1">IFERROR(IF($N176=0,"-",SUMIF($Q$11:$Q176,"npt",$N$11:$N176)/(T176*24)),"")</f>
        <v>2.4261603375527418E-2</v>
      </c>
      <c r="AA176" s="491"/>
      <c r="AB176" s="491"/>
      <c r="AC176" s="398" t="s">
        <v>224</v>
      </c>
      <c r="AD176" s="427">
        <f t="shared" ca="1" si="9"/>
        <v>16.458333333333329</v>
      </c>
      <c r="AE176" s="427">
        <f t="shared" ca="1" si="0"/>
        <v>1112</v>
      </c>
      <c r="AF176" s="427">
        <f t="shared" ref="AF176:AF179" ca="1" si="477">T176</f>
        <v>19.750000000000007</v>
      </c>
      <c r="AG176" s="427">
        <f t="shared" ca="1" si="2"/>
        <v>2374.8000000000002</v>
      </c>
      <c r="AH176" s="493"/>
      <c r="AI176" s="427">
        <f t="shared" ca="1" si="3"/>
        <v>0</v>
      </c>
      <c r="AJ176" s="493"/>
      <c r="AK176" s="428">
        <f t="shared" ref="AK176:AK179" ca="1" si="478">IF(B176&lt;&gt;"",B176,INDIRECT(ADDRESS(ROW()+1,COLUMN($AK$9),,,)))</f>
        <v>2</v>
      </c>
      <c r="AL176" s="428">
        <f ca="1">IF(A176&lt;&gt;"",IFERROR(INDEX('1_INPUT'!$B$69:$E$89,MATCH($A176,'1_INPUT'!$E$69:$E$89,0),1),""),INDIRECT(ADDRESS(ROW()+1,COLUMN($AL$9),,,)))</f>
        <v>5</v>
      </c>
      <c r="AM176" s="428" t="str">
        <f ca="1">IF(AN176="","",MAX(INDIRECT(ADDRESS(9,COLUMN($AM$9),,,)):INDIRECT(ADDRESS(ROW()-1,COLUMN($AM$9),,,)))+1)</f>
        <v/>
      </c>
      <c r="AN176" s="429" t="str">
        <f>IF($AO176&lt;&gt;"",VLOOKUP($AK176,'1_INPUT'!$B$124:$D$136,2,FALSE),"")</f>
        <v/>
      </c>
      <c r="AO176" s="429" t="str">
        <f t="shared" si="10"/>
        <v/>
      </c>
      <c r="AP176" s="427">
        <f ca="1">SUMIF($AL$10:AL176,$AL176,$I$10:I176)</f>
        <v>505.16666666666629</v>
      </c>
      <c r="AR176" s="430" t="str">
        <f t="shared" ca="1" si="5"/>
        <v>WORKOVER SECTION</v>
      </c>
      <c r="AS176" s="430">
        <f ca="1">MATCH(AR176,'1_INPUT'!$V$43:$V$64,0)+1</f>
        <v>6</v>
      </c>
      <c r="AT176" s="430">
        <f ca="1">VLOOKUP(AR176,'1_INPUT'!$V$43:$W$64,2,FALSE)</f>
        <v>21</v>
      </c>
      <c r="AU176" s="430">
        <f ca="1">COUNTIF('1_INPUT'!$W$43:$W$64,AT176)-1</f>
        <v>5</v>
      </c>
      <c r="AV176" s="430" t="e">
        <f ca="1">OFFSET('1_INPUT'!$V$42,$AS176,,$AU176,)</f>
        <v>#VALUE!</v>
      </c>
      <c r="AX176" s="430" t="str">
        <f t="shared" ref="AX176:AX179" si="479">IF(A176&lt;&gt;"",""&amp;AR176&amp;"-"&amp;A176&amp;"","")</f>
        <v/>
      </c>
      <c r="CK176" s="9"/>
      <c r="CL176" s="9"/>
    </row>
    <row r="177" spans="1:90" ht="262.2">
      <c r="A177" s="205"/>
      <c r="B177" s="518"/>
      <c r="C177" s="208"/>
      <c r="D177" s="523"/>
      <c r="E177" s="406"/>
      <c r="F177" s="407"/>
      <c r="G177" s="209">
        <f t="shared" ca="1" si="470"/>
        <v>395</v>
      </c>
      <c r="H177" s="209">
        <f t="shared" si="218"/>
        <v>0</v>
      </c>
      <c r="I177" s="209">
        <f t="shared" ca="1" si="471"/>
        <v>16.458333333333329</v>
      </c>
      <c r="J177" s="540">
        <v>1112</v>
      </c>
      <c r="K177" s="200"/>
      <c r="L177" s="564" t="s">
        <v>751</v>
      </c>
      <c r="M177" s="400" t="s">
        <v>553</v>
      </c>
      <c r="N177" s="407">
        <v>3</v>
      </c>
      <c r="O177" s="95">
        <f t="shared" ca="1" si="472"/>
        <v>477</v>
      </c>
      <c r="P177" s="403">
        <v>2374.8000000000002</v>
      </c>
      <c r="Q177" s="116">
        <f>IF(N177&gt;0,VLOOKUP(M177,'3_TIME SUM'!$F$7:$G$128,2,FALSE),0)</f>
        <v>0</v>
      </c>
      <c r="R177" s="517"/>
      <c r="S177" s="94">
        <f t="shared" si="12"/>
        <v>0.125</v>
      </c>
      <c r="T177" s="94">
        <f t="shared" ca="1" si="473"/>
        <v>19.875000000000007</v>
      </c>
      <c r="U177" s="535">
        <f ca="1">$T177+'1_INPUT'!$E$18</f>
        <v>44963.666666666664</v>
      </c>
      <c r="V177" s="95">
        <f t="shared" ca="1" si="474"/>
        <v>-82.000000000000284</v>
      </c>
      <c r="W177" s="110">
        <f t="shared" ca="1" si="475"/>
        <v>3.4166666666666665</v>
      </c>
      <c r="X177" s="111">
        <f t="shared" ca="1" si="476"/>
        <v>44964</v>
      </c>
      <c r="Y177" s="112" t="str">
        <f ca="1">IFERROR(IF(SUMIFS($N$9:$N177,$X$9:$X177,ROUNDUP(VALUE(U177),0),$Q$9:$Q177,"npt")=0,"-",SUMIFS($N$9:$N177,$X$9:$X177,ROUNDUP(VALUE(U177),0),$Q$9:$Q177,"npt")/SUMIFS($N$9:$N177,$X$9:$X177,ROUNDUP(VALUE(U177),0))),"")</f>
        <v>-</v>
      </c>
      <c r="Z177" s="112">
        <f ca="1">IFERROR(IF($N177=0,"-",SUMIF($Q$11:$Q177,"npt",$N$11:$N177)/(T177*24)),"")</f>
        <v>2.4109014675052401E-2</v>
      </c>
      <c r="AA177" s="491"/>
      <c r="AB177" s="491"/>
      <c r="AC177" s="398" t="s">
        <v>224</v>
      </c>
      <c r="AD177" s="427">
        <f t="shared" ca="1" si="9"/>
        <v>16.458333333333329</v>
      </c>
      <c r="AE177" s="427">
        <f t="shared" ca="1" si="0"/>
        <v>1112</v>
      </c>
      <c r="AF177" s="427">
        <f t="shared" ca="1" si="477"/>
        <v>19.875000000000007</v>
      </c>
      <c r="AG177" s="427">
        <f t="shared" ca="1" si="2"/>
        <v>2374.8000000000002</v>
      </c>
      <c r="AH177" s="493"/>
      <c r="AI177" s="427">
        <f t="shared" ca="1" si="3"/>
        <v>0</v>
      </c>
      <c r="AJ177" s="493"/>
      <c r="AK177" s="428">
        <f t="shared" ca="1" si="478"/>
        <v>2</v>
      </c>
      <c r="AL177" s="428">
        <f ca="1">IF(A177&lt;&gt;"",IFERROR(INDEX('1_INPUT'!$B$69:$E$89,MATCH($A177,'1_INPUT'!$E$69:$E$89,0),1),""),INDIRECT(ADDRESS(ROW()+1,COLUMN($AL$9),,,)))</f>
        <v>5</v>
      </c>
      <c r="AM177" s="428" t="str">
        <f ca="1">IF(AN177="","",MAX(INDIRECT(ADDRESS(9,COLUMN($AM$9),,,)):INDIRECT(ADDRESS(ROW()-1,COLUMN($AM$9),,,)))+1)</f>
        <v/>
      </c>
      <c r="AN177" s="429" t="str">
        <f>IF($AO177&lt;&gt;"",VLOOKUP($AK177,'1_INPUT'!$B$124:$D$136,2,FALSE),"")</f>
        <v/>
      </c>
      <c r="AO177" s="429" t="str">
        <f t="shared" si="10"/>
        <v/>
      </c>
      <c r="AP177" s="427">
        <f ca="1">SUMIF($AL$10:AL177,$AL177,$I$10:I177)</f>
        <v>521.62499999999966</v>
      </c>
      <c r="AR177" s="430" t="str">
        <f t="shared" ca="1" si="5"/>
        <v>WORKOVER SECTION</v>
      </c>
      <c r="AS177" s="430">
        <f ca="1">MATCH(AR177,'1_INPUT'!$V$43:$V$64,0)+1</f>
        <v>6</v>
      </c>
      <c r="AT177" s="430">
        <f ca="1">VLOOKUP(AR177,'1_INPUT'!$V$43:$W$64,2,FALSE)</f>
        <v>21</v>
      </c>
      <c r="AU177" s="430">
        <f ca="1">COUNTIF('1_INPUT'!$W$43:$W$64,AT177)-1</f>
        <v>5</v>
      </c>
      <c r="AV177" s="430" t="e">
        <f ca="1">OFFSET('1_INPUT'!$V$42,$AS177,,$AU177,)</f>
        <v>#VALUE!</v>
      </c>
      <c r="AX177" s="430" t="str">
        <f t="shared" si="479"/>
        <v/>
      </c>
      <c r="CK177" s="9"/>
      <c r="CL177" s="9"/>
    </row>
    <row r="178" spans="1:90" ht="234.6">
      <c r="A178" s="205"/>
      <c r="B178" s="518"/>
      <c r="C178" s="208"/>
      <c r="D178" s="523"/>
      <c r="E178" s="406"/>
      <c r="F178" s="407"/>
      <c r="G178" s="209">
        <f t="shared" ref="G178" ca="1" si="480">IF(INDIRECT(ADDRESS(ROW()-1,COLUMN(B$7),,,))&lt;&gt;"",INDIRECT(ADDRESS(ROW(),COLUMN(F$7),,,)),INDIRECT(ADDRESS(ROW()-1,COLUMN(G$7),,,))+INDIRECT(ADDRESS(ROW(),COLUMN(F$7),,,)))</f>
        <v>395</v>
      </c>
      <c r="H178" s="209">
        <f t="shared" si="218"/>
        <v>0</v>
      </c>
      <c r="I178" s="209">
        <f t="shared" ref="I178" ca="1" si="481">INDIRECT(ADDRESS(ROW()-1,COLUMN(I$7),,,))+INDIRECT(ADDRESS(ROW(),COLUMN(H$7),,,))</f>
        <v>16.458333333333329</v>
      </c>
      <c r="J178" s="540">
        <v>1112</v>
      </c>
      <c r="K178" s="200"/>
      <c r="L178" s="564" t="s">
        <v>752</v>
      </c>
      <c r="M178" s="400" t="s">
        <v>553</v>
      </c>
      <c r="N178" s="407">
        <v>5</v>
      </c>
      <c r="O178" s="95">
        <f t="shared" ref="O178" ca="1" si="482">IF(INDIRECT(ADDRESS(ROW()-1,COLUMN(B$7),,,))&lt;&gt;"",INDIRECT(ADDRESS(ROW(),COLUMN(N$7),,,)),INDIRECT(ADDRESS(ROW()-1,COLUMN(O$7),,,))+INDIRECT(ADDRESS(ROW(),COLUMN(N$7),,,)))</f>
        <v>482</v>
      </c>
      <c r="P178" s="403">
        <v>2374.8000000000002</v>
      </c>
      <c r="Q178" s="116">
        <f>IF(N178&gt;0,VLOOKUP(M178,'3_TIME SUM'!$F$7:$G$128,2,FALSE),0)</f>
        <v>0</v>
      </c>
      <c r="R178" s="517"/>
      <c r="S178" s="94">
        <f t="shared" si="12"/>
        <v>0.20833333333333334</v>
      </c>
      <c r="T178" s="94">
        <f t="shared" ref="T178" ca="1" si="483">INDIRECT(ADDRESS(ROW()-1,COLUMN(T$7),,,))+INDIRECT(ADDRESS(ROW(),COLUMN(S$7),,,))</f>
        <v>20.083333333333339</v>
      </c>
      <c r="U178" s="535">
        <f ca="1">$T178+'1_INPUT'!$E$18</f>
        <v>44963.875</v>
      </c>
      <c r="V178" s="95">
        <f t="shared" ref="V178" ca="1" si="484">IFERROR(IF($AI178=0,($I178-T178)*24,(($P178-INDIRECT(ADDRESS(ROW()-1,COLUMN($P$9),,,)))/$AI178)-$N178+(INDIRECT(ADDRESS(ROW()-1,COLUMN(V$9),,,)))),"")</f>
        <v>-87.000000000000256</v>
      </c>
      <c r="W178" s="110">
        <f t="shared" ref="W178" ca="1" si="485">IFERROR(IF(V178&gt;0,TIME(V178,(V178-ROUNDDOWN(V178,0))*60,0)+DAY((ROUNDDOWN(V178,0)/24)),TIME((-V178),((-V178)-ROUNDDOWN((-V178),0))*60,0)+DAY((ROUNDDOWN((-V178),0)/24))),"")</f>
        <v>3.625</v>
      </c>
      <c r="X178" s="111">
        <f t="shared" ref="X178" ca="1" si="486">IF(U178=0,"-",ROUNDUP(VALUE(U178),0))</f>
        <v>44964</v>
      </c>
      <c r="Y178" s="112" t="str">
        <f ca="1">IFERROR(IF(SUMIFS($N$9:$N178,$X$9:$X178,ROUNDUP(VALUE(U178),0),$Q$9:$Q178,"npt")=0,"-",SUMIFS($N$9:$N178,$X$9:$X178,ROUNDUP(VALUE(U178),0),$Q$9:$Q178,"npt")/SUMIFS($N$9:$N178,$X$9:$X178,ROUNDUP(VALUE(U178),0))),"")</f>
        <v>-</v>
      </c>
      <c r="Z178" s="112">
        <f ca="1">IFERROR(IF($N178=0,"-",SUMIF($Q$11:$Q178,"npt",$N$11:$N178)/(T178*24)),"")</f>
        <v>2.3858921161825721E-2</v>
      </c>
      <c r="AA178" s="491"/>
      <c r="AB178" s="491"/>
      <c r="AC178" s="398" t="s">
        <v>224</v>
      </c>
      <c r="AD178" s="427">
        <f t="shared" ca="1" si="9"/>
        <v>16.458333333333329</v>
      </c>
      <c r="AE178" s="427">
        <f t="shared" ca="1" si="0"/>
        <v>1112</v>
      </c>
      <c r="AF178" s="427">
        <f t="shared" ref="AF178" ca="1" si="487">T178</f>
        <v>20.083333333333339</v>
      </c>
      <c r="AG178" s="427">
        <f t="shared" ca="1" si="2"/>
        <v>2374.8000000000002</v>
      </c>
      <c r="AH178" s="493"/>
      <c r="AI178" s="427">
        <f t="shared" ca="1" si="3"/>
        <v>0</v>
      </c>
      <c r="AJ178" s="493"/>
      <c r="AK178" s="428">
        <f t="shared" ref="AK178" ca="1" si="488">IF(B178&lt;&gt;"",B178,INDIRECT(ADDRESS(ROW()+1,COLUMN($AK$9),,,)))</f>
        <v>2</v>
      </c>
      <c r="AL178" s="428">
        <f ca="1">IF(A178&lt;&gt;"",IFERROR(INDEX('1_INPUT'!$B$69:$E$89,MATCH($A178,'1_INPUT'!$E$69:$E$89,0),1),""),INDIRECT(ADDRESS(ROW()+1,COLUMN($AL$9),,,)))</f>
        <v>5</v>
      </c>
      <c r="AM178" s="428" t="str">
        <f ca="1">IF(AN178="","",MAX(INDIRECT(ADDRESS(9,COLUMN($AM$9),,,)):INDIRECT(ADDRESS(ROW()-1,COLUMN($AM$9),,,)))+1)</f>
        <v/>
      </c>
      <c r="AN178" s="429" t="str">
        <f>IF($AO178&lt;&gt;"",VLOOKUP($AK178,'1_INPUT'!$B$124:$D$136,2,FALSE),"")</f>
        <v/>
      </c>
      <c r="AO178" s="429" t="str">
        <f t="shared" si="10"/>
        <v/>
      </c>
      <c r="AP178" s="427">
        <f ca="1">SUMIF($AL$10:AL178,$AL178,$I$10:I178)</f>
        <v>538.08333333333303</v>
      </c>
      <c r="AR178" s="430" t="str">
        <f t="shared" ca="1" si="5"/>
        <v>WORKOVER SECTION</v>
      </c>
      <c r="AS178" s="430">
        <f ca="1">MATCH(AR178,'1_INPUT'!$V$43:$V$64,0)+1</f>
        <v>6</v>
      </c>
      <c r="AT178" s="430">
        <f ca="1">VLOOKUP(AR178,'1_INPUT'!$V$43:$W$64,2,FALSE)</f>
        <v>21</v>
      </c>
      <c r="AU178" s="430">
        <f ca="1">COUNTIF('1_INPUT'!$W$43:$W$64,AT178)-1</f>
        <v>5</v>
      </c>
      <c r="AV178" s="430" t="e">
        <f ca="1">OFFSET('1_INPUT'!$V$42,$AS178,,$AU178,)</f>
        <v>#VALUE!</v>
      </c>
      <c r="AX178" s="430" t="str">
        <f t="shared" ref="AX178" si="489">IF(A178&lt;&gt;"",""&amp;AR178&amp;"-"&amp;A178&amp;"","")</f>
        <v/>
      </c>
      <c r="CK178" s="9"/>
      <c r="CL178" s="9"/>
    </row>
    <row r="179" spans="1:90" ht="96.6">
      <c r="A179" s="205" t="s">
        <v>577</v>
      </c>
      <c r="B179" s="518"/>
      <c r="C179" s="208"/>
      <c r="D179" s="523"/>
      <c r="E179" s="406"/>
      <c r="F179" s="407"/>
      <c r="G179" s="209">
        <f t="shared" ca="1" si="470"/>
        <v>395</v>
      </c>
      <c r="H179" s="209">
        <f t="shared" si="218"/>
        <v>0</v>
      </c>
      <c r="I179" s="209">
        <f t="shared" ca="1" si="471"/>
        <v>16.458333333333329</v>
      </c>
      <c r="J179" s="540">
        <v>1112</v>
      </c>
      <c r="K179" s="200"/>
      <c r="L179" s="564" t="s">
        <v>753</v>
      </c>
      <c r="M179" s="400" t="s">
        <v>553</v>
      </c>
      <c r="N179" s="407">
        <v>3</v>
      </c>
      <c r="O179" s="95">
        <f t="shared" ca="1" si="472"/>
        <v>485</v>
      </c>
      <c r="P179" s="403">
        <v>2374.8000000000002</v>
      </c>
      <c r="Q179" s="116">
        <f>IF(N179&gt;0,VLOOKUP(M179,'3_TIME SUM'!$F$7:$G$128,2,FALSE),0)</f>
        <v>0</v>
      </c>
      <c r="R179" s="517"/>
      <c r="S179" s="94">
        <f t="shared" si="12"/>
        <v>0.125</v>
      </c>
      <c r="T179" s="94">
        <f t="shared" ca="1" si="473"/>
        <v>20.208333333333339</v>
      </c>
      <c r="U179" s="539">
        <f ca="1">$T179+'1_INPUT'!$E$18</f>
        <v>44964</v>
      </c>
      <c r="V179" s="95">
        <f t="shared" ca="1" si="474"/>
        <v>-90.000000000000256</v>
      </c>
      <c r="W179" s="110">
        <f t="shared" ca="1" si="475"/>
        <v>3.75</v>
      </c>
      <c r="X179" s="111">
        <f t="shared" ca="1" si="476"/>
        <v>44964</v>
      </c>
      <c r="Y179" s="112" t="str">
        <f ca="1">IFERROR(IF(SUMIFS($N$9:$N179,$X$9:$X179,ROUNDUP(VALUE(U179),0),$Q$9:$Q179,"npt")=0,"-",SUMIFS($N$9:$N179,$X$9:$X179,ROUNDUP(VALUE(U179),0),$Q$9:$Q179,"npt")/SUMIFS($N$9:$N179,$X$9:$X179,ROUNDUP(VALUE(U179),0))),"")</f>
        <v>-</v>
      </c>
      <c r="Z179" s="112">
        <f ca="1">IFERROR(IF($N179=0,"-",SUMIF($Q$11:$Q179,"npt",$N$11:$N179)/(T179*24)),"")</f>
        <v>2.3711340206185563E-2</v>
      </c>
      <c r="AA179" s="491"/>
      <c r="AB179" s="491"/>
      <c r="AC179" s="398" t="s">
        <v>224</v>
      </c>
      <c r="AD179" s="427">
        <f t="shared" ca="1" si="9"/>
        <v>16.458333333333329</v>
      </c>
      <c r="AE179" s="427">
        <f t="shared" ca="1" si="0"/>
        <v>1112</v>
      </c>
      <c r="AF179" s="427">
        <f t="shared" ca="1" si="477"/>
        <v>20.208333333333339</v>
      </c>
      <c r="AG179" s="427">
        <f t="shared" ca="1" si="2"/>
        <v>2374.8000000000002</v>
      </c>
      <c r="AH179" s="493"/>
      <c r="AI179" s="427">
        <f t="shared" ca="1" si="3"/>
        <v>0</v>
      </c>
      <c r="AJ179" s="493"/>
      <c r="AK179" s="428">
        <f t="shared" ca="1" si="478"/>
        <v>2</v>
      </c>
      <c r="AL179" s="428">
        <f ca="1">IF(A179&lt;&gt;"",IFERROR(INDEX('1_INPUT'!$B$69:$E$89,MATCH($A179,'1_INPUT'!$E$69:$E$89,0),1),""),INDIRECT(ADDRESS(ROW()+1,COLUMN($AL$9),,,)))</f>
        <v>5</v>
      </c>
      <c r="AM179" s="428">
        <f ca="1">IF(AN179="","",MAX(INDIRECT(ADDRESS(9,COLUMN($AM$9),,,)):INDIRECT(ADDRESS(ROW()-1,COLUMN($AM$9),,,)))+1)</f>
        <v>5</v>
      </c>
      <c r="AN179" s="429" t="str">
        <f ca="1">IF($AO179&lt;&gt;"",VLOOKUP($AK179,'1_INPUT'!$B$124:$D$136,2,FALSE),"")</f>
        <v>WORKOVER SECTION</v>
      </c>
      <c r="AO179" s="429" t="str">
        <f t="shared" si="10"/>
        <v>WORKOVER #3</v>
      </c>
      <c r="AP179" s="427">
        <f ca="1">SUMIF($AL$10:AL179,$AL179,$I$10:I179)</f>
        <v>554.5416666666664</v>
      </c>
      <c r="AR179" s="430" t="str">
        <f t="shared" ca="1" si="5"/>
        <v>WORKOVER SECTION</v>
      </c>
      <c r="AS179" s="430">
        <f ca="1">MATCH(AR179,'1_INPUT'!$V$43:$V$64,0)+1</f>
        <v>6</v>
      </c>
      <c r="AT179" s="430">
        <f ca="1">VLOOKUP(AR179,'1_INPUT'!$V$43:$W$64,2,FALSE)</f>
        <v>21</v>
      </c>
      <c r="AU179" s="430">
        <f ca="1">COUNTIF('1_INPUT'!$W$43:$W$64,AT179)-1</f>
        <v>5</v>
      </c>
      <c r="AV179" s="430" t="e">
        <f ca="1">OFFSET('1_INPUT'!$V$42,$AS179,,$AU179,)</f>
        <v>#VALUE!</v>
      </c>
      <c r="AX179" s="430" t="str">
        <f t="shared" ca="1" si="479"/>
        <v>WORKOVER SECTION-WORKOVER #3</v>
      </c>
      <c r="CK179" s="9"/>
      <c r="CL179" s="9"/>
    </row>
    <row r="180" spans="1:90" ht="372.6">
      <c r="A180" s="205"/>
      <c r="B180" s="518"/>
      <c r="C180" s="208">
        <f ca="1">IF(D180&lt;&gt;"",MAX($C$9:C175)+1,"")</f>
        <v>63</v>
      </c>
      <c r="D180" s="523" t="s">
        <v>629</v>
      </c>
      <c r="E180" s="406"/>
      <c r="F180" s="407">
        <v>6</v>
      </c>
      <c r="G180" s="209">
        <f t="shared" ca="1" si="420"/>
        <v>401</v>
      </c>
      <c r="H180" s="209">
        <f t="shared" si="218"/>
        <v>0.25</v>
      </c>
      <c r="I180" s="209">
        <f t="shared" ca="1" si="421"/>
        <v>16.708333333333329</v>
      </c>
      <c r="J180" s="540">
        <v>1112</v>
      </c>
      <c r="K180" s="200"/>
      <c r="L180" s="564" t="s">
        <v>754</v>
      </c>
      <c r="M180" s="400" t="s">
        <v>553</v>
      </c>
      <c r="N180" s="407">
        <v>17</v>
      </c>
      <c r="O180" s="95">
        <f t="shared" ca="1" si="422"/>
        <v>502</v>
      </c>
      <c r="P180" s="403">
        <v>2374.8000000000002</v>
      </c>
      <c r="Q180" s="116">
        <f>IF(N180&gt;0,VLOOKUP(M180,'3_TIME SUM'!$F$7:$G$128,2,FALSE),0)</f>
        <v>0</v>
      </c>
      <c r="R180" s="517"/>
      <c r="S180" s="94">
        <f t="shared" si="12"/>
        <v>0.70833333333333337</v>
      </c>
      <c r="T180" s="94">
        <f t="shared" ca="1" si="423"/>
        <v>20.916666666666671</v>
      </c>
      <c r="U180" s="535">
        <f ca="1">$T180+'1_INPUT'!$E$18</f>
        <v>44964.708333333328</v>
      </c>
      <c r="V180" s="95">
        <f t="shared" ca="1" si="424"/>
        <v>-101.00000000000023</v>
      </c>
      <c r="W180" s="110">
        <f t="shared" ca="1" si="425"/>
        <v>4.208333333333333</v>
      </c>
      <c r="X180" s="111">
        <f t="shared" ca="1" si="426"/>
        <v>44965</v>
      </c>
      <c r="Y180" s="112" t="str">
        <f ca="1">IFERROR(IF(SUMIFS($N$9:$N180,$X$9:$X180,ROUNDUP(VALUE(U180),0),$Q$9:$Q180,"npt")=0,"-",SUMIFS($N$9:$N180,$X$9:$X180,ROUNDUP(VALUE(U180),0),$Q$9:$Q180,"npt")/SUMIFS($N$9:$N180,$X$9:$X180,ROUNDUP(VALUE(U180),0))),"")</f>
        <v>-</v>
      </c>
      <c r="Z180" s="112">
        <f ca="1">IFERROR(IF($N180=0,"-",SUMIF($Q$11:$Q180,"npt",$N$11:$N180)/(T180*24)),"")</f>
        <v>2.2908366533864535E-2</v>
      </c>
      <c r="AA180" s="491"/>
      <c r="AB180" s="491"/>
      <c r="AC180" s="398" t="s">
        <v>224</v>
      </c>
      <c r="AD180" s="427">
        <f t="shared" ca="1" si="9"/>
        <v>16.708333333333329</v>
      </c>
      <c r="AE180" s="427">
        <f t="shared" ca="1" si="0"/>
        <v>1112</v>
      </c>
      <c r="AF180" s="427">
        <f t="shared" ca="1" si="427"/>
        <v>20.916666666666671</v>
      </c>
      <c r="AG180" s="427">
        <f t="shared" ca="1" si="2"/>
        <v>2374.8000000000002</v>
      </c>
      <c r="AH180" s="493"/>
      <c r="AI180" s="427">
        <f t="shared" ca="1" si="3"/>
        <v>0</v>
      </c>
      <c r="AJ180" s="493"/>
      <c r="AK180" s="428">
        <f t="shared" ca="1" si="428"/>
        <v>2</v>
      </c>
      <c r="AL180" s="428">
        <f ca="1">IF(A180&lt;&gt;"",IFERROR(INDEX('1_INPUT'!$B$69:$E$89,MATCH($A180,'1_INPUT'!$E$69:$E$89,0),1),""),INDIRECT(ADDRESS(ROW()+1,COLUMN($AL$9),,,)))</f>
        <v>6</v>
      </c>
      <c r="AM180" s="428" t="str">
        <f ca="1">IF(AN180="","",MAX(INDIRECT(ADDRESS(9,COLUMN($AM$9),,,)):INDIRECT(ADDRESS(ROW()-1,COLUMN($AM$9),,,)))+1)</f>
        <v/>
      </c>
      <c r="AN180" s="429" t="str">
        <f>IF($AO180&lt;&gt;"",VLOOKUP($AK180,'1_INPUT'!$B$124:$D$136,2,FALSE),"")</f>
        <v/>
      </c>
      <c r="AO180" s="429" t="str">
        <f t="shared" si="10"/>
        <v/>
      </c>
      <c r="AP180" s="427">
        <f ca="1">SUMIF($AL$10:AL180,$AL180,$I$10:I180)</f>
        <v>16.708333333333329</v>
      </c>
      <c r="AR180" s="430" t="str">
        <f t="shared" ca="1" si="5"/>
        <v>WORKOVER SECTION</v>
      </c>
      <c r="AS180" s="430">
        <f ca="1">MATCH(AR180,'1_INPUT'!$V$43:$V$64,0)+1</f>
        <v>6</v>
      </c>
      <c r="AT180" s="430">
        <f ca="1">VLOOKUP(AR180,'1_INPUT'!$V$43:$W$64,2,FALSE)</f>
        <v>21</v>
      </c>
      <c r="AU180" s="430">
        <f ca="1">COUNTIF('1_INPUT'!$W$43:$W$64,AT180)-1</f>
        <v>5</v>
      </c>
      <c r="AV180" s="430" t="e">
        <f ca="1">OFFSET('1_INPUT'!$V$42,$AS180,,$AU180,)</f>
        <v>#VALUE!</v>
      </c>
      <c r="AX180" s="430" t="str">
        <f t="shared" si="429"/>
        <v/>
      </c>
      <c r="CK180" s="9"/>
      <c r="CL180" s="9"/>
    </row>
    <row r="181" spans="1:90" ht="13.8">
      <c r="A181" s="205"/>
      <c r="B181" s="518"/>
      <c r="C181" s="208"/>
      <c r="D181" s="523"/>
      <c r="E181" s="406"/>
      <c r="F181" s="407"/>
      <c r="G181" s="209">
        <f t="shared" ca="1" si="420"/>
        <v>401</v>
      </c>
      <c r="H181" s="209">
        <f t="shared" si="218"/>
        <v>0</v>
      </c>
      <c r="I181" s="209">
        <f t="shared" ca="1" si="421"/>
        <v>16.708333333333329</v>
      </c>
      <c r="J181" s="540">
        <v>1112</v>
      </c>
      <c r="K181" s="200"/>
      <c r="L181" s="564" t="s">
        <v>755</v>
      </c>
      <c r="M181" s="400" t="s">
        <v>529</v>
      </c>
      <c r="N181" s="407">
        <v>1</v>
      </c>
      <c r="O181" s="95">
        <f t="shared" ca="1" si="422"/>
        <v>503</v>
      </c>
      <c r="P181" s="403">
        <v>2374.8000000000002</v>
      </c>
      <c r="Q181" s="116">
        <f>IF(N181&gt;0,VLOOKUP(M181,'3_TIME SUM'!$F$7:$G$128,2,FALSE),0)</f>
        <v>0</v>
      </c>
      <c r="R181" s="517"/>
      <c r="S181" s="94">
        <f t="shared" si="12"/>
        <v>4.1666666666666664E-2</v>
      </c>
      <c r="T181" s="94">
        <f t="shared" ca="1" si="423"/>
        <v>20.958333333333339</v>
      </c>
      <c r="U181" s="535">
        <f ca="1">$T181+'1_INPUT'!$E$18</f>
        <v>44964.75</v>
      </c>
      <c r="V181" s="95">
        <f t="shared" ca="1" si="424"/>
        <v>-102.00000000000026</v>
      </c>
      <c r="W181" s="110">
        <f t="shared" ca="1" si="425"/>
        <v>4.25</v>
      </c>
      <c r="X181" s="111">
        <f t="shared" ca="1" si="426"/>
        <v>44965</v>
      </c>
      <c r="Y181" s="112" t="str">
        <f ca="1">IFERROR(IF(SUMIFS($N$9:$N181,$X$9:$X181,ROUNDUP(VALUE(U181),0),$Q$9:$Q181,"npt")=0,"-",SUMIFS($N$9:$N181,$X$9:$X181,ROUNDUP(VALUE(U181),0),$Q$9:$Q181,"npt")/SUMIFS($N$9:$N181,$X$9:$X181,ROUNDUP(VALUE(U181),0))),"")</f>
        <v>-</v>
      </c>
      <c r="Z181" s="112">
        <f ca="1">IFERROR(IF($N181=0,"-",SUMIF($Q$11:$Q181,"npt",$N$11:$N181)/(T181*24)),"")</f>
        <v>2.2862823061630212E-2</v>
      </c>
      <c r="AA181" s="491"/>
      <c r="AB181" s="491"/>
      <c r="AC181" s="398" t="s">
        <v>224</v>
      </c>
      <c r="AD181" s="427">
        <f t="shared" ca="1" si="9"/>
        <v>16.708333333333329</v>
      </c>
      <c r="AE181" s="427">
        <f t="shared" ca="1" si="0"/>
        <v>1112</v>
      </c>
      <c r="AF181" s="427">
        <f t="shared" ca="1" si="427"/>
        <v>20.958333333333339</v>
      </c>
      <c r="AG181" s="427">
        <f t="shared" ca="1" si="2"/>
        <v>2374.8000000000002</v>
      </c>
      <c r="AH181" s="493"/>
      <c r="AI181" s="427">
        <f t="shared" ca="1" si="3"/>
        <v>0</v>
      </c>
      <c r="AJ181" s="493"/>
      <c r="AK181" s="428">
        <f t="shared" ca="1" si="428"/>
        <v>2</v>
      </c>
      <c r="AL181" s="428">
        <f ca="1">IF(A181&lt;&gt;"",IFERROR(INDEX('1_INPUT'!$B$69:$E$89,MATCH($A181,'1_INPUT'!$E$69:$E$89,0),1),""),INDIRECT(ADDRESS(ROW()+1,COLUMN($AL$9),,,)))</f>
        <v>6</v>
      </c>
      <c r="AM181" s="428" t="str">
        <f ca="1">IF(AN181="","",MAX(INDIRECT(ADDRESS(9,COLUMN($AM$9),,,)):INDIRECT(ADDRESS(ROW()-1,COLUMN($AM$9),,,)))+1)</f>
        <v/>
      </c>
      <c r="AN181" s="429" t="str">
        <f>IF($AO181&lt;&gt;"",VLOOKUP($AK181,'1_INPUT'!$B$124:$D$136,2,FALSE),"")</f>
        <v/>
      </c>
      <c r="AO181" s="429" t="str">
        <f t="shared" si="10"/>
        <v/>
      </c>
      <c r="AP181" s="427">
        <f ca="1">SUMIF($AL$10:AL181,$AL181,$I$10:I181)</f>
        <v>33.416666666666657</v>
      </c>
      <c r="AR181" s="430" t="str">
        <f t="shared" ca="1" si="5"/>
        <v>WORKOVER SECTION</v>
      </c>
      <c r="AS181" s="430">
        <f ca="1">MATCH(AR181,'1_INPUT'!$V$43:$V$64,0)+1</f>
        <v>6</v>
      </c>
      <c r="AT181" s="430">
        <f ca="1">VLOOKUP(AR181,'1_INPUT'!$V$43:$W$64,2,FALSE)</f>
        <v>21</v>
      </c>
      <c r="AU181" s="430">
        <f ca="1">COUNTIF('1_INPUT'!$W$43:$W$64,AT181)-1</f>
        <v>5</v>
      </c>
      <c r="AV181" s="430" t="e">
        <f ca="1">OFFSET('1_INPUT'!$V$42,$AS181,,$AU181,)</f>
        <v>#VALUE!</v>
      </c>
      <c r="AX181" s="430" t="str">
        <f t="shared" si="429"/>
        <v/>
      </c>
      <c r="CK181" s="9"/>
      <c r="CL181" s="9"/>
    </row>
    <row r="182" spans="1:90" ht="179.4">
      <c r="A182" s="205"/>
      <c r="B182" s="518"/>
      <c r="C182" s="208"/>
      <c r="D182" s="523"/>
      <c r="E182" s="406"/>
      <c r="F182" s="407"/>
      <c r="G182" s="209">
        <f t="shared" ca="1" si="420"/>
        <v>401</v>
      </c>
      <c r="H182" s="209">
        <f t="shared" si="218"/>
        <v>0</v>
      </c>
      <c r="I182" s="209">
        <f t="shared" ca="1" si="421"/>
        <v>16.708333333333329</v>
      </c>
      <c r="J182" s="540">
        <v>1112</v>
      </c>
      <c r="K182" s="200"/>
      <c r="L182" s="564" t="s">
        <v>756</v>
      </c>
      <c r="M182" s="400" t="s">
        <v>553</v>
      </c>
      <c r="N182" s="407">
        <v>6</v>
      </c>
      <c r="O182" s="95">
        <f t="shared" ca="1" si="422"/>
        <v>509</v>
      </c>
      <c r="P182" s="403">
        <v>2374.8000000000002</v>
      </c>
      <c r="Q182" s="116">
        <f>IF(N182&gt;0,VLOOKUP(M182,'3_TIME SUM'!$F$7:$G$128,2,FALSE),0)</f>
        <v>0</v>
      </c>
      <c r="R182" s="517"/>
      <c r="S182" s="94">
        <f t="shared" si="12"/>
        <v>0.25</v>
      </c>
      <c r="T182" s="94">
        <f t="shared" ca="1" si="423"/>
        <v>21.208333333333339</v>
      </c>
      <c r="U182" s="539">
        <f ca="1">$T182+'1_INPUT'!$E$18</f>
        <v>44965</v>
      </c>
      <c r="V182" s="95">
        <f t="shared" ca="1" si="424"/>
        <v>-108.00000000000026</v>
      </c>
      <c r="W182" s="110">
        <f t="shared" ca="1" si="425"/>
        <v>4.5</v>
      </c>
      <c r="X182" s="111">
        <f t="shared" ca="1" si="426"/>
        <v>44965</v>
      </c>
      <c r="Y182" s="112" t="str">
        <f ca="1">IFERROR(IF(SUMIFS($N$9:$N182,$X$9:$X182,ROUNDUP(VALUE(U182),0),$Q$9:$Q182,"npt")=0,"-",SUMIFS($N$9:$N182,$X$9:$X182,ROUNDUP(VALUE(U182),0),$Q$9:$Q182,"npt")/SUMIFS($N$9:$N182,$X$9:$X182,ROUNDUP(VALUE(U182),0))),"")</f>
        <v>-</v>
      </c>
      <c r="Z182" s="112">
        <f ca="1">IFERROR(IF($N182=0,"-",SUMIF($Q$11:$Q182,"npt",$N$11:$N182)/(T182*24)),"")</f>
        <v>2.259332023575638E-2</v>
      </c>
      <c r="AA182" s="491"/>
      <c r="AB182" s="491"/>
      <c r="AC182" s="398" t="s">
        <v>224</v>
      </c>
      <c r="AD182" s="427">
        <f t="shared" ca="1" si="9"/>
        <v>16.708333333333329</v>
      </c>
      <c r="AE182" s="427">
        <f t="shared" ca="1" si="0"/>
        <v>1112</v>
      </c>
      <c r="AF182" s="427">
        <f t="shared" ca="1" si="427"/>
        <v>21.208333333333339</v>
      </c>
      <c r="AG182" s="427">
        <f t="shared" ca="1" si="2"/>
        <v>2374.8000000000002</v>
      </c>
      <c r="AH182" s="493"/>
      <c r="AI182" s="427">
        <f t="shared" ca="1" si="3"/>
        <v>0</v>
      </c>
      <c r="AJ182" s="493"/>
      <c r="AK182" s="428">
        <f t="shared" ca="1" si="428"/>
        <v>2</v>
      </c>
      <c r="AL182" s="428">
        <f ca="1">IF(A182&lt;&gt;"",IFERROR(INDEX('1_INPUT'!$B$69:$E$89,MATCH($A182,'1_INPUT'!$E$69:$E$89,0),1),""),INDIRECT(ADDRESS(ROW()+1,COLUMN($AL$9),,,)))</f>
        <v>6</v>
      </c>
      <c r="AM182" s="428" t="str">
        <f ca="1">IF(AN182="","",MAX(INDIRECT(ADDRESS(9,COLUMN($AM$9),,,)):INDIRECT(ADDRESS(ROW()-1,COLUMN($AM$9),,,)))+1)</f>
        <v/>
      </c>
      <c r="AN182" s="429" t="str">
        <f>IF($AO182&lt;&gt;"",VLOOKUP($AK182,'1_INPUT'!$B$124:$D$136,2,FALSE),"")</f>
        <v/>
      </c>
      <c r="AO182" s="429" t="str">
        <f t="shared" si="10"/>
        <v/>
      </c>
      <c r="AP182" s="427">
        <f ca="1">SUMIF($AL$10:AL182,$AL182,$I$10:I182)</f>
        <v>50.124999999999986</v>
      </c>
      <c r="AR182" s="430" t="str">
        <f t="shared" ca="1" si="5"/>
        <v>WORKOVER SECTION</v>
      </c>
      <c r="AS182" s="430">
        <f ca="1">MATCH(AR182,'1_INPUT'!$V$43:$V$64,0)+1</f>
        <v>6</v>
      </c>
      <c r="AT182" s="430">
        <f ca="1">VLOOKUP(AR182,'1_INPUT'!$V$43:$W$64,2,FALSE)</f>
        <v>21</v>
      </c>
      <c r="AU182" s="430">
        <f ca="1">COUNTIF('1_INPUT'!$W$43:$W$64,AT182)-1</f>
        <v>5</v>
      </c>
      <c r="AV182" s="430" t="e">
        <f ca="1">OFFSET('1_INPUT'!$V$42,$AS182,,$AU182,)</f>
        <v>#VALUE!</v>
      </c>
      <c r="AX182" s="430" t="str">
        <f t="shared" si="429"/>
        <v/>
      </c>
      <c r="CK182" s="9"/>
      <c r="CL182" s="9"/>
    </row>
    <row r="183" spans="1:90" ht="276">
      <c r="A183" s="205"/>
      <c r="B183" s="518"/>
      <c r="C183" s="208"/>
      <c r="D183" s="523"/>
      <c r="E183" s="406"/>
      <c r="F183" s="407"/>
      <c r="G183" s="209">
        <f t="shared" ref="G183" ca="1" si="490">IF(INDIRECT(ADDRESS(ROW()-1,COLUMN(B$7),,,))&lt;&gt;"",INDIRECT(ADDRESS(ROW(),COLUMN(F$7),,,)),INDIRECT(ADDRESS(ROW()-1,COLUMN(G$7),,,))+INDIRECT(ADDRESS(ROW(),COLUMN(F$7),,,)))</f>
        <v>401</v>
      </c>
      <c r="H183" s="209">
        <f t="shared" si="218"/>
        <v>0</v>
      </c>
      <c r="I183" s="209">
        <f t="shared" ref="I183" ca="1" si="491">INDIRECT(ADDRESS(ROW()-1,COLUMN(I$7),,,))+INDIRECT(ADDRESS(ROW(),COLUMN(H$7),,,))</f>
        <v>16.708333333333329</v>
      </c>
      <c r="J183" s="540">
        <v>1112</v>
      </c>
      <c r="K183" s="200"/>
      <c r="L183" s="525" t="s">
        <v>757</v>
      </c>
      <c r="M183" s="400" t="s">
        <v>553</v>
      </c>
      <c r="N183" s="407">
        <v>2</v>
      </c>
      <c r="O183" s="95">
        <f t="shared" ref="O183" ca="1" si="492">IF(INDIRECT(ADDRESS(ROW()-1,COLUMN(B$7),,,))&lt;&gt;"",INDIRECT(ADDRESS(ROW(),COLUMN(N$7),,,)),INDIRECT(ADDRESS(ROW()-1,COLUMN(O$7),,,))+INDIRECT(ADDRESS(ROW(),COLUMN(N$7),,,)))</f>
        <v>511</v>
      </c>
      <c r="P183" s="403">
        <v>2374.8000000000002</v>
      </c>
      <c r="Q183" s="116">
        <f>IF(N183&gt;0,VLOOKUP(M183,'3_TIME SUM'!$F$7:$G$128,2,FALSE),0)</f>
        <v>0</v>
      </c>
      <c r="R183" s="517"/>
      <c r="S183" s="94">
        <f t="shared" si="12"/>
        <v>8.3333333333333329E-2</v>
      </c>
      <c r="T183" s="94">
        <f t="shared" ref="T183" ca="1" si="493">INDIRECT(ADDRESS(ROW()-1,COLUMN(T$7),,,))+INDIRECT(ADDRESS(ROW(),COLUMN(S$7),,,))</f>
        <v>21.291666666666671</v>
      </c>
      <c r="U183" s="535">
        <f ca="1">$T183+'1_INPUT'!$E$18</f>
        <v>44965.083333333328</v>
      </c>
      <c r="V183" s="95">
        <f t="shared" ref="V183" ca="1" si="494">IFERROR(IF($AI183=0,($I183-T183)*24,(($P183-INDIRECT(ADDRESS(ROW()-1,COLUMN($P$9),,,)))/$AI183)-$N183+(INDIRECT(ADDRESS(ROW()-1,COLUMN(V$9),,,)))),"")</f>
        <v>-110.00000000000023</v>
      </c>
      <c r="W183" s="110">
        <f t="shared" ref="W183" ca="1" si="495">IFERROR(IF(V183&gt;0,TIME(V183,(V183-ROUNDDOWN(V183,0))*60,0)+DAY((ROUNDDOWN(V183,0)/24)),TIME((-V183),((-V183)-ROUNDDOWN((-V183),0))*60,0)+DAY((ROUNDDOWN((-V183),0)/24))),"")</f>
        <v>4.583333333333333</v>
      </c>
      <c r="X183" s="111">
        <f t="shared" ref="X183" ca="1" si="496">IF(U183=0,"-",ROUNDUP(VALUE(U183),0))</f>
        <v>44966</v>
      </c>
      <c r="Y183" s="112" t="str">
        <f ca="1">IFERROR(IF(SUMIFS($N$9:$N183,$X$9:$X183,ROUNDUP(VALUE(U183),0),$Q$9:$Q183,"npt")=0,"-",SUMIFS($N$9:$N183,$X$9:$X183,ROUNDUP(VALUE(U183),0),$Q$9:$Q183,"npt")/SUMIFS($N$9:$N183,$X$9:$X183,ROUNDUP(VALUE(U183),0))),"")</f>
        <v>-</v>
      </c>
      <c r="Z183" s="112">
        <f ca="1">IFERROR(IF($N183=0,"-",SUMIF($Q$11:$Q183,"npt",$N$11:$N183)/(T183*24)),"")</f>
        <v>2.2504892367906062E-2</v>
      </c>
      <c r="AA183" s="491"/>
      <c r="AB183" s="491"/>
      <c r="AC183" s="398" t="s">
        <v>224</v>
      </c>
      <c r="AD183" s="427">
        <f t="shared" ca="1" si="9"/>
        <v>16.708333333333329</v>
      </c>
      <c r="AE183" s="427">
        <f t="shared" ca="1" si="0"/>
        <v>1112</v>
      </c>
      <c r="AF183" s="427">
        <f t="shared" ref="AF183" ca="1" si="497">T183</f>
        <v>21.291666666666671</v>
      </c>
      <c r="AG183" s="427">
        <f t="shared" ca="1" si="2"/>
        <v>2374.8000000000002</v>
      </c>
      <c r="AH183" s="493"/>
      <c r="AI183" s="427">
        <f t="shared" ca="1" si="3"/>
        <v>0</v>
      </c>
      <c r="AJ183" s="493"/>
      <c r="AK183" s="428">
        <f t="shared" ref="AK183" ca="1" si="498">IF(B183&lt;&gt;"",B183,INDIRECT(ADDRESS(ROW()+1,COLUMN($AK$9),,,)))</f>
        <v>2</v>
      </c>
      <c r="AL183" s="428">
        <f ca="1">IF(A183&lt;&gt;"",IFERROR(INDEX('1_INPUT'!$B$69:$E$89,MATCH($A183,'1_INPUT'!$E$69:$E$89,0),1),""),INDIRECT(ADDRESS(ROW()+1,COLUMN($AL$9),,,)))</f>
        <v>6</v>
      </c>
      <c r="AM183" s="428" t="str">
        <f ca="1">IF(AN183="","",MAX(INDIRECT(ADDRESS(9,COLUMN($AM$9),,,)):INDIRECT(ADDRESS(ROW()-1,COLUMN($AM$9),,,)))+1)</f>
        <v/>
      </c>
      <c r="AN183" s="429" t="str">
        <f>IF($AO183&lt;&gt;"",VLOOKUP($AK183,'1_INPUT'!$B$124:$D$136,2,FALSE),"")</f>
        <v/>
      </c>
      <c r="AO183" s="429" t="str">
        <f t="shared" si="10"/>
        <v/>
      </c>
      <c r="AP183" s="427">
        <f ca="1">SUMIF($AL$10:AL183,$AL183,$I$10:I183)</f>
        <v>66.833333333333314</v>
      </c>
      <c r="AR183" s="430" t="str">
        <f t="shared" ca="1" si="5"/>
        <v>WORKOVER SECTION</v>
      </c>
      <c r="AS183" s="430">
        <f ca="1">MATCH(AR183,'1_INPUT'!$V$43:$V$64,0)+1</f>
        <v>6</v>
      </c>
      <c r="AT183" s="430">
        <f ca="1">VLOOKUP(AR183,'1_INPUT'!$V$43:$W$64,2,FALSE)</f>
        <v>21</v>
      </c>
      <c r="AU183" s="430">
        <f ca="1">COUNTIF('1_INPUT'!$W$43:$W$64,AT183)-1</f>
        <v>5</v>
      </c>
      <c r="AV183" s="430" t="e">
        <f ca="1">OFFSET('1_INPUT'!$V$42,$AS183,,$AU183,)</f>
        <v>#VALUE!</v>
      </c>
      <c r="AX183" s="430" t="str">
        <f t="shared" ref="AX183" si="499">IF(A183&lt;&gt;"",""&amp;AR183&amp;"-"&amp;A183&amp;"","")</f>
        <v/>
      </c>
      <c r="CK183" s="9"/>
      <c r="CL183" s="9"/>
    </row>
    <row r="184" spans="1:90" ht="41.4">
      <c r="A184" s="205"/>
      <c r="B184" s="518"/>
      <c r="C184" s="208">
        <f ca="1">IF(D184&lt;&gt;"",MAX($C$9:C180)+1,"")</f>
        <v>64</v>
      </c>
      <c r="D184" s="523" t="s">
        <v>599</v>
      </c>
      <c r="E184" s="406"/>
      <c r="F184" s="407">
        <v>6</v>
      </c>
      <c r="G184" s="209">
        <f t="shared" ca="1" si="420"/>
        <v>407</v>
      </c>
      <c r="H184" s="209">
        <f t="shared" si="218"/>
        <v>0.25</v>
      </c>
      <c r="I184" s="209">
        <f t="shared" ca="1" si="421"/>
        <v>16.958333333333329</v>
      </c>
      <c r="J184" s="540">
        <v>1112</v>
      </c>
      <c r="K184" s="200"/>
      <c r="L184" s="525" t="s">
        <v>758</v>
      </c>
      <c r="M184" s="400" t="s">
        <v>186</v>
      </c>
      <c r="N184" s="407">
        <v>2</v>
      </c>
      <c r="O184" s="95">
        <f t="shared" ca="1" si="422"/>
        <v>513</v>
      </c>
      <c r="P184" s="403">
        <v>2374.8000000000002</v>
      </c>
      <c r="Q184" s="116">
        <f>IF(N184&gt;0,VLOOKUP(M184,'3_TIME SUM'!$F$7:$G$128,2,FALSE),0)</f>
        <v>0</v>
      </c>
      <c r="R184" s="517"/>
      <c r="S184" s="94">
        <f t="shared" si="12"/>
        <v>8.3333333333333329E-2</v>
      </c>
      <c r="T184" s="94">
        <f t="shared" ca="1" si="423"/>
        <v>21.375000000000004</v>
      </c>
      <c r="U184" s="535">
        <f ca="1">$T184+'1_INPUT'!$E$18</f>
        <v>44965.166666666664</v>
      </c>
      <c r="V184" s="95">
        <f t="shared" ca="1" si="424"/>
        <v>-106.0000000000002</v>
      </c>
      <c r="W184" s="110">
        <f t="shared" ca="1" si="425"/>
        <v>4.416666666666667</v>
      </c>
      <c r="X184" s="111">
        <f t="shared" ca="1" si="426"/>
        <v>44966</v>
      </c>
      <c r="Y184" s="112" t="str">
        <f ca="1">IFERROR(IF(SUMIFS($N$9:$N184,$X$9:$X184,ROUNDUP(VALUE(U184),0),$Q$9:$Q184,"npt")=0,"-",SUMIFS($N$9:$N184,$X$9:$X184,ROUNDUP(VALUE(U184),0),$Q$9:$Q184,"npt")/SUMIFS($N$9:$N184,$X$9:$X184,ROUNDUP(VALUE(U184),0))),"")</f>
        <v>-</v>
      </c>
      <c r="Z184" s="112">
        <f ca="1">IFERROR(IF($N184=0,"-",SUMIF($Q$11:$Q184,"npt",$N$11:$N184)/(T184*24)),"")</f>
        <v>2.241715399610136E-2</v>
      </c>
      <c r="AA184" s="491"/>
      <c r="AB184" s="491"/>
      <c r="AC184" s="398" t="s">
        <v>224</v>
      </c>
      <c r="AD184" s="427">
        <f t="shared" ca="1" si="9"/>
        <v>16.958333333333329</v>
      </c>
      <c r="AE184" s="427">
        <f t="shared" ca="1" si="0"/>
        <v>1112</v>
      </c>
      <c r="AF184" s="427">
        <f t="shared" ca="1" si="427"/>
        <v>21.375000000000004</v>
      </c>
      <c r="AG184" s="427">
        <f t="shared" ca="1" si="2"/>
        <v>2374.8000000000002</v>
      </c>
      <c r="AH184" s="493"/>
      <c r="AI184" s="427">
        <f t="shared" ca="1" si="3"/>
        <v>0</v>
      </c>
      <c r="AJ184" s="493"/>
      <c r="AK184" s="428">
        <f t="shared" ca="1" si="428"/>
        <v>2</v>
      </c>
      <c r="AL184" s="428">
        <f ca="1">IF(A184&lt;&gt;"",IFERROR(INDEX('1_INPUT'!$B$69:$E$89,MATCH($A184,'1_INPUT'!$E$69:$E$89,0),1),""),INDIRECT(ADDRESS(ROW()+1,COLUMN($AL$9),,,)))</f>
        <v>6</v>
      </c>
      <c r="AM184" s="428" t="str">
        <f ca="1">IF(AN184="","",MAX(INDIRECT(ADDRESS(9,COLUMN($AM$9),,,)):INDIRECT(ADDRESS(ROW()-1,COLUMN($AM$9),,,)))+1)</f>
        <v/>
      </c>
      <c r="AN184" s="429" t="str">
        <f>IF($AO184&lt;&gt;"",VLOOKUP($AK184,'1_INPUT'!$B$124:$D$136,2,FALSE),"")</f>
        <v/>
      </c>
      <c r="AO184" s="429" t="str">
        <f t="shared" si="10"/>
        <v/>
      </c>
      <c r="AP184" s="427">
        <f ca="1">SUMIF($AL$10:AL184,$AL184,$I$10:I184)</f>
        <v>83.791666666666643</v>
      </c>
      <c r="AR184" s="430" t="str">
        <f t="shared" ca="1" si="5"/>
        <v>WORKOVER SECTION</v>
      </c>
      <c r="AS184" s="430">
        <f ca="1">MATCH(AR184,'1_INPUT'!$V$43:$V$64,0)+1</f>
        <v>6</v>
      </c>
      <c r="AT184" s="430">
        <f ca="1">VLOOKUP(AR184,'1_INPUT'!$V$43:$W$64,2,FALSE)</f>
        <v>21</v>
      </c>
      <c r="AU184" s="430">
        <f ca="1">COUNTIF('1_INPUT'!$W$43:$W$64,AT184)-1</f>
        <v>5</v>
      </c>
      <c r="AV184" s="430" t="e">
        <f ca="1">OFFSET('1_INPUT'!$V$42,$AS184,,$AU184,)</f>
        <v>#VALUE!</v>
      </c>
      <c r="AX184" s="430" t="str">
        <f t="shared" si="429"/>
        <v/>
      </c>
      <c r="CK184" s="9"/>
      <c r="CL184" s="9"/>
    </row>
    <row r="185" spans="1:90" ht="13.8">
      <c r="A185" s="205"/>
      <c r="B185" s="518"/>
      <c r="C185" s="208">
        <f ca="1">IF(D185&lt;&gt;"",MAX($C$9:C184)+1,"")</f>
        <v>65</v>
      </c>
      <c r="D185" s="523" t="s">
        <v>594</v>
      </c>
      <c r="E185" s="406"/>
      <c r="F185" s="407">
        <v>8</v>
      </c>
      <c r="G185" s="209">
        <f t="shared" ca="1" si="420"/>
        <v>415</v>
      </c>
      <c r="H185" s="209">
        <f t="shared" si="218"/>
        <v>0.33333333333333331</v>
      </c>
      <c r="I185" s="209">
        <f t="shared" ca="1" si="421"/>
        <v>17.291666666666661</v>
      </c>
      <c r="J185" s="540">
        <v>1112</v>
      </c>
      <c r="K185" s="200"/>
      <c r="L185" s="562"/>
      <c r="M185" s="400"/>
      <c r="N185" s="407"/>
      <c r="O185" s="95">
        <f t="shared" ca="1" si="422"/>
        <v>513</v>
      </c>
      <c r="P185" s="403">
        <v>2374.8000000000002</v>
      </c>
      <c r="Q185" s="116">
        <f>IF(N185&gt;0,VLOOKUP(M185,'3_TIME SUM'!$F$7:$G$128,2,FALSE),0)</f>
        <v>0</v>
      </c>
      <c r="R185" s="517"/>
      <c r="S185" s="94">
        <f t="shared" si="12"/>
        <v>0</v>
      </c>
      <c r="T185" s="94">
        <f t="shared" ca="1" si="423"/>
        <v>21.375000000000004</v>
      </c>
      <c r="U185" s="535">
        <f ca="1">$T185+'1_INPUT'!$E$18</f>
        <v>44965.166666666664</v>
      </c>
      <c r="V185" s="95">
        <f t="shared" ca="1" si="424"/>
        <v>-98.000000000000227</v>
      </c>
      <c r="W185" s="110">
        <f t="shared" ca="1" si="425"/>
        <v>4.083333333333333</v>
      </c>
      <c r="X185" s="111">
        <f t="shared" ca="1" si="426"/>
        <v>44966</v>
      </c>
      <c r="Y185" s="112" t="str">
        <f ca="1">IFERROR(IF(SUMIFS($N$9:$N185,$X$9:$X185,ROUNDUP(VALUE(U185),0),$Q$9:$Q185,"npt")=0,"-",SUMIFS($N$9:$N185,$X$9:$X185,ROUNDUP(VALUE(U185),0),$Q$9:$Q185,"npt")/SUMIFS($N$9:$N185,$X$9:$X185,ROUNDUP(VALUE(U185),0))),"")</f>
        <v>-</v>
      </c>
      <c r="Z185" s="112" t="str">
        <f>IFERROR(IF($N185=0,"-",SUMIF($Q$11:$Q185,"npt",$N$11:$N185)/(T185*24)),"")</f>
        <v>-</v>
      </c>
      <c r="AA185" s="491"/>
      <c r="AB185" s="491"/>
      <c r="AC185" s="398" t="s">
        <v>224</v>
      </c>
      <c r="AD185" s="427">
        <f t="shared" ca="1" si="9"/>
        <v>17.291666666666661</v>
      </c>
      <c r="AE185" s="427">
        <f t="shared" ca="1" si="0"/>
        <v>1112</v>
      </c>
      <c r="AF185" s="427">
        <f t="shared" ca="1" si="427"/>
        <v>21.375000000000004</v>
      </c>
      <c r="AG185" s="427">
        <f t="shared" ca="1" si="2"/>
        <v>2374.8000000000002</v>
      </c>
      <c r="AH185" s="493"/>
      <c r="AI185" s="427">
        <f t="shared" ca="1" si="3"/>
        <v>0</v>
      </c>
      <c r="AJ185" s="493"/>
      <c r="AK185" s="428">
        <f t="shared" ca="1" si="428"/>
        <v>2</v>
      </c>
      <c r="AL185" s="428">
        <f ca="1">IF(A185&lt;&gt;"",IFERROR(INDEX('1_INPUT'!$B$69:$E$89,MATCH($A185,'1_INPUT'!$E$69:$E$89,0),1),""),INDIRECT(ADDRESS(ROW()+1,COLUMN($AL$9),,,)))</f>
        <v>6</v>
      </c>
      <c r="AM185" s="428" t="str">
        <f ca="1">IF(AN185="","",MAX(INDIRECT(ADDRESS(9,COLUMN($AM$9),,,)):INDIRECT(ADDRESS(ROW()-1,COLUMN($AM$9),,,)))+1)</f>
        <v/>
      </c>
      <c r="AN185" s="429" t="str">
        <f>IF($AO185&lt;&gt;"",VLOOKUP($AK185,'1_INPUT'!$B$124:$D$136,2,FALSE),"")</f>
        <v/>
      </c>
      <c r="AO185" s="429" t="str">
        <f t="shared" si="10"/>
        <v/>
      </c>
      <c r="AP185" s="427">
        <f ca="1">SUMIF($AL$10:AL185,$AL185,$I$10:I185)</f>
        <v>101.0833333333333</v>
      </c>
      <c r="AR185" s="430" t="str">
        <f t="shared" ca="1" si="5"/>
        <v>WORKOVER SECTION</v>
      </c>
      <c r="AS185" s="430">
        <f ca="1">MATCH(AR185,'1_INPUT'!$V$43:$V$64,0)+1</f>
        <v>6</v>
      </c>
      <c r="AT185" s="430">
        <f ca="1">VLOOKUP(AR185,'1_INPUT'!$V$43:$W$64,2,FALSE)</f>
        <v>21</v>
      </c>
      <c r="AU185" s="430">
        <f ca="1">COUNTIF('1_INPUT'!$W$43:$W$64,AT185)-1</f>
        <v>5</v>
      </c>
      <c r="AV185" s="430" t="e">
        <f ca="1">OFFSET('1_INPUT'!$V$42,$AS185,,$AU185,)</f>
        <v>#VALUE!</v>
      </c>
      <c r="AX185" s="430" t="str">
        <f t="shared" si="429"/>
        <v/>
      </c>
      <c r="CK185" s="9"/>
      <c r="CL185" s="9"/>
    </row>
    <row r="186" spans="1:90" ht="41.4">
      <c r="A186" s="205"/>
      <c r="B186" s="518"/>
      <c r="C186" s="208">
        <f ca="1">IF(D186&lt;&gt;"",MAX($C$9:C185)+1,"")</f>
        <v>66</v>
      </c>
      <c r="D186" s="523" t="s">
        <v>595</v>
      </c>
      <c r="E186" s="406"/>
      <c r="F186" s="407">
        <v>10</v>
      </c>
      <c r="G186" s="209">
        <f t="shared" ca="1" si="420"/>
        <v>425</v>
      </c>
      <c r="H186" s="209">
        <f t="shared" si="218"/>
        <v>0.41666666666666669</v>
      </c>
      <c r="I186" s="209">
        <f t="shared" ca="1" si="421"/>
        <v>17.708333333333329</v>
      </c>
      <c r="J186" s="540">
        <v>1112</v>
      </c>
      <c r="K186" s="200"/>
      <c r="L186" s="525" t="s">
        <v>759</v>
      </c>
      <c r="M186" s="400" t="s">
        <v>184</v>
      </c>
      <c r="N186" s="407">
        <v>3</v>
      </c>
      <c r="O186" s="95">
        <f t="shared" ca="1" si="422"/>
        <v>516</v>
      </c>
      <c r="P186" s="403">
        <v>2374.8000000000002</v>
      </c>
      <c r="Q186" s="116">
        <f>IF(N186&gt;0,VLOOKUP(M186,'3_TIME SUM'!$F$7:$G$128,2,FALSE),0)</f>
        <v>0</v>
      </c>
      <c r="R186" s="517"/>
      <c r="S186" s="94">
        <f t="shared" si="12"/>
        <v>0.125</v>
      </c>
      <c r="T186" s="94">
        <f t="shared" ca="1" si="423"/>
        <v>21.500000000000004</v>
      </c>
      <c r="U186" s="535">
        <f ca="1">$T186+'1_INPUT'!$E$18</f>
        <v>44965.291666666664</v>
      </c>
      <c r="V186" s="95">
        <f t="shared" ca="1" si="424"/>
        <v>-91.000000000000199</v>
      </c>
      <c r="W186" s="110">
        <f t="shared" ca="1" si="425"/>
        <v>3.7916666666666665</v>
      </c>
      <c r="X186" s="111">
        <f t="shared" ca="1" si="426"/>
        <v>44966</v>
      </c>
      <c r="Y186" s="112" t="str">
        <f ca="1">IFERROR(IF(SUMIFS($N$9:$N186,$X$9:$X186,ROUNDUP(VALUE(U186),0),$Q$9:$Q186,"npt")=0,"-",SUMIFS($N$9:$N186,$X$9:$X186,ROUNDUP(VALUE(U186),0),$Q$9:$Q186,"npt")/SUMIFS($N$9:$N186,$X$9:$X186,ROUNDUP(VALUE(U186),0))),"")</f>
        <v>-</v>
      </c>
      <c r="Z186" s="112">
        <f ca="1">IFERROR(IF($N186=0,"-",SUMIF($Q$11:$Q186,"npt",$N$11:$N186)/(T186*24)),"")</f>
        <v>2.2286821705426351E-2</v>
      </c>
      <c r="AA186" s="491"/>
      <c r="AB186" s="491"/>
      <c r="AC186" s="398" t="s">
        <v>224</v>
      </c>
      <c r="AD186" s="427">
        <f t="shared" ca="1" si="9"/>
        <v>17.708333333333329</v>
      </c>
      <c r="AE186" s="427">
        <f t="shared" ca="1" si="0"/>
        <v>1112</v>
      </c>
      <c r="AF186" s="427">
        <f t="shared" ca="1" si="427"/>
        <v>21.500000000000004</v>
      </c>
      <c r="AG186" s="427">
        <f t="shared" ca="1" si="2"/>
        <v>2374.8000000000002</v>
      </c>
      <c r="AH186" s="493"/>
      <c r="AI186" s="427">
        <f t="shared" ca="1" si="3"/>
        <v>0</v>
      </c>
      <c r="AJ186" s="493"/>
      <c r="AK186" s="428">
        <f t="shared" ca="1" si="428"/>
        <v>2</v>
      </c>
      <c r="AL186" s="428">
        <f ca="1">IF(A186&lt;&gt;"",IFERROR(INDEX('1_INPUT'!$B$69:$E$89,MATCH($A186,'1_INPUT'!$E$69:$E$89,0),1),""),INDIRECT(ADDRESS(ROW()+1,COLUMN($AL$9),,,)))</f>
        <v>6</v>
      </c>
      <c r="AM186" s="428" t="str">
        <f ca="1">IF(AN186="","",MAX(INDIRECT(ADDRESS(9,COLUMN($AM$9),,,)):INDIRECT(ADDRESS(ROW()-1,COLUMN($AM$9),,,)))+1)</f>
        <v/>
      </c>
      <c r="AN186" s="429" t="str">
        <f>IF($AO186&lt;&gt;"",VLOOKUP($AK186,'1_INPUT'!$B$124:$D$136,2,FALSE),"")</f>
        <v/>
      </c>
      <c r="AO186" s="429" t="str">
        <f t="shared" si="10"/>
        <v/>
      </c>
      <c r="AP186" s="427">
        <f ca="1">SUMIF($AL$10:AL186,$AL186,$I$10:I186)</f>
        <v>118.79166666666663</v>
      </c>
      <c r="AR186" s="430" t="str">
        <f t="shared" ca="1" si="5"/>
        <v>WORKOVER SECTION</v>
      </c>
      <c r="AS186" s="430">
        <f ca="1">MATCH(AR186,'1_INPUT'!$V$43:$V$64,0)+1</f>
        <v>6</v>
      </c>
      <c r="AT186" s="430">
        <f ca="1">VLOOKUP(AR186,'1_INPUT'!$V$43:$W$64,2,FALSE)</f>
        <v>21</v>
      </c>
      <c r="AU186" s="430">
        <f ca="1">COUNTIF('1_INPUT'!$W$43:$W$64,AT186)-1</f>
        <v>5</v>
      </c>
      <c r="AV186" s="430" t="e">
        <f ca="1">OFFSET('1_INPUT'!$V$42,$AS186,,$AU186,)</f>
        <v>#VALUE!</v>
      </c>
      <c r="AX186" s="430" t="str">
        <f t="shared" si="429"/>
        <v/>
      </c>
      <c r="CK186" s="9"/>
      <c r="CL186" s="9"/>
    </row>
    <row r="187" spans="1:90" ht="55.2">
      <c r="A187" s="205"/>
      <c r="B187" s="518"/>
      <c r="C187" s="208"/>
      <c r="D187" s="523"/>
      <c r="E187" s="406"/>
      <c r="F187" s="407"/>
      <c r="G187" s="209">
        <f t="shared" ca="1" si="420"/>
        <v>425</v>
      </c>
      <c r="H187" s="209">
        <f t="shared" si="218"/>
        <v>0</v>
      </c>
      <c r="I187" s="209">
        <f t="shared" ca="1" si="421"/>
        <v>17.708333333333329</v>
      </c>
      <c r="J187" s="540">
        <v>1112</v>
      </c>
      <c r="K187" s="200"/>
      <c r="L187" s="525" t="s">
        <v>760</v>
      </c>
      <c r="M187" s="400" t="s">
        <v>548</v>
      </c>
      <c r="N187" s="407">
        <v>6</v>
      </c>
      <c r="O187" s="95">
        <f t="shared" ca="1" si="422"/>
        <v>522</v>
      </c>
      <c r="P187" s="403">
        <v>2374.8000000000002</v>
      </c>
      <c r="Q187" s="116">
        <f>IF(N187&gt;0,VLOOKUP(M187,'3_TIME SUM'!$F$7:$G$128,2,FALSE),0)</f>
        <v>0</v>
      </c>
      <c r="R187" s="517"/>
      <c r="S187" s="94">
        <f t="shared" si="12"/>
        <v>0.25</v>
      </c>
      <c r="T187" s="94">
        <f t="shared" ca="1" si="423"/>
        <v>21.750000000000004</v>
      </c>
      <c r="U187" s="533">
        <f ca="1">$T187+'1_INPUT'!$E$18</f>
        <v>44965.541666666664</v>
      </c>
      <c r="V187" s="95">
        <f t="shared" ca="1" si="424"/>
        <v>-97.000000000000199</v>
      </c>
      <c r="W187" s="110">
        <f t="shared" ca="1" si="425"/>
        <v>4.041666666666667</v>
      </c>
      <c r="X187" s="111">
        <f t="shared" ca="1" si="426"/>
        <v>44966</v>
      </c>
      <c r="Y187" s="112" t="str">
        <f ca="1">IFERROR(IF(SUMIFS($N$9:$N187,$X$9:$X187,ROUNDUP(VALUE(U187),0),$Q$9:$Q187,"npt")=0,"-",SUMIFS($N$9:$N187,$X$9:$X187,ROUNDUP(VALUE(U187),0),$Q$9:$Q187,"npt")/SUMIFS($N$9:$N187,$X$9:$X187,ROUNDUP(VALUE(U187),0))),"")</f>
        <v>-</v>
      </c>
      <c r="Z187" s="112">
        <f ca="1">IFERROR(IF($N187=0,"-",SUMIF($Q$11:$Q187,"npt",$N$11:$N187)/(T187*24)),"")</f>
        <v>2.2030651340996164E-2</v>
      </c>
      <c r="AA187" s="491"/>
      <c r="AB187" s="491"/>
      <c r="AC187" s="398" t="s">
        <v>224</v>
      </c>
      <c r="AD187" s="427">
        <f t="shared" ca="1" si="9"/>
        <v>17.708333333333329</v>
      </c>
      <c r="AE187" s="427">
        <f t="shared" ca="1" si="0"/>
        <v>1112</v>
      </c>
      <c r="AF187" s="427">
        <f t="shared" ca="1" si="427"/>
        <v>21.750000000000004</v>
      </c>
      <c r="AG187" s="427">
        <f t="shared" ca="1" si="2"/>
        <v>2374.8000000000002</v>
      </c>
      <c r="AH187" s="493"/>
      <c r="AI187" s="427">
        <f t="shared" ca="1" si="3"/>
        <v>0</v>
      </c>
      <c r="AJ187" s="493"/>
      <c r="AK187" s="428">
        <f t="shared" ca="1" si="428"/>
        <v>2</v>
      </c>
      <c r="AL187" s="428">
        <f ca="1">IF(A187&lt;&gt;"",IFERROR(INDEX('1_INPUT'!$B$69:$E$89,MATCH($A187,'1_INPUT'!$E$69:$E$89,0),1),""),INDIRECT(ADDRESS(ROW()+1,COLUMN($AL$9),,,)))</f>
        <v>6</v>
      </c>
      <c r="AM187" s="428" t="str">
        <f ca="1">IF(AN187="","",MAX(INDIRECT(ADDRESS(9,COLUMN($AM$9),,,)):INDIRECT(ADDRESS(ROW()-1,COLUMN($AM$9),,,)))+1)</f>
        <v/>
      </c>
      <c r="AN187" s="429" t="str">
        <f>IF($AO187&lt;&gt;"",VLOOKUP($AK187,'1_INPUT'!$B$124:$D$136,2,FALSE),"")</f>
        <v/>
      </c>
      <c r="AO187" s="429" t="str">
        <f t="shared" si="10"/>
        <v/>
      </c>
      <c r="AP187" s="427">
        <f ca="1">SUMIF($AL$10:AL187,$AL187,$I$10:I187)</f>
        <v>136.49999999999994</v>
      </c>
      <c r="AR187" s="430" t="str">
        <f t="shared" ca="1" si="5"/>
        <v>WORKOVER SECTION</v>
      </c>
      <c r="AS187" s="430">
        <f ca="1">MATCH(AR187,'1_INPUT'!$V$43:$V$64,0)+1</f>
        <v>6</v>
      </c>
      <c r="AT187" s="430">
        <f ca="1">VLOOKUP(AR187,'1_INPUT'!$V$43:$W$64,2,FALSE)</f>
        <v>21</v>
      </c>
      <c r="AU187" s="430">
        <f ca="1">COUNTIF('1_INPUT'!$W$43:$W$64,AT187)-1</f>
        <v>5</v>
      </c>
      <c r="AV187" s="430" t="e">
        <f ca="1">OFFSET('1_INPUT'!$V$42,$AS187,,$AU187,)</f>
        <v>#VALUE!</v>
      </c>
      <c r="AX187" s="430" t="str">
        <f t="shared" si="429"/>
        <v/>
      </c>
      <c r="CK187" s="9"/>
      <c r="CL187" s="9"/>
    </row>
    <row r="188" spans="1:90" ht="55.2">
      <c r="A188" s="205"/>
      <c r="B188" s="518"/>
      <c r="C188" s="208"/>
      <c r="D188" s="523"/>
      <c r="E188" s="406"/>
      <c r="F188" s="407"/>
      <c r="G188" s="209">
        <f t="shared" ca="1" si="420"/>
        <v>425</v>
      </c>
      <c r="H188" s="209">
        <f t="shared" si="218"/>
        <v>0</v>
      </c>
      <c r="I188" s="209">
        <f t="shared" ca="1" si="421"/>
        <v>17.708333333333329</v>
      </c>
      <c r="J188" s="540">
        <v>1112</v>
      </c>
      <c r="K188" s="200"/>
      <c r="L188" s="525" t="s">
        <v>761</v>
      </c>
      <c r="M188" s="400" t="s">
        <v>548</v>
      </c>
      <c r="N188" s="407">
        <v>3</v>
      </c>
      <c r="O188" s="95">
        <f t="shared" ca="1" si="422"/>
        <v>525</v>
      </c>
      <c r="P188" s="403">
        <v>2374.8000000000002</v>
      </c>
      <c r="Q188" s="116">
        <f>IF(N188&gt;0,VLOOKUP(M188,'3_TIME SUM'!$F$7:$G$128,2,FALSE),0)</f>
        <v>0</v>
      </c>
      <c r="R188" s="517"/>
      <c r="S188" s="94">
        <f t="shared" si="12"/>
        <v>0.125</v>
      </c>
      <c r="T188" s="94">
        <f t="shared" ca="1" si="423"/>
        <v>21.875000000000004</v>
      </c>
      <c r="U188" s="533">
        <f ca="1">$T188+'1_INPUT'!$E$18</f>
        <v>44965.666666666664</v>
      </c>
      <c r="V188" s="95">
        <f t="shared" ca="1" si="424"/>
        <v>-100.0000000000002</v>
      </c>
      <c r="W188" s="110">
        <f t="shared" ca="1" si="425"/>
        <v>4.166666666666667</v>
      </c>
      <c r="X188" s="111">
        <f t="shared" ca="1" si="426"/>
        <v>44966</v>
      </c>
      <c r="Y188" s="112" t="str">
        <f ca="1">IFERROR(IF(SUMIFS($N$9:$N188,$X$9:$X188,ROUNDUP(VALUE(U188),0),$Q$9:$Q188,"npt")=0,"-",SUMIFS($N$9:$N188,$X$9:$X188,ROUNDUP(VALUE(U188),0),$Q$9:$Q188,"npt")/SUMIFS($N$9:$N188,$X$9:$X188,ROUNDUP(VALUE(U188),0))),"")</f>
        <v>-</v>
      </c>
      <c r="Z188" s="112">
        <f ca="1">IFERROR(IF($N188=0,"-",SUMIF($Q$11:$Q188,"npt",$N$11:$N188)/(T188*24)),"")</f>
        <v>2.1904761904761899E-2</v>
      </c>
      <c r="AA188" s="491"/>
      <c r="AB188" s="491"/>
      <c r="AC188" s="398" t="s">
        <v>224</v>
      </c>
      <c r="AD188" s="427">
        <f t="shared" ca="1" si="9"/>
        <v>17.708333333333329</v>
      </c>
      <c r="AE188" s="427">
        <f t="shared" ca="1" si="0"/>
        <v>1112</v>
      </c>
      <c r="AF188" s="427">
        <f t="shared" ca="1" si="427"/>
        <v>21.875000000000004</v>
      </c>
      <c r="AG188" s="427">
        <f t="shared" ca="1" si="2"/>
        <v>2374.8000000000002</v>
      </c>
      <c r="AH188" s="493"/>
      <c r="AI188" s="427">
        <f t="shared" ca="1" si="3"/>
        <v>0</v>
      </c>
      <c r="AJ188" s="493"/>
      <c r="AK188" s="428">
        <f t="shared" ca="1" si="428"/>
        <v>2</v>
      </c>
      <c r="AL188" s="428">
        <f ca="1">IF(A188&lt;&gt;"",IFERROR(INDEX('1_INPUT'!$B$69:$E$89,MATCH($A188,'1_INPUT'!$E$69:$E$89,0),1),""),INDIRECT(ADDRESS(ROW()+1,COLUMN($AL$9),,,)))</f>
        <v>6</v>
      </c>
      <c r="AM188" s="428" t="str">
        <f ca="1">IF(AN188="","",MAX(INDIRECT(ADDRESS(9,COLUMN($AM$9),,,)):INDIRECT(ADDRESS(ROW()-1,COLUMN($AM$9),,,)))+1)</f>
        <v/>
      </c>
      <c r="AN188" s="429" t="str">
        <f>IF($AO188&lt;&gt;"",VLOOKUP($AK188,'1_INPUT'!$B$124:$D$136,2,FALSE),"")</f>
        <v/>
      </c>
      <c r="AO188" s="429" t="str">
        <f t="shared" si="10"/>
        <v/>
      </c>
      <c r="AP188" s="427">
        <f ca="1">SUMIF($AL$10:AL188,$AL188,$I$10:I188)</f>
        <v>154.20833333333326</v>
      </c>
      <c r="AR188" s="430" t="str">
        <f t="shared" ca="1" si="5"/>
        <v>WORKOVER SECTION</v>
      </c>
      <c r="AS188" s="430">
        <f ca="1">MATCH(AR188,'1_INPUT'!$V$43:$V$64,0)+1</f>
        <v>6</v>
      </c>
      <c r="AT188" s="430">
        <f ca="1">VLOOKUP(AR188,'1_INPUT'!$V$43:$W$64,2,FALSE)</f>
        <v>21</v>
      </c>
      <c r="AU188" s="430">
        <f ca="1">COUNTIF('1_INPUT'!$W$43:$W$64,AT188)-1</f>
        <v>5</v>
      </c>
      <c r="AV188" s="430" t="e">
        <f ca="1">OFFSET('1_INPUT'!$V$42,$AS188,,$AU188,)</f>
        <v>#VALUE!</v>
      </c>
      <c r="AX188" s="430" t="str">
        <f t="shared" si="429"/>
        <v/>
      </c>
      <c r="CK188" s="9"/>
      <c r="CL188" s="9"/>
    </row>
    <row r="189" spans="1:90" ht="27.6">
      <c r="A189" s="205"/>
      <c r="B189" s="518"/>
      <c r="C189" s="208"/>
      <c r="D189" s="523"/>
      <c r="E189" s="406"/>
      <c r="F189" s="407"/>
      <c r="G189" s="209">
        <f t="shared" ref="G189:G190" ca="1" si="500">IF(INDIRECT(ADDRESS(ROW()-1,COLUMN(B$7),,,))&lt;&gt;"",INDIRECT(ADDRESS(ROW(),COLUMN(F$7),,,)),INDIRECT(ADDRESS(ROW()-1,COLUMN(G$7),,,))+INDIRECT(ADDRESS(ROW(),COLUMN(F$7),,,)))</f>
        <v>425</v>
      </c>
      <c r="H189" s="209">
        <f t="shared" si="218"/>
        <v>0</v>
      </c>
      <c r="I189" s="209">
        <f t="shared" ref="I189:I190" ca="1" si="501">INDIRECT(ADDRESS(ROW()-1,COLUMN(I$7),,,))+INDIRECT(ADDRESS(ROW(),COLUMN(H$7),,,))</f>
        <v>17.708333333333329</v>
      </c>
      <c r="J189" s="540">
        <v>1112</v>
      </c>
      <c r="K189" s="200"/>
      <c r="L189" s="525" t="s">
        <v>762</v>
      </c>
      <c r="M189" s="400" t="s">
        <v>548</v>
      </c>
      <c r="N189" s="407">
        <v>1</v>
      </c>
      <c r="O189" s="95">
        <f t="shared" ref="O189:O190" ca="1" si="502">IF(INDIRECT(ADDRESS(ROW()-1,COLUMN(B$7),,,))&lt;&gt;"",INDIRECT(ADDRESS(ROW(),COLUMN(N$7),,,)),INDIRECT(ADDRESS(ROW()-1,COLUMN(O$7),,,))+INDIRECT(ADDRESS(ROW(),COLUMN(N$7),,,)))</f>
        <v>526</v>
      </c>
      <c r="P189" s="403">
        <v>2374.8000000000002</v>
      </c>
      <c r="Q189" s="116">
        <f>IF(N189&gt;0,VLOOKUP(M189,'3_TIME SUM'!$F$7:$G$128,2,FALSE),0)</f>
        <v>0</v>
      </c>
      <c r="R189" s="517"/>
      <c r="S189" s="94">
        <f t="shared" si="12"/>
        <v>4.1666666666666664E-2</v>
      </c>
      <c r="T189" s="94">
        <f t="shared" ref="T189:T190" ca="1" si="503">INDIRECT(ADDRESS(ROW()-1,COLUMN(T$7),,,))+INDIRECT(ADDRESS(ROW(),COLUMN(S$7),,,))</f>
        <v>21.916666666666671</v>
      </c>
      <c r="U189" s="533">
        <f ca="1">$T189+'1_INPUT'!$E$18</f>
        <v>44965.708333333328</v>
      </c>
      <c r="V189" s="95">
        <f t="shared" ref="V189:V190" ca="1" si="504">IFERROR(IF($AI189=0,($I189-T189)*24,(($P189-INDIRECT(ADDRESS(ROW()-1,COLUMN($P$9),,,)))/$AI189)-$N189+(INDIRECT(ADDRESS(ROW()-1,COLUMN(V$9),,,)))),"")</f>
        <v>-101.00000000000023</v>
      </c>
      <c r="W189" s="110">
        <f t="shared" ref="W189:W190" ca="1" si="505">IFERROR(IF(V189&gt;0,TIME(V189,(V189-ROUNDDOWN(V189,0))*60,0)+DAY((ROUNDDOWN(V189,0)/24)),TIME((-V189),((-V189)-ROUNDDOWN((-V189),0))*60,0)+DAY((ROUNDDOWN((-V189),0)/24))),"")</f>
        <v>4.208333333333333</v>
      </c>
      <c r="X189" s="111">
        <f t="shared" ref="X189:X190" ca="1" si="506">IF(U189=0,"-",ROUNDUP(VALUE(U189),0))</f>
        <v>44966</v>
      </c>
      <c r="Y189" s="112" t="str">
        <f ca="1">IFERROR(IF(SUMIFS($N$9:$N189,$X$9:$X189,ROUNDUP(VALUE(U189),0),$Q$9:$Q189,"npt")=0,"-",SUMIFS($N$9:$N189,$X$9:$X189,ROUNDUP(VALUE(U189),0),$Q$9:$Q189,"npt")/SUMIFS($N$9:$N189,$X$9:$X189,ROUNDUP(VALUE(U189),0))),"")</f>
        <v>-</v>
      </c>
      <c r="Z189" s="112">
        <f ca="1">IFERROR(IF($N189=0,"-",SUMIF($Q$11:$Q189,"npt",$N$11:$N189)/(T189*24)),"")</f>
        <v>2.186311787072243E-2</v>
      </c>
      <c r="AA189" s="491"/>
      <c r="AB189" s="491"/>
      <c r="AC189" s="398" t="s">
        <v>224</v>
      </c>
      <c r="AD189" s="427">
        <f t="shared" ca="1" si="9"/>
        <v>17.708333333333329</v>
      </c>
      <c r="AE189" s="427">
        <f t="shared" ca="1" si="0"/>
        <v>1112</v>
      </c>
      <c r="AF189" s="427">
        <f t="shared" ref="AF189:AF190" ca="1" si="507">T189</f>
        <v>21.916666666666671</v>
      </c>
      <c r="AG189" s="427">
        <f t="shared" ca="1" si="2"/>
        <v>2374.8000000000002</v>
      </c>
      <c r="AH189" s="493"/>
      <c r="AI189" s="427">
        <f t="shared" ca="1" si="3"/>
        <v>0</v>
      </c>
      <c r="AJ189" s="493"/>
      <c r="AK189" s="428">
        <f t="shared" ref="AK189:AK190" ca="1" si="508">IF(B189&lt;&gt;"",B189,INDIRECT(ADDRESS(ROW()+1,COLUMN($AK$9),,,)))</f>
        <v>2</v>
      </c>
      <c r="AL189" s="428">
        <f ca="1">IF(A189&lt;&gt;"",IFERROR(INDEX('1_INPUT'!$B$69:$E$89,MATCH($A189,'1_INPUT'!$E$69:$E$89,0),1),""),INDIRECT(ADDRESS(ROW()+1,COLUMN($AL$9),,,)))</f>
        <v>6</v>
      </c>
      <c r="AM189" s="428" t="str">
        <f ca="1">IF(AN189="","",MAX(INDIRECT(ADDRESS(9,COLUMN($AM$9),,,)):INDIRECT(ADDRESS(ROW()-1,COLUMN($AM$9),,,)))+1)</f>
        <v/>
      </c>
      <c r="AN189" s="429" t="str">
        <f>IF($AO189&lt;&gt;"",VLOOKUP($AK189,'1_INPUT'!$B$124:$D$136,2,FALSE),"")</f>
        <v/>
      </c>
      <c r="AO189" s="429" t="str">
        <f t="shared" si="10"/>
        <v/>
      </c>
      <c r="AP189" s="427">
        <f ca="1">SUMIF($AL$10:AL189,$AL189,$I$10:I189)</f>
        <v>171.91666666666657</v>
      </c>
      <c r="AR189" s="430" t="str">
        <f t="shared" ca="1" si="5"/>
        <v>WORKOVER SECTION</v>
      </c>
      <c r="AS189" s="430">
        <f ca="1">MATCH(AR189,'1_INPUT'!$V$43:$V$64,0)+1</f>
        <v>6</v>
      </c>
      <c r="AT189" s="430">
        <f ca="1">VLOOKUP(AR189,'1_INPUT'!$V$43:$W$64,2,FALSE)</f>
        <v>21</v>
      </c>
      <c r="AU189" s="430">
        <f ca="1">COUNTIF('1_INPUT'!$W$43:$W$64,AT189)-1</f>
        <v>5</v>
      </c>
      <c r="AV189" s="430" t="e">
        <f ca="1">OFFSET('1_INPUT'!$V$42,$AS189,,$AU189,)</f>
        <v>#VALUE!</v>
      </c>
      <c r="AX189" s="430" t="str">
        <f t="shared" ref="AX189:AX190" si="509">IF(A189&lt;&gt;"",""&amp;AR189&amp;"-"&amp;A189&amp;"","")</f>
        <v/>
      </c>
      <c r="CK189" s="9"/>
      <c r="CL189" s="9"/>
    </row>
    <row r="190" spans="1:90" ht="207">
      <c r="A190" s="205"/>
      <c r="B190" s="518"/>
      <c r="C190" s="208">
        <f ca="1">IF(D190&lt;&gt;"",MAX($C$9:C189)+1,"")</f>
        <v>67</v>
      </c>
      <c r="D190" s="523" t="s">
        <v>630</v>
      </c>
      <c r="E190" s="406"/>
      <c r="F190" s="407">
        <v>24</v>
      </c>
      <c r="G190" s="209">
        <f t="shared" ca="1" si="500"/>
        <v>449</v>
      </c>
      <c r="H190" s="209">
        <f t="shared" si="218"/>
        <v>1</v>
      </c>
      <c r="I190" s="209">
        <f t="shared" ca="1" si="501"/>
        <v>18.708333333333329</v>
      </c>
      <c r="J190" s="540">
        <v>1112</v>
      </c>
      <c r="K190" s="200"/>
      <c r="L190" s="525" t="s">
        <v>763</v>
      </c>
      <c r="M190" s="400" t="s">
        <v>548</v>
      </c>
      <c r="N190" s="407">
        <v>7</v>
      </c>
      <c r="O190" s="95">
        <f t="shared" ca="1" si="502"/>
        <v>533</v>
      </c>
      <c r="P190" s="403">
        <v>2374.8000000000002</v>
      </c>
      <c r="Q190" s="116">
        <f>IF(N190&gt;0,VLOOKUP(M190,'3_TIME SUM'!$F$7:$G$128,2,FALSE),0)</f>
        <v>0</v>
      </c>
      <c r="R190" s="517"/>
      <c r="S190" s="94">
        <f t="shared" si="12"/>
        <v>0.29166666666666669</v>
      </c>
      <c r="T190" s="94">
        <f t="shared" ca="1" si="503"/>
        <v>22.208333333333339</v>
      </c>
      <c r="U190" s="565">
        <f ca="1">$T190+'1_INPUT'!$E$18</f>
        <v>44966</v>
      </c>
      <c r="V190" s="95">
        <f t="shared" ca="1" si="504"/>
        <v>-84.000000000000256</v>
      </c>
      <c r="W190" s="110">
        <f t="shared" ca="1" si="505"/>
        <v>3.5</v>
      </c>
      <c r="X190" s="111">
        <f t="shared" ca="1" si="506"/>
        <v>44966</v>
      </c>
      <c r="Y190" s="112" t="str">
        <f ca="1">IFERROR(IF(SUMIFS($N$9:$N190,$X$9:$X190,ROUNDUP(VALUE(U190),0),$Q$9:$Q190,"npt")=0,"-",SUMIFS($N$9:$N190,$X$9:$X190,ROUNDUP(VALUE(U190),0),$Q$9:$Q190,"npt")/SUMIFS($N$9:$N190,$X$9:$X190,ROUNDUP(VALUE(U190),0))),"")</f>
        <v>-</v>
      </c>
      <c r="Z190" s="112">
        <f ca="1">IFERROR(IF($N190=0,"-",SUMIF($Q$11:$Q190,"npt",$N$11:$N190)/(T190*24)),"")</f>
        <v>2.1575984990619131E-2</v>
      </c>
      <c r="AA190" s="491"/>
      <c r="AB190" s="491"/>
      <c r="AC190" s="398" t="s">
        <v>224</v>
      </c>
      <c r="AD190" s="427">
        <f t="shared" ca="1" si="9"/>
        <v>18.708333333333329</v>
      </c>
      <c r="AE190" s="427">
        <f t="shared" ca="1" si="0"/>
        <v>1112</v>
      </c>
      <c r="AF190" s="427">
        <f t="shared" ca="1" si="507"/>
        <v>22.208333333333339</v>
      </c>
      <c r="AG190" s="427">
        <f t="shared" ca="1" si="2"/>
        <v>2374.8000000000002</v>
      </c>
      <c r="AH190" s="493"/>
      <c r="AI190" s="427">
        <f t="shared" ca="1" si="3"/>
        <v>0</v>
      </c>
      <c r="AJ190" s="493"/>
      <c r="AK190" s="428">
        <f t="shared" ca="1" si="508"/>
        <v>2</v>
      </c>
      <c r="AL190" s="428">
        <f ca="1">IF(A190&lt;&gt;"",IFERROR(INDEX('1_INPUT'!$B$69:$E$89,MATCH($A190,'1_INPUT'!$E$69:$E$89,0),1),""),INDIRECT(ADDRESS(ROW()+1,COLUMN($AL$9),,,)))</f>
        <v>6</v>
      </c>
      <c r="AM190" s="428" t="str">
        <f ca="1">IF(AN190="","",MAX(INDIRECT(ADDRESS(9,COLUMN($AM$9),,,)):INDIRECT(ADDRESS(ROW()-1,COLUMN($AM$9),,,)))+1)</f>
        <v/>
      </c>
      <c r="AN190" s="429" t="str">
        <f>IF($AO190&lt;&gt;"",VLOOKUP($AK190,'1_INPUT'!$B$124:$D$136,2,FALSE),"")</f>
        <v/>
      </c>
      <c r="AO190" s="429" t="str">
        <f t="shared" si="10"/>
        <v/>
      </c>
      <c r="AP190" s="427">
        <f ca="1">SUMIF($AL$10:AL190,$AL190,$I$10:I190)</f>
        <v>190.62499999999989</v>
      </c>
      <c r="AR190" s="430" t="str">
        <f t="shared" ca="1" si="5"/>
        <v>WORKOVER SECTION</v>
      </c>
      <c r="AS190" s="430">
        <f ca="1">MATCH(AR190,'1_INPUT'!$V$43:$V$64,0)+1</f>
        <v>6</v>
      </c>
      <c r="AT190" s="430">
        <f ca="1">VLOOKUP(AR190,'1_INPUT'!$V$43:$W$64,2,FALSE)</f>
        <v>21</v>
      </c>
      <c r="AU190" s="430">
        <f ca="1">COUNTIF('1_INPUT'!$W$43:$W$64,AT190)-1</f>
        <v>5</v>
      </c>
      <c r="AV190" s="430" t="e">
        <f ca="1">OFFSET('1_INPUT'!$V$42,$AS190,,$AU190,)</f>
        <v>#VALUE!</v>
      </c>
      <c r="AX190" s="430" t="str">
        <f t="shared" si="509"/>
        <v/>
      </c>
      <c r="CK190" s="9"/>
      <c r="CL190" s="9"/>
    </row>
    <row r="191" spans="1:90" ht="372.6">
      <c r="A191" s="205"/>
      <c r="B191" s="518"/>
      <c r="C191" s="208"/>
      <c r="D191" s="523"/>
      <c r="E191" s="406"/>
      <c r="F191" s="407"/>
      <c r="G191" s="209">
        <f t="shared" ca="1" si="420"/>
        <v>449</v>
      </c>
      <c r="H191" s="209">
        <f t="shared" si="218"/>
        <v>0</v>
      </c>
      <c r="I191" s="209">
        <f t="shared" ca="1" si="421"/>
        <v>18.708333333333329</v>
      </c>
      <c r="J191" s="540">
        <v>1112</v>
      </c>
      <c r="K191" s="200"/>
      <c r="L191" s="525" t="s">
        <v>764</v>
      </c>
      <c r="M191" s="400" t="s">
        <v>548</v>
      </c>
      <c r="N191" s="407">
        <v>18</v>
      </c>
      <c r="O191" s="95">
        <f t="shared" ca="1" si="422"/>
        <v>551</v>
      </c>
      <c r="P191" s="403">
        <v>2374.8000000000002</v>
      </c>
      <c r="Q191" s="116">
        <f>IF(N191&gt;0,VLOOKUP(M191,'3_TIME SUM'!$F$7:$G$128,2,FALSE),0)</f>
        <v>0</v>
      </c>
      <c r="R191" s="517"/>
      <c r="S191" s="94">
        <f t="shared" si="12"/>
        <v>0.75</v>
      </c>
      <c r="T191" s="94">
        <f t="shared" ca="1" si="423"/>
        <v>22.958333333333339</v>
      </c>
      <c r="U191" s="533">
        <f ca="1">$T191+'1_INPUT'!$E$18</f>
        <v>44966.75</v>
      </c>
      <c r="V191" s="95">
        <f t="shared" ca="1" si="424"/>
        <v>-102.00000000000026</v>
      </c>
      <c r="W191" s="110">
        <f t="shared" ca="1" si="425"/>
        <v>4.25</v>
      </c>
      <c r="X191" s="111">
        <f t="shared" ca="1" si="426"/>
        <v>44967</v>
      </c>
      <c r="Y191" s="112" t="str">
        <f ca="1">IFERROR(IF(SUMIFS($N$9:$N191,$X$9:$X191,ROUNDUP(VALUE(U191),0),$Q$9:$Q191,"npt")=0,"-",SUMIFS($N$9:$N191,$X$9:$X191,ROUNDUP(VALUE(U191),0),$Q$9:$Q191,"npt")/SUMIFS($N$9:$N191,$X$9:$X191,ROUNDUP(VALUE(U191),0))),"")</f>
        <v>-</v>
      </c>
      <c r="Z191" s="112">
        <f ca="1">IFERROR(IF($N191=0,"-",SUMIF($Q$11:$Q191,"npt",$N$11:$N191)/(T191*24)),"")</f>
        <v>2.0871143375680575E-2</v>
      </c>
      <c r="AA191" s="491"/>
      <c r="AB191" s="491"/>
      <c r="AC191" s="398" t="s">
        <v>224</v>
      </c>
      <c r="AD191" s="427">
        <f t="shared" ca="1" si="9"/>
        <v>18.708333333333329</v>
      </c>
      <c r="AE191" s="427">
        <f t="shared" ca="1" si="0"/>
        <v>1112</v>
      </c>
      <c r="AF191" s="427">
        <f t="shared" ca="1" si="427"/>
        <v>22.958333333333339</v>
      </c>
      <c r="AG191" s="427">
        <f t="shared" ca="1" si="2"/>
        <v>2374.8000000000002</v>
      </c>
      <c r="AH191" s="493"/>
      <c r="AI191" s="427">
        <f t="shared" ca="1" si="3"/>
        <v>0</v>
      </c>
      <c r="AJ191" s="493"/>
      <c r="AK191" s="428">
        <f t="shared" ca="1" si="428"/>
        <v>2</v>
      </c>
      <c r="AL191" s="428">
        <f ca="1">IF(A191&lt;&gt;"",IFERROR(INDEX('1_INPUT'!$B$69:$E$89,MATCH($A191,'1_INPUT'!$E$69:$E$89,0),1),""),INDIRECT(ADDRESS(ROW()+1,COLUMN($AL$9),,,)))</f>
        <v>6</v>
      </c>
      <c r="AM191" s="428" t="str">
        <f ca="1">IF(AN191="","",MAX(INDIRECT(ADDRESS(9,COLUMN($AM$9),,,)):INDIRECT(ADDRESS(ROW()-1,COLUMN($AM$9),,,)))+1)</f>
        <v/>
      </c>
      <c r="AN191" s="429" t="str">
        <f>IF($AO191&lt;&gt;"",VLOOKUP($AK191,'1_INPUT'!$B$124:$D$136,2,FALSE),"")</f>
        <v/>
      </c>
      <c r="AO191" s="429" t="str">
        <f t="shared" si="10"/>
        <v/>
      </c>
      <c r="AP191" s="427">
        <f ca="1">SUMIF($AL$10:AL191,$AL191,$I$10:I191)</f>
        <v>209.3333333333332</v>
      </c>
      <c r="AR191" s="430" t="str">
        <f t="shared" ca="1" si="5"/>
        <v>WORKOVER SECTION</v>
      </c>
      <c r="AS191" s="430">
        <f ca="1">MATCH(AR191,'1_INPUT'!$V$43:$V$64,0)+1</f>
        <v>6</v>
      </c>
      <c r="AT191" s="430">
        <f ca="1">VLOOKUP(AR191,'1_INPUT'!$V$43:$W$64,2,FALSE)</f>
        <v>21</v>
      </c>
      <c r="AU191" s="430">
        <f ca="1">COUNTIF('1_INPUT'!$W$43:$W$64,AT191)-1</f>
        <v>5</v>
      </c>
      <c r="AV191" s="430" t="e">
        <f ca="1">OFFSET('1_INPUT'!$V$42,$AS191,,$AU191,)</f>
        <v>#VALUE!</v>
      </c>
      <c r="AX191" s="430" t="str">
        <f t="shared" si="429"/>
        <v/>
      </c>
      <c r="CK191" s="9"/>
      <c r="CL191" s="9"/>
    </row>
    <row r="192" spans="1:90" s="522" customFormat="1" ht="24.75" customHeight="1">
      <c r="A192" s="205" t="s">
        <v>581</v>
      </c>
      <c r="B192" s="96">
        <f ca="1">MAX(INDIRECT(ADDRESS(ROW($B$9),COLUMN($B$9),,,)):INDIRECT(ADDRESS(ROW()-1,COLUMN($B$9),,,)))+1</f>
        <v>2</v>
      </c>
      <c r="C192" s="537" t="str">
        <f ca="1">VLOOKUP($B192,'1_INPUT'!$B$124:$D$136,2,FALSE)</f>
        <v>WORKOVER SECTION</v>
      </c>
      <c r="D192" s="538"/>
      <c r="E192" s="211"/>
      <c r="F192" s="212">
        <f ca="1">IF($B192=1,SUM(INDIRECT(ADDRESS(9,COLUMN(F$8),,,)):INDIRECT(ADDRESS(ROW()-1,COLUMN(F$8),,,))),SUM(INDIRECT(ADDRESS(MATCH($B192-1,$B$1:$B191,0)+1,COLUMN(F$8),,,)):INDIRECT(ADDRESS(ROW()-1,COLUMN(F$8),,,))))</f>
        <v>449</v>
      </c>
      <c r="G192" s="212">
        <f ca="1">IF($B192=1,MAX(INDIRECT(ADDRESS(9,COLUMN(G$8),,,)):INDIRECT(ADDRESS(ROW()-1,COLUMN(G$8),,,))),MAX(INDIRECT(ADDRESS(MATCH($B192-1,$B$1:$B191,0)+1,COLUMN(G$8),,,)):INDIRECT(ADDRESS(ROW()-1,COLUMN(G$8),,,))))</f>
        <v>449</v>
      </c>
      <c r="H192" s="212">
        <f ca="1">IF($B192=1,SUM(INDIRECT(ADDRESS(9,COLUMN(H$8),,,)):INDIRECT(ADDRESS(ROW()-1,COLUMN(H$8),,,))),SUM(INDIRECT(ADDRESS(MATCH($B192-1,$B$1:$B191,0)+1,COLUMN(H$8),,,)):INDIRECT(ADDRESS(ROW()-1,COLUMN(H$8),,,))))</f>
        <v>18.708333333333329</v>
      </c>
      <c r="I192" s="212">
        <f ca="1">IF($B192=1,MAX(INDIRECT(ADDRESS(9,COLUMN(I$8),,,)):INDIRECT(ADDRESS(ROW()-1,COLUMN(I$8),,,))),MAX(INDIRECT(ADDRESS(MATCH($B192-1,$B$1:$B191,0)+1,COLUMN(I$8),,,)):INDIRECT(ADDRESS(ROW()-1,COLUMN(I$8),,,))))</f>
        <v>18.708333333333329</v>
      </c>
      <c r="J192" s="541">
        <f ca="1">IF($B192=1,MAX(INDIRECT(ADDRESS(9,COLUMN(J$8),,,)):INDIRECT(ADDRESS(ROW()-1,COLUMN(J$8),,,))),MAX(INDIRECT(ADDRESS(MATCH($B192-1,$B$1:$B191,0)+1,COLUMN(J$8),,,)):INDIRECT(ADDRESS(ROW()-1,COLUMN(J$8),,,))))</f>
        <v>1112</v>
      </c>
      <c r="K192" s="188"/>
      <c r="L192" s="103"/>
      <c r="M192" s="97"/>
      <c r="N192" s="97">
        <f ca="1">IF($B192=1,SUM(INDIRECT(ADDRESS(9,COLUMN(N$8),,,)):INDIRECT(ADDRESS(ROW()-1,COLUMN(N$8),,,))),SUM(INDIRECT(ADDRESS(MATCH($B192-1,$B$1:$B191,0)+1,COLUMN(N$8),,,)):INDIRECT(ADDRESS(ROW()-1,COLUMN(N$8),,,))))</f>
        <v>551</v>
      </c>
      <c r="O192" s="97">
        <f ca="1">IF($B192=1,MAX(INDIRECT(ADDRESS(9,COLUMN(O$8),,,)):INDIRECT(ADDRESS(ROW()-1,COLUMN(O$8),,,))),MAX(INDIRECT(ADDRESS(MATCH($B192-1,$B$1:$B191,0)+1,COLUMN(O$8),,,)):INDIRECT(ADDRESS(ROW()-1,COLUMN(O$8),,,))))</f>
        <v>551</v>
      </c>
      <c r="P192" s="118">
        <f ca="1">IFERROR(MAX(INDIRECT(ADDRESS(9,COLUMN(P$8),,,)):INDIRECT(ADDRESS(ROW()-1,COLUMN(P$8),,,))),"")</f>
        <v>2374.8000000000002</v>
      </c>
      <c r="Q192" s="117"/>
      <c r="R192" s="517"/>
      <c r="S192" s="118">
        <f ca="1">IF($B192=1,SUM(INDIRECT(ADDRESS(9,COLUMN(S$8),,,)):INDIRECT(ADDRESS(ROW()-1,COLUMN(S$8),,,))),SUM(INDIRECT(ADDRESS(MATCH($B192-1,$B$1:$B191,0)+1,COLUMN(S$8),,,)):INDIRECT(ADDRESS(ROW()-1,COLUMN(S$8),,,))))</f>
        <v>22.958333333333339</v>
      </c>
      <c r="T192" s="118">
        <f ca="1">IF($B192=1,MAX(INDIRECT(ADDRESS(9,COLUMN(T$8),,,)):INDIRECT(ADDRESS(ROW()-1,COLUMN(T$8),,,))),MAX(INDIRECT(ADDRESS(MATCH($B192-1,$B$1:$B191,0)+1,COLUMN(T$8),,,)):INDIRECT(ADDRESS(ROW()-1,COLUMN(T$8),,,))))</f>
        <v>22.958333333333339</v>
      </c>
      <c r="U192" s="108">
        <f ca="1">IF($B192=1,MAX(INDIRECT(ADDRESS(9,COLUMN(U$8),,,)):INDIRECT(ADDRESS(ROW()-1,COLUMN(U$8),,,))),MAX(INDIRECT(ADDRESS(MATCH($B192-1,$B$1:$B191,0)+1,COLUMN(U$8),,,)):INDIRECT(ADDRESS(ROW()-1,COLUMN(U$8),,,))))</f>
        <v>44966.75</v>
      </c>
      <c r="V192" s="97">
        <f t="shared" ca="1" si="424"/>
        <v>-102.00000000000026</v>
      </c>
      <c r="W192" s="330">
        <f t="shared" ca="1" si="425"/>
        <v>4.25</v>
      </c>
      <c r="X192" s="119">
        <f ca="1">IF($B192=1,MAX(INDIRECT(ADDRESS(9,COLUMN(X$8),,,)):INDIRECT(ADDRESS(ROW()-1,COLUMN(X$8),,,))),MAX(INDIRECT(ADDRESS(MATCH($B192-1,$B$1:$B191,0),COLUMN(X$8),,,)):INDIRECT(ADDRESS(ROW()-1,COLUMN(X$8),,,))))</f>
        <v>44967</v>
      </c>
      <c r="Y192" s="109" t="s">
        <v>261</v>
      </c>
      <c r="Z192" s="109" t="s">
        <v>261</v>
      </c>
      <c r="AA192" s="491"/>
      <c r="AB192" s="491"/>
      <c r="AC192" s="398" t="s">
        <v>224</v>
      </c>
      <c r="AD192" s="427">
        <f ca="1">$I192</f>
        <v>18.708333333333329</v>
      </c>
      <c r="AE192" s="427">
        <f t="shared" ca="1" si="0"/>
        <v>1112</v>
      </c>
      <c r="AF192" s="427">
        <f t="shared" ca="1" si="427"/>
        <v>22.958333333333339</v>
      </c>
      <c r="AG192" s="427">
        <f ca="1">IF($P192=0,INDIRECT(ADDRESS(ROW()-1,COLUMN($AG$9),,,)),$P192)</f>
        <v>2374.8000000000002</v>
      </c>
      <c r="AH192" s="493"/>
      <c r="AI192" s="427">
        <f ca="1">IFERROR(IF($F192="",INDIRECT(ADDRESS(ROW()-1,COLUMN($AI$9),,,)),(($J192-INDIRECT(ADDRESS(ROW()-1,COLUMN($J$9),,,)))/$F192)),"")</f>
        <v>0</v>
      </c>
      <c r="AJ192" s="493"/>
      <c r="AK192" s="428">
        <f t="shared" ca="1" si="428"/>
        <v>2</v>
      </c>
      <c r="AL192" s="428">
        <f ca="1">IF(A192&lt;&gt;"",IFERROR(INDEX('1_INPUT'!$B$69:$E$89,MATCH($A192,'1_INPUT'!$E$69:$E$89,0),1),""),INDIRECT(ADDRESS(ROW()+1,COLUMN($AL$9),,,)))</f>
        <v>6</v>
      </c>
      <c r="AM192" s="428">
        <f ca="1">IF(AN192="","",MAX(INDIRECT(ADDRESS(9,COLUMN($AM$9),,,)):INDIRECT(ADDRESS(ROW()-1,COLUMN($AM$9),,,)))+1)</f>
        <v>6</v>
      </c>
      <c r="AN192" s="429" t="str">
        <f ca="1">IF($AO192&lt;&gt;"",VLOOKUP($AK192,'1_INPUT'!$B$124:$D$136,2,FALSE),"")</f>
        <v>WORKOVER SECTION</v>
      </c>
      <c r="AO192" s="429" t="str">
        <f>IF(ISTEXT($A192),$A192,"")</f>
        <v>WORKOVER #4</v>
      </c>
      <c r="AP192" s="427">
        <f ca="1">SUMIF($AL$10:AL192,$AL192,$I$10:I192)</f>
        <v>228.04166666666652</v>
      </c>
      <c r="AQ192" s="520"/>
      <c r="AR192" s="430" t="str">
        <f ca="1">IF(ISNUMBER($B192),$C192,INDIRECT(ADDRESS(ROW()+1,COLUMN($AR$9),,,)))</f>
        <v>WORKOVER SECTION</v>
      </c>
      <c r="AS192" s="430">
        <f ca="1">MATCH(AR192,'1_INPUT'!$V$43:$V$64,0)+1</f>
        <v>6</v>
      </c>
      <c r="AT192" s="430">
        <f ca="1">VLOOKUP(AR192,'1_INPUT'!$V$43:$W$64,2,FALSE)</f>
        <v>21</v>
      </c>
      <c r="AU192" s="430">
        <f ca="1">COUNTIF('1_INPUT'!$W$43:$W$64,AT192)-1</f>
        <v>5</v>
      </c>
      <c r="AV192" s="430" t="e">
        <f ca="1">OFFSET('1_INPUT'!$V$42,$AS192,,$AU192,)</f>
        <v>#VALUE!</v>
      </c>
      <c r="AW192" s="421"/>
      <c r="AX192" s="430" t="str">
        <f t="shared" ca="1" si="429"/>
        <v>WORKOVER SECTION-WORKOVER #4</v>
      </c>
      <c r="AY192" s="520"/>
      <c r="AZ192" s="520"/>
      <c r="BA192" s="521"/>
      <c r="BB192" s="521"/>
      <c r="BC192" s="521"/>
      <c r="BD192" s="521"/>
      <c r="BE192" s="521"/>
      <c r="BF192" s="521"/>
      <c r="BG192" s="521"/>
      <c r="BH192" s="521"/>
      <c r="BI192" s="521"/>
      <c r="BJ192" s="521"/>
      <c r="BK192" s="521"/>
      <c r="BL192" s="521"/>
      <c r="BM192" s="521"/>
      <c r="BN192" s="521"/>
      <c r="BO192" s="521"/>
      <c r="BP192" s="521"/>
      <c r="BQ192" s="521"/>
      <c r="BR192" s="521"/>
      <c r="BS192" s="521"/>
      <c r="BT192" s="521"/>
      <c r="BU192" s="521"/>
      <c r="BV192" s="521"/>
      <c r="BW192" s="521"/>
      <c r="BX192" s="521"/>
      <c r="BY192" s="521"/>
      <c r="BZ192" s="521"/>
      <c r="CA192" s="521"/>
      <c r="CB192" s="521"/>
      <c r="CC192" s="521"/>
      <c r="CD192" s="521"/>
      <c r="CE192" s="521"/>
      <c r="CF192" s="521"/>
      <c r="CG192" s="521"/>
      <c r="CH192" s="521"/>
      <c r="CI192" s="521"/>
      <c r="CJ192" s="521"/>
      <c r="CK192" s="9"/>
      <c r="CL192" s="9"/>
    </row>
    <row r="193" spans="1:90" ht="13.8">
      <c r="A193" s="205"/>
      <c r="B193" s="518"/>
      <c r="C193" s="208">
        <f ca="1">IF(D193&lt;&gt;"",MAX($C$9:C192)+1,"")</f>
        <v>68</v>
      </c>
      <c r="D193" s="523" t="s">
        <v>571</v>
      </c>
      <c r="E193" s="406"/>
      <c r="F193" s="407">
        <v>0</v>
      </c>
      <c r="G193" s="209">
        <f ca="1">IF(INDIRECT(ADDRESS(ROW()-1,COLUMN(B$7),,,))&lt;&gt;"",INDIRECT(ADDRESS(ROW(),COLUMN(F$7),,,)),INDIRECT(ADDRESS(ROW()-1,COLUMN(G$7),,,))+INDIRECT(ADDRESS(ROW(),COLUMN(F$7),,,)))</f>
        <v>0</v>
      </c>
      <c r="H193" s="209">
        <f>$F193/24</f>
        <v>0</v>
      </c>
      <c r="I193" s="209">
        <f ca="1">INDIRECT(ADDRESS(ROW()-1,COLUMN(I$7),,,))+INDIRECT(ADDRESS(ROW(),COLUMN(H$7),,,))</f>
        <v>18.708333333333329</v>
      </c>
      <c r="J193" s="540">
        <v>1112</v>
      </c>
      <c r="K193" s="200"/>
      <c r="L193" s="524"/>
      <c r="M193" s="400"/>
      <c r="N193" s="400"/>
      <c r="O193" s="534">
        <f ca="1">IF(INDIRECT(ADDRESS(ROW()-1,COLUMN(B$7),,,))&lt;&gt;"",INDIRECT(ADDRESS(ROW(),COLUMN(N$7),,,)),INDIRECT(ADDRESS(ROW()-1,COLUMN(O$7),,,))+INDIRECT(ADDRESS(ROW(),COLUMN(N$7),,,)))</f>
        <v>0</v>
      </c>
      <c r="P193" s="403"/>
      <c r="Q193" s="116">
        <f>IF(N193&gt;0,VLOOKUP(M193,'3_TIME SUM'!$F$7:$G$128,2,FALSE),0)</f>
        <v>0</v>
      </c>
      <c r="R193" s="517"/>
      <c r="S193" s="94">
        <f t="shared" si="12"/>
        <v>0</v>
      </c>
      <c r="T193" s="94">
        <f ca="1">INDIRECT(ADDRESS(ROW()-1,COLUMN(T$7),,,))+INDIRECT(ADDRESS(ROW(),COLUMN(S$7),,,))</f>
        <v>22.958333333333339</v>
      </c>
      <c r="U193" s="437">
        <f ca="1">$T193+'1_INPUT'!$E$18</f>
        <v>44966.75</v>
      </c>
      <c r="V193" s="95" t="str">
        <f t="shared" ca="1" si="424"/>
        <v/>
      </c>
      <c r="W193" s="110" t="str">
        <f t="shared" ca="1" si="425"/>
        <v/>
      </c>
      <c r="X193" s="111">
        <f ca="1">IF(U193=0,"-",ROUNDUP(VALUE(U193),0))</f>
        <v>44967</v>
      </c>
      <c r="Y193" s="112" t="str">
        <f ca="1">IFERROR(IF(SUMIFS($N$9:$N193,$X$9:$X193,ROUNDUP(VALUE(U193),0),$Q$9:$Q193,"npt")=0,"-",SUMIFS($N$9:$N193,$X$9:$X193,ROUNDUP(VALUE(U193),0),$Q$9:$Q193,"npt")/SUMIFS($N$9:$N193,$X$9:$X193,ROUNDUP(VALUE(U193),0))),"")</f>
        <v>-</v>
      </c>
      <c r="Z193" s="112" t="str">
        <f>IFERROR(IF($N193=0,"-",SUMIF($Q$11:$Q193,"npt",$N$11:$N193)/(T193*24)),"")</f>
        <v>-</v>
      </c>
      <c r="AA193" s="491"/>
      <c r="AB193" s="491"/>
      <c r="AC193" s="398" t="s">
        <v>224</v>
      </c>
      <c r="AD193" s="427">
        <f ca="1">$I193</f>
        <v>18.708333333333329</v>
      </c>
      <c r="AE193" s="427">
        <f t="shared" ca="1" si="0"/>
        <v>1112</v>
      </c>
      <c r="AF193" s="427">
        <f t="shared" ca="1" si="427"/>
        <v>22.958333333333339</v>
      </c>
      <c r="AG193" s="427">
        <f ca="1">IF($P193=0,INDIRECT(ADDRESS(ROW()-1,COLUMN($AG$9),,,)),$P193)</f>
        <v>2374.8000000000002</v>
      </c>
      <c r="AH193" s="493"/>
      <c r="AI193" s="427" t="str">
        <f ca="1">IFERROR(IF($F193="",INDIRECT(ADDRESS(ROW()-1,COLUMN($AI$9),,,)),(($J193-INDIRECT(ADDRESS(ROW()-1,COLUMN($J$9),,,)))/$F193)),"")</f>
        <v/>
      </c>
      <c r="AJ193" s="493"/>
      <c r="AK193" s="428">
        <f t="shared" ca="1" si="428"/>
        <v>3</v>
      </c>
      <c r="AL193" s="428">
        <f ca="1">IF(A193&lt;&gt;"",IFERROR(INDEX('1_INPUT'!$B$69:$E$89,MATCH($A193,'1_INPUT'!$E$69:$E$89,0),1),""),INDIRECT(ADDRESS(ROW()+1,COLUMN($AL$9),,,)))</f>
        <v>7</v>
      </c>
      <c r="AM193" s="428" t="str">
        <f ca="1">IF(AN193="","",MAX(INDIRECT(ADDRESS(9,COLUMN($AM$9),,,)):INDIRECT(ADDRESS(ROW()-1,COLUMN($AM$9),,,)))+1)</f>
        <v/>
      </c>
      <c r="AN193" s="429" t="str">
        <f>IF($AO193&lt;&gt;"",VLOOKUP($AK193,'1_INPUT'!$B$124:$D$136,2,FALSE),"")</f>
        <v/>
      </c>
      <c r="AO193" s="429" t="str">
        <f>IF(ISTEXT($A193),$A193,"")</f>
        <v/>
      </c>
      <c r="AP193" s="427">
        <f ca="1">SUMIF($AL$10:AL193,$AL193,$I$10:I193)</f>
        <v>18.708333333333329</v>
      </c>
      <c r="AR193" s="430" t="str">
        <f ca="1">IF(ISNUMBER($B193),$C193,INDIRECT(ADDRESS(ROW()+1,COLUMN($AR$9),,,)))</f>
        <v>RELEASE</v>
      </c>
      <c r="AS193" s="430">
        <f ca="1">MATCH(AR193,'1_INPUT'!$V$43:$V$64,0)+1</f>
        <v>13</v>
      </c>
      <c r="AT193" s="430">
        <f ca="1">VLOOKUP(AR193,'1_INPUT'!$V$43:$W$64,2,FALSE)</f>
        <v>31</v>
      </c>
      <c r="AU193" s="430">
        <f ca="1">COUNTIF('1_INPUT'!$W$43:$W$64,AT193)-1</f>
        <v>1</v>
      </c>
      <c r="AV193" s="430" t="str">
        <f ca="1">OFFSET('1_INPUT'!$V$42,$AS193,,$AU193,)</f>
        <v>Rig Release</v>
      </c>
      <c r="AX193" s="430" t="str">
        <f t="shared" si="429"/>
        <v/>
      </c>
      <c r="CK193" s="9"/>
      <c r="CL193" s="9"/>
    </row>
    <row r="194" spans="1:90" s="522" customFormat="1" ht="24.75" customHeight="1">
      <c r="A194" s="205" t="s">
        <v>571</v>
      </c>
      <c r="B194" s="96">
        <f ca="1">MAX(INDIRECT(ADDRESS(ROW($B$9),COLUMN($B$9),,,)):INDIRECT(ADDRESS(ROW()-1,COLUMN($B$9),,,)))+1</f>
        <v>3</v>
      </c>
      <c r="C194" s="537" t="str">
        <f ca="1">VLOOKUP($B194,'1_INPUT'!$B$124:$D$136,2,FALSE)</f>
        <v>RELEASE</v>
      </c>
      <c r="D194" s="538"/>
      <c r="E194" s="211"/>
      <c r="F194" s="212">
        <f ca="1">IF($B194=1,SUM(INDIRECT(ADDRESS(9,COLUMN(F$8),,,)):INDIRECT(ADDRESS(ROW()-1,COLUMN(F$8),,,))),SUM(INDIRECT(ADDRESS(MATCH($B194-1,$B$1:$B193,0)+1,COLUMN(F$8),,,)):INDIRECT(ADDRESS(ROW()-1,COLUMN(F$8),,,))))</f>
        <v>0</v>
      </c>
      <c r="G194" s="212">
        <f ca="1">IF($B194=1,MAX(INDIRECT(ADDRESS(9,COLUMN(G$8),,,)):INDIRECT(ADDRESS(ROW()-1,COLUMN(G$8),,,))),MAX(INDIRECT(ADDRESS(MATCH($B194-1,$B$1:$B193,0)+1,COLUMN(G$8),,,)):INDIRECT(ADDRESS(ROW()-1,COLUMN(G$8),,,))))</f>
        <v>0</v>
      </c>
      <c r="H194" s="212">
        <f ca="1">IF($B194=1,SUM(INDIRECT(ADDRESS(9,COLUMN(H$8),,,)):INDIRECT(ADDRESS(ROW()-1,COLUMN(H$8),,,))),SUM(INDIRECT(ADDRESS(MATCH($B194-1,$B$1:$B193,0)+1,COLUMN(H$8),,,)):INDIRECT(ADDRESS(ROW()-1,COLUMN(H$8),,,))))</f>
        <v>0</v>
      </c>
      <c r="I194" s="212">
        <f ca="1">IF($B194=1,MAX(INDIRECT(ADDRESS(9,COLUMN(I$8),,,)):INDIRECT(ADDRESS(ROW()-1,COLUMN(I$8),,,))),MAX(INDIRECT(ADDRESS(MATCH($B194-1,$B$1:$B193,0)+1,COLUMN(I$8),,,)):INDIRECT(ADDRESS(ROW()-1,COLUMN(I$8),,,))))</f>
        <v>18.708333333333329</v>
      </c>
      <c r="J194" s="541">
        <f ca="1">IF($B194=1,MAX(INDIRECT(ADDRESS(9,COLUMN(J$8),,,)):INDIRECT(ADDRESS(ROW()-1,COLUMN(J$8),,,))),MAX(INDIRECT(ADDRESS(MATCH($B194-1,$B$1:$B193,0)+1,COLUMN(J$8),,,)):INDIRECT(ADDRESS(ROW()-1,COLUMN(J$8),,,))))</f>
        <v>1112</v>
      </c>
      <c r="K194" s="188"/>
      <c r="L194" s="103"/>
      <c r="M194" s="97"/>
      <c r="N194" s="97">
        <f ca="1">IF($B194=1,SUM(INDIRECT(ADDRESS(9,COLUMN(N$8),,,)):INDIRECT(ADDRESS(ROW()-1,COLUMN(N$8),,,))),SUM(INDIRECT(ADDRESS(MATCH($B194-1,$B$1:$B193,0)+1,COLUMN(N$8),,,)):INDIRECT(ADDRESS(ROW()-1,COLUMN(N$8),,,))))</f>
        <v>0</v>
      </c>
      <c r="O194" s="97">
        <f ca="1">IF($B194=1,MAX(INDIRECT(ADDRESS(9,COLUMN(O$8),,,)):INDIRECT(ADDRESS(ROW()-1,COLUMN(O$8),,,))),MAX(INDIRECT(ADDRESS(MATCH($B194-1,$B$1:$B193,0)+1,COLUMN(O$8),,,)):INDIRECT(ADDRESS(ROW()-1,COLUMN(O$8),,,))))</f>
        <v>0</v>
      </c>
      <c r="P194" s="118">
        <f ca="1">IFERROR(MAX(INDIRECT(ADDRESS(9,COLUMN(P$8),,,)):INDIRECT(ADDRESS(ROW()-1,COLUMN(P$8),,,))),"")</f>
        <v>2374.8000000000002</v>
      </c>
      <c r="Q194" s="117"/>
      <c r="R194" s="517"/>
      <c r="S194" s="118">
        <f ca="1">IF($B194=1,SUM(INDIRECT(ADDRESS(9,COLUMN(S$8),,,)):INDIRECT(ADDRESS(ROW()-1,COLUMN(S$8),,,))),SUM(INDIRECT(ADDRESS(MATCH($B194-1,$B$1:$B193,0)+1,COLUMN(S$8),,,)):INDIRECT(ADDRESS(ROW()-1,COLUMN(S$8),,,))))</f>
        <v>0</v>
      </c>
      <c r="T194" s="118">
        <f ca="1">IF($B194=1,MAX(INDIRECT(ADDRESS(9,COLUMN(T$8),,,)):INDIRECT(ADDRESS(ROW()-1,COLUMN(T$8),,,))),MAX(INDIRECT(ADDRESS(MATCH($B194-1,$B$1:$B193,0)+1,COLUMN(T$8),,,)):INDIRECT(ADDRESS(ROW()-1,COLUMN(T$8),,,))))</f>
        <v>22.958333333333339</v>
      </c>
      <c r="U194" s="108">
        <f ca="1">IF($B194=1,MAX(INDIRECT(ADDRESS(9,COLUMN(U$8),,,)):INDIRECT(ADDRESS(ROW()-1,COLUMN(U$8),,,))),MAX(INDIRECT(ADDRESS(MATCH($B194-1,$B$1:$B193,0)+1,COLUMN(U$8),,,)):INDIRECT(ADDRESS(ROW()-1,COLUMN(U$8),,,))))</f>
        <v>44966.75</v>
      </c>
      <c r="V194" s="97" t="str">
        <f t="shared" ca="1" si="424"/>
        <v/>
      </c>
      <c r="W194" s="330" t="str">
        <f t="shared" ca="1" si="425"/>
        <v/>
      </c>
      <c r="X194" s="119">
        <f ca="1">IF($B194=1,MAX(INDIRECT(ADDRESS(9,COLUMN(X$8),,,)):INDIRECT(ADDRESS(ROW()-1,COLUMN(X$8),,,))),MAX(INDIRECT(ADDRESS(MATCH($B194-1,$B$1:$B193,0),COLUMN(X$8),,,)):INDIRECT(ADDRESS(ROW()-1,COLUMN(X$8),,,))))</f>
        <v>44967</v>
      </c>
      <c r="Y194" s="109" t="s">
        <v>261</v>
      </c>
      <c r="Z194" s="109" t="s">
        <v>261</v>
      </c>
      <c r="AA194" s="491"/>
      <c r="AB194" s="491"/>
      <c r="AC194" s="398" t="s">
        <v>224</v>
      </c>
      <c r="AD194" s="427">
        <f ca="1">$I194</f>
        <v>18.708333333333329</v>
      </c>
      <c r="AE194" s="427">
        <f t="shared" ca="1" si="0"/>
        <v>1112</v>
      </c>
      <c r="AF194" s="427">
        <f t="shared" ca="1" si="427"/>
        <v>22.958333333333339</v>
      </c>
      <c r="AG194" s="427">
        <f ca="1">IF($P194=0,INDIRECT(ADDRESS(ROW()-1,COLUMN($AG$9),,,)),$P194)</f>
        <v>2374.8000000000002</v>
      </c>
      <c r="AH194" s="493"/>
      <c r="AI194" s="427" t="str">
        <f ca="1">IFERROR(IF($F194="",INDIRECT(ADDRESS(ROW()-1,COLUMN($AI$9),,,)),(($J194-INDIRECT(ADDRESS(ROW()-1,COLUMN($J$9),,,)))/$F194)),"")</f>
        <v/>
      </c>
      <c r="AJ194" s="493"/>
      <c r="AK194" s="428">
        <f t="shared" ca="1" si="428"/>
        <v>3</v>
      </c>
      <c r="AL194" s="428">
        <f ca="1">IF(A194&lt;&gt;"",IFERROR(INDEX('1_INPUT'!$B$69:$E$89,MATCH($A194,'1_INPUT'!$E$69:$E$89,0),1),""),INDIRECT(ADDRESS(ROW()+1,COLUMN($AL$9),,,)))</f>
        <v>7</v>
      </c>
      <c r="AM194" s="428">
        <f ca="1">IF(AN194="","",MAX(INDIRECT(ADDRESS(9,COLUMN($AM$9),,,)):INDIRECT(ADDRESS(ROW()-1,COLUMN($AM$9),,,)))+1)</f>
        <v>7</v>
      </c>
      <c r="AN194" s="429" t="str">
        <f ca="1">IF($AO194&lt;&gt;"",VLOOKUP($AK194,'1_INPUT'!$B$124:$D$136,2,FALSE),"")</f>
        <v>RELEASE</v>
      </c>
      <c r="AO194" s="429" t="str">
        <f>IF(ISTEXT($A194),$A194,"")</f>
        <v>Rig Release</v>
      </c>
      <c r="AP194" s="427">
        <f ca="1">SUMIF($AL$10:AL194,$AL194,$I$10:I194)</f>
        <v>37.416666666666657</v>
      </c>
      <c r="AQ194" s="520"/>
      <c r="AR194" s="430" t="str">
        <f ca="1">IF(ISNUMBER($B194),$C194,INDIRECT(ADDRESS(ROW()+1,COLUMN($AR$9),,,)))</f>
        <v>RELEASE</v>
      </c>
      <c r="AS194" s="430">
        <f ca="1">MATCH(AR194,'1_INPUT'!$V$43:$V$64,0)+1</f>
        <v>13</v>
      </c>
      <c r="AT194" s="430">
        <f ca="1">VLOOKUP(AR194,'1_INPUT'!$V$43:$W$64,2,FALSE)</f>
        <v>31</v>
      </c>
      <c r="AU194" s="430">
        <f ca="1">COUNTIF('1_INPUT'!$W$43:$W$64,AT194)-1</f>
        <v>1</v>
      </c>
      <c r="AV194" s="430" t="str">
        <f ca="1">OFFSET('1_INPUT'!$V$42,$AS194,,$AU194,)</f>
        <v>Rig Release</v>
      </c>
      <c r="AW194" s="421"/>
      <c r="AX194" s="430" t="str">
        <f t="shared" ca="1" si="429"/>
        <v>RELEASE-Rig Release</v>
      </c>
      <c r="AY194" s="520"/>
      <c r="AZ194" s="520"/>
      <c r="BA194" s="521"/>
      <c r="BB194" s="521"/>
      <c r="BC194" s="521"/>
      <c r="BD194" s="521"/>
      <c r="BE194" s="521"/>
      <c r="BF194" s="521"/>
      <c r="BG194" s="521"/>
      <c r="BH194" s="521"/>
      <c r="BI194" s="521"/>
      <c r="BJ194" s="521"/>
      <c r="BK194" s="521"/>
      <c r="BL194" s="521"/>
      <c r="BM194" s="521"/>
      <c r="BN194" s="521"/>
      <c r="BO194" s="521"/>
      <c r="BP194" s="521"/>
      <c r="BQ194" s="521"/>
      <c r="BR194" s="521"/>
      <c r="BS194" s="521"/>
      <c r="BT194" s="521"/>
      <c r="BU194" s="521"/>
      <c r="BV194" s="521"/>
      <c r="BW194" s="521"/>
      <c r="BX194" s="521"/>
      <c r="BY194" s="521"/>
      <c r="BZ194" s="521"/>
      <c r="CA194" s="521"/>
      <c r="CB194" s="521"/>
      <c r="CC194" s="521"/>
      <c r="CD194" s="521"/>
      <c r="CE194" s="521"/>
      <c r="CF194" s="521"/>
      <c r="CG194" s="521"/>
      <c r="CH194" s="521"/>
      <c r="CI194" s="521"/>
      <c r="CJ194" s="521"/>
      <c r="CK194" s="9"/>
      <c r="CL194" s="9"/>
    </row>
    <row r="196" spans="1:90" ht="13.8">
      <c r="C196" s="542">
        <v>68</v>
      </c>
      <c r="D196" s="543"/>
      <c r="E196" s="543"/>
      <c r="F196" s="542">
        <v>449</v>
      </c>
      <c r="G196" s="542">
        <v>449</v>
      </c>
      <c r="H196" s="544">
        <v>18.708333333333329</v>
      </c>
      <c r="I196" s="544">
        <v>18.708333333333329</v>
      </c>
      <c r="J196" s="542">
        <v>1112</v>
      </c>
    </row>
    <row r="197" spans="1:90" ht="13.8">
      <c r="C197" s="543"/>
      <c r="D197" s="543"/>
      <c r="E197" s="543"/>
      <c r="F197" s="543"/>
      <c r="G197" s="543"/>
      <c r="H197" s="543"/>
      <c r="I197" s="563">
        <f ca="1">T192/I192*100</f>
        <v>122.71714922049004</v>
      </c>
      <c r="J197" s="543"/>
    </row>
    <row r="198" spans="1:90">
      <c r="M198" s="526">
        <f ca="1">O192/24</f>
        <v>22.958333333333332</v>
      </c>
      <c r="N198" s="566">
        <f ca="1">M198-H196</f>
        <v>4.2500000000000036</v>
      </c>
    </row>
  </sheetData>
  <autoFilter ref="C9:Z194" xr:uid="{00000000-0009-0000-0000-000002000000}"/>
  <mergeCells count="36">
    <mergeCell ref="AR6:AV7"/>
    <mergeCell ref="A6:A8"/>
    <mergeCell ref="AO7:AO8"/>
    <mergeCell ref="AN7:AN8"/>
    <mergeCell ref="AM7:AM8"/>
    <mergeCell ref="AK7:AK8"/>
    <mergeCell ref="AL7:AL8"/>
    <mergeCell ref="AD6:AG6"/>
    <mergeCell ref="V7:W7"/>
    <mergeCell ref="H7:I7"/>
    <mergeCell ref="C7:C8"/>
    <mergeCell ref="D7:D8"/>
    <mergeCell ref="E7:E8"/>
    <mergeCell ref="F7:F8"/>
    <mergeCell ref="X7:Y8"/>
    <mergeCell ref="Z7:Z8"/>
    <mergeCell ref="AP7:AP8"/>
    <mergeCell ref="AI7:AI8"/>
    <mergeCell ref="AD7:AE7"/>
    <mergeCell ref="AF7:AG7"/>
    <mergeCell ref="AK6:AP6"/>
    <mergeCell ref="B6:B8"/>
    <mergeCell ref="G7:G8"/>
    <mergeCell ref="L7:L8"/>
    <mergeCell ref="M7:M8"/>
    <mergeCell ref="C6:J6"/>
    <mergeCell ref="J7:J8"/>
    <mergeCell ref="Q7:Q8"/>
    <mergeCell ref="S7:S8"/>
    <mergeCell ref="T7:T8"/>
    <mergeCell ref="U7:U8"/>
    <mergeCell ref="L6:Q6"/>
    <mergeCell ref="S6:Z6"/>
    <mergeCell ref="O7:O8"/>
    <mergeCell ref="N7:N8"/>
    <mergeCell ref="P7:P8"/>
  </mergeCells>
  <conditionalFormatting sqref="A9:A64 A174 A176:A178">
    <cfRule type="expression" dxfId="165" priority="5238">
      <formula>$AL9&gt;0</formula>
    </cfRule>
  </conditionalFormatting>
  <conditionalFormatting sqref="A9:A64 A176:A178 A174">
    <cfRule type="notContainsBlanks" dxfId="164" priority="5237">
      <formula>LEN(TRIM(A9))&gt;0</formula>
    </cfRule>
  </conditionalFormatting>
  <conditionalFormatting sqref="A16:A17">
    <cfRule type="notContainsBlanks" dxfId="163" priority="647">
      <formula>LEN(TRIM(A16))&gt;0</formula>
    </cfRule>
    <cfRule type="expression" dxfId="162" priority="648">
      <formula>$AL16&gt;0</formula>
    </cfRule>
  </conditionalFormatting>
  <conditionalFormatting sqref="A40:A42">
    <cfRule type="expression" dxfId="161" priority="1288">
      <formula>$AL40&gt;0</formula>
    </cfRule>
    <cfRule type="notContainsBlanks" dxfId="160" priority="1287">
      <formula>LEN(TRIM(A40))&gt;0</formula>
    </cfRule>
  </conditionalFormatting>
  <conditionalFormatting sqref="A65:A85">
    <cfRule type="notContainsBlanks" dxfId="159" priority="35">
      <formula>LEN(TRIM(A65))&gt;0</formula>
    </cfRule>
    <cfRule type="expression" dxfId="158" priority="36">
      <formula>$AL65&gt;0</formula>
    </cfRule>
  </conditionalFormatting>
  <conditionalFormatting sqref="A86:A124">
    <cfRule type="notContainsBlanks" dxfId="157" priority="4435">
      <formula>LEN(TRIM(A86))&gt;0</formula>
    </cfRule>
    <cfRule type="expression" dxfId="156" priority="4436">
      <formula>$AL86&gt;0</formula>
    </cfRule>
  </conditionalFormatting>
  <conditionalFormatting sqref="A117:A124">
    <cfRule type="expression" dxfId="155" priority="665">
      <formula>$AL117&gt;0</formula>
    </cfRule>
    <cfRule type="notContainsBlanks" dxfId="154" priority="664">
      <formula>LEN(TRIM(A117))&gt;0</formula>
    </cfRule>
  </conditionalFormatting>
  <conditionalFormatting sqref="A117:A126">
    <cfRule type="expression" dxfId="153" priority="653">
      <formula>$AL117&gt;0</formula>
    </cfRule>
    <cfRule type="notContainsBlanks" dxfId="152" priority="652">
      <formula>LEN(TRIM(A117))&gt;0</formula>
    </cfRule>
  </conditionalFormatting>
  <conditionalFormatting sqref="A127:A139 A141:A148">
    <cfRule type="expression" dxfId="151" priority="1307">
      <formula>$AL127&gt;0</formula>
    </cfRule>
  </conditionalFormatting>
  <conditionalFormatting sqref="A131:A134">
    <cfRule type="notContainsBlanks" dxfId="150" priority="1276">
      <formula>LEN(TRIM(A131))&gt;0</formula>
    </cfRule>
    <cfRule type="expression" dxfId="149" priority="1277">
      <formula>$AL131&gt;0</formula>
    </cfRule>
  </conditionalFormatting>
  <conditionalFormatting sqref="A131:A139">
    <cfRule type="expression" dxfId="148" priority="1279">
      <formula>$AL131&gt;0</formula>
    </cfRule>
    <cfRule type="notContainsBlanks" dxfId="147" priority="1278">
      <formula>LEN(TRIM(A131))&gt;0</formula>
    </cfRule>
  </conditionalFormatting>
  <conditionalFormatting sqref="A132:A134">
    <cfRule type="expression" dxfId="146" priority="1268">
      <formula>$AL132&gt;0</formula>
    </cfRule>
    <cfRule type="notContainsBlanks" dxfId="145" priority="1265">
      <formula>LEN(TRIM(A132))&gt;0</formula>
    </cfRule>
    <cfRule type="notContainsBlanks" dxfId="144" priority="1267">
      <formula>LEN(TRIM(A132))&gt;0</formula>
    </cfRule>
    <cfRule type="expression" dxfId="143" priority="1266">
      <formula>$AL132&gt;0</formula>
    </cfRule>
  </conditionalFormatting>
  <conditionalFormatting sqref="A133:A134">
    <cfRule type="expression" dxfId="142" priority="1255">
      <formula>$AL133&gt;0</formula>
    </cfRule>
    <cfRule type="notContainsBlanks" dxfId="141" priority="1254">
      <formula>LEN(TRIM(A133))&gt;0</formula>
    </cfRule>
    <cfRule type="notContainsBlanks" dxfId="140" priority="1256">
      <formula>LEN(TRIM(A133))&gt;0</formula>
    </cfRule>
    <cfRule type="expression" dxfId="139" priority="1257">
      <formula>$AL133&gt;0</formula>
    </cfRule>
  </conditionalFormatting>
  <conditionalFormatting sqref="A134">
    <cfRule type="notContainsBlanks" dxfId="138" priority="1243">
      <formula>LEN(TRIM(A134))&gt;0</formula>
    </cfRule>
    <cfRule type="expression" dxfId="137" priority="1244">
      <formula>$AL134&gt;0</formula>
    </cfRule>
    <cfRule type="notContainsBlanks" dxfId="136" priority="1245">
      <formula>LEN(TRIM(A134))&gt;0</formula>
    </cfRule>
    <cfRule type="expression" dxfId="135" priority="1246">
      <formula>$AL134&gt;0</formula>
    </cfRule>
  </conditionalFormatting>
  <conditionalFormatting sqref="A136:A139 A141:A146">
    <cfRule type="notContainsBlanks" dxfId="134" priority="1233">
      <formula>LEN(TRIM(A136))&gt;0</formula>
    </cfRule>
    <cfRule type="expression" dxfId="133" priority="1234">
      <formula>$AL136&gt;0</formula>
    </cfRule>
    <cfRule type="notContainsBlanks" dxfId="132" priority="1235">
      <formula>LEN(TRIM(A136))&gt;0</formula>
    </cfRule>
    <cfRule type="expression" dxfId="131" priority="1236">
      <formula>$AL136&gt;0</formula>
    </cfRule>
  </conditionalFormatting>
  <conditionalFormatting sqref="A137">
    <cfRule type="expression" dxfId="130" priority="1201">
      <formula>$AL137&gt;0</formula>
    </cfRule>
    <cfRule type="notContainsBlanks" dxfId="129" priority="1200">
      <formula>LEN(TRIM(A137))&gt;0</formula>
    </cfRule>
  </conditionalFormatting>
  <conditionalFormatting sqref="A137:A138">
    <cfRule type="notContainsBlanks" dxfId="128" priority="1202">
      <formula>LEN(TRIM(A137))&gt;0</formula>
    </cfRule>
    <cfRule type="expression" dxfId="127" priority="1203">
      <formula>$AL137&gt;0</formula>
    </cfRule>
  </conditionalFormatting>
  <conditionalFormatting sqref="A138:A139">
    <cfRule type="notContainsBlanks" dxfId="126" priority="1213">
      <formula>LEN(TRIM(A138))&gt;0</formula>
    </cfRule>
    <cfRule type="expression" dxfId="125" priority="1214">
      <formula>$AL138&gt;0</formula>
    </cfRule>
  </conditionalFormatting>
  <conditionalFormatting sqref="A139 A141:A146">
    <cfRule type="expression" dxfId="124" priority="1225">
      <formula>$AL139&gt;0</formula>
    </cfRule>
  </conditionalFormatting>
  <conditionalFormatting sqref="A140">
    <cfRule type="notContainsBlanks" dxfId="123" priority="83">
      <formula>LEN(TRIM(A140))&gt;0</formula>
    </cfRule>
    <cfRule type="expression" dxfId="122" priority="84">
      <formula>$AL140&gt;0</formula>
    </cfRule>
    <cfRule type="notContainsBlanks" dxfId="121" priority="85">
      <formula>LEN(TRIM(A140))&gt;0</formula>
    </cfRule>
    <cfRule type="expression" dxfId="120" priority="86">
      <formula>$AL140&gt;0</formula>
    </cfRule>
    <cfRule type="notContainsBlanks" dxfId="119" priority="87">
      <formula>LEN(TRIM(A140))&gt;0</formula>
    </cfRule>
    <cfRule type="expression" dxfId="118" priority="88">
      <formula>$AL140&gt;0</formula>
    </cfRule>
    <cfRule type="notContainsBlanks" dxfId="117" priority="81">
      <formula>LEN(TRIM(A140))&gt;0</formula>
    </cfRule>
    <cfRule type="expression" dxfId="116" priority="82">
      <formula>$AL140&gt;0</formula>
    </cfRule>
  </conditionalFormatting>
  <conditionalFormatting sqref="A141:A146 A139">
    <cfRule type="notContainsBlanks" dxfId="115" priority="1224">
      <formula>LEN(TRIM(A139))&gt;0</formula>
    </cfRule>
  </conditionalFormatting>
  <conditionalFormatting sqref="A141:A146">
    <cfRule type="expression" dxfId="114" priority="1181">
      <formula>$AL141&gt;0</formula>
    </cfRule>
    <cfRule type="notContainsBlanks" dxfId="113" priority="1180">
      <formula>LEN(TRIM(A141))&gt;0</formula>
    </cfRule>
    <cfRule type="expression" dxfId="112" priority="1179">
      <formula>$AL141&gt;0</formula>
    </cfRule>
    <cfRule type="notContainsBlanks" dxfId="111" priority="1178">
      <formula>LEN(TRIM(A141))&gt;0</formula>
    </cfRule>
    <cfRule type="expression" dxfId="110" priority="1223">
      <formula>$AL141&gt;0</formula>
    </cfRule>
    <cfRule type="notContainsBlanks" dxfId="109" priority="1222">
      <formula>LEN(TRIM(A141))&gt;0</formula>
    </cfRule>
    <cfRule type="notContainsBlanks" dxfId="108" priority="1304">
      <formula>LEN(TRIM(A141))&gt;0</formula>
    </cfRule>
    <cfRule type="expression" dxfId="107" priority="1305">
      <formula>$AL141&gt;0</formula>
    </cfRule>
    <cfRule type="expression" dxfId="106" priority="1192">
      <formula>$AL141&gt;0</formula>
    </cfRule>
    <cfRule type="notContainsBlanks" dxfId="105" priority="1191">
      <formula>LEN(TRIM(A141))&gt;0</formula>
    </cfRule>
    <cfRule type="expression" dxfId="104" priority="1190">
      <formula>$AL141&gt;0</formula>
    </cfRule>
    <cfRule type="notContainsBlanks" dxfId="103" priority="1189">
      <formula>LEN(TRIM(A141))&gt;0</formula>
    </cfRule>
  </conditionalFormatting>
  <conditionalFormatting sqref="A141:A148 A127:A139">
    <cfRule type="notContainsBlanks" dxfId="102" priority="1306">
      <formula>LEN(TRIM(A127))&gt;0</formula>
    </cfRule>
  </conditionalFormatting>
  <conditionalFormatting sqref="A146">
    <cfRule type="expression" dxfId="101" priority="1168">
      <formula>$AL146&gt;0</formula>
    </cfRule>
    <cfRule type="expression" dxfId="100" priority="1170">
      <formula>$AL146&gt;0</formula>
    </cfRule>
    <cfRule type="notContainsBlanks" dxfId="99" priority="1169">
      <formula>LEN(TRIM(A146))&gt;0</formula>
    </cfRule>
    <cfRule type="notContainsBlanks" dxfId="98" priority="1167">
      <formula>LEN(TRIM(A146))&gt;0</formula>
    </cfRule>
  </conditionalFormatting>
  <conditionalFormatting sqref="A147:A150">
    <cfRule type="notContainsBlanks" dxfId="97" priority="1949">
      <formula>LEN(TRIM(A147))&gt;0</formula>
    </cfRule>
    <cfRule type="expression" dxfId="96" priority="1950">
      <formula>$AL147&gt;0</formula>
    </cfRule>
  </conditionalFormatting>
  <conditionalFormatting sqref="A148">
    <cfRule type="notContainsBlanks" dxfId="95" priority="1156">
      <formula>LEN(TRIM(A148))&gt;0</formula>
    </cfRule>
    <cfRule type="expression" dxfId="94" priority="1157">
      <formula>$AL148&gt;0</formula>
    </cfRule>
    <cfRule type="notContainsBlanks" dxfId="93" priority="1158">
      <formula>LEN(TRIM(A148))&gt;0</formula>
    </cfRule>
    <cfRule type="expression" dxfId="92" priority="1159">
      <formula>$AL148&gt;0</formula>
    </cfRule>
  </conditionalFormatting>
  <conditionalFormatting sqref="A150">
    <cfRule type="notContainsBlanks" dxfId="91" priority="1947">
      <formula>LEN(TRIM(A150))&gt;0</formula>
    </cfRule>
    <cfRule type="expression" dxfId="90" priority="1948">
      <formula>$AL150&gt;0</formula>
    </cfRule>
    <cfRule type="notContainsBlanks" dxfId="89" priority="1147">
      <formula>LEN(TRIM(A150))&gt;0</formula>
    </cfRule>
    <cfRule type="expression" dxfId="88" priority="1148">
      <formula>$AL150&gt;0</formula>
    </cfRule>
  </conditionalFormatting>
  <conditionalFormatting sqref="A150:A172">
    <cfRule type="notContainsBlanks" dxfId="87" priority="670">
      <formula>LEN(TRIM(A150))&gt;0</formula>
    </cfRule>
    <cfRule type="expression" dxfId="86" priority="671">
      <formula>$AL150&gt;0</formula>
    </cfRule>
  </conditionalFormatting>
  <conditionalFormatting sqref="A151">
    <cfRule type="notContainsBlanks" dxfId="85" priority="666">
      <formula>LEN(TRIM(A151))&gt;0</formula>
    </cfRule>
    <cfRule type="notContainsBlanks" dxfId="84" priority="668">
      <formula>LEN(TRIM(A151))&gt;0</formula>
    </cfRule>
    <cfRule type="expression" dxfId="83" priority="669">
      <formula>$AL151&gt;0</formula>
    </cfRule>
    <cfRule type="expression" dxfId="82" priority="667">
      <formula>$AL151&gt;0</formula>
    </cfRule>
  </conditionalFormatting>
  <conditionalFormatting sqref="A173:A178">
    <cfRule type="expression" dxfId="81" priority="80">
      <formula>$AL173&gt;0</formula>
    </cfRule>
    <cfRule type="notContainsBlanks" dxfId="80" priority="79">
      <formula>LEN(TRIM(A173))&gt;0</formula>
    </cfRule>
  </conditionalFormatting>
  <conditionalFormatting sqref="A175">
    <cfRule type="notContainsBlanks" dxfId="79" priority="77">
      <formula>LEN(TRIM(A175))&gt;0</formula>
    </cfRule>
    <cfRule type="expression" dxfId="78" priority="76">
      <formula>$AL175&gt;0</formula>
    </cfRule>
    <cfRule type="notContainsBlanks" dxfId="77" priority="75">
      <formula>LEN(TRIM(A175))&gt;0</formula>
    </cfRule>
    <cfRule type="expression" dxfId="76" priority="78">
      <formula>$AL175&gt;0</formula>
    </cfRule>
  </conditionalFormatting>
  <conditionalFormatting sqref="A176:A178 A180">
    <cfRule type="notContainsBlanks" dxfId="75" priority="1080">
      <formula>LEN(TRIM(A176))&gt;0</formula>
    </cfRule>
    <cfRule type="expression" dxfId="74" priority="1081">
      <formula>$AL176&gt;0</formula>
    </cfRule>
  </conditionalFormatting>
  <conditionalFormatting sqref="A179">
    <cfRule type="notContainsBlanks" dxfId="73" priority="3">
      <formula>LEN(TRIM(A179))&gt;0</formula>
    </cfRule>
    <cfRule type="expression" dxfId="72" priority="4">
      <formula>$AL179&gt;0</formula>
    </cfRule>
    <cfRule type="notContainsBlanks" dxfId="71" priority="1">
      <formula>LEN(TRIM(A179))&gt;0</formula>
    </cfRule>
    <cfRule type="expression" dxfId="70" priority="2">
      <formula>$AL179&gt;0</formula>
    </cfRule>
  </conditionalFormatting>
  <conditionalFormatting sqref="A179:A180">
    <cfRule type="expression" dxfId="69" priority="6">
      <formula>$AL179&gt;0</formula>
    </cfRule>
    <cfRule type="notContainsBlanks" dxfId="68" priority="5">
      <formula>LEN(TRIM(A179))&gt;0</formula>
    </cfRule>
  </conditionalFormatting>
  <conditionalFormatting sqref="A180:A184">
    <cfRule type="notContainsBlanks" dxfId="67" priority="1927">
      <formula>LEN(TRIM(A180))&gt;0</formula>
    </cfRule>
    <cfRule type="expression" dxfId="66" priority="1928">
      <formula>$AL180&gt;0</formula>
    </cfRule>
  </conditionalFormatting>
  <conditionalFormatting sqref="A185">
    <cfRule type="expression" dxfId="65" priority="675">
      <formula>$AL185&gt;0</formula>
    </cfRule>
    <cfRule type="notContainsBlanks" dxfId="64" priority="674">
      <formula>LEN(TRIM(A185))&gt;0</formula>
    </cfRule>
    <cfRule type="expression" dxfId="63" priority="673">
      <formula>$AL185&gt;0</formula>
    </cfRule>
    <cfRule type="notContainsBlanks" dxfId="62" priority="672">
      <formula>LEN(TRIM(A185))&gt;0</formula>
    </cfRule>
  </conditionalFormatting>
  <conditionalFormatting sqref="A185:A194">
    <cfRule type="notContainsBlanks" dxfId="61" priority="676">
      <formula>LEN(TRIM(A185))&gt;0</formula>
    </cfRule>
    <cfRule type="expression" dxfId="60" priority="677">
      <formula>$AL185&gt;0</formula>
    </cfRule>
  </conditionalFormatting>
  <conditionalFormatting sqref="B6:C7 H8:I8">
    <cfRule type="expression" dxfId="59" priority="5540" stopIfTrue="1">
      <formula>#REF!&lt;0</formula>
    </cfRule>
    <cfRule type="expression" dxfId="58" priority="5539" stopIfTrue="1">
      <formula>#REF!&gt;0</formula>
    </cfRule>
    <cfRule type="expression" dxfId="57" priority="5538" stopIfTrue="1">
      <formula>#REF!&lt;0</formula>
    </cfRule>
    <cfRule type="expression" dxfId="56" priority="5541" stopIfTrue="1">
      <formula>#REF!&gt;0</formula>
    </cfRule>
  </conditionalFormatting>
  <conditionalFormatting sqref="G7 L7:O7">
    <cfRule type="expression" dxfId="55" priority="5412" stopIfTrue="1">
      <formula>#REF!&gt;0</formula>
    </cfRule>
    <cfRule type="expression" dxfId="54" priority="5414" stopIfTrue="1">
      <formula>#REF!&gt;0</formula>
    </cfRule>
    <cfRule type="expression" dxfId="53" priority="5413" stopIfTrue="1">
      <formula>#REF!&lt;0</formula>
    </cfRule>
    <cfRule type="expression" dxfId="52" priority="5411" stopIfTrue="1">
      <formula>#REF!&lt;0</formula>
    </cfRule>
  </conditionalFormatting>
  <conditionalFormatting sqref="L6 D7:F7 H7 J7 U7:X7 Z7:Z8 D8 V8:X8">
    <cfRule type="expression" dxfId="51" priority="5716" stopIfTrue="1">
      <formula>#REF!&lt;0</formula>
    </cfRule>
    <cfRule type="expression" dxfId="50" priority="5715" stopIfTrue="1">
      <formula>#REF!&gt;0</formula>
    </cfRule>
    <cfRule type="expression" dxfId="49" priority="5714" stopIfTrue="1">
      <formula>#REF!&lt;0</formula>
    </cfRule>
    <cfRule type="expression" dxfId="48" priority="5717" stopIfTrue="1">
      <formula>#REF!&gt;0</formula>
    </cfRule>
  </conditionalFormatting>
  <conditionalFormatting sqref="L139:L146 N139:O146">
    <cfRule type="expression" dxfId="47" priority="457">
      <formula>$Q139="NPT"</formula>
    </cfRule>
  </conditionalFormatting>
  <conditionalFormatting sqref="L148 N148:O148 Q148">
    <cfRule type="expression" dxfId="46" priority="1165">
      <formula>$Q148="NPT"</formula>
    </cfRule>
  </conditionalFormatting>
  <conditionalFormatting sqref="L11:M58 O16:O17 Q16:Q17">
    <cfRule type="expression" dxfId="45" priority="649">
      <formula>$Q11="NPT"</formula>
    </cfRule>
  </conditionalFormatting>
  <conditionalFormatting sqref="L77:M109">
    <cfRule type="expression" dxfId="44" priority="15">
      <formula>$Q77="NPT"</formula>
    </cfRule>
  </conditionalFormatting>
  <conditionalFormatting sqref="L113:O138">
    <cfRule type="expression" dxfId="43" priority="11">
      <formula>$Q113="NPT"</formula>
    </cfRule>
  </conditionalFormatting>
  <conditionalFormatting sqref="L140:O140">
    <cfRule type="expression" dxfId="42" priority="1188">
      <formula>$Q140="NPT"</formula>
    </cfRule>
  </conditionalFormatting>
  <conditionalFormatting sqref="L144:O154">
    <cfRule type="expression" dxfId="41" priority="1144">
      <formula>$Q144="NPT"</formula>
    </cfRule>
  </conditionalFormatting>
  <conditionalFormatting sqref="L9:Q10 O12:Q58 L59:Q64 Q107:Q112 Q116:Q124 Q127:Q134 Q147:Q149 Q151:Q172 Q174:Q189 O190:Q191 L192:Q387 N107:O109 P107:P189 L110:O111 L112:M112 O127:O134">
    <cfRule type="expression" dxfId="40" priority="5601">
      <formula>$Q9="NPT"</formula>
    </cfRule>
  </conditionalFormatting>
  <conditionalFormatting sqref="L65:Q76">
    <cfRule type="expression" dxfId="39" priority="39">
      <formula>$Q65="NPT"</formula>
    </cfRule>
  </conditionalFormatting>
  <conditionalFormatting sqref="M136:M139">
    <cfRule type="expression" dxfId="38" priority="10">
      <formula>$Q136="NPT"</formula>
    </cfRule>
  </conditionalFormatting>
  <conditionalFormatting sqref="M141:M148">
    <cfRule type="expression" dxfId="37" priority="7">
      <formula>$Q141="NPT"</formula>
    </cfRule>
  </conditionalFormatting>
  <conditionalFormatting sqref="M175">
    <cfRule type="expression" dxfId="36" priority="1111">
      <formula>$Q175="NPT"</formula>
    </cfRule>
  </conditionalFormatting>
  <conditionalFormatting sqref="N77:Q106">
    <cfRule type="expression" dxfId="35" priority="37">
      <formula>$Q77="NPT"</formula>
    </cfRule>
  </conditionalFormatting>
  <conditionalFormatting sqref="O40:O42 Q40:Q42">
    <cfRule type="expression" dxfId="34" priority="1294">
      <formula>$Q40="NPT"</formula>
    </cfRule>
  </conditionalFormatting>
  <conditionalFormatting sqref="O112:O115">
    <cfRule type="expression" dxfId="33" priority="4438">
      <formula>$Q112="NPT"</formula>
    </cfRule>
  </conditionalFormatting>
  <conditionalFormatting sqref="Q10:Q64 Q110:Q124 Q174:Q387 Q127:Q172">
    <cfRule type="cellIs" dxfId="32" priority="5600" operator="equal">
      <formula>0</formula>
    </cfRule>
  </conditionalFormatting>
  <conditionalFormatting sqref="Q11">
    <cfRule type="expression" dxfId="31" priority="5283">
      <formula>$Q11="NPT"</formula>
    </cfRule>
  </conditionalFormatting>
  <conditionalFormatting sqref="Q65:Q109">
    <cfRule type="cellIs" dxfId="30" priority="25" operator="equal">
      <formula>0</formula>
    </cfRule>
  </conditionalFormatting>
  <conditionalFormatting sqref="Q113:Q115">
    <cfRule type="expression" dxfId="29" priority="4437">
      <formula>$Q113="NPT"</formula>
    </cfRule>
  </conditionalFormatting>
  <conditionalFormatting sqref="Q125:Q126">
    <cfRule type="cellIs" dxfId="28" priority="658" operator="equal">
      <formula>0</formula>
    </cfRule>
    <cfRule type="expression" dxfId="27" priority="659">
      <formula>$Q125="NPT"</formula>
    </cfRule>
  </conditionalFormatting>
  <conditionalFormatting sqref="Q131:Q146">
    <cfRule type="expression" dxfId="26" priority="1176">
      <formula>$Q131="NPT"</formula>
    </cfRule>
  </conditionalFormatting>
  <conditionalFormatting sqref="Q150">
    <cfRule type="expression" dxfId="25" priority="1154">
      <formula>$Q150="NPT"</formula>
    </cfRule>
  </conditionalFormatting>
  <conditionalFormatting sqref="Q173">
    <cfRule type="cellIs" dxfId="24" priority="187" operator="equal">
      <formula>0</formula>
    </cfRule>
  </conditionalFormatting>
  <conditionalFormatting sqref="Q173:Q180 O152:O189 L155:M194">
    <cfRule type="expression" dxfId="23" priority="188">
      <formula>$Q152="NPT"</formula>
    </cfRule>
  </conditionalFormatting>
  <conditionalFormatting sqref="Q192:Q194">
    <cfRule type="expression" dxfId="22" priority="2022">
      <formula>$Q192="NPT"</formula>
    </cfRule>
  </conditionalFormatting>
  <conditionalFormatting sqref="V12:V194">
    <cfRule type="cellIs" dxfId="21" priority="23" stopIfTrue="1" operator="lessThan">
      <formula>0</formula>
    </cfRule>
    <cfRule type="cellIs" dxfId="20" priority="24" stopIfTrue="1" operator="lessThan">
      <formula>0</formula>
    </cfRule>
  </conditionalFormatting>
  <conditionalFormatting sqref="W12:W194">
    <cfRule type="expression" dxfId="19" priority="21" stopIfTrue="1">
      <formula>"E23-K23&lt;0"</formula>
    </cfRule>
    <cfRule type="expression" dxfId="18" priority="22" stopIfTrue="1">
      <formula>"E23-K23&lt;0"</formula>
    </cfRule>
  </conditionalFormatting>
  <printOptions horizontalCentered="1"/>
  <pageMargins left="0.11811023622047245" right="0.11811023622047245" top="0.43307086614173229" bottom="0.31496062992125984" header="0.51181102362204722" footer="0.51181102362204722"/>
  <pageSetup paperSize="9" scale="40" firstPageNumber="0" fitToHeight="0" orientation="landscape" r:id="rId1"/>
  <headerFooter alignWithMargins="0"/>
  <ignoredErrors>
    <ignoredError sqref="Q193 Q184:Q186 Q12:Q64 Q66 Q68 Q110 Q112:Q113 Q116:Q117 Q125:Q141 Q146:Q157 Q161 Q169:Q175 Q180" unlockedFormula="1"/>
    <ignoredError sqref="Q191" evalError="1" unlockedFormula="1"/>
    <ignoredError sqref="G192:I194 C14"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CFFFF"/>
    <pageSetUpPr fitToPage="1"/>
  </sheetPr>
  <dimension ref="A1:EE277"/>
  <sheetViews>
    <sheetView topLeftCell="G24" zoomScale="70" zoomScaleNormal="70" workbookViewId="0">
      <selection activeCell="BN37" sqref="BN37"/>
    </sheetView>
  </sheetViews>
  <sheetFormatPr defaultColWidth="8.88671875" defaultRowHeight="13.2"/>
  <cols>
    <col min="1" max="1" width="4.33203125" style="139" hidden="1" customWidth="1"/>
    <col min="2" max="6" width="7.109375" style="139" hidden="1" customWidth="1"/>
    <col min="7" max="7" width="1" style="139" customWidth="1"/>
    <col min="8" max="8" width="0.88671875" style="139" customWidth="1"/>
    <col min="9" max="15" width="1.33203125" style="139" customWidth="1"/>
    <col min="16" max="16" width="3" style="139" customWidth="1"/>
    <col min="17" max="17" width="6" style="139" customWidth="1"/>
    <col min="18" max="19" width="3" style="139" customWidth="1"/>
    <col min="20" max="20" width="1.33203125" style="139" hidden="1" customWidth="1"/>
    <col min="21" max="26" width="1.33203125" style="139" customWidth="1"/>
    <col min="27" max="29" width="3" style="139" customWidth="1"/>
    <col min="30" max="30" width="8.5546875" style="139" customWidth="1"/>
    <col min="31" max="31" width="0.88671875" style="139" customWidth="1"/>
    <col min="32" max="32" width="1" style="139" customWidth="1"/>
    <col min="33" max="34" width="4" style="139" customWidth="1"/>
    <col min="35" max="35" width="1" style="139" customWidth="1"/>
    <col min="36" max="37" width="2.88671875" style="139" customWidth="1"/>
    <col min="38" max="38" width="1" style="139" customWidth="1"/>
    <col min="39" max="39" width="4" style="139" customWidth="1"/>
    <col min="40" max="40" width="5.5546875" style="139" customWidth="1"/>
    <col min="41" max="41" width="2.44140625" style="139" customWidth="1"/>
    <col min="42" max="46" width="5.5546875" style="139" customWidth="1"/>
    <col min="47" max="55" width="6.109375" style="139" customWidth="1"/>
    <col min="56" max="63" width="4.6640625" style="139" customWidth="1"/>
    <col min="64" max="64" width="4" style="139" customWidth="1"/>
    <col min="65" max="65" width="8.88671875" style="139"/>
    <col min="66" max="70" width="2.6640625" style="139" customWidth="1"/>
    <col min="71" max="73" width="8.88671875" style="139"/>
    <col min="74" max="74" width="10.109375" style="139" bestFit="1" customWidth="1"/>
    <col min="75" max="75" width="16.109375" style="139" customWidth="1"/>
    <col min="76" max="76" width="5.33203125" style="139" customWidth="1"/>
    <col min="77" max="78" width="8.88671875" style="139"/>
    <col min="79" max="79" width="10.109375" style="139" bestFit="1" customWidth="1"/>
    <col min="80" max="80" width="16.109375" style="139" customWidth="1"/>
    <col min="81" max="89" width="8.88671875" style="139"/>
    <col min="90" max="90" width="13.5546875" style="139" customWidth="1"/>
    <col min="91" max="94" width="5.44140625" style="139" customWidth="1"/>
    <col min="95" max="95" width="10.44140625" style="139" customWidth="1"/>
    <col min="96" max="100" width="8.88671875" style="139"/>
    <col min="101" max="101" width="13.44140625" style="139" customWidth="1"/>
    <col min="102" max="107" width="8.88671875" style="139"/>
    <col min="108" max="110" width="4.6640625" style="139" customWidth="1"/>
    <col min="111" max="111" width="56.109375" style="139" customWidth="1"/>
    <col min="112" max="16384" width="8.88671875" style="139"/>
  </cols>
  <sheetData>
    <row r="1" spans="1:73" ht="3.9" customHeight="1">
      <c r="A1" s="746" t="s">
        <v>224</v>
      </c>
      <c r="B1" s="746"/>
      <c r="C1" s="746"/>
      <c r="D1" s="138"/>
      <c r="E1" s="138"/>
      <c r="F1" s="138"/>
      <c r="G1" s="368"/>
      <c r="H1" s="282"/>
      <c r="I1" s="282"/>
      <c r="J1" s="283"/>
      <c r="K1" s="283"/>
      <c r="L1" s="282"/>
      <c r="M1" s="282"/>
      <c r="N1" s="282"/>
      <c r="O1" s="282"/>
      <c r="P1" s="282"/>
      <c r="Q1" s="282"/>
      <c r="R1" s="282"/>
      <c r="S1" s="282"/>
      <c r="T1" s="282"/>
      <c r="U1" s="283"/>
      <c r="V1" s="283"/>
      <c r="W1" s="282"/>
      <c r="X1" s="282"/>
      <c r="Y1" s="282"/>
      <c r="Z1" s="282"/>
      <c r="AA1" s="282"/>
      <c r="AB1" s="282"/>
      <c r="AC1" s="282"/>
      <c r="AD1" s="282"/>
      <c r="AE1" s="282"/>
      <c r="AF1" s="282"/>
      <c r="AG1" s="282"/>
      <c r="AH1" s="282"/>
      <c r="AI1" s="282"/>
      <c r="AJ1" s="282"/>
      <c r="AK1" s="282"/>
      <c r="AL1" s="282"/>
      <c r="AM1" s="282"/>
      <c r="AN1" s="282"/>
      <c r="AO1" s="282"/>
      <c r="AP1" s="282"/>
      <c r="AQ1" s="282"/>
      <c r="AR1" s="282"/>
      <c r="AS1" s="282"/>
      <c r="AT1" s="282"/>
      <c r="AU1" s="282"/>
      <c r="AV1" s="282"/>
      <c r="AW1" s="282"/>
      <c r="AX1" s="282"/>
      <c r="AY1" s="282"/>
      <c r="AZ1" s="282"/>
      <c r="BA1" s="282"/>
      <c r="BB1" s="282"/>
      <c r="BC1" s="282"/>
      <c r="BD1" s="282"/>
      <c r="BE1" s="282"/>
      <c r="BF1" s="282"/>
      <c r="BG1" s="282"/>
      <c r="BH1" s="282"/>
      <c r="BI1" s="282"/>
      <c r="BJ1" s="282"/>
      <c r="BK1" s="282"/>
      <c r="BL1" s="282"/>
      <c r="BM1" s="375"/>
      <c r="BN1" s="376"/>
      <c r="BO1" s="376"/>
      <c r="BP1" s="376"/>
      <c r="BQ1" s="376"/>
      <c r="BR1" s="376"/>
      <c r="BS1" s="375"/>
      <c r="BT1" s="375"/>
      <c r="BU1" s="377"/>
    </row>
    <row r="2" spans="1:73" ht="22.5" customHeight="1">
      <c r="G2" s="371"/>
      <c r="H2" s="777" t="str">
        <f>"WORKOVER TIME CHART  WELL "&amp;'1_INPUT'!$E$14&amp;""</f>
        <v>WORKOVER TIME CHART  WELL SPA-034</v>
      </c>
      <c r="I2" s="778"/>
      <c r="J2" s="778"/>
      <c r="K2" s="778"/>
      <c r="L2" s="778"/>
      <c r="M2" s="778"/>
      <c r="N2" s="778"/>
      <c r="O2" s="778"/>
      <c r="P2" s="778"/>
      <c r="Q2" s="778"/>
      <c r="R2" s="778"/>
      <c r="S2" s="778"/>
      <c r="T2" s="778"/>
      <c r="U2" s="778"/>
      <c r="V2" s="778"/>
      <c r="W2" s="778"/>
      <c r="X2" s="778"/>
      <c r="Y2" s="778"/>
      <c r="Z2" s="778"/>
      <c r="AA2" s="778"/>
      <c r="AB2" s="778"/>
      <c r="AC2" s="778"/>
      <c r="AD2" s="778"/>
      <c r="AE2" s="778"/>
      <c r="AF2" s="778"/>
      <c r="AG2" s="778"/>
      <c r="AH2" s="778"/>
      <c r="AI2" s="778"/>
      <c r="AJ2" s="778"/>
      <c r="AK2" s="778"/>
      <c r="AL2" s="778"/>
      <c r="AM2" s="778"/>
      <c r="AN2" s="778"/>
      <c r="AO2" s="778"/>
      <c r="AP2" s="778"/>
      <c r="AQ2" s="778"/>
      <c r="AR2" s="778"/>
      <c r="AS2" s="778"/>
      <c r="AT2" s="778"/>
      <c r="AU2" s="778"/>
      <c r="AV2" s="778"/>
      <c r="AW2" s="778"/>
      <c r="AX2" s="778"/>
      <c r="AY2" s="778"/>
      <c r="AZ2" s="778"/>
      <c r="BA2" s="778"/>
      <c r="BB2" s="778"/>
      <c r="BC2" s="778"/>
      <c r="BD2" s="778"/>
      <c r="BE2" s="778"/>
      <c r="BF2" s="778"/>
      <c r="BG2" s="778"/>
      <c r="BH2" s="778"/>
      <c r="BI2" s="778"/>
      <c r="BJ2" s="778"/>
      <c r="BK2" s="778"/>
      <c r="BL2" s="779"/>
      <c r="BM2" s="378"/>
      <c r="BN2" s="379"/>
      <c r="BO2" s="379"/>
      <c r="BP2" s="379"/>
      <c r="BQ2" s="379"/>
      <c r="BR2" s="379"/>
      <c r="BS2" s="380"/>
      <c r="BT2" s="380"/>
      <c r="BU2" s="381"/>
    </row>
    <row r="3" spans="1:73" ht="37.200000000000003" customHeight="1">
      <c r="B3" s="140"/>
      <c r="G3" s="371"/>
      <c r="H3" s="780"/>
      <c r="I3" s="781"/>
      <c r="J3" s="781"/>
      <c r="K3" s="781"/>
      <c r="L3" s="781"/>
      <c r="M3" s="781"/>
      <c r="N3" s="781"/>
      <c r="O3" s="781"/>
      <c r="P3" s="781"/>
      <c r="Q3" s="781"/>
      <c r="R3" s="781"/>
      <c r="S3" s="781"/>
      <c r="T3" s="781"/>
      <c r="U3" s="781"/>
      <c r="V3" s="781"/>
      <c r="W3" s="781"/>
      <c r="X3" s="781"/>
      <c r="Y3" s="781"/>
      <c r="Z3" s="781"/>
      <c r="AA3" s="781"/>
      <c r="AB3" s="781"/>
      <c r="AC3" s="781"/>
      <c r="AD3" s="781"/>
      <c r="AE3" s="781"/>
      <c r="AF3" s="781"/>
      <c r="AG3" s="781"/>
      <c r="AH3" s="781"/>
      <c r="AI3" s="781"/>
      <c r="AJ3" s="781"/>
      <c r="AK3" s="781"/>
      <c r="AL3" s="781"/>
      <c r="AM3" s="781"/>
      <c r="AN3" s="781"/>
      <c r="AO3" s="781"/>
      <c r="AP3" s="781"/>
      <c r="AQ3" s="781"/>
      <c r="AR3" s="781"/>
      <c r="AS3" s="781"/>
      <c r="AT3" s="781"/>
      <c r="AU3" s="781"/>
      <c r="AV3" s="781"/>
      <c r="AW3" s="781"/>
      <c r="AX3" s="781"/>
      <c r="AY3" s="781"/>
      <c r="AZ3" s="781"/>
      <c r="BA3" s="781"/>
      <c r="BB3" s="781"/>
      <c r="BC3" s="781"/>
      <c r="BD3" s="781"/>
      <c r="BE3" s="781"/>
      <c r="BF3" s="781"/>
      <c r="BG3" s="781"/>
      <c r="BH3" s="781"/>
      <c r="BI3" s="781"/>
      <c r="BJ3" s="781"/>
      <c r="BK3" s="781"/>
      <c r="BL3" s="782"/>
      <c r="BM3" s="378"/>
      <c r="BN3" s="379"/>
      <c r="BO3" s="379"/>
      <c r="BP3" s="379"/>
      <c r="BQ3" s="379"/>
      <c r="BR3" s="379"/>
      <c r="BS3" s="380"/>
      <c r="BT3" s="380"/>
      <c r="BU3" s="381"/>
    </row>
    <row r="4" spans="1:73" ht="9.9" customHeight="1">
      <c r="B4" s="741" t="s">
        <v>278</v>
      </c>
      <c r="C4" s="738" t="s">
        <v>47</v>
      </c>
      <c r="D4" s="739"/>
      <c r="E4" s="738" t="s">
        <v>48</v>
      </c>
      <c r="F4" s="740"/>
      <c r="G4" s="371"/>
      <c r="H4" s="783"/>
      <c r="I4" s="784"/>
      <c r="J4" s="784"/>
      <c r="K4" s="784"/>
      <c r="L4" s="784"/>
      <c r="M4" s="784"/>
      <c r="N4" s="784"/>
      <c r="O4" s="784"/>
      <c r="P4" s="784"/>
      <c r="Q4" s="784"/>
      <c r="R4" s="784"/>
      <c r="S4" s="784"/>
      <c r="T4" s="784"/>
      <c r="U4" s="784"/>
      <c r="V4" s="784"/>
      <c r="W4" s="784"/>
      <c r="X4" s="784"/>
      <c r="Y4" s="784"/>
      <c r="Z4" s="784"/>
      <c r="AA4" s="784"/>
      <c r="AB4" s="784"/>
      <c r="AC4" s="784"/>
      <c r="AD4" s="784"/>
      <c r="AE4" s="784"/>
      <c r="AF4" s="784"/>
      <c r="AG4" s="784"/>
      <c r="AH4" s="784"/>
      <c r="AI4" s="784"/>
      <c r="AJ4" s="784"/>
      <c r="AK4" s="784"/>
      <c r="AL4" s="784"/>
      <c r="AM4" s="784"/>
      <c r="AN4" s="784"/>
      <c r="AO4" s="784"/>
      <c r="AP4" s="784"/>
      <c r="AQ4" s="784"/>
      <c r="AR4" s="784"/>
      <c r="AS4" s="784"/>
      <c r="AT4" s="784"/>
      <c r="AU4" s="784"/>
      <c r="AV4" s="784"/>
      <c r="AW4" s="784"/>
      <c r="AX4" s="784"/>
      <c r="AY4" s="784"/>
      <c r="AZ4" s="784"/>
      <c r="BA4" s="784"/>
      <c r="BB4" s="784"/>
      <c r="BC4" s="784"/>
      <c r="BD4" s="784"/>
      <c r="BE4" s="784"/>
      <c r="BF4" s="784"/>
      <c r="BG4" s="784"/>
      <c r="BH4" s="784"/>
      <c r="BI4" s="784"/>
      <c r="BJ4" s="784"/>
      <c r="BK4" s="784"/>
      <c r="BL4" s="785"/>
      <c r="BM4" s="378"/>
      <c r="BN4" s="379"/>
      <c r="BO4" s="379"/>
      <c r="BP4" s="379"/>
      <c r="BQ4" s="379"/>
      <c r="BR4" s="379"/>
      <c r="BS4" s="380"/>
      <c r="BT4" s="380"/>
      <c r="BU4" s="381"/>
    </row>
    <row r="5" spans="1:73" ht="14.4">
      <c r="B5" s="742"/>
      <c r="C5" s="189" t="s">
        <v>279</v>
      </c>
      <c r="D5" s="189" t="s">
        <v>280</v>
      </c>
      <c r="E5" s="189" t="s">
        <v>279</v>
      </c>
      <c r="F5" s="340" t="s">
        <v>280</v>
      </c>
      <c r="G5" s="371"/>
      <c r="H5" s="704" t="s">
        <v>574</v>
      </c>
      <c r="I5" s="705"/>
      <c r="J5" s="705"/>
      <c r="K5" s="705"/>
      <c r="L5" s="705"/>
      <c r="M5" s="705"/>
      <c r="N5" s="705"/>
      <c r="O5" s="705"/>
      <c r="P5" s="705"/>
      <c r="Q5" s="705"/>
      <c r="R5" s="705"/>
      <c r="S5" s="705"/>
      <c r="T5" s="705"/>
      <c r="U5" s="705"/>
      <c r="V5" s="705"/>
      <c r="W5" s="705"/>
      <c r="X5" s="705"/>
      <c r="Y5" s="705"/>
      <c r="Z5" s="705"/>
      <c r="AA5" s="705"/>
      <c r="AB5" s="705"/>
      <c r="AC5" s="705"/>
      <c r="AD5" s="705"/>
      <c r="AE5" s="706"/>
      <c r="AF5" s="747" t="s">
        <v>281</v>
      </c>
      <c r="AG5" s="747"/>
      <c r="AH5" s="747"/>
      <c r="AI5" s="747"/>
      <c r="AJ5" s="747"/>
      <c r="AK5" s="747"/>
      <c r="AL5" s="748"/>
      <c r="AM5" s="256"/>
      <c r="AN5" s="257"/>
      <c r="AO5" s="257"/>
      <c r="AP5" s="257"/>
      <c r="AQ5" s="257"/>
      <c r="AR5" s="257"/>
      <c r="AS5" s="257"/>
      <c r="AT5" s="257"/>
      <c r="AU5" s="257"/>
      <c r="AV5" s="257"/>
      <c r="AW5" s="257"/>
      <c r="AX5" s="257"/>
      <c r="AY5" s="257"/>
      <c r="AZ5" s="257"/>
      <c r="BA5" s="257"/>
      <c r="BB5" s="257"/>
      <c r="BC5" s="257"/>
      <c r="BD5" s="257"/>
      <c r="BE5" s="257"/>
      <c r="BF5" s="257"/>
      <c r="BG5" s="257"/>
      <c r="BH5" s="257"/>
      <c r="BI5" s="257"/>
      <c r="BJ5" s="257"/>
      <c r="BK5" s="257"/>
      <c r="BL5" s="258"/>
      <c r="BM5" s="378"/>
      <c r="BN5" s="379"/>
      <c r="BO5" s="379"/>
      <c r="BP5" s="379"/>
      <c r="BQ5" s="379"/>
      <c r="BR5" s="379"/>
      <c r="BS5" s="380"/>
      <c r="BT5" s="380"/>
      <c r="BU5" s="381"/>
    </row>
    <row r="6" spans="1:73" ht="4.5" customHeight="1">
      <c r="B6" s="141"/>
      <c r="C6" s="141"/>
      <c r="D6" s="141"/>
      <c r="E6" s="141"/>
      <c r="F6" s="386"/>
      <c r="G6" s="371"/>
      <c r="H6" s="260"/>
      <c r="I6" s="261">
        <f>$BU$234</f>
        <v>0</v>
      </c>
      <c r="J6" s="262">
        <f>$BU$233</f>
        <v>0</v>
      </c>
      <c r="K6" s="262">
        <f>$BU$232</f>
        <v>4.5</v>
      </c>
      <c r="L6" s="262">
        <f>$BU$231</f>
        <v>7</v>
      </c>
      <c r="M6" s="262">
        <f>$BU$230</f>
        <v>9.625</v>
      </c>
      <c r="N6" s="262">
        <f>$BU$229</f>
        <v>13.375</v>
      </c>
      <c r="O6" s="262">
        <f>$BU$228</f>
        <v>20</v>
      </c>
      <c r="P6" s="263"/>
      <c r="Q6" s="263"/>
      <c r="R6" s="263"/>
      <c r="S6" s="263"/>
      <c r="T6" s="261">
        <f>$BZ$234</f>
        <v>0</v>
      </c>
      <c r="U6" s="262">
        <f>$BZ$233</f>
        <v>0</v>
      </c>
      <c r="V6" s="262">
        <f>$BZ$232</f>
        <v>4.5</v>
      </c>
      <c r="W6" s="262">
        <f>$BZ$231</f>
        <v>7</v>
      </c>
      <c r="X6" s="262">
        <f>$BZ$230</f>
        <v>9.625</v>
      </c>
      <c r="Y6" s="262">
        <f>$BZ$229</f>
        <v>13.375</v>
      </c>
      <c r="Z6" s="262">
        <f>$BZ$228</f>
        <v>20</v>
      </c>
      <c r="AA6" s="263"/>
      <c r="AB6" s="263"/>
      <c r="AC6" s="263"/>
      <c r="AD6" s="263"/>
      <c r="AE6" s="264"/>
      <c r="AF6" s="277"/>
      <c r="AG6" s="263"/>
      <c r="AH6" s="263"/>
      <c r="AI6" s="263"/>
      <c r="AJ6" s="273"/>
      <c r="AK6" s="273"/>
      <c r="AL6" s="264"/>
      <c r="AM6" s="250"/>
      <c r="AN6" s="259"/>
      <c r="AO6" s="259"/>
      <c r="AP6" s="259"/>
      <c r="AQ6" s="259"/>
      <c r="AR6" s="259"/>
      <c r="AS6" s="259"/>
      <c r="AT6" s="259"/>
      <c r="AU6" s="259"/>
      <c r="AV6" s="259"/>
      <c r="AW6" s="259"/>
      <c r="AX6" s="259"/>
      <c r="AY6" s="259"/>
      <c r="AZ6" s="259"/>
      <c r="BA6" s="259"/>
      <c r="BB6" s="259"/>
      <c r="BC6" s="259"/>
      <c r="BD6" s="259"/>
      <c r="BE6" s="259"/>
      <c r="BF6" s="259"/>
      <c r="BG6" s="259"/>
      <c r="BH6" s="259"/>
      <c r="BI6" s="259"/>
      <c r="BJ6" s="259"/>
      <c r="BK6" s="259"/>
      <c r="BL6" s="251"/>
      <c r="BM6" s="378"/>
      <c r="BN6" s="379"/>
      <c r="BO6" s="379"/>
      <c r="BP6" s="379"/>
      <c r="BQ6" s="379"/>
      <c r="BR6" s="379"/>
      <c r="BS6" s="380"/>
      <c r="BT6" s="380"/>
      <c r="BU6" s="381"/>
    </row>
    <row r="7" spans="1:73" ht="12" customHeight="1">
      <c r="B7" s="142">
        <f>ROWS($B$6:B6)*($CE$230+0)</f>
        <v>68.5</v>
      </c>
      <c r="C7" s="142" t="str">
        <f>IFERROR(VLOOKUP($B7,$BT$228:$BU$235,2,FALSE),"-")</f>
        <v>-</v>
      </c>
      <c r="D7" s="142" t="str">
        <f>IFERROR(VLOOKUP($B7,$BT$236:$BW$240,2,FALSE),"-")</f>
        <v>-</v>
      </c>
      <c r="E7" s="142">
        <f>IFERROR(VLOOKUP($B7,$BY$228:$BZ$235,2,FALSE),"-")</f>
        <v>20</v>
      </c>
      <c r="F7" s="387" t="str">
        <f>IFERROR(VLOOKUP($B7,$BY$236:$BZ$240,2,FALSE),"-")</f>
        <v>-</v>
      </c>
      <c r="G7" s="371"/>
      <c r="H7" s="265"/>
      <c r="I7" s="266" t="e">
        <f t="shared" ref="I7:O22" si="0">IF(ISNUMBER(INDEX($BT$236:$BU$239,MATCH(I$6,$BU$236:$BU$239,0),1)),IF(AND($B7&lt;INDEX($BT$236:$BU$239,MATCH(I$6,$BU$236:$BU$239,0),1),$B7&lt;INDEX($BT$228:$BU$235,MATCH(I$6,$BU$228:$BU$235,0),1)),0,IF(I$6=$D7,3,IF(I$6=$C7,2,IF($B7&lt;VLOOKUP(I$6,$BU$228:$BV$235,2,FALSE),1,0)))),IF(I$6=$D7,3,IF(I$6=$C7,2,IF($B7&lt;VLOOKUP(I$6,$BU$228:$BV$235,2,FALSE),1,IF(AND($B7&lt;INDEX($BT$228:$BU$239,MATCH(I$6,$BU$228:$BU$239,0),1),$B7&lt;INDEX($BT$228:$BU$235,MATCH(I$6,$BU$228:$BU$235,0),1)),0,0)))))</f>
        <v>#N/A</v>
      </c>
      <c r="J7" s="268" t="e">
        <f t="shared" si="0"/>
        <v>#N/A</v>
      </c>
      <c r="K7" s="268">
        <f t="shared" si="0"/>
        <v>0</v>
      </c>
      <c r="L7" s="268">
        <f t="shared" si="0"/>
        <v>0</v>
      </c>
      <c r="M7" s="268">
        <f t="shared" si="0"/>
        <v>0</v>
      </c>
      <c r="N7" s="268">
        <f t="shared" si="0"/>
        <v>0</v>
      </c>
      <c r="O7" s="268">
        <f t="shared" si="0"/>
        <v>0</v>
      </c>
      <c r="P7" s="717" t="str">
        <f>IFERROR(VLOOKUP(B7,$BT$228:$BW$240,4,FALSE),"")</f>
        <v/>
      </c>
      <c r="Q7" s="717"/>
      <c r="R7" s="717"/>
      <c r="S7" s="717"/>
      <c r="T7" s="266" t="e">
        <f t="shared" ref="T7:Z22" si="1">IF(ISNUMBER(INDEX($BY$236:$BZ$240,MATCH(T$6,$BZ$236:$BZ$239,0),1)),IF(AND($B7&lt;INDEX($BY$236:$BZ$240,MATCH(T$6,$BZ$236:$BZ$239,0),1),$B7&lt;INDEX($BY$228:$BZ$235,MATCH(T$6,$BZ$228:$BZ$235,0),1)),0,IF(T$6=$F7,3,IF(T$6=$E7,2,IF($B7&lt;VLOOKUP(T$6,$BZ$228:$CA$235,2,FALSE),1,0)))),IF(T$6=$F7,3,IF(T$6=$E7,2,IF($B7&lt;VLOOKUP(T$6,$BZ$228:$CA$235,2,FALSE),1,IF(AND($B7&lt;INDEX($BY$228:$BZ$239,MATCH(T$6,$BZ$228:$BZ$239,0),1),$B7&lt;INDEX($BY$228:$BZ$235,MATCH(T$6,$BZ$228:$BZ$235,0),1)),0,0)))))</f>
        <v>#N/A</v>
      </c>
      <c r="U7" s="268" t="e">
        <f t="shared" si="1"/>
        <v>#N/A</v>
      </c>
      <c r="V7" s="268">
        <f t="shared" si="1"/>
        <v>0</v>
      </c>
      <c r="W7" s="268">
        <f t="shared" si="1"/>
        <v>0</v>
      </c>
      <c r="X7" s="268">
        <f t="shared" si="1"/>
        <v>1</v>
      </c>
      <c r="Y7" s="268">
        <f t="shared" si="1"/>
        <v>1</v>
      </c>
      <c r="Z7" s="268">
        <f t="shared" si="1"/>
        <v>2</v>
      </c>
      <c r="AA7" s="717" t="str">
        <f>IFERROR(VLOOKUP(B7,$BY$228:$CB$240,4,FALSE),"")</f>
        <v>20'' at 99 m</v>
      </c>
      <c r="AB7" s="717"/>
      <c r="AC7" s="717"/>
      <c r="AD7" s="717"/>
      <c r="AE7" s="267"/>
      <c r="AF7" s="278"/>
      <c r="AG7" s="749" t="s">
        <v>282</v>
      </c>
      <c r="AH7" s="749"/>
      <c r="AI7" s="279"/>
      <c r="AJ7" s="737" t="str">
        <f t="shared" ref="AJ7:AJ41" si="2">IFERROR(VLOOKUP($B7,$CG$210:$CH$220,2,FALSE),"")</f>
        <v/>
      </c>
      <c r="AK7" s="737"/>
      <c r="AL7" s="274"/>
      <c r="AM7" s="250"/>
      <c r="AN7" s="259"/>
      <c r="AO7" s="259"/>
      <c r="AP7" s="259"/>
      <c r="AQ7" s="259"/>
      <c r="AR7" s="259"/>
      <c r="AS7" s="259"/>
      <c r="AT7" s="259"/>
      <c r="AU7" s="259"/>
      <c r="AV7" s="259"/>
      <c r="AW7" s="259"/>
      <c r="AX7" s="259"/>
      <c r="AY7" s="259"/>
      <c r="AZ7" s="259"/>
      <c r="BA7" s="259"/>
      <c r="BB7" s="259"/>
      <c r="BC7" s="259"/>
      <c r="BD7" s="259"/>
      <c r="BE7" s="259"/>
      <c r="BF7" s="259"/>
      <c r="BG7" s="259"/>
      <c r="BH7" s="259"/>
      <c r="BI7" s="259"/>
      <c r="BJ7" s="259"/>
      <c r="BK7" s="259"/>
      <c r="BL7" s="251"/>
      <c r="BM7" s="378"/>
      <c r="BN7" s="379"/>
      <c r="BO7" s="379"/>
      <c r="BP7" s="379"/>
      <c r="BQ7" s="379"/>
      <c r="BR7" s="379"/>
      <c r="BS7" s="380"/>
      <c r="BT7" s="380"/>
      <c r="BU7" s="381"/>
    </row>
    <row r="8" spans="1:73" ht="12" customHeight="1">
      <c r="B8" s="142">
        <f>ROWS($B$6:B7)*$CE$230</f>
        <v>137</v>
      </c>
      <c r="C8" s="142" t="str">
        <f t="shared" ref="C8:C41" si="3">IFERROR(VLOOKUP(B8,$BT$228:$BU$235,2,FALSE),"-")</f>
        <v>-</v>
      </c>
      <c r="D8" s="142" t="str">
        <f t="shared" ref="D8:D41" si="4">IFERROR(VLOOKUP($B8,$BT$236:$BW$240,2,FALSE),"-")</f>
        <v>-</v>
      </c>
      <c r="E8" s="142" t="str">
        <f t="shared" ref="E8:E41" si="5">IFERROR(VLOOKUP($B8,$BY$228:$BZ$235,2,FALSE),"-")</f>
        <v>-</v>
      </c>
      <c r="F8" s="387" t="str">
        <f t="shared" ref="F8:F41" si="6">IFERROR(VLOOKUP($B8,$BY$236:$BZ$240,2,FALSE),"-")</f>
        <v>-</v>
      </c>
      <c r="G8" s="371"/>
      <c r="H8" s="265"/>
      <c r="I8" s="266" t="e">
        <f t="shared" si="0"/>
        <v>#N/A</v>
      </c>
      <c r="J8" s="268" t="e">
        <f t="shared" si="0"/>
        <v>#N/A</v>
      </c>
      <c r="K8" s="268">
        <f t="shared" si="0"/>
        <v>0</v>
      </c>
      <c r="L8" s="268">
        <f t="shared" si="0"/>
        <v>0</v>
      </c>
      <c r="M8" s="268">
        <f t="shared" si="0"/>
        <v>0</v>
      </c>
      <c r="N8" s="268">
        <f t="shared" si="0"/>
        <v>0</v>
      </c>
      <c r="O8" s="268">
        <f t="shared" si="0"/>
        <v>0</v>
      </c>
      <c r="P8" s="717" t="str">
        <f t="shared" ref="P8:P41" si="7">IFERROR(VLOOKUP(B8,$BT$228:$BW$240,4,FALSE),"")</f>
        <v/>
      </c>
      <c r="Q8" s="717"/>
      <c r="R8" s="717"/>
      <c r="S8" s="717"/>
      <c r="T8" s="266" t="e">
        <f t="shared" si="1"/>
        <v>#N/A</v>
      </c>
      <c r="U8" s="268" t="e">
        <f t="shared" si="1"/>
        <v>#N/A</v>
      </c>
      <c r="V8" s="268">
        <f t="shared" si="1"/>
        <v>0</v>
      </c>
      <c r="W8" s="268">
        <f t="shared" si="1"/>
        <v>0</v>
      </c>
      <c r="X8" s="268">
        <f t="shared" si="1"/>
        <v>1</v>
      </c>
      <c r="Y8" s="268">
        <f t="shared" si="1"/>
        <v>1</v>
      </c>
      <c r="Z8" s="268">
        <f t="shared" si="1"/>
        <v>0</v>
      </c>
      <c r="AA8" s="786" t="str">
        <f t="shared" ref="AA8:AA41" si="8">IFERROR(VLOOKUP(B8,$BY$228:$CB$240,4,FALSE),"")</f>
        <v/>
      </c>
      <c r="AB8" s="786"/>
      <c r="AC8" s="786"/>
      <c r="AD8" s="786"/>
      <c r="AE8" s="267"/>
      <c r="AF8" s="278"/>
      <c r="AG8" s="749"/>
      <c r="AH8" s="749"/>
      <c r="AI8" s="279"/>
      <c r="AJ8" s="737" t="str">
        <f t="shared" si="2"/>
        <v/>
      </c>
      <c r="AK8" s="737"/>
      <c r="AL8" s="274"/>
      <c r="AM8" s="250"/>
      <c r="AN8" s="259"/>
      <c r="AO8" s="259"/>
      <c r="AP8" s="259"/>
      <c r="AQ8" s="259"/>
      <c r="AR8" s="259"/>
      <c r="AS8" s="259"/>
      <c r="AT8" s="259"/>
      <c r="AU8" s="259"/>
      <c r="AV8" s="259"/>
      <c r="AW8" s="259"/>
      <c r="AX8" s="259"/>
      <c r="AY8" s="259"/>
      <c r="AZ8" s="259"/>
      <c r="BA8" s="259"/>
      <c r="BB8" s="259"/>
      <c r="BC8" s="259"/>
      <c r="BD8" s="259"/>
      <c r="BE8" s="259"/>
      <c r="BF8" s="259"/>
      <c r="BG8" s="259"/>
      <c r="BH8" s="259"/>
      <c r="BI8" s="259"/>
      <c r="BJ8" s="259"/>
      <c r="BK8" s="259"/>
      <c r="BL8" s="251"/>
      <c r="BM8" s="378"/>
      <c r="BN8" s="379"/>
      <c r="BO8" s="379"/>
      <c r="BP8" s="379"/>
      <c r="BQ8" s="379"/>
      <c r="BR8" s="379"/>
      <c r="BS8" s="380"/>
      <c r="BT8" s="380"/>
      <c r="BU8" s="381"/>
    </row>
    <row r="9" spans="1:73" ht="12" customHeight="1">
      <c r="B9" s="142">
        <f>ROWS($B$6:B8)*$CE$230</f>
        <v>205.5</v>
      </c>
      <c r="C9" s="142" t="str">
        <f t="shared" si="3"/>
        <v>-</v>
      </c>
      <c r="D9" s="142" t="str">
        <f t="shared" si="4"/>
        <v>-</v>
      </c>
      <c r="E9" s="142" t="str">
        <f t="shared" si="5"/>
        <v>-</v>
      </c>
      <c r="F9" s="387" t="str">
        <f t="shared" si="6"/>
        <v>-</v>
      </c>
      <c r="G9" s="371"/>
      <c r="H9" s="265"/>
      <c r="I9" s="266" t="e">
        <f t="shared" si="0"/>
        <v>#N/A</v>
      </c>
      <c r="J9" s="268" t="e">
        <f t="shared" si="0"/>
        <v>#N/A</v>
      </c>
      <c r="K9" s="268">
        <f t="shared" si="0"/>
        <v>0</v>
      </c>
      <c r="L9" s="268">
        <f t="shared" si="0"/>
        <v>0</v>
      </c>
      <c r="M9" s="268">
        <f t="shared" si="0"/>
        <v>0</v>
      </c>
      <c r="N9" s="268">
        <f t="shared" si="0"/>
        <v>0</v>
      </c>
      <c r="O9" s="268">
        <f t="shared" si="0"/>
        <v>0</v>
      </c>
      <c r="P9" s="725" t="str">
        <f t="shared" si="7"/>
        <v/>
      </c>
      <c r="Q9" s="726"/>
      <c r="R9" s="726"/>
      <c r="S9" s="727"/>
      <c r="T9" s="266" t="e">
        <f t="shared" si="1"/>
        <v>#N/A</v>
      </c>
      <c r="U9" s="268" t="e">
        <f t="shared" si="1"/>
        <v>#N/A</v>
      </c>
      <c r="V9" s="268">
        <f t="shared" si="1"/>
        <v>0</v>
      </c>
      <c r="W9" s="268">
        <f t="shared" si="1"/>
        <v>0</v>
      </c>
      <c r="X9" s="268">
        <f t="shared" si="1"/>
        <v>1</v>
      </c>
      <c r="Y9" s="268">
        <f t="shared" si="1"/>
        <v>1</v>
      </c>
      <c r="Z9" s="268">
        <f t="shared" si="1"/>
        <v>0</v>
      </c>
      <c r="AA9" s="725" t="str">
        <f t="shared" si="8"/>
        <v/>
      </c>
      <c r="AB9" s="726"/>
      <c r="AC9" s="726"/>
      <c r="AD9" s="727"/>
      <c r="AE9" s="267"/>
      <c r="AF9" s="278"/>
      <c r="AG9" s="749"/>
      <c r="AH9" s="749"/>
      <c r="AI9" s="279"/>
      <c r="AJ9" s="737" t="str">
        <f t="shared" si="2"/>
        <v/>
      </c>
      <c r="AK9" s="737"/>
      <c r="AL9" s="274"/>
      <c r="AM9" s="250"/>
      <c r="AN9" s="259"/>
      <c r="AO9" s="259"/>
      <c r="AP9" s="259"/>
      <c r="AQ9" s="259"/>
      <c r="AR9" s="259"/>
      <c r="AS9" s="259"/>
      <c r="AT9" s="259"/>
      <c r="AU9" s="259"/>
      <c r="AV9" s="259"/>
      <c r="AW9" s="259"/>
      <c r="AX9" s="259"/>
      <c r="AY9" s="259"/>
      <c r="AZ9" s="259"/>
      <c r="BA9" s="259"/>
      <c r="BB9" s="259"/>
      <c r="BC9" s="259"/>
      <c r="BD9" s="259"/>
      <c r="BE9" s="259"/>
      <c r="BF9" s="259"/>
      <c r="BG9" s="259"/>
      <c r="BH9" s="259"/>
      <c r="BI9" s="259"/>
      <c r="BJ9" s="259"/>
      <c r="BK9" s="259"/>
      <c r="BL9" s="251"/>
      <c r="BM9" s="378"/>
      <c r="BN9" s="379"/>
      <c r="BO9" s="379"/>
      <c r="BP9" s="379"/>
      <c r="BQ9" s="379"/>
      <c r="BR9" s="379"/>
      <c r="BS9" s="380"/>
      <c r="BT9" s="380"/>
      <c r="BU9" s="381"/>
    </row>
    <row r="10" spans="1:73" ht="12" customHeight="1">
      <c r="B10" s="142">
        <f>ROWS($B$6:B9)*$CE$230</f>
        <v>274</v>
      </c>
      <c r="C10" s="142" t="str">
        <f t="shared" si="3"/>
        <v>-</v>
      </c>
      <c r="D10" s="142" t="str">
        <f t="shared" si="4"/>
        <v>-</v>
      </c>
      <c r="E10" s="142" t="str">
        <f t="shared" si="5"/>
        <v>-</v>
      </c>
      <c r="F10" s="387" t="str">
        <f t="shared" si="6"/>
        <v>-</v>
      </c>
      <c r="G10" s="371"/>
      <c r="H10" s="265"/>
      <c r="I10" s="266" t="e">
        <f t="shared" si="0"/>
        <v>#N/A</v>
      </c>
      <c r="J10" s="268" t="e">
        <f t="shared" si="0"/>
        <v>#N/A</v>
      </c>
      <c r="K10" s="268">
        <f t="shared" si="0"/>
        <v>0</v>
      </c>
      <c r="L10" s="268">
        <f t="shared" si="0"/>
        <v>0</v>
      </c>
      <c r="M10" s="268">
        <f t="shared" si="0"/>
        <v>0</v>
      </c>
      <c r="N10" s="268">
        <f t="shared" si="0"/>
        <v>0</v>
      </c>
      <c r="O10" s="268">
        <f t="shared" si="0"/>
        <v>0</v>
      </c>
      <c r="P10" s="717" t="str">
        <f t="shared" si="7"/>
        <v/>
      </c>
      <c r="Q10" s="717"/>
      <c r="R10" s="717"/>
      <c r="S10" s="717"/>
      <c r="T10" s="266" t="e">
        <f t="shared" si="1"/>
        <v>#N/A</v>
      </c>
      <c r="U10" s="268" t="e">
        <f t="shared" si="1"/>
        <v>#N/A</v>
      </c>
      <c r="V10" s="268">
        <f t="shared" si="1"/>
        <v>0</v>
      </c>
      <c r="W10" s="268">
        <f t="shared" si="1"/>
        <v>0</v>
      </c>
      <c r="X10" s="268">
        <f t="shared" si="1"/>
        <v>1</v>
      </c>
      <c r="Y10" s="268">
        <f t="shared" si="1"/>
        <v>1</v>
      </c>
      <c r="Z10" s="268">
        <f t="shared" si="1"/>
        <v>0</v>
      </c>
      <c r="AA10" s="717" t="str">
        <f t="shared" si="8"/>
        <v/>
      </c>
      <c r="AB10" s="717"/>
      <c r="AC10" s="717"/>
      <c r="AD10" s="717"/>
      <c r="AE10" s="267"/>
      <c r="AF10" s="278"/>
      <c r="AG10" s="749"/>
      <c r="AH10" s="749"/>
      <c r="AI10" s="279"/>
      <c r="AJ10" s="737" t="str">
        <f t="shared" si="2"/>
        <v/>
      </c>
      <c r="AK10" s="737"/>
      <c r="AL10" s="274"/>
      <c r="AM10" s="250"/>
      <c r="AN10" s="259"/>
      <c r="AO10" s="259"/>
      <c r="AP10" s="259"/>
      <c r="AQ10" s="259"/>
      <c r="AR10" s="259"/>
      <c r="AS10" s="259"/>
      <c r="AT10" s="259"/>
      <c r="AU10" s="259"/>
      <c r="AV10" s="259"/>
      <c r="AW10" s="259"/>
      <c r="AX10" s="259"/>
      <c r="AY10" s="259"/>
      <c r="AZ10" s="259"/>
      <c r="BA10" s="259"/>
      <c r="BB10" s="259"/>
      <c r="BC10" s="259"/>
      <c r="BD10" s="259"/>
      <c r="BE10" s="259"/>
      <c r="BF10" s="259"/>
      <c r="BG10" s="259"/>
      <c r="BH10" s="259"/>
      <c r="BI10" s="259"/>
      <c r="BJ10" s="259"/>
      <c r="BK10" s="259"/>
      <c r="BL10" s="251"/>
      <c r="BM10" s="378"/>
      <c r="BN10" s="379"/>
      <c r="BO10" s="379"/>
      <c r="BP10" s="379"/>
      <c r="BQ10" s="379"/>
      <c r="BR10" s="379"/>
      <c r="BS10" s="380"/>
      <c r="BT10" s="380"/>
      <c r="BU10" s="381"/>
    </row>
    <row r="11" spans="1:73" ht="12" customHeight="1">
      <c r="B11" s="142">
        <f>ROWS($B$6:B10)*$CE$230</f>
        <v>342.5</v>
      </c>
      <c r="C11" s="142" t="str">
        <f t="shared" si="3"/>
        <v>-</v>
      </c>
      <c r="D11" s="142" t="str">
        <f t="shared" si="4"/>
        <v>-</v>
      </c>
      <c r="E11" s="142" t="str">
        <f t="shared" si="5"/>
        <v>-</v>
      </c>
      <c r="F11" s="387" t="str">
        <f t="shared" si="6"/>
        <v>-</v>
      </c>
      <c r="G11" s="371"/>
      <c r="H11" s="265"/>
      <c r="I11" s="266" t="e">
        <f t="shared" si="0"/>
        <v>#N/A</v>
      </c>
      <c r="J11" s="268" t="e">
        <f t="shared" si="0"/>
        <v>#N/A</v>
      </c>
      <c r="K11" s="268">
        <f t="shared" si="0"/>
        <v>0</v>
      </c>
      <c r="L11" s="268">
        <f t="shared" si="0"/>
        <v>0</v>
      </c>
      <c r="M11" s="268">
        <f t="shared" si="0"/>
        <v>0</v>
      </c>
      <c r="N11" s="268">
        <f t="shared" si="0"/>
        <v>0</v>
      </c>
      <c r="O11" s="268">
        <f t="shared" si="0"/>
        <v>0</v>
      </c>
      <c r="P11" s="717" t="str">
        <f t="shared" si="7"/>
        <v/>
      </c>
      <c r="Q11" s="717"/>
      <c r="R11" s="717"/>
      <c r="S11" s="717"/>
      <c r="T11" s="266" t="e">
        <f t="shared" si="1"/>
        <v>#N/A</v>
      </c>
      <c r="U11" s="268" t="e">
        <f t="shared" si="1"/>
        <v>#N/A</v>
      </c>
      <c r="V11" s="268">
        <f t="shared" si="1"/>
        <v>0</v>
      </c>
      <c r="W11" s="268">
        <f t="shared" si="1"/>
        <v>0</v>
      </c>
      <c r="X11" s="268">
        <f t="shared" si="1"/>
        <v>1</v>
      </c>
      <c r="Y11" s="268">
        <f t="shared" si="1"/>
        <v>1</v>
      </c>
      <c r="Z11" s="268">
        <f t="shared" si="1"/>
        <v>0</v>
      </c>
      <c r="AA11" s="717" t="str">
        <f t="shared" si="8"/>
        <v/>
      </c>
      <c r="AB11" s="717"/>
      <c r="AC11" s="717"/>
      <c r="AD11" s="717"/>
      <c r="AE11" s="267"/>
      <c r="AF11" s="278"/>
      <c r="AG11" s="749"/>
      <c r="AH11" s="749"/>
      <c r="AI11" s="279"/>
      <c r="AJ11" s="737" t="str">
        <f t="shared" si="2"/>
        <v/>
      </c>
      <c r="AK11" s="737"/>
      <c r="AL11" s="274"/>
      <c r="AM11" s="250"/>
      <c r="AN11" s="259"/>
      <c r="AO11" s="259"/>
      <c r="AP11" s="259"/>
      <c r="AQ11" s="259"/>
      <c r="AR11" s="259"/>
      <c r="AS11" s="259"/>
      <c r="AT11" s="259"/>
      <c r="AU11" s="259"/>
      <c r="AV11" s="259"/>
      <c r="AW11" s="259"/>
      <c r="AX11" s="259"/>
      <c r="AY11" s="259"/>
      <c r="AZ11" s="259"/>
      <c r="BA11" s="259"/>
      <c r="BB11" s="259"/>
      <c r="BC11" s="259"/>
      <c r="BD11" s="259"/>
      <c r="BE11" s="259"/>
      <c r="BF11" s="259"/>
      <c r="BG11" s="259"/>
      <c r="BH11" s="259"/>
      <c r="BI11" s="259"/>
      <c r="BJ11" s="259"/>
      <c r="BK11" s="259"/>
      <c r="BL11" s="251"/>
      <c r="BM11" s="378"/>
      <c r="BN11" s="379"/>
      <c r="BO11" s="379"/>
      <c r="BP11" s="379"/>
      <c r="BQ11" s="379"/>
      <c r="BR11" s="379"/>
      <c r="BS11" s="380"/>
      <c r="BT11" s="380"/>
      <c r="BU11" s="381"/>
    </row>
    <row r="12" spans="1:73" ht="12" customHeight="1">
      <c r="B12" s="142">
        <f>ROWS($B$6:B11)*$CE$230</f>
        <v>411</v>
      </c>
      <c r="C12" s="142" t="str">
        <f t="shared" si="3"/>
        <v>-</v>
      </c>
      <c r="D12" s="142" t="str">
        <f t="shared" si="4"/>
        <v>-</v>
      </c>
      <c r="E12" s="142" t="str">
        <f t="shared" si="5"/>
        <v>-</v>
      </c>
      <c r="F12" s="387" t="str">
        <f t="shared" si="6"/>
        <v>-</v>
      </c>
      <c r="G12" s="371"/>
      <c r="H12" s="265"/>
      <c r="I12" s="266" t="e">
        <f t="shared" si="0"/>
        <v>#N/A</v>
      </c>
      <c r="J12" s="268" t="e">
        <f t="shared" si="0"/>
        <v>#N/A</v>
      </c>
      <c r="K12" s="268">
        <f t="shared" si="0"/>
        <v>0</v>
      </c>
      <c r="L12" s="268">
        <f t="shared" si="0"/>
        <v>0</v>
      </c>
      <c r="M12" s="268">
        <f t="shared" si="0"/>
        <v>0</v>
      </c>
      <c r="N12" s="268">
        <f t="shared" si="0"/>
        <v>0</v>
      </c>
      <c r="O12" s="268">
        <f t="shared" si="0"/>
        <v>0</v>
      </c>
      <c r="P12" s="717" t="str">
        <f t="shared" si="7"/>
        <v/>
      </c>
      <c r="Q12" s="717"/>
      <c r="R12" s="717"/>
      <c r="S12" s="717"/>
      <c r="T12" s="266" t="e">
        <f t="shared" si="1"/>
        <v>#N/A</v>
      </c>
      <c r="U12" s="268" t="e">
        <f t="shared" si="1"/>
        <v>#N/A</v>
      </c>
      <c r="V12" s="268">
        <f t="shared" si="1"/>
        <v>0</v>
      </c>
      <c r="W12" s="268">
        <f t="shared" si="1"/>
        <v>0</v>
      </c>
      <c r="X12" s="268">
        <f t="shared" si="1"/>
        <v>1</v>
      </c>
      <c r="Y12" s="268">
        <f t="shared" si="1"/>
        <v>1</v>
      </c>
      <c r="Z12" s="268">
        <f t="shared" si="1"/>
        <v>0</v>
      </c>
      <c r="AA12" s="717" t="str">
        <f t="shared" si="8"/>
        <v/>
      </c>
      <c r="AB12" s="717"/>
      <c r="AC12" s="717"/>
      <c r="AD12" s="717"/>
      <c r="AE12" s="267"/>
      <c r="AF12" s="278"/>
      <c r="AG12" s="749"/>
      <c r="AH12" s="749"/>
      <c r="AI12" s="279"/>
      <c r="AJ12" s="737" t="str">
        <f t="shared" si="2"/>
        <v/>
      </c>
      <c r="AK12" s="737"/>
      <c r="AL12" s="274"/>
      <c r="AM12" s="250"/>
      <c r="AN12" s="259"/>
      <c r="AO12" s="259"/>
      <c r="AP12" s="259"/>
      <c r="AQ12" s="259"/>
      <c r="AR12" s="259"/>
      <c r="AS12" s="259"/>
      <c r="AT12" s="259"/>
      <c r="AU12" s="259"/>
      <c r="AV12" s="259"/>
      <c r="AW12" s="259"/>
      <c r="AX12" s="259"/>
      <c r="AY12" s="259"/>
      <c r="AZ12" s="259"/>
      <c r="BA12" s="259"/>
      <c r="BB12" s="259"/>
      <c r="BC12" s="259"/>
      <c r="BD12" s="259"/>
      <c r="BE12" s="259"/>
      <c r="BF12" s="259"/>
      <c r="BG12" s="259"/>
      <c r="BH12" s="259"/>
      <c r="BI12" s="259"/>
      <c r="BJ12" s="259"/>
      <c r="BK12" s="259"/>
      <c r="BL12" s="251"/>
      <c r="BM12" s="378"/>
      <c r="BN12" s="379"/>
      <c r="BO12" s="379"/>
      <c r="BP12" s="379"/>
      <c r="BQ12" s="379"/>
      <c r="BR12" s="379"/>
      <c r="BS12" s="380"/>
      <c r="BT12" s="380"/>
      <c r="BU12" s="381"/>
    </row>
    <row r="13" spans="1:73" ht="12" customHeight="1">
      <c r="B13" s="142">
        <f>ROWS($B$6:B12)*$CE$230</f>
        <v>479.5</v>
      </c>
      <c r="C13" s="142" t="str">
        <f t="shared" si="3"/>
        <v>-</v>
      </c>
      <c r="D13" s="142" t="str">
        <f t="shared" si="4"/>
        <v>-</v>
      </c>
      <c r="E13" s="142" t="str">
        <f t="shared" si="5"/>
        <v>-</v>
      </c>
      <c r="F13" s="387" t="str">
        <f t="shared" si="6"/>
        <v>-</v>
      </c>
      <c r="G13" s="371"/>
      <c r="H13" s="265"/>
      <c r="I13" s="266" t="e">
        <f t="shared" si="0"/>
        <v>#N/A</v>
      </c>
      <c r="J13" s="268" t="e">
        <f t="shared" si="0"/>
        <v>#N/A</v>
      </c>
      <c r="K13" s="268">
        <f t="shared" si="0"/>
        <v>0</v>
      </c>
      <c r="L13" s="268">
        <f t="shared" si="0"/>
        <v>0</v>
      </c>
      <c r="M13" s="268">
        <f t="shared" si="0"/>
        <v>0</v>
      </c>
      <c r="N13" s="268">
        <f t="shared" si="0"/>
        <v>0</v>
      </c>
      <c r="O13" s="268">
        <f t="shared" si="0"/>
        <v>0</v>
      </c>
      <c r="P13" s="717" t="str">
        <f t="shared" si="7"/>
        <v/>
      </c>
      <c r="Q13" s="717"/>
      <c r="R13" s="717"/>
      <c r="S13" s="717"/>
      <c r="T13" s="266" t="e">
        <f t="shared" si="1"/>
        <v>#N/A</v>
      </c>
      <c r="U13" s="268" t="e">
        <f t="shared" si="1"/>
        <v>#N/A</v>
      </c>
      <c r="V13" s="268">
        <f t="shared" si="1"/>
        <v>0</v>
      </c>
      <c r="W13" s="268">
        <f t="shared" si="1"/>
        <v>0</v>
      </c>
      <c r="X13" s="268">
        <f t="shared" si="1"/>
        <v>1</v>
      </c>
      <c r="Y13" s="268">
        <f t="shared" si="1"/>
        <v>1</v>
      </c>
      <c r="Z13" s="268">
        <f t="shared" si="1"/>
        <v>0</v>
      </c>
      <c r="AA13" s="725" t="str">
        <f t="shared" si="8"/>
        <v/>
      </c>
      <c r="AB13" s="726"/>
      <c r="AC13" s="726"/>
      <c r="AD13" s="727"/>
      <c r="AE13" s="267"/>
      <c r="AF13" s="278"/>
      <c r="AG13" s="749"/>
      <c r="AH13" s="749"/>
      <c r="AI13" s="279"/>
      <c r="AJ13" s="737" t="str">
        <f t="shared" si="2"/>
        <v/>
      </c>
      <c r="AK13" s="737"/>
      <c r="AL13" s="274"/>
      <c r="AM13" s="250"/>
      <c r="AN13" s="259"/>
      <c r="AO13" s="259"/>
      <c r="AP13" s="259"/>
      <c r="AQ13" s="259"/>
      <c r="AR13" s="259"/>
      <c r="AS13" s="259"/>
      <c r="AT13" s="259"/>
      <c r="AU13" s="259"/>
      <c r="AV13" s="259"/>
      <c r="AW13" s="259"/>
      <c r="AX13" s="259"/>
      <c r="AY13" s="259"/>
      <c r="AZ13" s="259"/>
      <c r="BA13" s="259"/>
      <c r="BB13" s="259"/>
      <c r="BC13" s="259"/>
      <c r="BD13" s="259"/>
      <c r="BE13" s="259"/>
      <c r="BF13" s="259"/>
      <c r="BG13" s="259"/>
      <c r="BH13" s="259"/>
      <c r="BI13" s="259"/>
      <c r="BJ13" s="259"/>
      <c r="BK13" s="259"/>
      <c r="BL13" s="251"/>
      <c r="BM13" s="378"/>
      <c r="BN13" s="379"/>
      <c r="BO13" s="379"/>
      <c r="BP13" s="379"/>
      <c r="BQ13" s="379"/>
      <c r="BR13" s="379"/>
      <c r="BS13" s="380"/>
      <c r="BT13" s="380"/>
      <c r="BU13" s="381"/>
    </row>
    <row r="14" spans="1:73" ht="12" customHeight="1">
      <c r="B14" s="142">
        <f>ROWS($B$6:B13)*$CE$230</f>
        <v>548</v>
      </c>
      <c r="C14" s="142" t="str">
        <f t="shared" si="3"/>
        <v>-</v>
      </c>
      <c r="D14" s="142" t="str">
        <f t="shared" si="4"/>
        <v>-</v>
      </c>
      <c r="E14" s="142" t="str">
        <f t="shared" si="5"/>
        <v>-</v>
      </c>
      <c r="F14" s="387" t="str">
        <f t="shared" si="6"/>
        <v>-</v>
      </c>
      <c r="G14" s="371"/>
      <c r="H14" s="265"/>
      <c r="I14" s="266" t="e">
        <f t="shared" si="0"/>
        <v>#N/A</v>
      </c>
      <c r="J14" s="268" t="e">
        <f t="shared" si="0"/>
        <v>#N/A</v>
      </c>
      <c r="K14" s="268">
        <f t="shared" si="0"/>
        <v>0</v>
      </c>
      <c r="L14" s="268">
        <f t="shared" si="0"/>
        <v>0</v>
      </c>
      <c r="M14" s="268">
        <f t="shared" si="0"/>
        <v>0</v>
      </c>
      <c r="N14" s="268">
        <f t="shared" si="0"/>
        <v>0</v>
      </c>
      <c r="O14" s="268">
        <f t="shared" si="0"/>
        <v>0</v>
      </c>
      <c r="P14" s="717" t="str">
        <f t="shared" si="7"/>
        <v/>
      </c>
      <c r="Q14" s="717"/>
      <c r="R14" s="717"/>
      <c r="S14" s="717"/>
      <c r="T14" s="266" t="e">
        <f t="shared" si="1"/>
        <v>#N/A</v>
      </c>
      <c r="U14" s="268" t="e">
        <f t="shared" si="1"/>
        <v>#N/A</v>
      </c>
      <c r="V14" s="268">
        <f t="shared" si="1"/>
        <v>0</v>
      </c>
      <c r="W14" s="268">
        <f t="shared" si="1"/>
        <v>0</v>
      </c>
      <c r="X14" s="268">
        <f t="shared" si="1"/>
        <v>1</v>
      </c>
      <c r="Y14" s="268">
        <f t="shared" si="1"/>
        <v>1</v>
      </c>
      <c r="Z14" s="268">
        <f t="shared" si="1"/>
        <v>0</v>
      </c>
      <c r="AA14" s="717" t="str">
        <f t="shared" si="8"/>
        <v/>
      </c>
      <c r="AB14" s="717"/>
      <c r="AC14" s="717"/>
      <c r="AD14" s="717"/>
      <c r="AE14" s="267"/>
      <c r="AF14" s="278"/>
      <c r="AG14" s="749"/>
      <c r="AH14" s="749"/>
      <c r="AI14" s="279"/>
      <c r="AJ14" s="737" t="str">
        <f t="shared" si="2"/>
        <v/>
      </c>
      <c r="AK14" s="737"/>
      <c r="AL14" s="274"/>
      <c r="AM14" s="250"/>
      <c r="AN14" s="259"/>
      <c r="AO14" s="259"/>
      <c r="AP14" s="259"/>
      <c r="AQ14" s="259"/>
      <c r="AR14" s="259"/>
      <c r="AS14" s="259"/>
      <c r="AT14" s="259"/>
      <c r="AU14" s="259"/>
      <c r="AV14" s="259"/>
      <c r="AW14" s="259"/>
      <c r="AX14" s="259"/>
      <c r="AY14" s="259"/>
      <c r="AZ14" s="259"/>
      <c r="BA14" s="259"/>
      <c r="BB14" s="259"/>
      <c r="BC14" s="259"/>
      <c r="BD14" s="259"/>
      <c r="BE14" s="259"/>
      <c r="BF14" s="259"/>
      <c r="BG14" s="259"/>
      <c r="BH14" s="259"/>
      <c r="BI14" s="259"/>
      <c r="BJ14" s="259"/>
      <c r="BK14" s="259"/>
      <c r="BL14" s="251"/>
      <c r="BM14" s="378"/>
      <c r="BN14" s="379"/>
      <c r="BO14" s="379"/>
      <c r="BP14" s="379"/>
      <c r="BQ14" s="379"/>
      <c r="BR14" s="379"/>
      <c r="BS14" s="380"/>
      <c r="BT14" s="380"/>
      <c r="BU14" s="381"/>
    </row>
    <row r="15" spans="1:73" ht="12" customHeight="1">
      <c r="B15" s="142">
        <f>ROWS($B$6:B14)*$CE$230</f>
        <v>616.5</v>
      </c>
      <c r="C15" s="142" t="str">
        <f t="shared" si="3"/>
        <v>-</v>
      </c>
      <c r="D15" s="142" t="str">
        <f t="shared" si="4"/>
        <v>-</v>
      </c>
      <c r="E15" s="142" t="str">
        <f t="shared" si="5"/>
        <v>-</v>
      </c>
      <c r="F15" s="387" t="str">
        <f t="shared" si="6"/>
        <v>-</v>
      </c>
      <c r="G15" s="371"/>
      <c r="H15" s="265"/>
      <c r="I15" s="266" t="e">
        <f t="shared" si="0"/>
        <v>#N/A</v>
      </c>
      <c r="J15" s="268" t="e">
        <f t="shared" si="0"/>
        <v>#N/A</v>
      </c>
      <c r="K15" s="268">
        <f t="shared" si="0"/>
        <v>0</v>
      </c>
      <c r="L15" s="268">
        <f t="shared" si="0"/>
        <v>0</v>
      </c>
      <c r="M15" s="268">
        <f t="shared" si="0"/>
        <v>0</v>
      </c>
      <c r="N15" s="268">
        <f t="shared" si="0"/>
        <v>0</v>
      </c>
      <c r="O15" s="268">
        <f t="shared" si="0"/>
        <v>0</v>
      </c>
      <c r="P15" s="717" t="str">
        <f t="shared" si="7"/>
        <v/>
      </c>
      <c r="Q15" s="717"/>
      <c r="R15" s="717"/>
      <c r="S15" s="717"/>
      <c r="T15" s="266" t="e">
        <f t="shared" si="1"/>
        <v>#N/A</v>
      </c>
      <c r="U15" s="268" t="e">
        <f t="shared" si="1"/>
        <v>#N/A</v>
      </c>
      <c r="V15" s="268">
        <f t="shared" si="1"/>
        <v>0</v>
      </c>
      <c r="W15" s="268">
        <f t="shared" si="1"/>
        <v>0</v>
      </c>
      <c r="X15" s="268">
        <f t="shared" si="1"/>
        <v>1</v>
      </c>
      <c r="Y15" s="268">
        <f t="shared" si="1"/>
        <v>1</v>
      </c>
      <c r="Z15" s="268">
        <f t="shared" si="1"/>
        <v>0</v>
      </c>
      <c r="AA15" s="717" t="str">
        <f t="shared" si="8"/>
        <v/>
      </c>
      <c r="AB15" s="717"/>
      <c r="AC15" s="717"/>
      <c r="AD15" s="717"/>
      <c r="AE15" s="267"/>
      <c r="AF15" s="278"/>
      <c r="AG15" s="749"/>
      <c r="AH15" s="749"/>
      <c r="AI15" s="279"/>
      <c r="AJ15" s="737" t="str">
        <f t="shared" si="2"/>
        <v/>
      </c>
      <c r="AK15" s="737"/>
      <c r="AL15" s="274"/>
      <c r="AM15" s="250"/>
      <c r="AN15" s="259"/>
      <c r="AO15" s="259"/>
      <c r="AP15" s="259"/>
      <c r="AQ15" s="259"/>
      <c r="AR15" s="259"/>
      <c r="AS15" s="259"/>
      <c r="AT15" s="259"/>
      <c r="AU15" s="259"/>
      <c r="AV15" s="259"/>
      <c r="AW15" s="259"/>
      <c r="AX15" s="259"/>
      <c r="AY15" s="259"/>
      <c r="AZ15" s="259"/>
      <c r="BA15" s="259"/>
      <c r="BB15" s="259"/>
      <c r="BC15" s="259"/>
      <c r="BD15" s="259"/>
      <c r="BE15" s="259"/>
      <c r="BF15" s="259"/>
      <c r="BG15" s="259"/>
      <c r="BH15" s="259"/>
      <c r="BI15" s="259"/>
      <c r="BJ15" s="259"/>
      <c r="BK15" s="259"/>
      <c r="BL15" s="251"/>
      <c r="BM15" s="378"/>
      <c r="BN15" s="379"/>
      <c r="BO15" s="379"/>
      <c r="BP15" s="379"/>
      <c r="BQ15" s="379"/>
      <c r="BR15" s="379"/>
      <c r="BS15" s="380"/>
      <c r="BT15" s="380"/>
      <c r="BU15" s="381"/>
    </row>
    <row r="16" spans="1:73" ht="12" customHeight="1">
      <c r="B16" s="142">
        <f>ROWS($B$6:B15)*$CE$230</f>
        <v>685</v>
      </c>
      <c r="C16" s="142" t="str">
        <f t="shared" si="3"/>
        <v>-</v>
      </c>
      <c r="D16" s="142" t="str">
        <f t="shared" si="4"/>
        <v>-</v>
      </c>
      <c r="E16" s="142">
        <f t="shared" si="5"/>
        <v>13.375</v>
      </c>
      <c r="F16" s="387" t="str">
        <f t="shared" si="6"/>
        <v>-</v>
      </c>
      <c r="G16" s="371"/>
      <c r="H16" s="265"/>
      <c r="I16" s="266" t="e">
        <f t="shared" si="0"/>
        <v>#N/A</v>
      </c>
      <c r="J16" s="268" t="e">
        <f t="shared" si="0"/>
        <v>#N/A</v>
      </c>
      <c r="K16" s="268">
        <f t="shared" si="0"/>
        <v>0</v>
      </c>
      <c r="L16" s="268">
        <f t="shared" si="0"/>
        <v>0</v>
      </c>
      <c r="M16" s="268">
        <f t="shared" si="0"/>
        <v>0</v>
      </c>
      <c r="N16" s="268">
        <f t="shared" si="0"/>
        <v>0</v>
      </c>
      <c r="O16" s="268">
        <f t="shared" si="0"/>
        <v>0</v>
      </c>
      <c r="P16" s="717" t="str">
        <f t="shared" si="7"/>
        <v/>
      </c>
      <c r="Q16" s="717"/>
      <c r="R16" s="717"/>
      <c r="S16" s="717"/>
      <c r="T16" s="266" t="e">
        <f t="shared" si="1"/>
        <v>#N/A</v>
      </c>
      <c r="U16" s="268" t="e">
        <f t="shared" si="1"/>
        <v>#N/A</v>
      </c>
      <c r="V16" s="268">
        <f t="shared" si="1"/>
        <v>0</v>
      </c>
      <c r="W16" s="268">
        <f t="shared" si="1"/>
        <v>0</v>
      </c>
      <c r="X16" s="268">
        <f t="shared" si="1"/>
        <v>1</v>
      </c>
      <c r="Y16" s="268">
        <f t="shared" si="1"/>
        <v>2</v>
      </c>
      <c r="Z16" s="268">
        <f t="shared" si="1"/>
        <v>0</v>
      </c>
      <c r="AA16" s="717" t="str">
        <f t="shared" si="8"/>
        <v>13 3/8'' at 699 m</v>
      </c>
      <c r="AB16" s="717"/>
      <c r="AC16" s="717"/>
      <c r="AD16" s="717"/>
      <c r="AE16" s="267"/>
      <c r="AF16" s="278"/>
      <c r="AG16" s="749"/>
      <c r="AH16" s="749"/>
      <c r="AI16" s="279"/>
      <c r="AJ16" s="737" t="str">
        <f t="shared" si="2"/>
        <v/>
      </c>
      <c r="AK16" s="737"/>
      <c r="AL16" s="274"/>
      <c r="AM16" s="250"/>
      <c r="AN16" s="259"/>
      <c r="AO16" s="259"/>
      <c r="AP16" s="259"/>
      <c r="AQ16" s="259"/>
      <c r="AR16" s="259"/>
      <c r="AS16" s="259"/>
      <c r="AT16" s="259"/>
      <c r="AU16" s="259"/>
      <c r="AV16" s="259"/>
      <c r="AW16" s="259"/>
      <c r="AX16" s="259"/>
      <c r="AY16" s="259"/>
      <c r="AZ16" s="259"/>
      <c r="BA16" s="259"/>
      <c r="BB16" s="259"/>
      <c r="BC16" s="259"/>
      <c r="BD16" s="259"/>
      <c r="BE16" s="259"/>
      <c r="BF16" s="259"/>
      <c r="BG16" s="259"/>
      <c r="BH16" s="259"/>
      <c r="BI16" s="259"/>
      <c r="BJ16" s="259"/>
      <c r="BK16" s="259"/>
      <c r="BL16" s="251"/>
      <c r="BM16" s="378"/>
      <c r="BN16" s="379"/>
      <c r="BO16" s="379"/>
      <c r="BP16" s="379"/>
      <c r="BQ16" s="379"/>
      <c r="BR16" s="379"/>
      <c r="BS16" s="380"/>
      <c r="BT16" s="380"/>
      <c r="BU16" s="381"/>
    </row>
    <row r="17" spans="2:73" ht="12" customHeight="1">
      <c r="B17" s="142">
        <f>ROWS($B$6:B16)*$CE$230</f>
        <v>753.5</v>
      </c>
      <c r="C17" s="142" t="str">
        <f t="shared" si="3"/>
        <v>-</v>
      </c>
      <c r="D17" s="142" t="str">
        <f t="shared" si="4"/>
        <v>-</v>
      </c>
      <c r="E17" s="142" t="str">
        <f t="shared" si="5"/>
        <v>-</v>
      </c>
      <c r="F17" s="387" t="str">
        <f t="shared" si="6"/>
        <v>-</v>
      </c>
      <c r="G17" s="371"/>
      <c r="H17" s="265"/>
      <c r="I17" s="266" t="e">
        <f t="shared" si="0"/>
        <v>#N/A</v>
      </c>
      <c r="J17" s="268" t="e">
        <f t="shared" si="0"/>
        <v>#N/A</v>
      </c>
      <c r="K17" s="268">
        <f t="shared" si="0"/>
        <v>0</v>
      </c>
      <c r="L17" s="268">
        <f t="shared" si="0"/>
        <v>0</v>
      </c>
      <c r="M17" s="268">
        <f t="shared" si="0"/>
        <v>0</v>
      </c>
      <c r="N17" s="268">
        <f t="shared" si="0"/>
        <v>0</v>
      </c>
      <c r="O17" s="268">
        <f t="shared" si="0"/>
        <v>0</v>
      </c>
      <c r="P17" s="717" t="str">
        <f t="shared" si="7"/>
        <v/>
      </c>
      <c r="Q17" s="717"/>
      <c r="R17" s="717"/>
      <c r="S17" s="717"/>
      <c r="T17" s="266" t="e">
        <f t="shared" si="1"/>
        <v>#N/A</v>
      </c>
      <c r="U17" s="268" t="e">
        <f t="shared" si="1"/>
        <v>#N/A</v>
      </c>
      <c r="V17" s="268">
        <f t="shared" si="1"/>
        <v>0</v>
      </c>
      <c r="W17" s="268">
        <f t="shared" si="1"/>
        <v>0</v>
      </c>
      <c r="X17" s="268">
        <f t="shared" si="1"/>
        <v>1</v>
      </c>
      <c r="Y17" s="268">
        <f t="shared" si="1"/>
        <v>0</v>
      </c>
      <c r="Z17" s="268">
        <f t="shared" si="1"/>
        <v>0</v>
      </c>
      <c r="AA17" s="717" t="str">
        <f t="shared" si="8"/>
        <v/>
      </c>
      <c r="AB17" s="717"/>
      <c r="AC17" s="717"/>
      <c r="AD17" s="717"/>
      <c r="AE17" s="267"/>
      <c r="AF17" s="278"/>
      <c r="AG17" s="749"/>
      <c r="AH17" s="749"/>
      <c r="AI17" s="279"/>
      <c r="AJ17" s="737" t="str">
        <f t="shared" si="2"/>
        <v/>
      </c>
      <c r="AK17" s="737"/>
      <c r="AL17" s="274"/>
      <c r="AM17" s="250"/>
      <c r="AN17" s="259"/>
      <c r="AO17" s="259"/>
      <c r="AP17" s="259"/>
      <c r="AQ17" s="259"/>
      <c r="AR17" s="259"/>
      <c r="AS17" s="259"/>
      <c r="AT17" s="259"/>
      <c r="AU17" s="259"/>
      <c r="AV17" s="259"/>
      <c r="AW17" s="259"/>
      <c r="AX17" s="259"/>
      <c r="AY17" s="259"/>
      <c r="AZ17" s="259"/>
      <c r="BA17" s="259"/>
      <c r="BB17" s="259"/>
      <c r="BC17" s="259"/>
      <c r="BD17" s="259"/>
      <c r="BE17" s="259"/>
      <c r="BF17" s="259"/>
      <c r="BG17" s="259"/>
      <c r="BH17" s="259"/>
      <c r="BI17" s="259"/>
      <c r="BJ17" s="259"/>
      <c r="BK17" s="259"/>
      <c r="BL17" s="251"/>
      <c r="BM17" s="378"/>
      <c r="BN17" s="379"/>
      <c r="BO17" s="379"/>
      <c r="BP17" s="379"/>
      <c r="BQ17" s="379"/>
      <c r="BR17" s="379"/>
      <c r="BS17" s="380"/>
      <c r="BT17" s="380"/>
      <c r="BU17" s="381"/>
    </row>
    <row r="18" spans="2:73" ht="12" customHeight="1">
      <c r="B18" s="142">
        <f>ROWS($B$6:B17)*$CE$230</f>
        <v>822</v>
      </c>
      <c r="C18" s="142" t="str">
        <f t="shared" si="3"/>
        <v>-</v>
      </c>
      <c r="D18" s="142" t="str">
        <f t="shared" si="4"/>
        <v>-</v>
      </c>
      <c r="E18" s="142" t="str">
        <f t="shared" si="5"/>
        <v>-</v>
      </c>
      <c r="F18" s="387" t="str">
        <f t="shared" si="6"/>
        <v>-</v>
      </c>
      <c r="G18" s="371"/>
      <c r="H18" s="265"/>
      <c r="I18" s="266" t="e">
        <f t="shared" si="0"/>
        <v>#N/A</v>
      </c>
      <c r="J18" s="268" t="e">
        <f t="shared" si="0"/>
        <v>#N/A</v>
      </c>
      <c r="K18" s="268">
        <f t="shared" si="0"/>
        <v>0</v>
      </c>
      <c r="L18" s="268">
        <f t="shared" si="0"/>
        <v>0</v>
      </c>
      <c r="M18" s="268">
        <f t="shared" si="0"/>
        <v>0</v>
      </c>
      <c r="N18" s="268">
        <f t="shared" si="0"/>
        <v>0</v>
      </c>
      <c r="O18" s="268">
        <f t="shared" si="0"/>
        <v>0</v>
      </c>
      <c r="P18" s="717" t="str">
        <f t="shared" si="7"/>
        <v/>
      </c>
      <c r="Q18" s="717"/>
      <c r="R18" s="717"/>
      <c r="S18" s="717"/>
      <c r="T18" s="266" t="e">
        <f t="shared" si="1"/>
        <v>#N/A</v>
      </c>
      <c r="U18" s="268" t="e">
        <f t="shared" si="1"/>
        <v>#N/A</v>
      </c>
      <c r="V18" s="268">
        <f t="shared" si="1"/>
        <v>0</v>
      </c>
      <c r="W18" s="268">
        <f t="shared" si="1"/>
        <v>0</v>
      </c>
      <c r="X18" s="268">
        <f t="shared" si="1"/>
        <v>1</v>
      </c>
      <c r="Y18" s="268">
        <f t="shared" si="1"/>
        <v>0</v>
      </c>
      <c r="Z18" s="268">
        <f t="shared" si="1"/>
        <v>0</v>
      </c>
      <c r="AA18" s="717" t="str">
        <f t="shared" si="8"/>
        <v/>
      </c>
      <c r="AB18" s="717"/>
      <c r="AC18" s="717"/>
      <c r="AD18" s="717"/>
      <c r="AE18" s="267"/>
      <c r="AF18" s="278"/>
      <c r="AG18" s="749"/>
      <c r="AH18" s="749"/>
      <c r="AI18" s="279"/>
      <c r="AJ18" s="737" t="str">
        <f t="shared" si="2"/>
        <v/>
      </c>
      <c r="AK18" s="737"/>
      <c r="AL18" s="274"/>
      <c r="AM18" s="250"/>
      <c r="AN18" s="259"/>
      <c r="AO18" s="259"/>
      <c r="AP18" s="259"/>
      <c r="AQ18" s="259"/>
      <c r="AR18" s="259"/>
      <c r="AS18" s="259"/>
      <c r="AT18" s="259"/>
      <c r="AU18" s="259"/>
      <c r="AV18" s="259"/>
      <c r="AW18" s="259"/>
      <c r="AX18" s="259"/>
      <c r="AY18" s="259"/>
      <c r="AZ18" s="259"/>
      <c r="BA18" s="259"/>
      <c r="BB18" s="259"/>
      <c r="BC18" s="259"/>
      <c r="BD18" s="259"/>
      <c r="BE18" s="259"/>
      <c r="BF18" s="259"/>
      <c r="BG18" s="259"/>
      <c r="BH18" s="259"/>
      <c r="BI18" s="259"/>
      <c r="BJ18" s="259"/>
      <c r="BK18" s="259"/>
      <c r="BL18" s="251"/>
      <c r="BM18" s="378"/>
      <c r="BN18" s="379"/>
      <c r="BO18" s="379"/>
      <c r="BP18" s="379"/>
      <c r="BQ18" s="379"/>
      <c r="BR18" s="379"/>
      <c r="BS18" s="380"/>
      <c r="BT18" s="380"/>
      <c r="BU18" s="381"/>
    </row>
    <row r="19" spans="2:73" ht="12" customHeight="1">
      <c r="B19" s="142">
        <f>ROWS($B$6:B18)*$CE$230</f>
        <v>890.5</v>
      </c>
      <c r="C19" s="142" t="str">
        <f t="shared" si="3"/>
        <v>-</v>
      </c>
      <c r="D19" s="142" t="str">
        <f t="shared" si="4"/>
        <v>-</v>
      </c>
      <c r="E19" s="142" t="str">
        <f t="shared" si="5"/>
        <v>-</v>
      </c>
      <c r="F19" s="387" t="str">
        <f t="shared" si="6"/>
        <v>-</v>
      </c>
      <c r="G19" s="371"/>
      <c r="H19" s="265"/>
      <c r="I19" s="266" t="e">
        <f t="shared" si="0"/>
        <v>#N/A</v>
      </c>
      <c r="J19" s="268" t="e">
        <f t="shared" si="0"/>
        <v>#N/A</v>
      </c>
      <c r="K19" s="268">
        <f t="shared" si="0"/>
        <v>0</v>
      </c>
      <c r="L19" s="268">
        <f t="shared" si="0"/>
        <v>0</v>
      </c>
      <c r="M19" s="268">
        <f t="shared" si="0"/>
        <v>0</v>
      </c>
      <c r="N19" s="268">
        <f t="shared" si="0"/>
        <v>0</v>
      </c>
      <c r="O19" s="268">
        <f t="shared" si="0"/>
        <v>0</v>
      </c>
      <c r="P19" s="717" t="str">
        <f t="shared" si="7"/>
        <v/>
      </c>
      <c r="Q19" s="717"/>
      <c r="R19" s="717"/>
      <c r="S19" s="717"/>
      <c r="T19" s="266" t="e">
        <f t="shared" si="1"/>
        <v>#N/A</v>
      </c>
      <c r="U19" s="268" t="e">
        <f t="shared" si="1"/>
        <v>#N/A</v>
      </c>
      <c r="V19" s="268">
        <f t="shared" si="1"/>
        <v>0</v>
      </c>
      <c r="W19" s="268">
        <f t="shared" si="1"/>
        <v>0</v>
      </c>
      <c r="X19" s="268">
        <f t="shared" si="1"/>
        <v>1</v>
      </c>
      <c r="Y19" s="268">
        <f t="shared" si="1"/>
        <v>0</v>
      </c>
      <c r="Z19" s="268">
        <f t="shared" si="1"/>
        <v>0</v>
      </c>
      <c r="AA19" s="717" t="str">
        <f t="shared" si="8"/>
        <v/>
      </c>
      <c r="AB19" s="717"/>
      <c r="AC19" s="717"/>
      <c r="AD19" s="717"/>
      <c r="AE19" s="267"/>
      <c r="AF19" s="278"/>
      <c r="AG19" s="749"/>
      <c r="AH19" s="749"/>
      <c r="AI19" s="279"/>
      <c r="AJ19" s="737" t="str">
        <f t="shared" si="2"/>
        <v/>
      </c>
      <c r="AK19" s="737"/>
      <c r="AL19" s="274"/>
      <c r="AM19" s="250"/>
      <c r="AN19" s="259"/>
      <c r="AO19" s="259"/>
      <c r="AP19" s="259"/>
      <c r="AQ19" s="259"/>
      <c r="AR19" s="259"/>
      <c r="AS19" s="259"/>
      <c r="AT19" s="259"/>
      <c r="AU19" s="259"/>
      <c r="AV19" s="259"/>
      <c r="AW19" s="259"/>
      <c r="AX19" s="259"/>
      <c r="AY19" s="259"/>
      <c r="AZ19" s="259"/>
      <c r="BA19" s="259"/>
      <c r="BB19" s="259"/>
      <c r="BC19" s="259"/>
      <c r="BD19" s="259"/>
      <c r="BE19" s="259"/>
      <c r="BF19" s="259"/>
      <c r="BG19" s="259"/>
      <c r="BH19" s="259"/>
      <c r="BI19" s="259"/>
      <c r="BJ19" s="259"/>
      <c r="BK19" s="259"/>
      <c r="BL19" s="251"/>
      <c r="BM19" s="378"/>
      <c r="BN19" s="379"/>
      <c r="BO19" s="379"/>
      <c r="BP19" s="379"/>
      <c r="BQ19" s="379"/>
      <c r="BR19" s="379"/>
      <c r="BS19" s="380"/>
      <c r="BT19" s="380"/>
      <c r="BU19" s="381"/>
    </row>
    <row r="20" spans="2:73" ht="12" customHeight="1">
      <c r="B20" s="142">
        <f>ROWS($B$6:B19)*$CE$230</f>
        <v>959</v>
      </c>
      <c r="C20" s="142" t="str">
        <f t="shared" si="3"/>
        <v>-</v>
      </c>
      <c r="D20" s="142" t="str">
        <f t="shared" si="4"/>
        <v>-</v>
      </c>
      <c r="E20" s="142" t="str">
        <f t="shared" si="5"/>
        <v>-</v>
      </c>
      <c r="F20" s="387" t="str">
        <f t="shared" si="6"/>
        <v>-</v>
      </c>
      <c r="G20" s="371"/>
      <c r="H20" s="250"/>
      <c r="I20" s="268" t="e">
        <f t="shared" si="0"/>
        <v>#N/A</v>
      </c>
      <c r="J20" s="268" t="e">
        <f t="shared" si="0"/>
        <v>#N/A</v>
      </c>
      <c r="K20" s="268">
        <f t="shared" si="0"/>
        <v>0</v>
      </c>
      <c r="L20" s="268">
        <f t="shared" si="0"/>
        <v>0</v>
      </c>
      <c r="M20" s="268">
        <f t="shared" si="0"/>
        <v>0</v>
      </c>
      <c r="N20" s="268">
        <f t="shared" si="0"/>
        <v>0</v>
      </c>
      <c r="O20" s="268">
        <f t="shared" si="0"/>
        <v>0</v>
      </c>
      <c r="P20" s="717" t="str">
        <f t="shared" si="7"/>
        <v/>
      </c>
      <c r="Q20" s="717"/>
      <c r="R20" s="717"/>
      <c r="S20" s="717"/>
      <c r="T20" s="268" t="e">
        <f t="shared" si="1"/>
        <v>#N/A</v>
      </c>
      <c r="U20" s="268" t="e">
        <f t="shared" si="1"/>
        <v>#N/A</v>
      </c>
      <c r="V20" s="268">
        <f t="shared" si="1"/>
        <v>0</v>
      </c>
      <c r="W20" s="268">
        <f t="shared" si="1"/>
        <v>0</v>
      </c>
      <c r="X20" s="268">
        <f t="shared" si="1"/>
        <v>1</v>
      </c>
      <c r="Y20" s="268">
        <f t="shared" si="1"/>
        <v>0</v>
      </c>
      <c r="Z20" s="268">
        <f t="shared" si="1"/>
        <v>0</v>
      </c>
      <c r="AA20" s="717" t="str">
        <f t="shared" si="8"/>
        <v/>
      </c>
      <c r="AB20" s="717"/>
      <c r="AC20" s="717"/>
      <c r="AD20" s="717"/>
      <c r="AE20" s="267"/>
      <c r="AF20" s="278"/>
      <c r="AG20" s="749"/>
      <c r="AH20" s="749"/>
      <c r="AI20" s="279"/>
      <c r="AJ20" s="737" t="str">
        <f t="shared" si="2"/>
        <v/>
      </c>
      <c r="AK20" s="737"/>
      <c r="AL20" s="274"/>
      <c r="AM20" s="250"/>
      <c r="AN20" s="259"/>
      <c r="AO20" s="259"/>
      <c r="AP20" s="259"/>
      <c r="AQ20" s="259"/>
      <c r="AR20" s="259"/>
      <c r="AS20" s="259"/>
      <c r="AT20" s="259"/>
      <c r="AU20" s="259"/>
      <c r="AV20" s="259"/>
      <c r="AW20" s="259"/>
      <c r="AX20" s="259"/>
      <c r="AY20" s="259"/>
      <c r="AZ20" s="259"/>
      <c r="BA20" s="259"/>
      <c r="BB20" s="259"/>
      <c r="BC20" s="259"/>
      <c r="BD20" s="259"/>
      <c r="BE20" s="259"/>
      <c r="BF20" s="259"/>
      <c r="BG20" s="259"/>
      <c r="BH20" s="259"/>
      <c r="BI20" s="259"/>
      <c r="BJ20" s="259"/>
      <c r="BK20" s="259"/>
      <c r="BL20" s="251"/>
      <c r="BM20" s="378"/>
      <c r="BN20" s="379"/>
      <c r="BO20" s="379"/>
      <c r="BP20" s="379"/>
      <c r="BQ20" s="379"/>
      <c r="BR20" s="379"/>
      <c r="BS20" s="380"/>
      <c r="BT20" s="380"/>
      <c r="BU20" s="381"/>
    </row>
    <row r="21" spans="2:73" ht="12" customHeight="1">
      <c r="B21" s="142">
        <f>ROWS($B$6:B20)*$CE$230</f>
        <v>1027.5</v>
      </c>
      <c r="C21" s="142" t="str">
        <f t="shared" si="3"/>
        <v>-</v>
      </c>
      <c r="D21" s="142" t="str">
        <f t="shared" si="4"/>
        <v>-</v>
      </c>
      <c r="E21" s="142" t="str">
        <f t="shared" si="5"/>
        <v>-</v>
      </c>
      <c r="F21" s="387" t="str">
        <f t="shared" si="6"/>
        <v>-</v>
      </c>
      <c r="G21" s="371"/>
      <c r="H21" s="250"/>
      <c r="I21" s="268" t="e">
        <f t="shared" si="0"/>
        <v>#N/A</v>
      </c>
      <c r="J21" s="268" t="e">
        <f t="shared" si="0"/>
        <v>#N/A</v>
      </c>
      <c r="K21" s="268">
        <f t="shared" si="0"/>
        <v>0</v>
      </c>
      <c r="L21" s="268">
        <f t="shared" si="0"/>
        <v>0</v>
      </c>
      <c r="M21" s="268">
        <f t="shared" si="0"/>
        <v>0</v>
      </c>
      <c r="N21" s="268">
        <f t="shared" si="0"/>
        <v>0</v>
      </c>
      <c r="O21" s="268">
        <f t="shared" si="0"/>
        <v>0</v>
      </c>
      <c r="P21" s="717" t="str">
        <f t="shared" si="7"/>
        <v/>
      </c>
      <c r="Q21" s="717"/>
      <c r="R21" s="717"/>
      <c r="S21" s="717"/>
      <c r="T21" s="268" t="e">
        <f t="shared" si="1"/>
        <v>#N/A</v>
      </c>
      <c r="U21" s="268" t="e">
        <f t="shared" si="1"/>
        <v>#N/A</v>
      </c>
      <c r="V21" s="268">
        <f t="shared" si="1"/>
        <v>0</v>
      </c>
      <c r="W21" s="268">
        <f t="shared" si="1"/>
        <v>0</v>
      </c>
      <c r="X21" s="268">
        <f t="shared" si="1"/>
        <v>1</v>
      </c>
      <c r="Y21" s="268">
        <f t="shared" si="1"/>
        <v>0</v>
      </c>
      <c r="Z21" s="268">
        <f t="shared" si="1"/>
        <v>0</v>
      </c>
      <c r="AA21" s="717" t="str">
        <f t="shared" si="8"/>
        <v/>
      </c>
      <c r="AB21" s="717"/>
      <c r="AC21" s="717"/>
      <c r="AD21" s="717"/>
      <c r="AE21" s="267"/>
      <c r="AF21" s="278"/>
      <c r="AG21" s="749"/>
      <c r="AH21" s="749"/>
      <c r="AI21" s="279"/>
      <c r="AJ21" s="737" t="str">
        <f t="shared" si="2"/>
        <v/>
      </c>
      <c r="AK21" s="737"/>
      <c r="AL21" s="274"/>
      <c r="AM21" s="250"/>
      <c r="AN21" s="259"/>
      <c r="AO21" s="259"/>
      <c r="AP21" s="259"/>
      <c r="AQ21" s="259"/>
      <c r="AR21" s="259"/>
      <c r="AS21" s="259"/>
      <c r="AT21" s="259"/>
      <c r="AU21" s="259"/>
      <c r="AV21" s="259"/>
      <c r="AW21" s="259"/>
      <c r="AX21" s="259"/>
      <c r="AY21" s="259"/>
      <c r="AZ21" s="259"/>
      <c r="BA21" s="259"/>
      <c r="BB21" s="259"/>
      <c r="BC21" s="259"/>
      <c r="BD21" s="259"/>
      <c r="BE21" s="259"/>
      <c r="BF21" s="259"/>
      <c r="BG21" s="259"/>
      <c r="BH21" s="259"/>
      <c r="BI21" s="259"/>
      <c r="BJ21" s="259"/>
      <c r="BK21" s="259"/>
      <c r="BL21" s="251"/>
      <c r="BM21" s="378"/>
      <c r="BN21" s="379"/>
      <c r="BO21" s="379"/>
      <c r="BP21" s="379"/>
      <c r="BQ21" s="379"/>
      <c r="BR21" s="379"/>
      <c r="BS21" s="380"/>
      <c r="BT21" s="380"/>
      <c r="BU21" s="381"/>
    </row>
    <row r="22" spans="2:73" ht="12" customHeight="1">
      <c r="B22" s="142">
        <f>ROWS($B$6:B21)*$CE$230</f>
        <v>1096</v>
      </c>
      <c r="C22" s="142" t="str">
        <f t="shared" si="3"/>
        <v>-</v>
      </c>
      <c r="D22" s="142" t="str">
        <f t="shared" si="4"/>
        <v>-</v>
      </c>
      <c r="E22" s="142" t="str">
        <f t="shared" si="5"/>
        <v>-</v>
      </c>
      <c r="F22" s="387" t="str">
        <f t="shared" si="6"/>
        <v>-</v>
      </c>
      <c r="G22" s="371"/>
      <c r="H22" s="250"/>
      <c r="I22" s="268" t="e">
        <f t="shared" si="0"/>
        <v>#N/A</v>
      </c>
      <c r="J22" s="268" t="e">
        <f t="shared" si="0"/>
        <v>#N/A</v>
      </c>
      <c r="K22" s="268">
        <f t="shared" si="0"/>
        <v>0</v>
      </c>
      <c r="L22" s="268">
        <f t="shared" si="0"/>
        <v>0</v>
      </c>
      <c r="M22" s="268">
        <f t="shared" si="0"/>
        <v>0</v>
      </c>
      <c r="N22" s="268">
        <f t="shared" si="0"/>
        <v>0</v>
      </c>
      <c r="O22" s="268">
        <f t="shared" si="0"/>
        <v>0</v>
      </c>
      <c r="P22" s="717" t="str">
        <f t="shared" si="7"/>
        <v/>
      </c>
      <c r="Q22" s="717"/>
      <c r="R22" s="717"/>
      <c r="S22" s="717"/>
      <c r="T22" s="268" t="e">
        <f t="shared" si="1"/>
        <v>#N/A</v>
      </c>
      <c r="U22" s="268" t="e">
        <f t="shared" si="1"/>
        <v>#N/A</v>
      </c>
      <c r="V22" s="268">
        <f t="shared" si="1"/>
        <v>0</v>
      </c>
      <c r="W22" s="268">
        <f t="shared" si="1"/>
        <v>0</v>
      </c>
      <c r="X22" s="268">
        <f t="shared" si="1"/>
        <v>1</v>
      </c>
      <c r="Y22" s="268">
        <f t="shared" si="1"/>
        <v>0</v>
      </c>
      <c r="Z22" s="268">
        <f t="shared" si="1"/>
        <v>0</v>
      </c>
      <c r="AA22" s="717" t="str">
        <f t="shared" si="8"/>
        <v/>
      </c>
      <c r="AB22" s="717"/>
      <c r="AC22" s="717"/>
      <c r="AD22" s="717"/>
      <c r="AE22" s="267"/>
      <c r="AF22" s="278"/>
      <c r="AG22" s="749"/>
      <c r="AH22" s="749"/>
      <c r="AI22" s="279"/>
      <c r="AJ22" s="737" t="str">
        <f t="shared" si="2"/>
        <v/>
      </c>
      <c r="AK22" s="737"/>
      <c r="AL22" s="274"/>
      <c r="AM22" s="250"/>
      <c r="AN22" s="259"/>
      <c r="AO22" s="259"/>
      <c r="AP22" s="259"/>
      <c r="AQ22" s="259"/>
      <c r="AR22" s="259"/>
      <c r="AS22" s="259"/>
      <c r="AT22" s="259"/>
      <c r="AU22" s="259"/>
      <c r="AV22" s="259"/>
      <c r="AW22" s="259"/>
      <c r="AX22" s="259"/>
      <c r="AY22" s="259"/>
      <c r="AZ22" s="259"/>
      <c r="BA22" s="259"/>
      <c r="BB22" s="259"/>
      <c r="BC22" s="259"/>
      <c r="BD22" s="259"/>
      <c r="BE22" s="259"/>
      <c r="BF22" s="259"/>
      <c r="BG22" s="259"/>
      <c r="BH22" s="259"/>
      <c r="BI22" s="259"/>
      <c r="BJ22" s="259"/>
      <c r="BK22" s="259"/>
      <c r="BL22" s="251"/>
      <c r="BM22" s="378"/>
      <c r="BN22" s="379"/>
      <c r="BO22" s="379"/>
      <c r="BP22" s="379"/>
      <c r="BQ22" s="379"/>
      <c r="BR22" s="379"/>
      <c r="BS22" s="380"/>
      <c r="BT22" s="380"/>
      <c r="BU22" s="381"/>
    </row>
    <row r="23" spans="2:73" ht="12" customHeight="1">
      <c r="B23" s="142">
        <f>ROWS($B$6:B22)*$CE$230</f>
        <v>1164.5</v>
      </c>
      <c r="C23" s="142" t="str">
        <f t="shared" si="3"/>
        <v>-</v>
      </c>
      <c r="D23" s="142" t="str">
        <f t="shared" si="4"/>
        <v>-</v>
      </c>
      <c r="E23" s="142" t="str">
        <f t="shared" si="5"/>
        <v>-</v>
      </c>
      <c r="F23" s="387" t="str">
        <f t="shared" si="6"/>
        <v>-</v>
      </c>
      <c r="G23" s="371"/>
      <c r="H23" s="250"/>
      <c r="I23" s="268" t="e">
        <f t="shared" ref="I23:O38" si="9">IF(ISNUMBER(INDEX($BT$236:$BU$239,MATCH(I$6,$BU$236:$BU$239,0),1)),IF(AND($B23&lt;INDEX($BT$236:$BU$239,MATCH(I$6,$BU$236:$BU$239,0),1),$B23&lt;INDEX($BT$228:$BU$235,MATCH(I$6,$BU$228:$BU$235,0),1)),0,IF(I$6=$D23,3,IF(I$6=$C23,2,IF($B23&lt;VLOOKUP(I$6,$BU$228:$BV$235,2,FALSE),1,0)))),IF(I$6=$D23,3,IF(I$6=$C23,2,IF($B23&lt;VLOOKUP(I$6,$BU$228:$BV$235,2,FALSE),1,IF(AND($B23&lt;INDEX($BT$228:$BU$239,MATCH(I$6,$BU$228:$BU$239,0),1),$B23&lt;INDEX($BT$228:$BU$235,MATCH(I$6,$BU$228:$BU$235,0),1)),0,0)))))</f>
        <v>#N/A</v>
      </c>
      <c r="J23" s="268" t="e">
        <f t="shared" si="9"/>
        <v>#N/A</v>
      </c>
      <c r="K23" s="268">
        <f t="shared" si="9"/>
        <v>0</v>
      </c>
      <c r="L23" s="268">
        <f t="shared" si="9"/>
        <v>0</v>
      </c>
      <c r="M23" s="268">
        <f t="shared" si="9"/>
        <v>0</v>
      </c>
      <c r="N23" s="268">
        <f t="shared" si="9"/>
        <v>0</v>
      </c>
      <c r="O23" s="268">
        <f t="shared" si="9"/>
        <v>0</v>
      </c>
      <c r="P23" s="717" t="str">
        <f t="shared" si="7"/>
        <v/>
      </c>
      <c r="Q23" s="717"/>
      <c r="R23" s="717"/>
      <c r="S23" s="717"/>
      <c r="T23" s="268" t="e">
        <f t="shared" ref="T23:Z38" si="10">IF(ISNUMBER(INDEX($BY$236:$BZ$240,MATCH(T$6,$BZ$236:$BZ$239,0),1)),IF(AND($B23&lt;INDEX($BY$236:$BZ$240,MATCH(T$6,$BZ$236:$BZ$239,0),1),$B23&lt;INDEX($BY$228:$BZ$235,MATCH(T$6,$BZ$228:$BZ$235,0),1)),0,IF(T$6=$F23,3,IF(T$6=$E23,2,IF($B23&lt;VLOOKUP(T$6,$BZ$228:$CA$235,2,FALSE),1,0)))),IF(T$6=$F23,3,IF(T$6=$E23,2,IF($B23&lt;VLOOKUP(T$6,$BZ$228:$CA$235,2,FALSE),1,IF(AND($B23&lt;INDEX($BY$228:$BZ$239,MATCH(T$6,$BZ$228:$BZ$239,0),1),$B23&lt;INDEX($BY$228:$BZ$235,MATCH(T$6,$BZ$228:$BZ$235,0),1)),0,0)))))</f>
        <v>#N/A</v>
      </c>
      <c r="U23" s="268" t="e">
        <f t="shared" si="10"/>
        <v>#N/A</v>
      </c>
      <c r="V23" s="268">
        <f t="shared" si="10"/>
        <v>0</v>
      </c>
      <c r="W23" s="268">
        <f t="shared" si="10"/>
        <v>0</v>
      </c>
      <c r="X23" s="268">
        <f t="shared" si="10"/>
        <v>1</v>
      </c>
      <c r="Y23" s="268">
        <f t="shared" si="10"/>
        <v>0</v>
      </c>
      <c r="Z23" s="268">
        <f t="shared" si="10"/>
        <v>0</v>
      </c>
      <c r="AA23" s="717" t="str">
        <f t="shared" si="8"/>
        <v/>
      </c>
      <c r="AB23" s="717"/>
      <c r="AC23" s="717"/>
      <c r="AD23" s="717"/>
      <c r="AE23" s="267"/>
      <c r="AF23" s="278"/>
      <c r="AG23" s="749"/>
      <c r="AH23" s="749"/>
      <c r="AI23" s="279"/>
      <c r="AJ23" s="737" t="str">
        <f t="shared" si="2"/>
        <v/>
      </c>
      <c r="AK23" s="737"/>
      <c r="AL23" s="274"/>
      <c r="AM23" s="250"/>
      <c r="AN23" s="259"/>
      <c r="AO23" s="259"/>
      <c r="AP23" s="259"/>
      <c r="AQ23" s="259"/>
      <c r="AR23" s="259"/>
      <c r="AS23" s="259"/>
      <c r="AT23" s="259"/>
      <c r="AU23" s="259"/>
      <c r="AV23" s="259"/>
      <c r="AW23" s="259"/>
      <c r="AX23" s="259"/>
      <c r="AY23" s="259"/>
      <c r="AZ23" s="259"/>
      <c r="BA23" s="259"/>
      <c r="BB23" s="259"/>
      <c r="BC23" s="259"/>
      <c r="BD23" s="259"/>
      <c r="BE23" s="259"/>
      <c r="BF23" s="259"/>
      <c r="BG23" s="259"/>
      <c r="BH23" s="259"/>
      <c r="BI23" s="259"/>
      <c r="BJ23" s="259"/>
      <c r="BK23" s="259"/>
      <c r="BL23" s="251"/>
      <c r="BM23" s="378"/>
      <c r="BN23" s="379"/>
      <c r="BO23" s="379"/>
      <c r="BP23" s="379"/>
      <c r="BQ23" s="379"/>
      <c r="BR23" s="379"/>
      <c r="BS23" s="380"/>
      <c r="BT23" s="380"/>
      <c r="BU23" s="381"/>
    </row>
    <row r="24" spans="2:73" ht="12" customHeight="1">
      <c r="B24" s="142">
        <f>ROWS($B$6:B23)*$CE$230</f>
        <v>1233</v>
      </c>
      <c r="C24" s="142" t="str">
        <f t="shared" si="3"/>
        <v>-</v>
      </c>
      <c r="D24" s="142" t="str">
        <f t="shared" si="4"/>
        <v>-</v>
      </c>
      <c r="E24" s="142" t="str">
        <f t="shared" si="5"/>
        <v>-</v>
      </c>
      <c r="F24" s="387" t="str">
        <f t="shared" si="6"/>
        <v>-</v>
      </c>
      <c r="G24" s="371"/>
      <c r="H24" s="250"/>
      <c r="I24" s="268" t="e">
        <f t="shared" si="9"/>
        <v>#N/A</v>
      </c>
      <c r="J24" s="268" t="e">
        <f t="shared" si="9"/>
        <v>#N/A</v>
      </c>
      <c r="K24" s="268">
        <f t="shared" si="9"/>
        <v>0</v>
      </c>
      <c r="L24" s="268">
        <f t="shared" si="9"/>
        <v>0</v>
      </c>
      <c r="M24" s="268">
        <f t="shared" si="9"/>
        <v>0</v>
      </c>
      <c r="N24" s="268">
        <f t="shared" si="9"/>
        <v>0</v>
      </c>
      <c r="O24" s="268">
        <f t="shared" si="9"/>
        <v>0</v>
      </c>
      <c r="P24" s="717" t="str">
        <f t="shared" si="7"/>
        <v/>
      </c>
      <c r="Q24" s="717"/>
      <c r="R24" s="717"/>
      <c r="S24" s="717"/>
      <c r="T24" s="268" t="e">
        <f t="shared" si="10"/>
        <v>#N/A</v>
      </c>
      <c r="U24" s="268" t="e">
        <f t="shared" si="10"/>
        <v>#N/A</v>
      </c>
      <c r="V24" s="268">
        <f t="shared" si="10"/>
        <v>0</v>
      </c>
      <c r="W24" s="268">
        <f t="shared" si="10"/>
        <v>0</v>
      </c>
      <c r="X24" s="268">
        <f t="shared" si="10"/>
        <v>1</v>
      </c>
      <c r="Y24" s="268">
        <f t="shared" si="10"/>
        <v>0</v>
      </c>
      <c r="Z24" s="268">
        <f t="shared" si="10"/>
        <v>0</v>
      </c>
      <c r="AA24" s="717" t="str">
        <f t="shared" si="8"/>
        <v/>
      </c>
      <c r="AB24" s="717"/>
      <c r="AC24" s="717"/>
      <c r="AD24" s="717"/>
      <c r="AE24" s="267"/>
      <c r="AF24" s="278"/>
      <c r="AG24" s="749"/>
      <c r="AH24" s="749"/>
      <c r="AI24" s="279"/>
      <c r="AJ24" s="737" t="str">
        <f t="shared" si="2"/>
        <v/>
      </c>
      <c r="AK24" s="737"/>
      <c r="AL24" s="274"/>
      <c r="AM24" s="250"/>
      <c r="AN24" s="259"/>
      <c r="AO24" s="259"/>
      <c r="AP24" s="259"/>
      <c r="AQ24" s="259"/>
      <c r="AR24" s="259"/>
      <c r="AS24" s="259"/>
      <c r="AT24" s="259"/>
      <c r="AU24" s="259"/>
      <c r="AV24" s="259"/>
      <c r="AW24" s="259"/>
      <c r="AX24" s="259"/>
      <c r="AY24" s="259"/>
      <c r="AZ24" s="259"/>
      <c r="BA24" s="259"/>
      <c r="BB24" s="259"/>
      <c r="BC24" s="259"/>
      <c r="BD24" s="259"/>
      <c r="BE24" s="259"/>
      <c r="BF24" s="259"/>
      <c r="BG24" s="259"/>
      <c r="BH24" s="259"/>
      <c r="BI24" s="259"/>
      <c r="BJ24" s="259"/>
      <c r="BK24" s="259"/>
      <c r="BL24" s="251"/>
      <c r="BM24" s="378"/>
      <c r="BN24" s="379"/>
      <c r="BO24" s="379"/>
      <c r="BP24" s="379"/>
      <c r="BQ24" s="379"/>
      <c r="BR24" s="379"/>
      <c r="BS24" s="380"/>
      <c r="BT24" s="380"/>
      <c r="BU24" s="381"/>
    </row>
    <row r="25" spans="2:73" ht="12" customHeight="1">
      <c r="B25" s="142">
        <f>ROWS($B$6:B24)*$CE$230</f>
        <v>1301.5</v>
      </c>
      <c r="C25" s="142" t="str">
        <f t="shared" si="3"/>
        <v>-</v>
      </c>
      <c r="D25" s="142" t="str">
        <f t="shared" si="4"/>
        <v>-</v>
      </c>
      <c r="E25" s="142" t="str">
        <f t="shared" si="5"/>
        <v>-</v>
      </c>
      <c r="F25" s="387" t="str">
        <f t="shared" si="6"/>
        <v>-</v>
      </c>
      <c r="G25" s="371"/>
      <c r="H25" s="250"/>
      <c r="I25" s="268" t="e">
        <f t="shared" si="9"/>
        <v>#N/A</v>
      </c>
      <c r="J25" s="268" t="e">
        <f t="shared" si="9"/>
        <v>#N/A</v>
      </c>
      <c r="K25" s="268">
        <f t="shared" si="9"/>
        <v>0</v>
      </c>
      <c r="L25" s="268">
        <f t="shared" si="9"/>
        <v>0</v>
      </c>
      <c r="M25" s="268">
        <f t="shared" si="9"/>
        <v>0</v>
      </c>
      <c r="N25" s="268">
        <f t="shared" si="9"/>
        <v>0</v>
      </c>
      <c r="O25" s="268">
        <f t="shared" si="9"/>
        <v>0</v>
      </c>
      <c r="P25" s="717" t="str">
        <f t="shared" si="7"/>
        <v/>
      </c>
      <c r="Q25" s="717"/>
      <c r="R25" s="717"/>
      <c r="S25" s="717"/>
      <c r="T25" s="268" t="e">
        <f t="shared" si="10"/>
        <v>#N/A</v>
      </c>
      <c r="U25" s="268" t="e">
        <f t="shared" si="10"/>
        <v>#N/A</v>
      </c>
      <c r="V25" s="268">
        <f t="shared" si="10"/>
        <v>0</v>
      </c>
      <c r="W25" s="268">
        <f t="shared" si="10"/>
        <v>0</v>
      </c>
      <c r="X25" s="268">
        <f t="shared" si="10"/>
        <v>1</v>
      </c>
      <c r="Y25" s="268">
        <f t="shared" si="10"/>
        <v>0</v>
      </c>
      <c r="Z25" s="268">
        <f t="shared" si="10"/>
        <v>0</v>
      </c>
      <c r="AA25" s="717" t="str">
        <f t="shared" si="8"/>
        <v/>
      </c>
      <c r="AB25" s="717"/>
      <c r="AC25" s="717"/>
      <c r="AD25" s="717"/>
      <c r="AE25" s="267"/>
      <c r="AF25" s="278"/>
      <c r="AG25" s="749"/>
      <c r="AH25" s="749"/>
      <c r="AI25" s="279"/>
      <c r="AJ25" s="737" t="str">
        <f t="shared" si="2"/>
        <v/>
      </c>
      <c r="AK25" s="737"/>
      <c r="AL25" s="274"/>
      <c r="AM25" s="250"/>
      <c r="AN25" s="259"/>
      <c r="AO25" s="259"/>
      <c r="AP25" s="259"/>
      <c r="AQ25" s="259"/>
      <c r="AR25" s="259"/>
      <c r="AS25" s="259"/>
      <c r="AT25" s="259"/>
      <c r="AU25" s="259"/>
      <c r="AV25" s="259"/>
      <c r="AW25" s="259"/>
      <c r="AX25" s="259"/>
      <c r="AY25" s="259"/>
      <c r="AZ25" s="259"/>
      <c r="BA25" s="259"/>
      <c r="BB25" s="259"/>
      <c r="BC25" s="259"/>
      <c r="BD25" s="259"/>
      <c r="BE25" s="259"/>
      <c r="BF25" s="259"/>
      <c r="BG25" s="259"/>
      <c r="BH25" s="259"/>
      <c r="BI25" s="259"/>
      <c r="BJ25" s="259"/>
      <c r="BK25" s="259"/>
      <c r="BL25" s="251"/>
      <c r="BM25" s="378"/>
      <c r="BN25" s="379"/>
      <c r="BO25" s="379"/>
      <c r="BP25" s="379"/>
      <c r="BQ25" s="379"/>
      <c r="BR25" s="379"/>
      <c r="BS25" s="380"/>
      <c r="BT25" s="380"/>
      <c r="BU25" s="381"/>
    </row>
    <row r="26" spans="2:73" ht="12" customHeight="1">
      <c r="B26" s="142">
        <f>ROWS($B$6:B25)*$CE$230</f>
        <v>1370</v>
      </c>
      <c r="C26" s="142" t="str">
        <f t="shared" si="3"/>
        <v>-</v>
      </c>
      <c r="D26" s="142" t="str">
        <f t="shared" si="4"/>
        <v>-</v>
      </c>
      <c r="E26" s="142" t="str">
        <f t="shared" si="5"/>
        <v>-</v>
      </c>
      <c r="F26" s="387" t="str">
        <f t="shared" si="6"/>
        <v>-</v>
      </c>
      <c r="G26" s="371"/>
      <c r="H26" s="250"/>
      <c r="I26" s="268" t="e">
        <f t="shared" si="9"/>
        <v>#N/A</v>
      </c>
      <c r="J26" s="268" t="e">
        <f t="shared" si="9"/>
        <v>#N/A</v>
      </c>
      <c r="K26" s="268">
        <f t="shared" si="9"/>
        <v>0</v>
      </c>
      <c r="L26" s="268">
        <f t="shared" si="9"/>
        <v>0</v>
      </c>
      <c r="M26" s="268">
        <f t="shared" si="9"/>
        <v>0</v>
      </c>
      <c r="N26" s="268">
        <f t="shared" si="9"/>
        <v>0</v>
      </c>
      <c r="O26" s="268">
        <f t="shared" si="9"/>
        <v>0</v>
      </c>
      <c r="P26" s="717" t="str">
        <f t="shared" si="7"/>
        <v/>
      </c>
      <c r="Q26" s="717"/>
      <c r="R26" s="717"/>
      <c r="S26" s="717"/>
      <c r="T26" s="268" t="e">
        <f t="shared" si="10"/>
        <v>#N/A</v>
      </c>
      <c r="U26" s="268" t="e">
        <f t="shared" si="10"/>
        <v>#N/A</v>
      </c>
      <c r="V26" s="268">
        <f t="shared" si="10"/>
        <v>0</v>
      </c>
      <c r="W26" s="268">
        <f t="shared" si="10"/>
        <v>0</v>
      </c>
      <c r="X26" s="268">
        <f t="shared" si="10"/>
        <v>1</v>
      </c>
      <c r="Y26" s="268">
        <f t="shared" si="10"/>
        <v>0</v>
      </c>
      <c r="Z26" s="268">
        <f t="shared" si="10"/>
        <v>0</v>
      </c>
      <c r="AA26" s="717" t="str">
        <f t="shared" si="8"/>
        <v/>
      </c>
      <c r="AB26" s="717"/>
      <c r="AC26" s="717"/>
      <c r="AD26" s="717"/>
      <c r="AE26" s="267"/>
      <c r="AF26" s="278"/>
      <c r="AG26" s="749"/>
      <c r="AH26" s="749"/>
      <c r="AI26" s="279"/>
      <c r="AJ26" s="737" t="str">
        <f t="shared" si="2"/>
        <v/>
      </c>
      <c r="AK26" s="737"/>
      <c r="AL26" s="274"/>
      <c r="AM26" s="250"/>
      <c r="AN26" s="259"/>
      <c r="AO26" s="259"/>
      <c r="AP26" s="259"/>
      <c r="AQ26" s="259"/>
      <c r="AR26" s="259"/>
      <c r="AS26" s="259"/>
      <c r="AT26" s="259"/>
      <c r="AU26" s="259"/>
      <c r="AV26" s="259"/>
      <c r="AW26" s="259"/>
      <c r="AX26" s="259"/>
      <c r="AY26" s="259"/>
      <c r="AZ26" s="259"/>
      <c r="BA26" s="259"/>
      <c r="BB26" s="259"/>
      <c r="BC26" s="259"/>
      <c r="BD26" s="259"/>
      <c r="BE26" s="259"/>
      <c r="BF26" s="259"/>
      <c r="BG26" s="259"/>
      <c r="BH26" s="259"/>
      <c r="BI26" s="259"/>
      <c r="BJ26" s="259"/>
      <c r="BK26" s="259"/>
      <c r="BL26" s="251"/>
      <c r="BM26" s="378"/>
      <c r="BN26" s="379"/>
      <c r="BO26" s="379"/>
      <c r="BP26" s="379"/>
      <c r="BQ26" s="379"/>
      <c r="BR26" s="379"/>
      <c r="BS26" s="380"/>
      <c r="BT26" s="380"/>
      <c r="BU26" s="381"/>
    </row>
    <row r="27" spans="2:73" ht="12" customHeight="1">
      <c r="B27" s="142">
        <f>ROWS($B$6:B26)*$CE$230</f>
        <v>1438.5</v>
      </c>
      <c r="C27" s="142" t="str">
        <f t="shared" si="3"/>
        <v>-</v>
      </c>
      <c r="D27" s="142" t="str">
        <f t="shared" si="4"/>
        <v>-</v>
      </c>
      <c r="E27" s="142" t="str">
        <f t="shared" si="5"/>
        <v>-</v>
      </c>
      <c r="F27" s="387">
        <f t="shared" si="6"/>
        <v>7</v>
      </c>
      <c r="G27" s="371"/>
      <c r="H27" s="250"/>
      <c r="I27" s="268" t="e">
        <f t="shared" si="9"/>
        <v>#N/A</v>
      </c>
      <c r="J27" s="268" t="e">
        <f t="shared" si="9"/>
        <v>#N/A</v>
      </c>
      <c r="K27" s="268">
        <f t="shared" si="9"/>
        <v>0</v>
      </c>
      <c r="L27" s="268">
        <f t="shared" si="9"/>
        <v>0</v>
      </c>
      <c r="M27" s="268">
        <f t="shared" si="9"/>
        <v>0</v>
      </c>
      <c r="N27" s="268">
        <f t="shared" si="9"/>
        <v>0</v>
      </c>
      <c r="O27" s="268">
        <f t="shared" si="9"/>
        <v>0</v>
      </c>
      <c r="P27" s="713" t="str">
        <f t="shared" si="7"/>
        <v/>
      </c>
      <c r="Q27" s="714"/>
      <c r="R27" s="714"/>
      <c r="S27" s="715"/>
      <c r="T27" s="268" t="e">
        <f t="shared" si="10"/>
        <v>#N/A</v>
      </c>
      <c r="U27" s="268" t="e">
        <f t="shared" si="10"/>
        <v>#N/A</v>
      </c>
      <c r="V27" s="268">
        <f t="shared" si="10"/>
        <v>0</v>
      </c>
      <c r="W27" s="268">
        <f t="shared" si="10"/>
        <v>3</v>
      </c>
      <c r="X27" s="268">
        <f t="shared" si="10"/>
        <v>1</v>
      </c>
      <c r="Y27" s="268">
        <f t="shared" si="10"/>
        <v>0</v>
      </c>
      <c r="Z27" s="268">
        <f t="shared" si="10"/>
        <v>0</v>
      </c>
      <c r="AA27" s="717" t="str">
        <f t="shared" si="8"/>
        <v>TOL 7'' at 1433 m</v>
      </c>
      <c r="AB27" s="717"/>
      <c r="AC27" s="717"/>
      <c r="AD27" s="717"/>
      <c r="AE27" s="267"/>
      <c r="AF27" s="278"/>
      <c r="AG27" s="749"/>
      <c r="AH27" s="749"/>
      <c r="AI27" s="279"/>
      <c r="AJ27" s="737" t="str">
        <f t="shared" si="2"/>
        <v/>
      </c>
      <c r="AK27" s="737"/>
      <c r="AL27" s="274"/>
      <c r="AM27" s="250"/>
      <c r="AN27" s="259"/>
      <c r="AO27" s="259"/>
      <c r="AP27" s="259"/>
      <c r="AQ27" s="259"/>
      <c r="AR27" s="259"/>
      <c r="AS27" s="259"/>
      <c r="AT27" s="259"/>
      <c r="AU27" s="259"/>
      <c r="AV27" s="259"/>
      <c r="AW27" s="259"/>
      <c r="AX27" s="259"/>
      <c r="AY27" s="259"/>
      <c r="AZ27" s="259"/>
      <c r="BA27" s="259"/>
      <c r="BB27" s="259"/>
      <c r="BC27" s="259"/>
      <c r="BD27" s="259"/>
      <c r="BE27" s="259"/>
      <c r="BF27" s="259"/>
      <c r="BG27" s="259"/>
      <c r="BH27" s="259"/>
      <c r="BI27" s="259"/>
      <c r="BJ27" s="259"/>
      <c r="BK27" s="259"/>
      <c r="BL27" s="251"/>
      <c r="BM27" s="378"/>
      <c r="BN27" s="379"/>
      <c r="BO27" s="379"/>
      <c r="BP27" s="379"/>
      <c r="BQ27" s="379"/>
      <c r="BR27" s="379"/>
      <c r="BS27" s="380"/>
      <c r="BT27" s="380"/>
      <c r="BU27" s="381"/>
    </row>
    <row r="28" spans="2:73" ht="12" customHeight="1">
      <c r="B28" s="142">
        <f>ROWS($B$6:B27)*$CE$230</f>
        <v>1507</v>
      </c>
      <c r="C28" s="142" t="str">
        <f t="shared" si="3"/>
        <v>-</v>
      </c>
      <c r="D28" s="142" t="str">
        <f t="shared" si="4"/>
        <v>-</v>
      </c>
      <c r="E28" s="142">
        <f t="shared" si="5"/>
        <v>9.625</v>
      </c>
      <c r="F28" s="387" t="str">
        <f t="shared" si="6"/>
        <v>-</v>
      </c>
      <c r="G28" s="371"/>
      <c r="H28" s="250"/>
      <c r="I28" s="268" t="e">
        <f t="shared" si="9"/>
        <v>#N/A</v>
      </c>
      <c r="J28" s="268" t="e">
        <f t="shared" si="9"/>
        <v>#N/A</v>
      </c>
      <c r="K28" s="268">
        <f t="shared" si="9"/>
        <v>0</v>
      </c>
      <c r="L28" s="268">
        <f t="shared" si="9"/>
        <v>0</v>
      </c>
      <c r="M28" s="268">
        <f t="shared" si="9"/>
        <v>0</v>
      </c>
      <c r="N28" s="268">
        <f t="shared" si="9"/>
        <v>0</v>
      </c>
      <c r="O28" s="268">
        <f t="shared" si="9"/>
        <v>0</v>
      </c>
      <c r="P28" s="717" t="str">
        <f t="shared" si="7"/>
        <v/>
      </c>
      <c r="Q28" s="717"/>
      <c r="R28" s="717"/>
      <c r="S28" s="717"/>
      <c r="T28" s="268" t="e">
        <f t="shared" si="10"/>
        <v>#N/A</v>
      </c>
      <c r="U28" s="268" t="e">
        <f t="shared" si="10"/>
        <v>#N/A</v>
      </c>
      <c r="V28" s="268">
        <f t="shared" si="10"/>
        <v>0</v>
      </c>
      <c r="W28" s="268">
        <f t="shared" si="10"/>
        <v>1</v>
      </c>
      <c r="X28" s="268">
        <f t="shared" si="10"/>
        <v>2</v>
      </c>
      <c r="Y28" s="268">
        <f t="shared" si="10"/>
        <v>0</v>
      </c>
      <c r="Z28" s="268">
        <f t="shared" si="10"/>
        <v>0</v>
      </c>
      <c r="AA28" s="717" t="str">
        <f t="shared" si="8"/>
        <v>9 5/8'' at 1495 m</v>
      </c>
      <c r="AB28" s="717"/>
      <c r="AC28" s="717"/>
      <c r="AD28" s="717"/>
      <c r="AE28" s="267"/>
      <c r="AF28" s="278"/>
      <c r="AG28" s="749"/>
      <c r="AH28" s="749"/>
      <c r="AI28" s="279"/>
      <c r="AJ28" s="737" t="str">
        <f t="shared" si="2"/>
        <v/>
      </c>
      <c r="AK28" s="737"/>
      <c r="AL28" s="274"/>
      <c r="AM28" s="250"/>
      <c r="AN28" s="259"/>
      <c r="AO28" s="259"/>
      <c r="AP28" s="259"/>
      <c r="AQ28" s="259"/>
      <c r="AR28" s="259"/>
      <c r="AS28" s="259"/>
      <c r="AT28" s="259"/>
      <c r="AU28" s="259"/>
      <c r="AV28" s="259"/>
      <c r="AW28" s="259"/>
      <c r="AX28" s="259"/>
      <c r="AY28" s="259"/>
      <c r="AZ28" s="259"/>
      <c r="BA28" s="259"/>
      <c r="BB28" s="259"/>
      <c r="BC28" s="259"/>
      <c r="BD28" s="259"/>
      <c r="BE28" s="259"/>
      <c r="BF28" s="259"/>
      <c r="BG28" s="259"/>
      <c r="BH28" s="259"/>
      <c r="BI28" s="259"/>
      <c r="BJ28" s="259"/>
      <c r="BK28" s="259"/>
      <c r="BL28" s="251"/>
      <c r="BM28" s="378"/>
      <c r="BN28" s="379"/>
      <c r="BO28" s="379"/>
      <c r="BP28" s="379"/>
      <c r="BQ28" s="379"/>
      <c r="BR28" s="379"/>
      <c r="BS28" s="380"/>
      <c r="BT28" s="380"/>
      <c r="BU28" s="381"/>
    </row>
    <row r="29" spans="2:73" ht="12" customHeight="1">
      <c r="B29" s="142">
        <f>ROWS($B$6:B28)*$CE$230</f>
        <v>1575.5</v>
      </c>
      <c r="C29" s="142" t="str">
        <f t="shared" si="3"/>
        <v>-</v>
      </c>
      <c r="D29" s="142" t="str">
        <f t="shared" si="4"/>
        <v>-</v>
      </c>
      <c r="E29" s="142" t="str">
        <f t="shared" si="5"/>
        <v>-</v>
      </c>
      <c r="F29" s="387" t="str">
        <f t="shared" si="6"/>
        <v>-</v>
      </c>
      <c r="G29" s="371"/>
      <c r="H29" s="250"/>
      <c r="I29" s="268" t="e">
        <f t="shared" si="9"/>
        <v>#N/A</v>
      </c>
      <c r="J29" s="268" t="e">
        <f t="shared" si="9"/>
        <v>#N/A</v>
      </c>
      <c r="K29" s="268">
        <f t="shared" si="9"/>
        <v>0</v>
      </c>
      <c r="L29" s="268">
        <f t="shared" si="9"/>
        <v>0</v>
      </c>
      <c r="M29" s="268">
        <f t="shared" si="9"/>
        <v>0</v>
      </c>
      <c r="N29" s="268">
        <f t="shared" si="9"/>
        <v>0</v>
      </c>
      <c r="O29" s="268">
        <f t="shared" si="9"/>
        <v>0</v>
      </c>
      <c r="P29" s="743" t="str">
        <f t="shared" si="7"/>
        <v/>
      </c>
      <c r="Q29" s="744"/>
      <c r="R29" s="744"/>
      <c r="S29" s="745"/>
      <c r="T29" s="268" t="e">
        <f t="shared" si="10"/>
        <v>#N/A</v>
      </c>
      <c r="U29" s="268" t="e">
        <f t="shared" si="10"/>
        <v>#N/A</v>
      </c>
      <c r="V29" s="268">
        <f t="shared" si="10"/>
        <v>0</v>
      </c>
      <c r="W29" s="268">
        <f t="shared" si="10"/>
        <v>1</v>
      </c>
      <c r="X29" s="268">
        <f t="shared" si="10"/>
        <v>0</v>
      </c>
      <c r="Y29" s="268">
        <f t="shared" si="10"/>
        <v>0</v>
      </c>
      <c r="Z29" s="268">
        <f t="shared" si="10"/>
        <v>0</v>
      </c>
      <c r="AA29" s="725" t="str">
        <f t="shared" si="8"/>
        <v/>
      </c>
      <c r="AB29" s="726"/>
      <c r="AC29" s="726"/>
      <c r="AD29" s="727"/>
      <c r="AE29" s="267"/>
      <c r="AF29" s="278"/>
      <c r="AG29" s="749"/>
      <c r="AH29" s="749"/>
      <c r="AI29" s="279"/>
      <c r="AJ29" s="737" t="str">
        <f t="shared" si="2"/>
        <v/>
      </c>
      <c r="AK29" s="737"/>
      <c r="AL29" s="274"/>
      <c r="AM29" s="250"/>
      <c r="AN29" s="259"/>
      <c r="AO29" s="259"/>
      <c r="AP29" s="259"/>
      <c r="AQ29" s="259"/>
      <c r="AR29" s="259"/>
      <c r="AS29" s="259"/>
      <c r="AT29" s="259"/>
      <c r="AU29" s="259"/>
      <c r="AV29" s="259"/>
      <c r="AW29" s="259"/>
      <c r="AX29" s="259"/>
      <c r="AY29" s="259"/>
      <c r="AZ29" s="259"/>
      <c r="BA29" s="259"/>
      <c r="BB29" s="259"/>
      <c r="BC29" s="259"/>
      <c r="BD29" s="259"/>
      <c r="BE29" s="259"/>
      <c r="BF29" s="259"/>
      <c r="BG29" s="259"/>
      <c r="BH29" s="259"/>
      <c r="BI29" s="259"/>
      <c r="BJ29" s="259"/>
      <c r="BK29" s="259"/>
      <c r="BL29" s="251"/>
      <c r="BM29" s="378"/>
      <c r="BN29" s="379"/>
      <c r="BO29" s="379"/>
      <c r="BP29" s="379"/>
      <c r="BQ29" s="379"/>
      <c r="BR29" s="379"/>
      <c r="BS29" s="380"/>
      <c r="BT29" s="380"/>
      <c r="BU29" s="381"/>
    </row>
    <row r="30" spans="2:73" ht="12" customHeight="1">
      <c r="B30" s="142">
        <f>ROWS($B$6:B29)*$CE$230</f>
        <v>1644</v>
      </c>
      <c r="C30" s="142" t="str">
        <f t="shared" si="3"/>
        <v>-</v>
      </c>
      <c r="D30" s="142" t="str">
        <f t="shared" si="4"/>
        <v>-</v>
      </c>
      <c r="E30" s="142" t="str">
        <f t="shared" si="5"/>
        <v>-</v>
      </c>
      <c r="F30" s="387" t="str">
        <f t="shared" si="6"/>
        <v>-</v>
      </c>
      <c r="G30" s="371"/>
      <c r="H30" s="250"/>
      <c r="I30" s="268" t="e">
        <f t="shared" si="9"/>
        <v>#N/A</v>
      </c>
      <c r="J30" s="268" t="e">
        <f t="shared" si="9"/>
        <v>#N/A</v>
      </c>
      <c r="K30" s="268">
        <f t="shared" si="9"/>
        <v>0</v>
      </c>
      <c r="L30" s="268">
        <f t="shared" si="9"/>
        <v>0</v>
      </c>
      <c r="M30" s="268">
        <f t="shared" si="9"/>
        <v>0</v>
      </c>
      <c r="N30" s="268">
        <f t="shared" si="9"/>
        <v>0</v>
      </c>
      <c r="O30" s="268">
        <f t="shared" si="9"/>
        <v>0</v>
      </c>
      <c r="P30" s="713" t="str">
        <f t="shared" si="7"/>
        <v/>
      </c>
      <c r="Q30" s="714"/>
      <c r="R30" s="714"/>
      <c r="S30" s="715"/>
      <c r="T30" s="268" t="e">
        <f t="shared" si="10"/>
        <v>#N/A</v>
      </c>
      <c r="U30" s="268" t="e">
        <f t="shared" si="10"/>
        <v>#N/A</v>
      </c>
      <c r="V30" s="268">
        <f t="shared" si="10"/>
        <v>0</v>
      </c>
      <c r="W30" s="268">
        <f t="shared" si="10"/>
        <v>1</v>
      </c>
      <c r="X30" s="268">
        <f t="shared" si="10"/>
        <v>0</v>
      </c>
      <c r="Y30" s="268">
        <f t="shared" si="10"/>
        <v>0</v>
      </c>
      <c r="Z30" s="268">
        <f t="shared" si="10"/>
        <v>0</v>
      </c>
      <c r="AA30" s="717" t="str">
        <f t="shared" si="8"/>
        <v/>
      </c>
      <c r="AB30" s="717"/>
      <c r="AC30" s="717"/>
      <c r="AD30" s="717"/>
      <c r="AE30" s="267"/>
      <c r="AF30" s="278"/>
      <c r="AG30" s="749"/>
      <c r="AH30" s="749"/>
      <c r="AI30" s="279"/>
      <c r="AJ30" s="737" t="str">
        <f t="shared" si="2"/>
        <v/>
      </c>
      <c r="AK30" s="737"/>
      <c r="AL30" s="274"/>
      <c r="AM30" s="250"/>
      <c r="AN30" s="259"/>
      <c r="AO30" s="259"/>
      <c r="AP30" s="259"/>
      <c r="AQ30" s="259"/>
      <c r="AR30" s="259"/>
      <c r="AS30" s="259"/>
      <c r="AT30" s="259"/>
      <c r="AU30" s="259"/>
      <c r="AV30" s="259"/>
      <c r="AW30" s="259"/>
      <c r="AX30" s="259"/>
      <c r="AY30" s="259"/>
      <c r="AZ30" s="259"/>
      <c r="BA30" s="259"/>
      <c r="BB30" s="259"/>
      <c r="BC30" s="259"/>
      <c r="BD30" s="259"/>
      <c r="BE30" s="259"/>
      <c r="BF30" s="259"/>
      <c r="BG30" s="259"/>
      <c r="BH30" s="259"/>
      <c r="BI30" s="259"/>
      <c r="BJ30" s="259"/>
      <c r="BK30" s="259"/>
      <c r="BL30" s="251"/>
      <c r="BM30" s="378"/>
      <c r="BN30" s="379"/>
      <c r="BO30" s="379"/>
      <c r="BP30" s="379"/>
      <c r="BQ30" s="379"/>
      <c r="BR30" s="379"/>
      <c r="BS30" s="380"/>
      <c r="BT30" s="380"/>
      <c r="BU30" s="381"/>
    </row>
    <row r="31" spans="2:73" ht="12" customHeight="1">
      <c r="B31" s="142">
        <f>ROWS($B$6:B30)*$CE$230</f>
        <v>1712.5</v>
      </c>
      <c r="C31" s="142" t="str">
        <f t="shared" si="3"/>
        <v>-</v>
      </c>
      <c r="D31" s="142" t="str">
        <f t="shared" si="4"/>
        <v>-</v>
      </c>
      <c r="E31" s="142" t="str">
        <f t="shared" si="5"/>
        <v>-</v>
      </c>
      <c r="F31" s="387" t="str">
        <f t="shared" si="6"/>
        <v>-</v>
      </c>
      <c r="G31" s="371"/>
      <c r="H31" s="250"/>
      <c r="I31" s="268" t="e">
        <f t="shared" si="9"/>
        <v>#N/A</v>
      </c>
      <c r="J31" s="268" t="e">
        <f t="shared" si="9"/>
        <v>#N/A</v>
      </c>
      <c r="K31" s="268">
        <f t="shared" si="9"/>
        <v>0</v>
      </c>
      <c r="L31" s="268">
        <f t="shared" si="9"/>
        <v>0</v>
      </c>
      <c r="M31" s="268">
        <f t="shared" si="9"/>
        <v>0</v>
      </c>
      <c r="N31" s="268">
        <f t="shared" si="9"/>
        <v>0</v>
      </c>
      <c r="O31" s="268">
        <f t="shared" si="9"/>
        <v>0</v>
      </c>
      <c r="P31" s="717" t="str">
        <f t="shared" si="7"/>
        <v/>
      </c>
      <c r="Q31" s="717"/>
      <c r="R31" s="717"/>
      <c r="S31" s="717"/>
      <c r="T31" s="268" t="e">
        <f t="shared" si="10"/>
        <v>#N/A</v>
      </c>
      <c r="U31" s="268" t="e">
        <f t="shared" si="10"/>
        <v>#N/A</v>
      </c>
      <c r="V31" s="268">
        <f t="shared" si="10"/>
        <v>0</v>
      </c>
      <c r="W31" s="268">
        <f t="shared" si="10"/>
        <v>1</v>
      </c>
      <c r="X31" s="268">
        <f t="shared" si="10"/>
        <v>0</v>
      </c>
      <c r="Y31" s="268">
        <f t="shared" si="10"/>
        <v>0</v>
      </c>
      <c r="Z31" s="268">
        <f t="shared" si="10"/>
        <v>0</v>
      </c>
      <c r="AA31" s="717" t="str">
        <f t="shared" si="8"/>
        <v/>
      </c>
      <c r="AB31" s="717"/>
      <c r="AC31" s="717"/>
      <c r="AD31" s="717"/>
      <c r="AE31" s="267"/>
      <c r="AF31" s="278"/>
      <c r="AG31" s="749"/>
      <c r="AH31" s="749"/>
      <c r="AI31" s="279"/>
      <c r="AJ31" s="737" t="str">
        <f t="shared" si="2"/>
        <v/>
      </c>
      <c r="AK31" s="737"/>
      <c r="AL31" s="274"/>
      <c r="AM31" s="250"/>
      <c r="AN31" s="259"/>
      <c r="AO31" s="259"/>
      <c r="AP31" s="259"/>
      <c r="AQ31" s="259"/>
      <c r="AR31" s="259"/>
      <c r="AS31" s="259"/>
      <c r="AT31" s="259"/>
      <c r="AU31" s="259"/>
      <c r="AV31" s="259"/>
      <c r="AW31" s="259"/>
      <c r="AX31" s="259"/>
      <c r="AY31" s="259"/>
      <c r="AZ31" s="259"/>
      <c r="BA31" s="259"/>
      <c r="BB31" s="259"/>
      <c r="BC31" s="259"/>
      <c r="BD31" s="259"/>
      <c r="BE31" s="259"/>
      <c r="BF31" s="259"/>
      <c r="BG31" s="259"/>
      <c r="BH31" s="259"/>
      <c r="BI31" s="259"/>
      <c r="BJ31" s="259"/>
      <c r="BK31" s="259"/>
      <c r="BL31" s="251"/>
      <c r="BM31" s="378"/>
      <c r="BN31" s="379"/>
      <c r="BO31" s="379"/>
      <c r="BP31" s="379"/>
      <c r="BQ31" s="379"/>
      <c r="BR31" s="379"/>
      <c r="BS31" s="380"/>
      <c r="BT31" s="380"/>
      <c r="BU31" s="381"/>
    </row>
    <row r="32" spans="2:73" ht="12" customHeight="1">
      <c r="B32" s="142">
        <f>ROWS($B$6:B31)*$CE$230</f>
        <v>1781</v>
      </c>
      <c r="C32" s="142" t="str">
        <f t="shared" si="3"/>
        <v>-</v>
      </c>
      <c r="D32" s="142" t="str">
        <f t="shared" si="4"/>
        <v>-</v>
      </c>
      <c r="E32" s="142" t="str">
        <f t="shared" si="5"/>
        <v>-</v>
      </c>
      <c r="F32" s="387" t="str">
        <f t="shared" si="6"/>
        <v>-</v>
      </c>
      <c r="G32" s="371"/>
      <c r="H32" s="250"/>
      <c r="I32" s="268" t="e">
        <f t="shared" si="9"/>
        <v>#N/A</v>
      </c>
      <c r="J32" s="268" t="e">
        <f t="shared" si="9"/>
        <v>#N/A</v>
      </c>
      <c r="K32" s="268">
        <f t="shared" si="9"/>
        <v>0</v>
      </c>
      <c r="L32" s="268">
        <f t="shared" si="9"/>
        <v>0</v>
      </c>
      <c r="M32" s="268">
        <f t="shared" si="9"/>
        <v>0</v>
      </c>
      <c r="N32" s="268">
        <f t="shared" si="9"/>
        <v>0</v>
      </c>
      <c r="O32" s="268">
        <f t="shared" si="9"/>
        <v>0</v>
      </c>
      <c r="P32" s="717" t="str">
        <f t="shared" si="7"/>
        <v/>
      </c>
      <c r="Q32" s="717"/>
      <c r="R32" s="717"/>
      <c r="S32" s="717"/>
      <c r="T32" s="268" t="e">
        <f t="shared" si="10"/>
        <v>#N/A</v>
      </c>
      <c r="U32" s="268" t="e">
        <f t="shared" si="10"/>
        <v>#N/A</v>
      </c>
      <c r="V32" s="268">
        <f t="shared" si="10"/>
        <v>0</v>
      </c>
      <c r="W32" s="268">
        <f t="shared" si="10"/>
        <v>1</v>
      </c>
      <c r="X32" s="268">
        <f t="shared" si="10"/>
        <v>0</v>
      </c>
      <c r="Y32" s="268">
        <f t="shared" si="10"/>
        <v>0</v>
      </c>
      <c r="Z32" s="268">
        <f t="shared" si="10"/>
        <v>0</v>
      </c>
      <c r="AA32" s="717" t="str">
        <f t="shared" si="8"/>
        <v/>
      </c>
      <c r="AB32" s="717"/>
      <c r="AC32" s="717"/>
      <c r="AD32" s="717"/>
      <c r="AE32" s="267"/>
      <c r="AF32" s="278"/>
      <c r="AG32" s="749"/>
      <c r="AH32" s="749"/>
      <c r="AI32" s="279"/>
      <c r="AJ32" s="737" t="str">
        <f t="shared" si="2"/>
        <v/>
      </c>
      <c r="AK32" s="737"/>
      <c r="AL32" s="274"/>
      <c r="AM32" s="250"/>
      <c r="AN32" s="259"/>
      <c r="AO32" s="259"/>
      <c r="AP32" s="259"/>
      <c r="AQ32" s="259"/>
      <c r="AR32" s="259"/>
      <c r="AS32" s="259"/>
      <c r="AT32" s="259"/>
      <c r="AU32" s="259"/>
      <c r="AV32" s="259"/>
      <c r="AW32" s="259"/>
      <c r="AX32" s="259"/>
      <c r="AY32" s="259"/>
      <c r="AZ32" s="259"/>
      <c r="BA32" s="259"/>
      <c r="BB32" s="259"/>
      <c r="BC32" s="259"/>
      <c r="BD32" s="259"/>
      <c r="BE32" s="259"/>
      <c r="BF32" s="259"/>
      <c r="BG32" s="259"/>
      <c r="BH32" s="259"/>
      <c r="BI32" s="259"/>
      <c r="BJ32" s="259"/>
      <c r="BK32" s="259"/>
      <c r="BL32" s="251"/>
      <c r="BM32" s="378"/>
      <c r="BN32" s="379"/>
      <c r="BO32" s="379"/>
      <c r="BP32" s="379"/>
      <c r="BQ32" s="379"/>
      <c r="BR32" s="379"/>
      <c r="BS32" s="380"/>
      <c r="BT32" s="380"/>
      <c r="BU32" s="381"/>
    </row>
    <row r="33" spans="2:73" ht="12" customHeight="1">
      <c r="B33" s="142">
        <f>ROWS($B$6:B32)*$CE$230</f>
        <v>1849.5</v>
      </c>
      <c r="C33" s="142" t="str">
        <f t="shared" si="3"/>
        <v>-</v>
      </c>
      <c r="D33" s="142" t="str">
        <f t="shared" si="4"/>
        <v>-</v>
      </c>
      <c r="E33" s="142" t="str">
        <f t="shared" si="5"/>
        <v>-</v>
      </c>
      <c r="F33" s="387" t="str">
        <f t="shared" si="6"/>
        <v>-</v>
      </c>
      <c r="G33" s="371"/>
      <c r="H33" s="250"/>
      <c r="I33" s="268" t="e">
        <f t="shared" si="9"/>
        <v>#N/A</v>
      </c>
      <c r="J33" s="268" t="e">
        <f t="shared" si="9"/>
        <v>#N/A</v>
      </c>
      <c r="K33" s="268">
        <f t="shared" si="9"/>
        <v>0</v>
      </c>
      <c r="L33" s="268">
        <f t="shared" si="9"/>
        <v>0</v>
      </c>
      <c r="M33" s="268">
        <f t="shared" si="9"/>
        <v>0</v>
      </c>
      <c r="N33" s="268">
        <f t="shared" si="9"/>
        <v>0</v>
      </c>
      <c r="O33" s="268">
        <f t="shared" si="9"/>
        <v>0</v>
      </c>
      <c r="P33" s="717" t="str">
        <f t="shared" si="7"/>
        <v/>
      </c>
      <c r="Q33" s="717"/>
      <c r="R33" s="717"/>
      <c r="S33" s="717"/>
      <c r="T33" s="268" t="e">
        <f t="shared" si="10"/>
        <v>#N/A</v>
      </c>
      <c r="U33" s="268" t="e">
        <f t="shared" si="10"/>
        <v>#N/A</v>
      </c>
      <c r="V33" s="268">
        <f t="shared" si="10"/>
        <v>0</v>
      </c>
      <c r="W33" s="268">
        <f t="shared" si="10"/>
        <v>1</v>
      </c>
      <c r="X33" s="268">
        <f t="shared" si="10"/>
        <v>0</v>
      </c>
      <c r="Y33" s="268">
        <f t="shared" si="10"/>
        <v>0</v>
      </c>
      <c r="Z33" s="268">
        <f t="shared" si="10"/>
        <v>0</v>
      </c>
      <c r="AA33" s="717" t="str">
        <f t="shared" si="8"/>
        <v/>
      </c>
      <c r="AB33" s="717"/>
      <c r="AC33" s="717"/>
      <c r="AD33" s="717"/>
      <c r="AE33" s="267"/>
      <c r="AF33" s="278"/>
      <c r="AG33" s="749"/>
      <c r="AH33" s="749"/>
      <c r="AI33" s="279"/>
      <c r="AJ33" s="737" t="str">
        <f t="shared" si="2"/>
        <v/>
      </c>
      <c r="AK33" s="737"/>
      <c r="AL33" s="274"/>
      <c r="AM33" s="250"/>
      <c r="AN33" s="259"/>
      <c r="AO33" s="259"/>
      <c r="AP33" s="259"/>
      <c r="AQ33" s="259"/>
      <c r="AR33" s="259"/>
      <c r="AS33" s="259"/>
      <c r="AT33" s="259"/>
      <c r="AU33" s="259"/>
      <c r="AV33" s="259"/>
      <c r="AW33" s="259"/>
      <c r="AX33" s="259"/>
      <c r="AY33" s="259"/>
      <c r="AZ33" s="259"/>
      <c r="BA33" s="259"/>
      <c r="BB33" s="259"/>
      <c r="BC33" s="259"/>
      <c r="BD33" s="259"/>
      <c r="BE33" s="259"/>
      <c r="BF33" s="259"/>
      <c r="BG33" s="259"/>
      <c r="BH33" s="259"/>
      <c r="BI33" s="259"/>
      <c r="BJ33" s="259"/>
      <c r="BK33" s="259"/>
      <c r="BL33" s="251"/>
      <c r="BM33" s="378"/>
      <c r="BN33" s="379"/>
      <c r="BO33" s="379"/>
      <c r="BP33" s="379"/>
      <c r="BQ33" s="379"/>
      <c r="BR33" s="379"/>
      <c r="BS33" s="380"/>
      <c r="BT33" s="380"/>
      <c r="BU33" s="381"/>
    </row>
    <row r="34" spans="2:73" ht="12" customHeight="1">
      <c r="B34" s="142">
        <f>ROWS($B$6:B33)*$CE$230</f>
        <v>1918</v>
      </c>
      <c r="C34" s="142" t="str">
        <f t="shared" si="3"/>
        <v>-</v>
      </c>
      <c r="D34" s="142" t="str">
        <f t="shared" si="4"/>
        <v>-</v>
      </c>
      <c r="E34" s="142" t="str">
        <f t="shared" si="5"/>
        <v>-</v>
      </c>
      <c r="F34" s="387" t="str">
        <f t="shared" si="6"/>
        <v>-</v>
      </c>
      <c r="G34" s="371"/>
      <c r="H34" s="250"/>
      <c r="I34" s="268" t="e">
        <f t="shared" si="9"/>
        <v>#N/A</v>
      </c>
      <c r="J34" s="268" t="e">
        <f t="shared" si="9"/>
        <v>#N/A</v>
      </c>
      <c r="K34" s="268">
        <f t="shared" si="9"/>
        <v>0</v>
      </c>
      <c r="L34" s="268">
        <f t="shared" si="9"/>
        <v>0</v>
      </c>
      <c r="M34" s="268">
        <f t="shared" si="9"/>
        <v>0</v>
      </c>
      <c r="N34" s="268">
        <f t="shared" si="9"/>
        <v>0</v>
      </c>
      <c r="O34" s="268">
        <f t="shared" si="9"/>
        <v>0</v>
      </c>
      <c r="P34" s="717" t="str">
        <f t="shared" si="7"/>
        <v/>
      </c>
      <c r="Q34" s="717"/>
      <c r="R34" s="717"/>
      <c r="S34" s="717"/>
      <c r="T34" s="268" t="e">
        <f t="shared" si="10"/>
        <v>#N/A</v>
      </c>
      <c r="U34" s="268" t="e">
        <f t="shared" si="10"/>
        <v>#N/A</v>
      </c>
      <c r="V34" s="268">
        <f t="shared" si="10"/>
        <v>0</v>
      </c>
      <c r="W34" s="268">
        <f t="shared" si="10"/>
        <v>1</v>
      </c>
      <c r="X34" s="268">
        <f t="shared" si="10"/>
        <v>0</v>
      </c>
      <c r="Y34" s="268">
        <f t="shared" si="10"/>
        <v>0</v>
      </c>
      <c r="Z34" s="268">
        <f t="shared" si="10"/>
        <v>0</v>
      </c>
      <c r="AA34" s="717" t="str">
        <f t="shared" si="8"/>
        <v/>
      </c>
      <c r="AB34" s="717"/>
      <c r="AC34" s="717"/>
      <c r="AD34" s="717"/>
      <c r="AE34" s="267"/>
      <c r="AF34" s="278"/>
      <c r="AG34" s="749"/>
      <c r="AH34" s="749"/>
      <c r="AI34" s="279"/>
      <c r="AJ34" s="737" t="str">
        <f t="shared" si="2"/>
        <v/>
      </c>
      <c r="AK34" s="737"/>
      <c r="AL34" s="274"/>
      <c r="AM34" s="250"/>
      <c r="AN34" s="259"/>
      <c r="AO34" s="259"/>
      <c r="AP34" s="259"/>
      <c r="AQ34" s="259"/>
      <c r="AR34" s="259"/>
      <c r="AS34" s="259"/>
      <c r="AT34" s="259"/>
      <c r="AU34" s="259"/>
      <c r="AV34" s="259"/>
      <c r="AW34" s="259"/>
      <c r="AX34" s="259"/>
      <c r="AY34" s="259"/>
      <c r="AZ34" s="259"/>
      <c r="BA34" s="259"/>
      <c r="BB34" s="259"/>
      <c r="BC34" s="259"/>
      <c r="BD34" s="259"/>
      <c r="BE34" s="259"/>
      <c r="BF34" s="259"/>
      <c r="BG34" s="259"/>
      <c r="BH34" s="259"/>
      <c r="BI34" s="259"/>
      <c r="BJ34" s="259"/>
      <c r="BK34" s="259"/>
      <c r="BL34" s="251"/>
      <c r="BM34" s="378"/>
      <c r="BN34" s="379"/>
      <c r="BO34" s="379"/>
      <c r="BP34" s="379"/>
      <c r="BQ34" s="379"/>
      <c r="BR34" s="379"/>
      <c r="BS34" s="380"/>
      <c r="BT34" s="380"/>
      <c r="BU34" s="381"/>
    </row>
    <row r="35" spans="2:73" ht="12" customHeight="1">
      <c r="B35" s="142">
        <f>ROWS($B$6:B34)*$CE$230</f>
        <v>1986.5</v>
      </c>
      <c r="C35" s="142" t="str">
        <f t="shared" si="3"/>
        <v>-</v>
      </c>
      <c r="D35" s="142" t="str">
        <f t="shared" si="4"/>
        <v>-</v>
      </c>
      <c r="E35" s="142" t="str">
        <f t="shared" si="5"/>
        <v>-</v>
      </c>
      <c r="F35" s="387" t="str">
        <f t="shared" si="6"/>
        <v>-</v>
      </c>
      <c r="G35" s="371"/>
      <c r="H35" s="250"/>
      <c r="I35" s="268" t="e">
        <f t="shared" si="9"/>
        <v>#N/A</v>
      </c>
      <c r="J35" s="268" t="e">
        <f t="shared" si="9"/>
        <v>#N/A</v>
      </c>
      <c r="K35" s="268">
        <f t="shared" si="9"/>
        <v>0</v>
      </c>
      <c r="L35" s="268">
        <f t="shared" si="9"/>
        <v>0</v>
      </c>
      <c r="M35" s="268">
        <f t="shared" si="9"/>
        <v>0</v>
      </c>
      <c r="N35" s="268">
        <f t="shared" si="9"/>
        <v>0</v>
      </c>
      <c r="O35" s="268">
        <f t="shared" si="9"/>
        <v>0</v>
      </c>
      <c r="P35" s="717" t="str">
        <f t="shared" si="7"/>
        <v/>
      </c>
      <c r="Q35" s="717"/>
      <c r="R35" s="717"/>
      <c r="S35" s="717"/>
      <c r="T35" s="268" t="e">
        <f t="shared" si="10"/>
        <v>#N/A</v>
      </c>
      <c r="U35" s="268" t="e">
        <f t="shared" si="10"/>
        <v>#N/A</v>
      </c>
      <c r="V35" s="268">
        <f t="shared" si="10"/>
        <v>0</v>
      </c>
      <c r="W35" s="268">
        <f t="shared" si="10"/>
        <v>1</v>
      </c>
      <c r="X35" s="268">
        <f t="shared" si="10"/>
        <v>0</v>
      </c>
      <c r="Y35" s="268">
        <f t="shared" si="10"/>
        <v>0</v>
      </c>
      <c r="Z35" s="268">
        <f t="shared" si="10"/>
        <v>0</v>
      </c>
      <c r="AA35" s="717" t="str">
        <f t="shared" si="8"/>
        <v/>
      </c>
      <c r="AB35" s="717"/>
      <c r="AC35" s="717"/>
      <c r="AD35" s="717"/>
      <c r="AE35" s="267"/>
      <c r="AF35" s="278"/>
      <c r="AG35" s="749"/>
      <c r="AH35" s="749"/>
      <c r="AI35" s="279"/>
      <c r="AJ35" s="737" t="str">
        <f t="shared" si="2"/>
        <v/>
      </c>
      <c r="AK35" s="737"/>
      <c r="AL35" s="274"/>
      <c r="AM35" s="250"/>
      <c r="AN35" s="259"/>
      <c r="AO35" s="259"/>
      <c r="AP35" s="259"/>
      <c r="AQ35" s="259"/>
      <c r="AR35" s="259"/>
      <c r="AS35" s="259"/>
      <c r="AT35" s="259"/>
      <c r="AU35" s="259"/>
      <c r="AV35" s="259"/>
      <c r="AW35" s="259"/>
      <c r="AX35" s="259"/>
      <c r="AY35" s="259"/>
      <c r="AZ35" s="259"/>
      <c r="BA35" s="259"/>
      <c r="BB35" s="259"/>
      <c r="BC35" s="259"/>
      <c r="BD35" s="259"/>
      <c r="BE35" s="259"/>
      <c r="BF35" s="259"/>
      <c r="BG35" s="259"/>
      <c r="BH35" s="259"/>
      <c r="BI35" s="259"/>
      <c r="BJ35" s="259"/>
      <c r="BK35" s="259"/>
      <c r="BL35" s="251"/>
      <c r="BM35" s="378"/>
      <c r="BN35" s="379"/>
      <c r="BO35" s="379"/>
      <c r="BP35" s="379"/>
      <c r="BQ35" s="379"/>
      <c r="BR35" s="379"/>
      <c r="BS35" s="380"/>
      <c r="BT35" s="380"/>
      <c r="BU35" s="381"/>
    </row>
    <row r="36" spans="2:73" ht="12" customHeight="1">
      <c r="B36" s="142">
        <f>ROWS($B$6:B35)*$CE$230</f>
        <v>2055</v>
      </c>
      <c r="C36" s="142" t="str">
        <f t="shared" si="3"/>
        <v>-</v>
      </c>
      <c r="D36" s="142" t="str">
        <f t="shared" si="4"/>
        <v>-</v>
      </c>
      <c r="E36" s="142" t="str">
        <f t="shared" si="5"/>
        <v>-</v>
      </c>
      <c r="F36" s="387" t="str">
        <f t="shared" si="6"/>
        <v>-</v>
      </c>
      <c r="G36" s="371"/>
      <c r="H36" s="250"/>
      <c r="I36" s="268" t="e">
        <f t="shared" si="9"/>
        <v>#N/A</v>
      </c>
      <c r="J36" s="268" t="e">
        <f t="shared" si="9"/>
        <v>#N/A</v>
      </c>
      <c r="K36" s="268">
        <f t="shared" si="9"/>
        <v>0</v>
      </c>
      <c r="L36" s="268">
        <f t="shared" si="9"/>
        <v>0</v>
      </c>
      <c r="M36" s="268">
        <f t="shared" si="9"/>
        <v>0</v>
      </c>
      <c r="N36" s="268">
        <f t="shared" si="9"/>
        <v>0</v>
      </c>
      <c r="O36" s="268">
        <f t="shared" si="9"/>
        <v>0</v>
      </c>
      <c r="P36" s="717" t="str">
        <f t="shared" si="7"/>
        <v/>
      </c>
      <c r="Q36" s="717"/>
      <c r="R36" s="717"/>
      <c r="S36" s="717"/>
      <c r="T36" s="268" t="e">
        <f t="shared" si="10"/>
        <v>#N/A</v>
      </c>
      <c r="U36" s="268" t="e">
        <f t="shared" si="10"/>
        <v>#N/A</v>
      </c>
      <c r="V36" s="268">
        <f t="shared" si="10"/>
        <v>0</v>
      </c>
      <c r="W36" s="268">
        <f t="shared" si="10"/>
        <v>1</v>
      </c>
      <c r="X36" s="268">
        <f t="shared" si="10"/>
        <v>0</v>
      </c>
      <c r="Y36" s="268">
        <f t="shared" si="10"/>
        <v>0</v>
      </c>
      <c r="Z36" s="268">
        <f t="shared" si="10"/>
        <v>0</v>
      </c>
      <c r="AA36" s="717" t="str">
        <f t="shared" si="8"/>
        <v/>
      </c>
      <c r="AB36" s="717"/>
      <c r="AC36" s="717"/>
      <c r="AD36" s="717"/>
      <c r="AE36" s="267"/>
      <c r="AF36" s="278"/>
      <c r="AG36" s="749"/>
      <c r="AH36" s="749"/>
      <c r="AI36" s="279"/>
      <c r="AJ36" s="737" t="str">
        <f t="shared" si="2"/>
        <v/>
      </c>
      <c r="AK36" s="737"/>
      <c r="AL36" s="274"/>
      <c r="AM36" s="250"/>
      <c r="AN36" s="259"/>
      <c r="AO36" s="259"/>
      <c r="AP36" s="259"/>
      <c r="AQ36" s="259"/>
      <c r="AR36" s="259"/>
      <c r="AS36" s="259"/>
      <c r="AT36" s="259"/>
      <c r="AU36" s="259"/>
      <c r="AV36" s="259"/>
      <c r="AW36" s="259"/>
      <c r="AX36" s="259"/>
      <c r="AY36" s="259"/>
      <c r="AZ36" s="259"/>
      <c r="BA36" s="259"/>
      <c r="BB36" s="259"/>
      <c r="BC36" s="259"/>
      <c r="BD36" s="259"/>
      <c r="BE36" s="259"/>
      <c r="BF36" s="259"/>
      <c r="BG36" s="259"/>
      <c r="BH36" s="259"/>
      <c r="BI36" s="259"/>
      <c r="BJ36" s="259"/>
      <c r="BK36" s="259"/>
      <c r="BL36" s="251"/>
      <c r="BM36" s="378"/>
      <c r="BN36" s="379"/>
      <c r="BO36" s="379"/>
      <c r="BP36" s="379"/>
      <c r="BQ36" s="379"/>
      <c r="BR36" s="379"/>
      <c r="BS36" s="380"/>
      <c r="BT36" s="380"/>
      <c r="BU36" s="381"/>
    </row>
    <row r="37" spans="2:73" ht="12" customHeight="1">
      <c r="B37" s="142">
        <f>ROWS($B$6:B36)*$CE$230</f>
        <v>2123.5</v>
      </c>
      <c r="C37" s="142" t="str">
        <f t="shared" si="3"/>
        <v>-</v>
      </c>
      <c r="D37" s="142" t="str">
        <f t="shared" si="4"/>
        <v>-</v>
      </c>
      <c r="E37" s="142" t="str">
        <f t="shared" si="5"/>
        <v>-</v>
      </c>
      <c r="F37" s="387" t="str">
        <f t="shared" si="6"/>
        <v>-</v>
      </c>
      <c r="G37" s="371"/>
      <c r="H37" s="250"/>
      <c r="I37" s="268" t="e">
        <f t="shared" si="9"/>
        <v>#N/A</v>
      </c>
      <c r="J37" s="268" t="e">
        <f t="shared" si="9"/>
        <v>#N/A</v>
      </c>
      <c r="K37" s="268">
        <f t="shared" si="9"/>
        <v>0</v>
      </c>
      <c r="L37" s="268">
        <f t="shared" si="9"/>
        <v>0</v>
      </c>
      <c r="M37" s="268">
        <f t="shared" si="9"/>
        <v>0</v>
      </c>
      <c r="N37" s="268">
        <f t="shared" si="9"/>
        <v>0</v>
      </c>
      <c r="O37" s="268">
        <f t="shared" si="9"/>
        <v>0</v>
      </c>
      <c r="P37" s="717" t="str">
        <f t="shared" si="7"/>
        <v/>
      </c>
      <c r="Q37" s="717"/>
      <c r="R37" s="717"/>
      <c r="S37" s="717"/>
      <c r="T37" s="268" t="e">
        <f t="shared" si="10"/>
        <v>#N/A</v>
      </c>
      <c r="U37" s="268" t="e">
        <f t="shared" si="10"/>
        <v>#N/A</v>
      </c>
      <c r="V37" s="268">
        <f t="shared" si="10"/>
        <v>0</v>
      </c>
      <c r="W37" s="268">
        <f t="shared" si="10"/>
        <v>1</v>
      </c>
      <c r="X37" s="268">
        <f t="shared" si="10"/>
        <v>0</v>
      </c>
      <c r="Y37" s="268">
        <f t="shared" si="10"/>
        <v>0</v>
      </c>
      <c r="Z37" s="268">
        <f t="shared" si="10"/>
        <v>0</v>
      </c>
      <c r="AA37" s="717" t="str">
        <f t="shared" si="8"/>
        <v/>
      </c>
      <c r="AB37" s="717"/>
      <c r="AC37" s="717"/>
      <c r="AD37" s="717"/>
      <c r="AE37" s="267"/>
      <c r="AF37" s="278"/>
      <c r="AG37" s="749"/>
      <c r="AH37" s="749"/>
      <c r="AI37" s="279"/>
      <c r="AJ37" s="737" t="str">
        <f t="shared" si="2"/>
        <v/>
      </c>
      <c r="AK37" s="737"/>
      <c r="AL37" s="274"/>
      <c r="AM37" s="250"/>
      <c r="AN37" s="259"/>
      <c r="AO37" s="259"/>
      <c r="AP37" s="259"/>
      <c r="AQ37" s="259"/>
      <c r="AR37" s="259"/>
      <c r="AS37" s="259"/>
      <c r="AT37" s="259"/>
      <c r="AU37" s="259"/>
      <c r="AV37" s="259"/>
      <c r="AW37" s="259"/>
      <c r="AX37" s="259"/>
      <c r="AY37" s="259"/>
      <c r="AZ37" s="259"/>
      <c r="BA37" s="259"/>
      <c r="BB37" s="259"/>
      <c r="BC37" s="259"/>
      <c r="BD37" s="259"/>
      <c r="BE37" s="259"/>
      <c r="BF37" s="259"/>
      <c r="BG37" s="259"/>
      <c r="BH37" s="259"/>
      <c r="BI37" s="259"/>
      <c r="BJ37" s="259"/>
      <c r="BK37" s="259"/>
      <c r="BL37" s="251"/>
      <c r="BM37" s="378"/>
      <c r="BN37" s="379"/>
      <c r="BO37" s="379"/>
      <c r="BP37" s="379"/>
      <c r="BQ37" s="379"/>
      <c r="BR37" s="379"/>
      <c r="BS37" s="380"/>
      <c r="BT37" s="380"/>
      <c r="BU37" s="381"/>
    </row>
    <row r="38" spans="2:73" ht="12" customHeight="1">
      <c r="B38" s="142">
        <f>ROWS($B$6:B37)*$CE$230</f>
        <v>2192</v>
      </c>
      <c r="C38" s="142" t="str">
        <f t="shared" si="3"/>
        <v>-</v>
      </c>
      <c r="D38" s="142" t="str">
        <f t="shared" si="4"/>
        <v>-</v>
      </c>
      <c r="E38" s="142" t="str">
        <f t="shared" si="5"/>
        <v>-</v>
      </c>
      <c r="F38" s="387" t="str">
        <f t="shared" si="6"/>
        <v>-</v>
      </c>
      <c r="G38" s="371"/>
      <c r="H38" s="250"/>
      <c r="I38" s="268" t="e">
        <f t="shared" si="9"/>
        <v>#N/A</v>
      </c>
      <c r="J38" s="268" t="e">
        <f t="shared" si="9"/>
        <v>#N/A</v>
      </c>
      <c r="K38" s="268">
        <f t="shared" si="9"/>
        <v>0</v>
      </c>
      <c r="L38" s="268">
        <f t="shared" si="9"/>
        <v>0</v>
      </c>
      <c r="M38" s="268">
        <f t="shared" si="9"/>
        <v>0</v>
      </c>
      <c r="N38" s="268">
        <f t="shared" si="9"/>
        <v>0</v>
      </c>
      <c r="O38" s="268">
        <f t="shared" si="9"/>
        <v>0</v>
      </c>
      <c r="P38" s="717" t="str">
        <f t="shared" si="7"/>
        <v/>
      </c>
      <c r="Q38" s="717"/>
      <c r="R38" s="717"/>
      <c r="S38" s="717"/>
      <c r="T38" s="268" t="e">
        <f t="shared" si="10"/>
        <v>#N/A</v>
      </c>
      <c r="U38" s="268" t="e">
        <f t="shared" si="10"/>
        <v>#N/A</v>
      </c>
      <c r="V38" s="268">
        <f t="shared" si="10"/>
        <v>0</v>
      </c>
      <c r="W38" s="268">
        <f t="shared" si="10"/>
        <v>1</v>
      </c>
      <c r="X38" s="268">
        <f t="shared" si="10"/>
        <v>0</v>
      </c>
      <c r="Y38" s="268">
        <f t="shared" si="10"/>
        <v>0</v>
      </c>
      <c r="Z38" s="268">
        <f t="shared" si="10"/>
        <v>0</v>
      </c>
      <c r="AA38" s="717" t="str">
        <f t="shared" si="8"/>
        <v/>
      </c>
      <c r="AB38" s="717"/>
      <c r="AC38" s="717"/>
      <c r="AD38" s="717"/>
      <c r="AE38" s="267"/>
      <c r="AF38" s="278"/>
      <c r="AG38" s="749"/>
      <c r="AH38" s="749"/>
      <c r="AI38" s="279"/>
      <c r="AJ38" s="737" t="str">
        <f t="shared" si="2"/>
        <v/>
      </c>
      <c r="AK38" s="737"/>
      <c r="AL38" s="274"/>
      <c r="AM38" s="250"/>
      <c r="AN38" s="259"/>
      <c r="AO38" s="259"/>
      <c r="AP38" s="259"/>
      <c r="AQ38" s="259"/>
      <c r="AR38" s="259"/>
      <c r="AS38" s="259"/>
      <c r="AT38" s="259"/>
      <c r="AU38" s="259"/>
      <c r="AV38" s="259"/>
      <c r="AW38" s="259"/>
      <c r="AX38" s="259"/>
      <c r="AY38" s="259"/>
      <c r="AZ38" s="259"/>
      <c r="BA38" s="259"/>
      <c r="BB38" s="259"/>
      <c r="BC38" s="259"/>
      <c r="BD38" s="259"/>
      <c r="BE38" s="259"/>
      <c r="BF38" s="259"/>
      <c r="BG38" s="259"/>
      <c r="BH38" s="259"/>
      <c r="BI38" s="259"/>
      <c r="BJ38" s="259"/>
      <c r="BK38" s="259"/>
      <c r="BL38" s="251"/>
      <c r="BM38" s="378"/>
      <c r="BN38" s="379"/>
      <c r="BO38" s="379"/>
      <c r="BP38" s="379"/>
      <c r="BQ38" s="379"/>
      <c r="BR38" s="379"/>
      <c r="BS38" s="380"/>
      <c r="BT38" s="380"/>
      <c r="BU38" s="381"/>
    </row>
    <row r="39" spans="2:73" ht="12" customHeight="1">
      <c r="B39" s="142">
        <f>ROWS($B$6:B38)*$CE$230</f>
        <v>2260.5</v>
      </c>
      <c r="C39" s="142" t="str">
        <f t="shared" si="3"/>
        <v>-</v>
      </c>
      <c r="D39" s="142" t="str">
        <f t="shared" si="4"/>
        <v>-</v>
      </c>
      <c r="E39" s="142" t="str">
        <f t="shared" si="5"/>
        <v>-</v>
      </c>
      <c r="F39" s="387">
        <f t="shared" si="6"/>
        <v>4.5</v>
      </c>
      <c r="G39" s="371"/>
      <c r="H39" s="250"/>
      <c r="I39" s="268" t="e">
        <f t="shared" ref="I39:O41" si="11">IF(ISNUMBER(INDEX($BT$236:$BU$239,MATCH(I$6,$BU$236:$BU$239,0),1)),IF(AND($B39&lt;INDEX($BT$236:$BU$239,MATCH(I$6,$BU$236:$BU$239,0),1),$B39&lt;INDEX($BT$228:$BU$235,MATCH(I$6,$BU$228:$BU$235,0),1)),0,IF(I$6=$D39,3,IF(I$6=$C39,2,IF($B39&lt;VLOOKUP(I$6,$BU$228:$BV$235,2,FALSE),1,0)))),IF(I$6=$D39,3,IF(I$6=$C39,2,IF($B39&lt;VLOOKUP(I$6,$BU$228:$BV$235,2,FALSE),1,IF(AND($B39&lt;INDEX($BT$228:$BU$239,MATCH(I$6,$BU$228:$BU$239,0),1),$B39&lt;INDEX($BT$228:$BU$235,MATCH(I$6,$BU$228:$BU$235,0),1)),0,0)))))</f>
        <v>#N/A</v>
      </c>
      <c r="J39" s="268" t="e">
        <f t="shared" si="11"/>
        <v>#N/A</v>
      </c>
      <c r="K39" s="268">
        <f t="shared" si="11"/>
        <v>0</v>
      </c>
      <c r="L39" s="268">
        <f t="shared" si="11"/>
        <v>0</v>
      </c>
      <c r="M39" s="268">
        <f t="shared" si="11"/>
        <v>0</v>
      </c>
      <c r="N39" s="268">
        <f t="shared" si="11"/>
        <v>0</v>
      </c>
      <c r="O39" s="268">
        <f t="shared" si="11"/>
        <v>0</v>
      </c>
      <c r="P39" s="717" t="str">
        <f t="shared" si="7"/>
        <v/>
      </c>
      <c r="Q39" s="717"/>
      <c r="R39" s="717"/>
      <c r="S39" s="717"/>
      <c r="T39" s="268" t="e">
        <f t="shared" ref="T39:Z41" si="12">IF(ISNUMBER(INDEX($BY$236:$BZ$240,MATCH(T$6,$BZ$236:$BZ$239,0),1)),IF(AND($B39&lt;INDEX($BY$236:$BZ$240,MATCH(T$6,$BZ$236:$BZ$239,0),1),$B39&lt;INDEX($BY$228:$BZ$235,MATCH(T$6,$BZ$228:$BZ$235,0),1)),0,IF(T$6=$F39,3,IF(T$6=$E39,2,IF($B39&lt;VLOOKUP(T$6,$BZ$228:$CA$235,2,FALSE),1,0)))),IF(T$6=$F39,3,IF(T$6=$E39,2,IF($B39&lt;VLOOKUP(T$6,$BZ$228:$CA$235,2,FALSE),1,IF(AND($B39&lt;INDEX($BY$228:$BZ$239,MATCH(T$6,$BZ$228:$BZ$239,0),1),$B39&lt;INDEX($BY$228:$BZ$235,MATCH(T$6,$BZ$228:$BZ$235,0),1)),0,0)))))</f>
        <v>#N/A</v>
      </c>
      <c r="U39" s="268" t="e">
        <f t="shared" si="12"/>
        <v>#N/A</v>
      </c>
      <c r="V39" s="268">
        <f t="shared" si="12"/>
        <v>3</v>
      </c>
      <c r="W39" s="268">
        <f t="shared" si="12"/>
        <v>1</v>
      </c>
      <c r="X39" s="268">
        <f t="shared" si="12"/>
        <v>0</v>
      </c>
      <c r="Y39" s="268">
        <f t="shared" si="12"/>
        <v>0</v>
      </c>
      <c r="Z39" s="268">
        <f t="shared" si="12"/>
        <v>0</v>
      </c>
      <c r="AA39" s="717" t="str">
        <f t="shared" si="8"/>
        <v>TOL 4 1/2'' at 2249 m</v>
      </c>
      <c r="AB39" s="717"/>
      <c r="AC39" s="717"/>
      <c r="AD39" s="717"/>
      <c r="AE39" s="267"/>
      <c r="AF39" s="278"/>
      <c r="AG39" s="749"/>
      <c r="AH39" s="749"/>
      <c r="AI39" s="279"/>
      <c r="AJ39" s="737" t="str">
        <f t="shared" si="2"/>
        <v/>
      </c>
      <c r="AK39" s="737"/>
      <c r="AL39" s="274"/>
      <c r="AM39" s="250"/>
      <c r="AN39" s="259"/>
      <c r="AO39" s="259"/>
      <c r="AP39" s="259"/>
      <c r="AQ39" s="259"/>
      <c r="AR39" s="259"/>
      <c r="AS39" s="259"/>
      <c r="AT39" s="259"/>
      <c r="AU39" s="259"/>
      <c r="AV39" s="259"/>
      <c r="AW39" s="259"/>
      <c r="AX39" s="259"/>
      <c r="AY39" s="259"/>
      <c r="AZ39" s="259"/>
      <c r="BA39" s="259"/>
      <c r="BB39" s="259"/>
      <c r="BC39" s="259"/>
      <c r="BD39" s="259"/>
      <c r="BE39" s="259"/>
      <c r="BF39" s="259"/>
      <c r="BG39" s="259"/>
      <c r="BH39" s="259"/>
      <c r="BI39" s="259"/>
      <c r="BJ39" s="259"/>
      <c r="BK39" s="259"/>
      <c r="BL39" s="251"/>
      <c r="BM39" s="378"/>
      <c r="BN39" s="379"/>
      <c r="BO39" s="379"/>
      <c r="BP39" s="379"/>
      <c r="BQ39" s="379"/>
      <c r="BR39" s="379"/>
      <c r="BS39" s="380"/>
      <c r="BT39" s="380"/>
      <c r="BU39" s="381"/>
    </row>
    <row r="40" spans="2:73" ht="12" customHeight="1">
      <c r="B40" s="142">
        <f>ROWS($B$6:B39)*$CE$230</f>
        <v>2329</v>
      </c>
      <c r="C40" s="142" t="str">
        <f t="shared" si="3"/>
        <v>-</v>
      </c>
      <c r="D40" s="142" t="str">
        <f t="shared" si="4"/>
        <v>-</v>
      </c>
      <c r="E40" s="142">
        <f t="shared" si="5"/>
        <v>7</v>
      </c>
      <c r="F40" s="387" t="str">
        <f t="shared" si="6"/>
        <v>-</v>
      </c>
      <c r="G40" s="371"/>
      <c r="H40" s="250"/>
      <c r="I40" s="268" t="e">
        <f t="shared" si="11"/>
        <v>#N/A</v>
      </c>
      <c r="J40" s="268" t="e">
        <f t="shared" si="11"/>
        <v>#N/A</v>
      </c>
      <c r="K40" s="268">
        <f t="shared" si="11"/>
        <v>0</v>
      </c>
      <c r="L40" s="268">
        <f t="shared" si="11"/>
        <v>0</v>
      </c>
      <c r="M40" s="268">
        <f t="shared" si="11"/>
        <v>0</v>
      </c>
      <c r="N40" s="268">
        <f t="shared" si="11"/>
        <v>0</v>
      </c>
      <c r="O40" s="268">
        <f t="shared" si="11"/>
        <v>0</v>
      </c>
      <c r="P40" s="717" t="str">
        <f t="shared" si="7"/>
        <v/>
      </c>
      <c r="Q40" s="717"/>
      <c r="R40" s="717"/>
      <c r="S40" s="717"/>
      <c r="T40" s="268" t="e">
        <f t="shared" si="12"/>
        <v>#N/A</v>
      </c>
      <c r="U40" s="268" t="e">
        <f t="shared" si="12"/>
        <v>#N/A</v>
      </c>
      <c r="V40" s="268">
        <f t="shared" si="12"/>
        <v>1</v>
      </c>
      <c r="W40" s="268">
        <f t="shared" si="12"/>
        <v>2</v>
      </c>
      <c r="X40" s="268">
        <f t="shared" si="12"/>
        <v>0</v>
      </c>
      <c r="Y40" s="268">
        <f t="shared" si="12"/>
        <v>0</v>
      </c>
      <c r="Z40" s="268">
        <f t="shared" si="12"/>
        <v>0</v>
      </c>
      <c r="AA40" s="717" t="str">
        <f t="shared" si="8"/>
        <v>7'' at 2305 m</v>
      </c>
      <c r="AB40" s="717"/>
      <c r="AC40" s="717"/>
      <c r="AD40" s="717"/>
      <c r="AE40" s="267"/>
      <c r="AF40" s="278"/>
      <c r="AG40" s="749"/>
      <c r="AH40" s="749"/>
      <c r="AI40" s="279"/>
      <c r="AJ40" s="737" t="str">
        <f t="shared" si="2"/>
        <v/>
      </c>
      <c r="AK40" s="737"/>
      <c r="AL40" s="274"/>
      <c r="AM40" s="250"/>
      <c r="AN40" s="259"/>
      <c r="AO40" s="259"/>
      <c r="AP40" s="259"/>
      <c r="AQ40" s="259"/>
      <c r="AR40" s="259"/>
      <c r="AS40" s="259"/>
      <c r="AT40" s="259"/>
      <c r="AU40" s="259"/>
      <c r="AV40" s="259"/>
      <c r="AW40" s="259"/>
      <c r="AX40" s="259"/>
      <c r="AY40" s="259"/>
      <c r="AZ40" s="259"/>
      <c r="BA40" s="259"/>
      <c r="BB40" s="259"/>
      <c r="BC40" s="259"/>
      <c r="BD40" s="259"/>
      <c r="BE40" s="259"/>
      <c r="BF40" s="259"/>
      <c r="BG40" s="259"/>
      <c r="BH40" s="259"/>
      <c r="BI40" s="259"/>
      <c r="BJ40" s="259"/>
      <c r="BK40" s="259"/>
      <c r="BL40" s="251"/>
      <c r="BM40" s="378"/>
      <c r="BN40" s="379"/>
      <c r="BO40" s="379"/>
      <c r="BP40" s="379"/>
      <c r="BQ40" s="379"/>
      <c r="BR40" s="379"/>
      <c r="BS40" s="380"/>
      <c r="BT40" s="380"/>
      <c r="BU40" s="381"/>
    </row>
    <row r="41" spans="2:73" ht="12" customHeight="1">
      <c r="B41" s="142">
        <f>ROWS($B$6:B40)*$CE$230</f>
        <v>2397.5</v>
      </c>
      <c r="C41" s="142" t="str">
        <f t="shared" si="3"/>
        <v>-</v>
      </c>
      <c r="D41" s="142" t="str">
        <f t="shared" si="4"/>
        <v>-</v>
      </c>
      <c r="E41" s="142">
        <f t="shared" si="5"/>
        <v>4.5</v>
      </c>
      <c r="F41" s="387" t="str">
        <f t="shared" si="6"/>
        <v>-</v>
      </c>
      <c r="G41" s="371"/>
      <c r="H41" s="250"/>
      <c r="I41" s="268" t="e">
        <f t="shared" si="11"/>
        <v>#N/A</v>
      </c>
      <c r="J41" s="268" t="e">
        <f t="shared" si="11"/>
        <v>#N/A</v>
      </c>
      <c r="K41" s="268">
        <f t="shared" si="11"/>
        <v>0</v>
      </c>
      <c r="L41" s="268">
        <f t="shared" si="11"/>
        <v>0</v>
      </c>
      <c r="M41" s="268">
        <f t="shared" si="11"/>
        <v>0</v>
      </c>
      <c r="N41" s="268">
        <f t="shared" si="11"/>
        <v>0</v>
      </c>
      <c r="O41" s="268">
        <f t="shared" si="11"/>
        <v>0</v>
      </c>
      <c r="P41" s="725" t="str">
        <f t="shared" si="7"/>
        <v/>
      </c>
      <c r="Q41" s="726"/>
      <c r="R41" s="726"/>
      <c r="S41" s="727"/>
      <c r="T41" s="268" t="e">
        <f t="shared" si="12"/>
        <v>#N/A</v>
      </c>
      <c r="U41" s="268" t="e">
        <f t="shared" si="12"/>
        <v>#N/A</v>
      </c>
      <c r="V41" s="268">
        <f t="shared" si="12"/>
        <v>2</v>
      </c>
      <c r="W41" s="268">
        <f t="shared" si="12"/>
        <v>0</v>
      </c>
      <c r="X41" s="268">
        <f t="shared" si="12"/>
        <v>0</v>
      </c>
      <c r="Y41" s="268">
        <f t="shared" si="12"/>
        <v>0</v>
      </c>
      <c r="Z41" s="268">
        <f t="shared" si="12"/>
        <v>0</v>
      </c>
      <c r="AA41" s="770" t="str">
        <f t="shared" si="8"/>
        <v>4 1/2'' at 2399 m</v>
      </c>
      <c r="AB41" s="771"/>
      <c r="AC41" s="771"/>
      <c r="AD41" s="772"/>
      <c r="AE41" s="267"/>
      <c r="AF41" s="278"/>
      <c r="AG41" s="749"/>
      <c r="AH41" s="749"/>
      <c r="AI41" s="279"/>
      <c r="AJ41" s="737" t="str">
        <f t="shared" si="2"/>
        <v/>
      </c>
      <c r="AK41" s="737"/>
      <c r="AL41" s="274"/>
      <c r="AM41" s="250"/>
      <c r="AN41" s="259"/>
      <c r="AO41" s="259"/>
      <c r="AP41" s="259"/>
      <c r="AQ41" s="259"/>
      <c r="AR41" s="259"/>
      <c r="AS41" s="259"/>
      <c r="AT41" s="259"/>
      <c r="AU41" s="259"/>
      <c r="AV41" s="259"/>
      <c r="AW41" s="259"/>
      <c r="AX41" s="259"/>
      <c r="AY41" s="259"/>
      <c r="AZ41" s="259"/>
      <c r="BA41" s="259"/>
      <c r="BB41" s="259"/>
      <c r="BC41" s="259"/>
      <c r="BD41" s="259"/>
      <c r="BE41" s="259"/>
      <c r="BF41" s="259"/>
      <c r="BG41" s="259"/>
      <c r="BH41" s="259"/>
      <c r="BI41" s="259"/>
      <c r="BJ41" s="259"/>
      <c r="BK41" s="259"/>
      <c r="BL41" s="251"/>
      <c r="BM41" s="378"/>
      <c r="BN41" s="379"/>
      <c r="BO41" s="379"/>
      <c r="BP41" s="379"/>
      <c r="BQ41" s="379"/>
      <c r="BR41" s="379"/>
      <c r="BS41" s="380"/>
      <c r="BT41" s="380"/>
      <c r="BU41" s="381"/>
    </row>
    <row r="42" spans="2:73" ht="12" customHeight="1">
      <c r="G42" s="371"/>
      <c r="H42" s="269"/>
      <c r="I42" s="270"/>
      <c r="J42" s="270"/>
      <c r="K42" s="270"/>
      <c r="L42" s="270"/>
      <c r="M42" s="270"/>
      <c r="N42" s="270"/>
      <c r="O42" s="270"/>
      <c r="P42" s="750"/>
      <c r="Q42" s="751"/>
      <c r="R42" s="751"/>
      <c r="S42" s="752"/>
      <c r="T42" s="271"/>
      <c r="U42" s="271"/>
      <c r="V42" s="271"/>
      <c r="W42" s="271"/>
      <c r="X42" s="271"/>
      <c r="Y42" s="271"/>
      <c r="Z42" s="271"/>
      <c r="AA42" s="773" t="str">
        <f>"TD at "&amp;'1_INPUT'!E99&amp;" mMD"</f>
        <v>TD at 2400 mMD</v>
      </c>
      <c r="AB42" s="774"/>
      <c r="AC42" s="774"/>
      <c r="AD42" s="775"/>
      <c r="AE42" s="272"/>
      <c r="AF42" s="280"/>
      <c r="AG42" s="281"/>
      <c r="AH42" s="281"/>
      <c r="AI42" s="281"/>
      <c r="AJ42" s="275"/>
      <c r="AK42" s="275"/>
      <c r="AL42" s="276"/>
      <c r="AM42" s="250"/>
      <c r="AN42" s="259"/>
      <c r="AO42" s="259"/>
      <c r="AP42" s="259"/>
      <c r="AQ42" s="259"/>
      <c r="AR42" s="259"/>
      <c r="AS42" s="259"/>
      <c r="AT42" s="259"/>
      <c r="AU42" s="259"/>
      <c r="AV42" s="259"/>
      <c r="AW42" s="259"/>
      <c r="AX42" s="259"/>
      <c r="AY42" s="259"/>
      <c r="AZ42" s="259"/>
      <c r="BA42" s="259"/>
      <c r="BB42" s="259"/>
      <c r="BC42" s="259"/>
      <c r="BD42" s="259"/>
      <c r="BE42" s="259"/>
      <c r="BF42" s="259"/>
      <c r="BG42" s="259"/>
      <c r="BH42" s="259"/>
      <c r="BI42" s="259"/>
      <c r="BJ42" s="259"/>
      <c r="BK42" s="259"/>
      <c r="BL42" s="251"/>
      <c r="BM42" s="378"/>
      <c r="BN42" s="379"/>
      <c r="BO42" s="379"/>
      <c r="BP42" s="379"/>
      <c r="BQ42" s="379"/>
      <c r="BR42" s="379"/>
      <c r="BS42" s="380"/>
      <c r="BT42" s="380"/>
      <c r="BU42" s="381"/>
    </row>
    <row r="43" spans="2:73" ht="14.4">
      <c r="G43" s="371"/>
      <c r="H43" s="256"/>
      <c r="I43" s="322"/>
      <c r="J43" s="322"/>
      <c r="K43" s="322"/>
      <c r="L43" s="322"/>
      <c r="M43" s="322"/>
      <c r="N43" s="322"/>
      <c r="O43" s="322"/>
      <c r="P43" s="322"/>
      <c r="Q43" s="322"/>
      <c r="R43" s="322"/>
      <c r="S43" s="322"/>
      <c r="T43" s="322"/>
      <c r="U43" s="322"/>
      <c r="V43" s="322"/>
      <c r="W43" s="322"/>
      <c r="X43" s="322"/>
      <c r="Y43" s="322"/>
      <c r="Z43" s="322"/>
      <c r="AA43" s="322"/>
      <c r="AB43" s="322"/>
      <c r="AC43" s="322"/>
      <c r="AD43" s="322"/>
      <c r="AE43" s="322"/>
      <c r="AF43" s="322"/>
      <c r="AG43" s="322"/>
      <c r="AH43" s="322"/>
      <c r="AI43" s="322"/>
      <c r="AJ43" s="322"/>
      <c r="AK43" s="322"/>
      <c r="AL43" s="258"/>
      <c r="AM43" s="250"/>
      <c r="AN43" s="259"/>
      <c r="AO43" s="259"/>
      <c r="AP43" s="259"/>
      <c r="AQ43" s="259"/>
      <c r="AR43" s="259"/>
      <c r="AS43" s="259"/>
      <c r="AT43" s="259"/>
      <c r="AU43" s="259"/>
      <c r="AV43" s="259"/>
      <c r="AW43" s="259"/>
      <c r="AX43" s="259"/>
      <c r="AY43" s="259"/>
      <c r="AZ43" s="259"/>
      <c r="BA43" s="259"/>
      <c r="BB43" s="259"/>
      <c r="BC43" s="259"/>
      <c r="BD43" s="259"/>
      <c r="BE43" s="259"/>
      <c r="BF43" s="259"/>
      <c r="BG43" s="259"/>
      <c r="BH43" s="259"/>
      <c r="BI43" s="259"/>
      <c r="BJ43" s="259"/>
      <c r="BK43" s="259"/>
      <c r="BL43" s="251"/>
      <c r="BM43" s="378"/>
      <c r="BN43" s="379"/>
      <c r="BO43" s="379"/>
      <c r="BP43" s="379"/>
      <c r="BQ43" s="379"/>
      <c r="BR43" s="379"/>
      <c r="BS43" s="380"/>
      <c r="BT43" s="380"/>
      <c r="BU43" s="381"/>
    </row>
    <row r="44" spans="2:73" ht="18" customHeight="1">
      <c r="G44" s="371"/>
      <c r="H44" s="254"/>
      <c r="I44" s="776" t="s">
        <v>372</v>
      </c>
      <c r="J44" s="776"/>
      <c r="K44" s="776"/>
      <c r="L44" s="776"/>
      <c r="M44" s="776"/>
      <c r="N44" s="776"/>
      <c r="O44" s="776"/>
      <c r="P44" s="776"/>
      <c r="Q44" s="776"/>
      <c r="R44" s="776"/>
      <c r="S44" s="776"/>
      <c r="T44" s="776"/>
      <c r="U44" s="776"/>
      <c r="V44" s="776"/>
      <c r="W44" s="776"/>
      <c r="X44" s="776"/>
      <c r="Y44" s="776"/>
      <c r="Z44" s="776"/>
      <c r="AA44" s="776"/>
      <c r="AB44" s="776"/>
      <c r="AC44" s="776"/>
      <c r="AD44" s="776"/>
      <c r="AE44" s="776"/>
      <c r="AF44" s="776"/>
      <c r="AG44" s="776"/>
      <c r="AH44" s="776"/>
      <c r="AI44" s="776"/>
      <c r="AJ44" s="776"/>
      <c r="AK44" s="776"/>
      <c r="AL44" s="255"/>
      <c r="AM44" s="250"/>
      <c r="AN44" s="90"/>
      <c r="AO44" s="90"/>
      <c r="AP44" s="90"/>
      <c r="AQ44" s="90"/>
      <c r="AR44" s="90"/>
      <c r="AS44" s="90"/>
      <c r="AT44" s="90"/>
      <c r="AU44" s="90"/>
      <c r="AV44" s="90"/>
      <c r="AW44" s="90"/>
      <c r="AX44" s="90"/>
      <c r="AY44" s="90"/>
      <c r="AZ44" s="90"/>
      <c r="BA44" s="90"/>
      <c r="BB44" s="90"/>
      <c r="BC44" s="90"/>
      <c r="BD44" s="90"/>
      <c r="BE44" s="90"/>
      <c r="BF44" s="90"/>
      <c r="BG44" s="90"/>
      <c r="BH44" s="90"/>
      <c r="BI44" s="90"/>
      <c r="BJ44" s="90"/>
      <c r="BK44" s="90"/>
      <c r="BL44" s="251"/>
      <c r="BM44" s="378"/>
      <c r="BN44" s="379"/>
      <c r="BO44" s="379"/>
      <c r="BP44" s="379"/>
      <c r="BQ44" s="379"/>
      <c r="BR44" s="379"/>
      <c r="BS44" s="380"/>
      <c r="BT44" s="380"/>
      <c r="BU44" s="381"/>
    </row>
    <row r="45" spans="2:73" ht="15" customHeight="1">
      <c r="G45" s="371"/>
      <c r="H45" s="254"/>
      <c r="I45" s="716" t="s">
        <v>62</v>
      </c>
      <c r="J45" s="716"/>
      <c r="K45" s="716"/>
      <c r="L45" s="716"/>
      <c r="M45" s="716"/>
      <c r="N45" s="716"/>
      <c r="O45" s="716"/>
      <c r="P45" s="716"/>
      <c r="Q45" s="716"/>
      <c r="R45" s="716"/>
      <c r="S45" s="716"/>
      <c r="T45" s="716"/>
      <c r="U45" s="716"/>
      <c r="V45" s="716"/>
      <c r="W45" s="716"/>
      <c r="X45" s="143"/>
      <c r="Y45" s="758" t="str">
        <f>'1_INPUT'!$E$13</f>
        <v>23-190-221-OO</v>
      </c>
      <c r="Z45" s="758"/>
      <c r="AA45" s="758"/>
      <c r="AB45" s="758"/>
      <c r="AC45" s="758"/>
      <c r="AD45" s="758"/>
      <c r="AE45" s="758"/>
      <c r="AF45" s="758"/>
      <c r="AG45" s="758"/>
      <c r="AH45" s="758"/>
      <c r="AI45" s="758"/>
      <c r="AJ45" s="758"/>
      <c r="AK45" s="758"/>
      <c r="AL45" s="255"/>
      <c r="AM45" s="250"/>
      <c r="AN45" s="129"/>
      <c r="AO45" s="129"/>
      <c r="AP45" s="129"/>
      <c r="AQ45" s="129"/>
      <c r="AR45" s="129"/>
      <c r="AS45" s="129"/>
      <c r="AT45" s="129"/>
      <c r="AU45" s="129"/>
      <c r="AV45" s="129"/>
      <c r="AW45" s="129"/>
      <c r="AX45" s="129"/>
      <c r="AY45" s="129"/>
      <c r="AZ45" s="129"/>
      <c r="BA45" s="129"/>
      <c r="BB45" s="129"/>
      <c r="BC45" s="129"/>
      <c r="BD45" s="129"/>
      <c r="BE45" s="129"/>
      <c r="BF45" s="129"/>
      <c r="BG45" s="129"/>
      <c r="BH45" s="129"/>
      <c r="BI45" s="129"/>
      <c r="BJ45" s="129"/>
      <c r="BK45" s="129"/>
      <c r="BL45" s="251"/>
      <c r="BM45" s="378"/>
      <c r="BN45" s="379"/>
      <c r="BO45" s="379"/>
      <c r="BP45" s="379"/>
      <c r="BQ45" s="379"/>
      <c r="BR45" s="379"/>
      <c r="BS45" s="380"/>
      <c r="BT45" s="380"/>
      <c r="BU45" s="381"/>
    </row>
    <row r="46" spans="2:73" ht="14.1" customHeight="1">
      <c r="G46" s="371"/>
      <c r="H46" s="254"/>
      <c r="I46" s="720" t="s">
        <v>286</v>
      </c>
      <c r="J46" s="720"/>
      <c r="K46" s="720"/>
      <c r="L46" s="720"/>
      <c r="M46" s="720"/>
      <c r="N46" s="720"/>
      <c r="O46" s="720"/>
      <c r="P46" s="720"/>
      <c r="Q46" s="720"/>
      <c r="R46" s="720"/>
      <c r="S46" s="720"/>
      <c r="T46" s="720"/>
      <c r="U46" s="720"/>
      <c r="V46" s="720"/>
      <c r="W46" s="720"/>
      <c r="X46" s="144"/>
      <c r="Y46" s="718" t="str">
        <f>'1_INPUT'!$E$14</f>
        <v>SPA-034</v>
      </c>
      <c r="Z46" s="718"/>
      <c r="AA46" s="718"/>
      <c r="AB46" s="718"/>
      <c r="AC46" s="718"/>
      <c r="AD46" s="718"/>
      <c r="AE46" s="718"/>
      <c r="AF46" s="718"/>
      <c r="AG46" s="718"/>
      <c r="AH46" s="718"/>
      <c r="AI46" s="718"/>
      <c r="AJ46" s="718"/>
      <c r="AK46" s="718"/>
      <c r="AL46" s="255"/>
      <c r="AM46" s="254"/>
      <c r="AN46" s="722" t="s">
        <v>283</v>
      </c>
      <c r="AO46" s="722"/>
      <c r="AP46" s="722"/>
      <c r="AQ46" s="722" t="s">
        <v>284</v>
      </c>
      <c r="AR46" s="722"/>
      <c r="AS46" s="722"/>
      <c r="AT46" s="722"/>
      <c r="AU46" s="722"/>
      <c r="AV46" s="722"/>
      <c r="AW46" s="722"/>
      <c r="AX46" s="722"/>
      <c r="AY46" s="722"/>
      <c r="AZ46" s="722"/>
      <c r="BA46" s="722"/>
      <c r="BB46" s="722"/>
      <c r="BC46" s="722"/>
      <c r="BD46" s="712" t="s">
        <v>47</v>
      </c>
      <c r="BE46" s="712"/>
      <c r="BF46" s="712"/>
      <c r="BG46" s="712"/>
      <c r="BH46" s="712" t="s">
        <v>48</v>
      </c>
      <c r="BI46" s="712"/>
      <c r="BJ46" s="712"/>
      <c r="BK46" s="712"/>
      <c r="BL46" s="255"/>
      <c r="BM46" s="378"/>
      <c r="BN46" s="379"/>
      <c r="BO46" s="379"/>
      <c r="BP46" s="379"/>
      <c r="BQ46" s="379"/>
      <c r="BR46" s="379"/>
      <c r="BS46" s="380"/>
      <c r="BT46" s="380"/>
      <c r="BU46" s="381"/>
    </row>
    <row r="47" spans="2:73" ht="14.4">
      <c r="G47" s="371"/>
      <c r="H47" s="254"/>
      <c r="I47" s="720" t="s">
        <v>98</v>
      </c>
      <c r="J47" s="720"/>
      <c r="K47" s="720"/>
      <c r="L47" s="720"/>
      <c r="M47" s="720"/>
      <c r="N47" s="720"/>
      <c r="O47" s="720"/>
      <c r="P47" s="720"/>
      <c r="Q47" s="720"/>
      <c r="R47" s="720"/>
      <c r="S47" s="720"/>
      <c r="T47" s="720"/>
      <c r="U47" s="720"/>
      <c r="V47" s="720"/>
      <c r="W47" s="720"/>
      <c r="X47" s="144"/>
      <c r="Y47" s="718" t="str">
        <f>'1_INPUT'!$E$15</f>
        <v>SOPA</v>
      </c>
      <c r="Z47" s="718"/>
      <c r="AA47" s="718"/>
      <c r="AB47" s="718"/>
      <c r="AC47" s="718"/>
      <c r="AD47" s="718"/>
      <c r="AE47" s="718"/>
      <c r="AF47" s="718"/>
      <c r="AG47" s="718"/>
      <c r="AH47" s="718"/>
      <c r="AI47" s="718"/>
      <c r="AJ47" s="718"/>
      <c r="AK47" s="718"/>
      <c r="AL47" s="255"/>
      <c r="AM47" s="254"/>
      <c r="AN47" s="722"/>
      <c r="AO47" s="722"/>
      <c r="AP47" s="722"/>
      <c r="AQ47" s="722"/>
      <c r="AR47" s="722"/>
      <c r="AS47" s="722"/>
      <c r="AT47" s="722"/>
      <c r="AU47" s="722"/>
      <c r="AV47" s="722"/>
      <c r="AW47" s="722"/>
      <c r="AX47" s="722"/>
      <c r="AY47" s="722"/>
      <c r="AZ47" s="722"/>
      <c r="BA47" s="722"/>
      <c r="BB47" s="722"/>
      <c r="BC47" s="722"/>
      <c r="BD47" s="712" t="s">
        <v>50</v>
      </c>
      <c r="BE47" s="712"/>
      <c r="BF47" s="712" t="s">
        <v>376</v>
      </c>
      <c r="BG47" s="712"/>
      <c r="BH47" s="712" t="s">
        <v>50</v>
      </c>
      <c r="BI47" s="712"/>
      <c r="BJ47" s="712" t="s">
        <v>376</v>
      </c>
      <c r="BK47" s="712"/>
      <c r="BL47" s="255"/>
      <c r="BM47" s="378"/>
      <c r="BN47" s="379"/>
      <c r="BO47" s="379"/>
      <c r="BP47" s="379"/>
      <c r="BQ47" s="379"/>
      <c r="BR47" s="379"/>
      <c r="BS47" s="380"/>
      <c r="BT47" s="380"/>
      <c r="BU47" s="381"/>
    </row>
    <row r="48" spans="2:73" ht="14.4">
      <c r="G48" s="371"/>
      <c r="H48" s="254"/>
      <c r="I48" s="720" t="s">
        <v>287</v>
      </c>
      <c r="J48" s="720"/>
      <c r="K48" s="720"/>
      <c r="L48" s="720"/>
      <c r="M48" s="720"/>
      <c r="N48" s="720"/>
      <c r="O48" s="720"/>
      <c r="P48" s="720"/>
      <c r="Q48" s="720"/>
      <c r="R48" s="720"/>
      <c r="S48" s="720"/>
      <c r="T48" s="720"/>
      <c r="U48" s="720"/>
      <c r="V48" s="720"/>
      <c r="W48" s="720"/>
      <c r="X48" s="144"/>
      <c r="Y48" s="718" t="str">
        <f>'1_INPUT'!$E$16</f>
        <v>PENDOPO</v>
      </c>
      <c r="Z48" s="718"/>
      <c r="AA48" s="718"/>
      <c r="AB48" s="718"/>
      <c r="AC48" s="718"/>
      <c r="AD48" s="718"/>
      <c r="AE48" s="718"/>
      <c r="AF48" s="718"/>
      <c r="AG48" s="718"/>
      <c r="AH48" s="718"/>
      <c r="AI48" s="718"/>
      <c r="AJ48" s="718"/>
      <c r="AK48" s="718"/>
      <c r="AL48" s="255"/>
      <c r="AM48" s="254"/>
      <c r="AN48" s="473" t="str">
        <f ca="1">'1_INPUT'!AD69</f>
        <v/>
      </c>
      <c r="AO48" s="474" t="str">
        <f ca="1">'1_INPUT'!AE69</f>
        <v/>
      </c>
      <c r="AP48" s="475" t="str">
        <f ca="1">'1_INPUT'!AF69</f>
        <v/>
      </c>
      <c r="AQ48" s="721" t="str">
        <f ca="1">'1_INPUT'!AG69</f>
        <v>PRE-OPERATION JOB</v>
      </c>
      <c r="AR48" s="721"/>
      <c r="AS48" s="721"/>
      <c r="AT48" s="721"/>
      <c r="AU48" s="721"/>
      <c r="AV48" s="721"/>
      <c r="AW48" s="721"/>
      <c r="AX48" s="721"/>
      <c r="AY48" s="721"/>
      <c r="AZ48" s="721"/>
      <c r="BA48" s="721"/>
      <c r="BB48" s="721"/>
      <c r="BC48" s="721"/>
      <c r="BD48" s="711" t="str">
        <f ca="1">'1_INPUT'!AH69</f>
        <v/>
      </c>
      <c r="BE48" s="711"/>
      <c r="BF48" s="711" t="str">
        <f ca="1">'1_INPUT'!AI69</f>
        <v/>
      </c>
      <c r="BG48" s="711"/>
      <c r="BH48" s="711" t="str">
        <f ca="1">'1_INPUT'!AJ69</f>
        <v/>
      </c>
      <c r="BI48" s="711"/>
      <c r="BJ48" s="711" t="str">
        <f ca="1">'1_INPUT'!AK69</f>
        <v/>
      </c>
      <c r="BK48" s="711"/>
      <c r="BL48" s="255"/>
      <c r="BM48" s="378"/>
      <c r="BN48" s="379"/>
      <c r="BO48" s="379"/>
      <c r="BP48" s="379"/>
      <c r="BQ48" s="379"/>
      <c r="BR48" s="379"/>
      <c r="BS48" s="380"/>
      <c r="BT48" s="380"/>
      <c r="BU48" s="381"/>
    </row>
    <row r="49" spans="7:79" ht="14.4">
      <c r="G49" s="371"/>
      <c r="H49" s="254"/>
      <c r="I49" s="720" t="s">
        <v>288</v>
      </c>
      <c r="J49" s="720"/>
      <c r="K49" s="720"/>
      <c r="L49" s="720"/>
      <c r="M49" s="720"/>
      <c r="N49" s="720"/>
      <c r="O49" s="720"/>
      <c r="P49" s="720"/>
      <c r="Q49" s="720"/>
      <c r="R49" s="720"/>
      <c r="S49" s="720"/>
      <c r="T49" s="720"/>
      <c r="U49" s="720"/>
      <c r="V49" s="720"/>
      <c r="W49" s="720"/>
      <c r="X49" s="144"/>
      <c r="Y49" s="734">
        <f>'1_INPUT'!$L$13</f>
        <v>330343.4411</v>
      </c>
      <c r="Z49" s="734"/>
      <c r="AA49" s="734"/>
      <c r="AB49" s="734"/>
      <c r="AC49" s="734"/>
      <c r="AD49" s="734"/>
      <c r="AE49" s="734"/>
      <c r="AF49" s="734"/>
      <c r="AG49" s="734"/>
      <c r="AH49" s="734"/>
      <c r="AI49" s="734"/>
      <c r="AJ49" s="734"/>
      <c r="AK49" s="734"/>
      <c r="AL49" s="255"/>
      <c r="AM49" s="254"/>
      <c r="AN49" s="476" t="str">
        <f ca="1">'1_INPUT'!AD70</f>
        <v>A</v>
      </c>
      <c r="AO49" s="477" t="str">
        <f ca="1">'1_INPUT'!AE70</f>
        <v>-</v>
      </c>
      <c r="AP49" s="478" t="str">
        <f ca="1">'1_INPUT'!AF70</f>
        <v>B</v>
      </c>
      <c r="AQ49" s="723" t="str">
        <f ca="1">'1_INPUT'!AG70</f>
        <v>Rig Move &amp; Rig Up</v>
      </c>
      <c r="AR49" s="723"/>
      <c r="AS49" s="723"/>
      <c r="AT49" s="723"/>
      <c r="AU49" s="723"/>
      <c r="AV49" s="723"/>
      <c r="AW49" s="723"/>
      <c r="AX49" s="723"/>
      <c r="AY49" s="723"/>
      <c r="AZ49" s="723"/>
      <c r="BA49" s="723"/>
      <c r="BB49" s="723"/>
      <c r="BC49" s="723"/>
      <c r="BD49" s="709">
        <f ca="1">'1_INPUT'!AH70</f>
        <v>0</v>
      </c>
      <c r="BE49" s="709"/>
      <c r="BF49" s="709">
        <f ca="1">'1_INPUT'!AI70</f>
        <v>0</v>
      </c>
      <c r="BG49" s="709"/>
      <c r="BH49" s="709">
        <f ca="1">'1_INPUT'!AJ70</f>
        <v>0</v>
      </c>
      <c r="BI49" s="709"/>
      <c r="BJ49" s="709">
        <f ca="1">'1_INPUT'!AK70</f>
        <v>0</v>
      </c>
      <c r="BK49" s="709"/>
      <c r="BL49" s="255"/>
      <c r="BM49" s="378"/>
      <c r="BN49" s="379"/>
      <c r="BO49" s="379"/>
      <c r="BP49" s="379"/>
      <c r="BQ49" s="379"/>
      <c r="BR49" s="379"/>
      <c r="BS49" s="380"/>
      <c r="BT49" s="380"/>
      <c r="BU49" s="381"/>
    </row>
    <row r="50" spans="7:79" ht="14.4">
      <c r="G50" s="371"/>
      <c r="H50" s="254"/>
      <c r="I50" s="720" t="s">
        <v>289</v>
      </c>
      <c r="J50" s="720"/>
      <c r="K50" s="720"/>
      <c r="L50" s="720"/>
      <c r="M50" s="720"/>
      <c r="N50" s="720"/>
      <c r="O50" s="720"/>
      <c r="P50" s="720"/>
      <c r="Q50" s="720"/>
      <c r="R50" s="720"/>
      <c r="S50" s="720"/>
      <c r="T50" s="720"/>
      <c r="U50" s="720"/>
      <c r="V50" s="720"/>
      <c r="W50" s="720"/>
      <c r="X50" s="144"/>
      <c r="Y50" s="734">
        <f>'1_INPUT'!$L$14</f>
        <v>9639877.6688000001</v>
      </c>
      <c r="Z50" s="734"/>
      <c r="AA50" s="734"/>
      <c r="AB50" s="734"/>
      <c r="AC50" s="734"/>
      <c r="AD50" s="734"/>
      <c r="AE50" s="734"/>
      <c r="AF50" s="734"/>
      <c r="AG50" s="734"/>
      <c r="AH50" s="734"/>
      <c r="AI50" s="734"/>
      <c r="AJ50" s="734"/>
      <c r="AK50" s="734"/>
      <c r="AL50" s="255"/>
      <c r="AM50" s="254"/>
      <c r="AN50" s="473" t="str">
        <f ca="1">'1_INPUT'!AD71</f>
        <v/>
      </c>
      <c r="AO50" s="474" t="str">
        <f ca="1">'1_INPUT'!AE71</f>
        <v/>
      </c>
      <c r="AP50" s="475" t="str">
        <f ca="1">'1_INPUT'!AF71</f>
        <v/>
      </c>
      <c r="AQ50" s="721" t="str">
        <f ca="1">'1_INPUT'!AG71</f>
        <v>WORKOVER</v>
      </c>
      <c r="AR50" s="721"/>
      <c r="AS50" s="721"/>
      <c r="AT50" s="721"/>
      <c r="AU50" s="721"/>
      <c r="AV50" s="721"/>
      <c r="AW50" s="721"/>
      <c r="AX50" s="721"/>
      <c r="AY50" s="721"/>
      <c r="AZ50" s="721"/>
      <c r="BA50" s="721"/>
      <c r="BB50" s="721"/>
      <c r="BC50" s="721"/>
      <c r="BD50" s="711" t="str">
        <f ca="1">'1_INPUT'!AH71</f>
        <v/>
      </c>
      <c r="BE50" s="711"/>
      <c r="BF50" s="711" t="str">
        <f ca="1">'1_INPUT'!AI71</f>
        <v/>
      </c>
      <c r="BG50" s="711"/>
      <c r="BH50" s="711" t="str">
        <f ca="1">'1_INPUT'!AJ71</f>
        <v/>
      </c>
      <c r="BI50" s="711"/>
      <c r="BJ50" s="711" t="str">
        <f ca="1">'1_INPUT'!AK71</f>
        <v/>
      </c>
      <c r="BK50" s="711"/>
      <c r="BL50" s="255"/>
      <c r="BM50" s="378"/>
      <c r="BN50" s="379"/>
      <c r="BO50" s="379"/>
      <c r="BP50" s="379"/>
      <c r="BQ50" s="379"/>
      <c r="BR50" s="379"/>
      <c r="BS50" s="380"/>
      <c r="BT50" s="380"/>
      <c r="BU50" s="381"/>
    </row>
    <row r="51" spans="7:79" ht="14.4">
      <c r="G51" s="371"/>
      <c r="H51" s="254"/>
      <c r="I51" s="720" t="s">
        <v>316</v>
      </c>
      <c r="J51" s="720"/>
      <c r="K51" s="720"/>
      <c r="L51" s="720"/>
      <c r="M51" s="720"/>
      <c r="N51" s="720"/>
      <c r="O51" s="720"/>
      <c r="P51" s="720"/>
      <c r="Q51" s="720"/>
      <c r="R51" s="720"/>
      <c r="S51" s="720"/>
      <c r="T51" s="720"/>
      <c r="U51" s="720"/>
      <c r="V51" s="720"/>
      <c r="W51" s="720"/>
      <c r="X51" s="144"/>
      <c r="Y51" s="735" t="str">
        <f>'1_INPUT'!$L15</f>
        <v>-</v>
      </c>
      <c r="Z51" s="735"/>
      <c r="AA51" s="735"/>
      <c r="AB51" s="735"/>
      <c r="AC51" s="735"/>
      <c r="AD51" s="735"/>
      <c r="AE51" s="735"/>
      <c r="AF51" s="735"/>
      <c r="AG51" s="735"/>
      <c r="AH51" s="735"/>
      <c r="AI51" s="735"/>
      <c r="AJ51" s="735"/>
      <c r="AK51" s="735"/>
      <c r="AL51" s="255"/>
      <c r="AM51" s="254"/>
      <c r="AN51" s="476" t="str">
        <f ca="1">'1_INPUT'!AD72</f>
        <v>B</v>
      </c>
      <c r="AO51" s="477" t="str">
        <f ca="1">'1_INPUT'!AE72</f>
        <v>-</v>
      </c>
      <c r="AP51" s="478" t="str">
        <f ca="1">'1_INPUT'!AF72</f>
        <v>C</v>
      </c>
      <c r="AQ51" s="723" t="str">
        <f ca="1">'1_INPUT'!AG72</f>
        <v>Preparation (Kill well &amp; POOH existing string)</v>
      </c>
      <c r="AR51" s="723"/>
      <c r="AS51" s="723"/>
      <c r="AT51" s="723"/>
      <c r="AU51" s="723"/>
      <c r="AV51" s="723"/>
      <c r="AW51" s="723"/>
      <c r="AX51" s="723"/>
      <c r="AY51" s="723"/>
      <c r="AZ51" s="723"/>
      <c r="BA51" s="723"/>
      <c r="BB51" s="723"/>
      <c r="BC51" s="723"/>
      <c r="BD51" s="709">
        <f ca="1">'1_INPUT'!AH72</f>
        <v>1.0208333333333333</v>
      </c>
      <c r="BE51" s="709"/>
      <c r="BF51" s="709">
        <f ca="1">'1_INPUT'!AI72</f>
        <v>1.0208333333333333</v>
      </c>
      <c r="BG51" s="709"/>
      <c r="BH51" s="709">
        <f ca="1">'1_INPUT'!AJ72</f>
        <v>1.1666666666666667</v>
      </c>
      <c r="BI51" s="709"/>
      <c r="BJ51" s="709">
        <f ca="1">'1_INPUT'!AK72</f>
        <v>1.1666666666666667</v>
      </c>
      <c r="BK51" s="709"/>
      <c r="BL51" s="255"/>
      <c r="BM51" s="378"/>
      <c r="BN51" s="379"/>
      <c r="BO51" s="379"/>
      <c r="BP51" s="379"/>
      <c r="BQ51" s="379"/>
      <c r="BR51" s="379"/>
      <c r="BS51" s="380"/>
      <c r="BT51" s="380"/>
      <c r="BU51" s="381"/>
    </row>
    <row r="52" spans="7:79" ht="14.4">
      <c r="G52" s="371"/>
      <c r="H52" s="254"/>
      <c r="I52" s="720" t="s">
        <v>317</v>
      </c>
      <c r="J52" s="720"/>
      <c r="K52" s="720"/>
      <c r="L52" s="720"/>
      <c r="M52" s="720"/>
      <c r="N52" s="720"/>
      <c r="O52" s="720"/>
      <c r="P52" s="720"/>
      <c r="Q52" s="720"/>
      <c r="R52" s="720"/>
      <c r="S52" s="720"/>
      <c r="T52" s="720"/>
      <c r="U52" s="720"/>
      <c r="V52" s="720"/>
      <c r="W52" s="720"/>
      <c r="X52" s="144"/>
      <c r="Y52" s="735" t="str">
        <f>'1_INPUT'!$L$16</f>
        <v>-</v>
      </c>
      <c r="Z52" s="735"/>
      <c r="AA52" s="735"/>
      <c r="AB52" s="735"/>
      <c r="AC52" s="735"/>
      <c r="AD52" s="735"/>
      <c r="AE52" s="735"/>
      <c r="AF52" s="735"/>
      <c r="AG52" s="735"/>
      <c r="AH52" s="735"/>
      <c r="AI52" s="735"/>
      <c r="AJ52" s="735"/>
      <c r="AK52" s="735"/>
      <c r="AL52" s="255"/>
      <c r="AM52" s="254"/>
      <c r="AN52" s="476" t="str">
        <f ca="1">'1_INPUT'!AD73</f>
        <v>C</v>
      </c>
      <c r="AO52" s="477" t="str">
        <f ca="1">'1_INPUT'!AE73</f>
        <v>-</v>
      </c>
      <c r="AP52" s="478" t="str">
        <f ca="1">'1_INPUT'!AF73</f>
        <v>D</v>
      </c>
      <c r="AQ52" s="723" t="str">
        <f ca="1">'1_INPUT'!AG73</f>
        <v>Squeeze lapisan Eksisting. Run Scraper. Run GR-CBL-CNL</v>
      </c>
      <c r="AR52" s="723"/>
      <c r="AS52" s="723"/>
      <c r="AT52" s="723"/>
      <c r="AU52" s="723"/>
      <c r="AV52" s="723"/>
      <c r="AW52" s="723"/>
      <c r="AX52" s="723"/>
      <c r="AY52" s="723"/>
      <c r="AZ52" s="723"/>
      <c r="BA52" s="723"/>
      <c r="BB52" s="723"/>
      <c r="BC52" s="723"/>
      <c r="BD52" s="709">
        <f ca="1">'1_INPUT'!AH73</f>
        <v>3.833333333333333</v>
      </c>
      <c r="BE52" s="709"/>
      <c r="BF52" s="709">
        <f ca="1">'1_INPUT'!AI73</f>
        <v>4.8541666666666661</v>
      </c>
      <c r="BG52" s="709"/>
      <c r="BH52" s="709">
        <f ca="1">'1_INPUT'!AJ73</f>
        <v>16.541666666666675</v>
      </c>
      <c r="BI52" s="709"/>
      <c r="BJ52" s="709">
        <f ca="1">'1_INPUT'!AK73</f>
        <v>17.708333333333343</v>
      </c>
      <c r="BK52" s="709"/>
      <c r="BL52" s="255"/>
      <c r="BM52" s="378"/>
      <c r="BN52" s="379"/>
      <c r="BO52" s="379"/>
      <c r="BP52" s="379"/>
      <c r="BQ52" s="379"/>
      <c r="BR52" s="379"/>
      <c r="BS52" s="380"/>
      <c r="BT52" s="380"/>
      <c r="BU52" s="381"/>
    </row>
    <row r="53" spans="7:79" ht="14.4">
      <c r="G53" s="371"/>
      <c r="H53" s="254"/>
      <c r="I53" s="720" t="s">
        <v>290</v>
      </c>
      <c r="J53" s="720"/>
      <c r="K53" s="720"/>
      <c r="L53" s="720"/>
      <c r="M53" s="720"/>
      <c r="N53" s="720"/>
      <c r="O53" s="720"/>
      <c r="P53" s="720"/>
      <c r="Q53" s="720"/>
      <c r="R53" s="720"/>
      <c r="S53" s="720"/>
      <c r="T53" s="720"/>
      <c r="U53" s="720"/>
      <c r="V53" s="720"/>
      <c r="W53" s="720"/>
      <c r="X53" s="144"/>
      <c r="Y53" s="736">
        <f>'1_INPUT'!$L$17</f>
        <v>1.4300000000000006</v>
      </c>
      <c r="Z53" s="736"/>
      <c r="AA53" s="736"/>
      <c r="AB53" s="736"/>
      <c r="AC53" s="736"/>
      <c r="AD53" s="736"/>
      <c r="AE53" s="736"/>
      <c r="AF53" s="736"/>
      <c r="AG53" s="736"/>
      <c r="AH53" s="736"/>
      <c r="AI53" s="736"/>
      <c r="AJ53" s="736"/>
      <c r="AK53" s="736"/>
      <c r="AL53" s="255"/>
      <c r="AM53" s="254"/>
      <c r="AN53" s="476" t="str">
        <f ca="1">'1_INPUT'!AD74</f>
        <v>D</v>
      </c>
      <c r="AO53" s="477" t="str">
        <f ca="1">'1_INPUT'!AE74</f>
        <v>-</v>
      </c>
      <c r="AP53" s="478" t="str">
        <f ca="1">'1_INPUT'!AF74</f>
        <v>E</v>
      </c>
      <c r="AQ53" s="723" t="str">
        <f ca="1">'1_INPUT'!AG74</f>
        <v>Perbaikan bonding. DOC. Run Scraper. Re run GR-CBL-VDL</v>
      </c>
      <c r="AR53" s="723"/>
      <c r="AS53" s="723"/>
      <c r="AT53" s="723"/>
      <c r="AU53" s="723"/>
      <c r="AV53" s="723"/>
      <c r="AW53" s="723"/>
      <c r="AX53" s="723"/>
      <c r="AY53" s="723"/>
      <c r="AZ53" s="723"/>
      <c r="BA53" s="723"/>
      <c r="BB53" s="723"/>
      <c r="BC53" s="723"/>
      <c r="BD53" s="709">
        <f ca="1">'1_INPUT'!AH74</f>
        <v>5.4374999999999982</v>
      </c>
      <c r="BE53" s="709"/>
      <c r="BF53" s="709">
        <f ca="1">'1_INPUT'!AI74</f>
        <v>10.291666666666664</v>
      </c>
      <c r="BG53" s="709"/>
      <c r="BH53" s="709">
        <f ca="1">'1_INPUT'!AJ74</f>
        <v>6.25E-2</v>
      </c>
      <c r="BI53" s="709"/>
      <c r="BJ53" s="709">
        <f ca="1">'1_INPUT'!AK74</f>
        <v>17.770833333333343</v>
      </c>
      <c r="BK53" s="709"/>
      <c r="BL53" s="255"/>
      <c r="BM53" s="378"/>
      <c r="BN53" s="379"/>
      <c r="BO53" s="379"/>
      <c r="BP53" s="379"/>
      <c r="BQ53" s="379"/>
      <c r="BR53" s="379"/>
      <c r="BS53" s="380"/>
      <c r="BT53" s="380"/>
      <c r="BU53" s="381"/>
    </row>
    <row r="54" spans="7:79" ht="14.4">
      <c r="G54" s="371"/>
      <c r="H54" s="254"/>
      <c r="I54" s="720" t="s">
        <v>291</v>
      </c>
      <c r="J54" s="720"/>
      <c r="K54" s="720"/>
      <c r="L54" s="720"/>
      <c r="M54" s="720"/>
      <c r="N54" s="720"/>
      <c r="O54" s="720"/>
      <c r="P54" s="720"/>
      <c r="Q54" s="720"/>
      <c r="R54" s="720"/>
      <c r="S54" s="720"/>
      <c r="T54" s="720"/>
      <c r="U54" s="720"/>
      <c r="V54" s="720"/>
      <c r="W54" s="720"/>
      <c r="X54" s="144"/>
      <c r="Y54" s="718" t="str">
        <f>'1_INPUT'!$E$21</f>
        <v>DIRECTIONAL</v>
      </c>
      <c r="Z54" s="718"/>
      <c r="AA54" s="718"/>
      <c r="AB54" s="718"/>
      <c r="AC54" s="718"/>
      <c r="AD54" s="718"/>
      <c r="AE54" s="718"/>
      <c r="AF54" s="718"/>
      <c r="AG54" s="718"/>
      <c r="AH54" s="718"/>
      <c r="AI54" s="718"/>
      <c r="AJ54" s="718"/>
      <c r="AK54" s="718"/>
      <c r="AL54" s="255"/>
      <c r="AM54" s="254"/>
      <c r="AN54" s="476" t="str">
        <f ca="1">'1_INPUT'!AD75</f>
        <v>E</v>
      </c>
      <c r="AO54" s="477" t="str">
        <f ca="1">'1_INPUT'!AE75</f>
        <v>-</v>
      </c>
      <c r="AP54" s="478" t="str">
        <f ca="1">'1_INPUT'!AF75</f>
        <v>F</v>
      </c>
      <c r="AQ54" s="723" t="str">
        <f ca="1">'1_INPUT'!AG75</f>
        <v>Perforasi Produksi. Stimulation Job. RIH RPP. Swab Job. POOH RPP</v>
      </c>
      <c r="AR54" s="723"/>
      <c r="AS54" s="723"/>
      <c r="AT54" s="723"/>
      <c r="AU54" s="723"/>
      <c r="AV54" s="723"/>
      <c r="AW54" s="723"/>
      <c r="AX54" s="723"/>
      <c r="AY54" s="723"/>
      <c r="AZ54" s="723"/>
      <c r="BA54" s="723"/>
      <c r="BB54" s="723"/>
      <c r="BC54" s="723"/>
      <c r="BD54" s="709">
        <f ca="1">'1_INPUT'!AH75</f>
        <v>6.1666666666666643</v>
      </c>
      <c r="BE54" s="709"/>
      <c r="BF54" s="709">
        <f ca="1">'1_INPUT'!AI75</f>
        <v>16.458333333333329</v>
      </c>
      <c r="BG54" s="709"/>
      <c r="BH54" s="709">
        <f ca="1">'1_INPUT'!AJ75</f>
        <v>2.4374999999999964</v>
      </c>
      <c r="BI54" s="709"/>
      <c r="BJ54" s="709">
        <f ca="1">'1_INPUT'!AK75</f>
        <v>20.208333333333339</v>
      </c>
      <c r="BK54" s="709"/>
      <c r="BL54" s="255"/>
      <c r="BM54" s="378"/>
      <c r="BN54" s="379"/>
      <c r="BO54" s="379"/>
      <c r="BP54" s="379"/>
      <c r="BQ54" s="379"/>
      <c r="BR54" s="379"/>
      <c r="BS54" s="380"/>
      <c r="BT54" s="380"/>
      <c r="BU54" s="381"/>
    </row>
    <row r="55" spans="7:79" ht="14.4">
      <c r="G55" s="371"/>
      <c r="H55" s="254"/>
      <c r="I55" s="720" t="s">
        <v>292</v>
      </c>
      <c r="J55" s="720"/>
      <c r="K55" s="720"/>
      <c r="L55" s="720"/>
      <c r="M55" s="720"/>
      <c r="N55" s="720"/>
      <c r="O55" s="720"/>
      <c r="P55" s="720"/>
      <c r="Q55" s="720"/>
      <c r="R55" s="720"/>
      <c r="S55" s="720"/>
      <c r="T55" s="720"/>
      <c r="U55" s="720"/>
      <c r="V55" s="720"/>
      <c r="W55" s="720"/>
      <c r="X55" s="144"/>
      <c r="Y55" s="718" t="str">
        <f>'1_INPUT'!$E$22</f>
        <v>WORKOVER</v>
      </c>
      <c r="Z55" s="718"/>
      <c r="AA55" s="718"/>
      <c r="AB55" s="718"/>
      <c r="AC55" s="718"/>
      <c r="AD55" s="718"/>
      <c r="AE55" s="718"/>
      <c r="AF55" s="718"/>
      <c r="AG55" s="718"/>
      <c r="AH55" s="718"/>
      <c r="AI55" s="718"/>
      <c r="AJ55" s="718"/>
      <c r="AK55" s="718"/>
      <c r="AL55" s="255"/>
      <c r="AM55" s="254"/>
      <c r="AN55" s="476" t="str">
        <f ca="1">'1_INPUT'!AD76</f>
        <v>F</v>
      </c>
      <c r="AO55" s="477" t="str">
        <f ca="1">'1_INPUT'!AE76</f>
        <v>-</v>
      </c>
      <c r="AP55" s="478" t="str">
        <f ca="1">'1_INPUT'!AF76</f>
        <v>G</v>
      </c>
      <c r="AQ55" s="723" t="str">
        <f ca="1">'1_INPUT'!AG76</f>
        <v>RIH RPP. Put well on production</v>
      </c>
      <c r="AR55" s="723"/>
      <c r="AS55" s="723"/>
      <c r="AT55" s="723"/>
      <c r="AU55" s="723"/>
      <c r="AV55" s="723"/>
      <c r="AW55" s="723"/>
      <c r="AX55" s="723"/>
      <c r="AY55" s="723"/>
      <c r="AZ55" s="723"/>
      <c r="BA55" s="723"/>
      <c r="BB55" s="723"/>
      <c r="BC55" s="723"/>
      <c r="BD55" s="709">
        <f ca="1">'1_INPUT'!AH76</f>
        <v>2.25</v>
      </c>
      <c r="BE55" s="709"/>
      <c r="BF55" s="709">
        <f ca="1">'1_INPUT'!AI76</f>
        <v>18.708333333333329</v>
      </c>
      <c r="BG55" s="709"/>
      <c r="BH55" s="709">
        <f ca="1">'1_INPUT'!AJ76</f>
        <v>2.75</v>
      </c>
      <c r="BI55" s="709"/>
      <c r="BJ55" s="709">
        <f ca="1">'1_INPUT'!AK76</f>
        <v>22.958333333333339</v>
      </c>
      <c r="BK55" s="709"/>
      <c r="BL55" s="255"/>
      <c r="BM55" s="378"/>
      <c r="BN55" s="379"/>
      <c r="BO55" s="379"/>
      <c r="BP55" s="379"/>
      <c r="BQ55" s="379"/>
      <c r="BR55" s="379"/>
      <c r="BS55" s="380"/>
      <c r="BT55" s="380"/>
      <c r="BU55" s="381"/>
    </row>
    <row r="56" spans="7:79" ht="14.4">
      <c r="G56" s="371"/>
      <c r="H56" s="254"/>
      <c r="I56" s="720" t="s">
        <v>432</v>
      </c>
      <c r="J56" s="720"/>
      <c r="K56" s="720"/>
      <c r="L56" s="720"/>
      <c r="M56" s="720"/>
      <c r="N56" s="720"/>
      <c r="O56" s="720"/>
      <c r="P56" s="720"/>
      <c r="Q56" s="720"/>
      <c r="R56" s="720"/>
      <c r="S56" s="720"/>
      <c r="T56" s="720"/>
      <c r="U56" s="720"/>
      <c r="V56" s="720"/>
      <c r="W56" s="720"/>
      <c r="X56" s="144"/>
      <c r="Y56" s="719">
        <f>'1_INPUT'!$E$23</f>
        <v>1112</v>
      </c>
      <c r="Z56" s="719"/>
      <c r="AA56" s="719"/>
      <c r="AB56" s="719"/>
      <c r="AC56" s="719"/>
      <c r="AD56" s="719"/>
      <c r="AE56" s="719"/>
      <c r="AF56" s="719"/>
      <c r="AG56" s="719"/>
      <c r="AH56" s="719"/>
      <c r="AI56" s="719"/>
      <c r="AJ56" s="719"/>
      <c r="AK56" s="719"/>
      <c r="AL56" s="255"/>
      <c r="AM56" s="254"/>
      <c r="AN56" s="473" t="str">
        <f ca="1">'1_INPUT'!AD77</f>
        <v/>
      </c>
      <c r="AO56" s="474" t="str">
        <f ca="1">'1_INPUT'!AE77</f>
        <v/>
      </c>
      <c r="AP56" s="475" t="str">
        <f ca="1">'1_INPUT'!AF77</f>
        <v/>
      </c>
      <c r="AQ56" s="721" t="str">
        <f ca="1">'1_INPUT'!AG77</f>
        <v>RELEASE</v>
      </c>
      <c r="AR56" s="721"/>
      <c r="AS56" s="721"/>
      <c r="AT56" s="721"/>
      <c r="AU56" s="721"/>
      <c r="AV56" s="721"/>
      <c r="AW56" s="721"/>
      <c r="AX56" s="721"/>
      <c r="AY56" s="721"/>
      <c r="AZ56" s="721"/>
      <c r="BA56" s="721"/>
      <c r="BB56" s="721"/>
      <c r="BC56" s="721"/>
      <c r="BD56" s="711" t="str">
        <f ca="1">'1_INPUT'!AH77</f>
        <v/>
      </c>
      <c r="BE56" s="711"/>
      <c r="BF56" s="711" t="str">
        <f ca="1">'1_INPUT'!AI77</f>
        <v/>
      </c>
      <c r="BG56" s="711"/>
      <c r="BH56" s="711" t="str">
        <f ca="1">'1_INPUT'!AJ77</f>
        <v/>
      </c>
      <c r="BI56" s="711"/>
      <c r="BJ56" s="711" t="str">
        <f ca="1">'1_INPUT'!AK77</f>
        <v/>
      </c>
      <c r="BK56" s="711"/>
      <c r="BL56" s="255"/>
      <c r="BM56" s="378"/>
      <c r="BN56" s="379"/>
      <c r="BO56" s="379"/>
      <c r="BP56" s="379"/>
      <c r="BQ56" s="379"/>
      <c r="BR56" s="379"/>
      <c r="BS56" s="380"/>
      <c r="BT56" s="380"/>
      <c r="BU56" s="381"/>
    </row>
    <row r="57" spans="7:79" ht="14.4">
      <c r="G57" s="371"/>
      <c r="H57" s="254"/>
      <c r="I57" s="720" t="s">
        <v>313</v>
      </c>
      <c r="J57" s="720"/>
      <c r="K57" s="720"/>
      <c r="L57" s="720"/>
      <c r="M57" s="720"/>
      <c r="N57" s="720"/>
      <c r="O57" s="720"/>
      <c r="P57" s="720"/>
      <c r="Q57" s="720"/>
      <c r="R57" s="720"/>
      <c r="S57" s="720"/>
      <c r="T57" s="720"/>
      <c r="U57" s="720"/>
      <c r="V57" s="720"/>
      <c r="W57" s="720"/>
      <c r="X57" s="144"/>
      <c r="Y57" s="718" t="str">
        <f>'1_INPUT'!$E$24</f>
        <v>GJE #11 (450 HP)</v>
      </c>
      <c r="Z57" s="718"/>
      <c r="AA57" s="718"/>
      <c r="AB57" s="718"/>
      <c r="AC57" s="718"/>
      <c r="AD57" s="718"/>
      <c r="AE57" s="718"/>
      <c r="AF57" s="718"/>
      <c r="AG57" s="718"/>
      <c r="AH57" s="718"/>
      <c r="AI57" s="718"/>
      <c r="AJ57" s="718"/>
      <c r="AK57" s="718"/>
      <c r="AL57" s="255"/>
      <c r="AM57" s="254"/>
      <c r="AN57" s="476" t="str">
        <f ca="1">'1_INPUT'!AD78</f>
        <v>G</v>
      </c>
      <c r="AO57" s="477" t="str">
        <f ca="1">'1_INPUT'!AE78</f>
        <v>-</v>
      </c>
      <c r="AP57" s="478" t="str">
        <f ca="1">'1_INPUT'!AF78</f>
        <v>H</v>
      </c>
      <c r="AQ57" s="723" t="str">
        <f ca="1">'1_INPUT'!AG78</f>
        <v>Rig Release</v>
      </c>
      <c r="AR57" s="723"/>
      <c r="AS57" s="723"/>
      <c r="AT57" s="723"/>
      <c r="AU57" s="723"/>
      <c r="AV57" s="723"/>
      <c r="AW57" s="723"/>
      <c r="AX57" s="723"/>
      <c r="AY57" s="723"/>
      <c r="AZ57" s="723"/>
      <c r="BA57" s="723"/>
      <c r="BB57" s="723"/>
      <c r="BC57" s="723"/>
      <c r="BD57" s="709">
        <f ca="1">'1_INPUT'!AH78</f>
        <v>0</v>
      </c>
      <c r="BE57" s="709"/>
      <c r="BF57" s="709">
        <f ca="1">'1_INPUT'!AI78</f>
        <v>18.708333333333329</v>
      </c>
      <c r="BG57" s="709"/>
      <c r="BH57" s="709">
        <f ca="1">'1_INPUT'!AJ78</f>
        <v>0</v>
      </c>
      <c r="BI57" s="709"/>
      <c r="BJ57" s="709">
        <f ca="1">'1_INPUT'!AK78</f>
        <v>22.958333333333339</v>
      </c>
      <c r="BK57" s="709"/>
      <c r="BL57" s="255"/>
      <c r="BM57" s="378"/>
      <c r="BN57" s="379"/>
      <c r="BO57" s="379"/>
      <c r="BP57" s="379"/>
      <c r="BQ57" s="379"/>
      <c r="BR57" s="379"/>
      <c r="BS57" s="380"/>
      <c r="BT57" s="380"/>
      <c r="BU57" s="381"/>
      <c r="CA57" s="472"/>
    </row>
    <row r="58" spans="7:79" ht="14.4">
      <c r="G58" s="371"/>
      <c r="H58" s="254"/>
      <c r="I58" s="720" t="s">
        <v>20</v>
      </c>
      <c r="J58" s="720"/>
      <c r="K58" s="720"/>
      <c r="L58" s="720"/>
      <c r="M58" s="720"/>
      <c r="N58" s="720"/>
      <c r="O58" s="720"/>
      <c r="P58" s="720"/>
      <c r="Q58" s="720"/>
      <c r="R58" s="720"/>
      <c r="S58" s="720"/>
      <c r="T58" s="720"/>
      <c r="U58" s="720"/>
      <c r="V58" s="720"/>
      <c r="W58" s="720"/>
      <c r="X58" s="144"/>
      <c r="Y58" s="736">
        <f>'1_INPUT'!$E$25</f>
        <v>5.5</v>
      </c>
      <c r="Z58" s="736"/>
      <c r="AA58" s="736"/>
      <c r="AB58" s="736"/>
      <c r="AC58" s="736"/>
      <c r="AD58" s="736"/>
      <c r="AE58" s="736"/>
      <c r="AF58" s="736"/>
      <c r="AG58" s="736"/>
      <c r="AH58" s="736"/>
      <c r="AI58" s="736"/>
      <c r="AJ58" s="736"/>
      <c r="AK58" s="736"/>
      <c r="AL58" s="255"/>
      <c r="AM58" s="254"/>
      <c r="AN58" s="480"/>
      <c r="AO58" s="480"/>
      <c r="AP58" s="480"/>
      <c r="AQ58" s="769"/>
      <c r="AR58" s="769"/>
      <c r="AS58" s="769"/>
      <c r="AT58" s="769"/>
      <c r="AU58" s="769"/>
      <c r="AV58" s="769"/>
      <c r="AW58" s="769"/>
      <c r="AX58" s="769"/>
      <c r="AY58" s="769"/>
      <c r="AZ58" s="769"/>
      <c r="BA58" s="769"/>
      <c r="BB58" s="769"/>
      <c r="BC58" s="769"/>
      <c r="BD58" s="710"/>
      <c r="BE58" s="710"/>
      <c r="BF58" s="710"/>
      <c r="BG58" s="710"/>
      <c r="BH58" s="710"/>
      <c r="BI58" s="710"/>
      <c r="BJ58" s="710"/>
      <c r="BK58" s="710"/>
      <c r="BL58" s="255"/>
      <c r="BM58" s="378"/>
      <c r="BN58" s="379"/>
      <c r="BO58" s="379"/>
      <c r="BP58" s="379"/>
      <c r="BQ58" s="379"/>
      <c r="BR58" s="379"/>
      <c r="BS58" s="380"/>
      <c r="BT58" s="380"/>
      <c r="BU58" s="381"/>
    </row>
    <row r="59" spans="7:79" ht="14.4">
      <c r="G59" s="371"/>
      <c r="H59" s="254"/>
      <c r="I59" s="720" t="s">
        <v>314</v>
      </c>
      <c r="J59" s="720"/>
      <c r="K59" s="720"/>
      <c r="L59" s="720"/>
      <c r="M59" s="720"/>
      <c r="N59" s="720"/>
      <c r="O59" s="720"/>
      <c r="P59" s="720"/>
      <c r="Q59" s="720"/>
      <c r="R59" s="720"/>
      <c r="S59" s="720"/>
      <c r="T59" s="720"/>
      <c r="U59" s="720"/>
      <c r="V59" s="720"/>
      <c r="W59" s="720"/>
      <c r="X59" s="144"/>
      <c r="Y59" s="731">
        <f>'1_INPUT'!$E$18</f>
        <v>44943.791666666664</v>
      </c>
      <c r="Z59" s="731"/>
      <c r="AA59" s="731"/>
      <c r="AB59" s="731"/>
      <c r="AC59" s="731"/>
      <c r="AD59" s="731"/>
      <c r="AE59" s="731"/>
      <c r="AF59" s="731"/>
      <c r="AG59" s="731"/>
      <c r="AH59" s="731"/>
      <c r="AI59" s="731"/>
      <c r="AJ59" s="731"/>
      <c r="AK59" s="731"/>
      <c r="AL59" s="255"/>
      <c r="AM59" s="254"/>
      <c r="AN59" s="481"/>
      <c r="AO59" s="481"/>
      <c r="AP59" s="481"/>
      <c r="AQ59" s="707"/>
      <c r="AR59" s="707"/>
      <c r="AS59" s="707"/>
      <c r="AT59" s="707"/>
      <c r="AU59" s="707"/>
      <c r="AV59" s="707"/>
      <c r="AW59" s="707"/>
      <c r="AX59" s="707"/>
      <c r="AY59" s="707"/>
      <c r="AZ59" s="707"/>
      <c r="BA59" s="707"/>
      <c r="BB59" s="707"/>
      <c r="BC59" s="707"/>
      <c r="BD59" s="708"/>
      <c r="BE59" s="708"/>
      <c r="BF59" s="708"/>
      <c r="BG59" s="708"/>
      <c r="BH59" s="708"/>
      <c r="BI59" s="708"/>
      <c r="BJ59" s="708"/>
      <c r="BK59" s="708"/>
      <c r="BL59" s="255"/>
      <c r="BM59" s="378"/>
      <c r="BN59" s="379"/>
      <c r="BO59" s="379"/>
      <c r="BP59" s="379"/>
      <c r="BQ59" s="379"/>
      <c r="BR59" s="379"/>
      <c r="BS59" s="380"/>
      <c r="BT59" s="380"/>
      <c r="BU59" s="381"/>
    </row>
    <row r="60" spans="7:79" ht="14.4">
      <c r="G60" s="371"/>
      <c r="H60" s="254"/>
      <c r="I60" s="720" t="s">
        <v>21</v>
      </c>
      <c r="J60" s="720"/>
      <c r="K60" s="720"/>
      <c r="L60" s="720"/>
      <c r="M60" s="720"/>
      <c r="N60" s="720"/>
      <c r="O60" s="720"/>
      <c r="P60" s="720"/>
      <c r="Q60" s="720"/>
      <c r="R60" s="720"/>
      <c r="S60" s="720"/>
      <c r="T60" s="720"/>
      <c r="U60" s="720"/>
      <c r="V60" s="720"/>
      <c r="W60" s="720"/>
      <c r="X60" s="144"/>
      <c r="Y60" s="731" t="str">
        <f>IF('1_INPUT'!$E$19=0,"",'1_INPUT'!$E$19)</f>
        <v/>
      </c>
      <c r="Z60" s="731"/>
      <c r="AA60" s="731"/>
      <c r="AB60" s="731"/>
      <c r="AC60" s="731"/>
      <c r="AD60" s="731"/>
      <c r="AE60" s="731"/>
      <c r="AF60" s="731"/>
      <c r="AG60" s="731"/>
      <c r="AH60" s="731"/>
      <c r="AI60" s="731"/>
      <c r="AJ60" s="731"/>
      <c r="AK60" s="731"/>
      <c r="AL60" s="255"/>
      <c r="AM60" s="254"/>
      <c r="AN60" s="481"/>
      <c r="AO60" s="481"/>
      <c r="AP60" s="481"/>
      <c r="AQ60" s="707"/>
      <c r="AR60" s="707"/>
      <c r="AS60" s="707"/>
      <c r="AT60" s="707"/>
      <c r="AU60" s="707"/>
      <c r="AV60" s="707"/>
      <c r="AW60" s="707"/>
      <c r="AX60" s="707"/>
      <c r="AY60" s="707"/>
      <c r="AZ60" s="707"/>
      <c r="BA60" s="707"/>
      <c r="BB60" s="707"/>
      <c r="BC60" s="707"/>
      <c r="BD60" s="708"/>
      <c r="BE60" s="708"/>
      <c r="BF60" s="708"/>
      <c r="BG60" s="708"/>
      <c r="BH60" s="708"/>
      <c r="BI60" s="708"/>
      <c r="BJ60" s="708"/>
      <c r="BK60" s="708"/>
      <c r="BL60" s="255"/>
      <c r="BM60" s="378"/>
      <c r="BN60" s="379"/>
      <c r="BO60" s="379"/>
      <c r="BP60" s="379"/>
      <c r="BQ60" s="379"/>
      <c r="BR60" s="379"/>
      <c r="BS60" s="380"/>
      <c r="BT60" s="380"/>
      <c r="BU60" s="381"/>
    </row>
    <row r="61" spans="7:79" ht="14.4">
      <c r="G61" s="371"/>
      <c r="H61" s="254"/>
      <c r="I61" s="724" t="s">
        <v>320</v>
      </c>
      <c r="J61" s="724"/>
      <c r="K61" s="724"/>
      <c r="L61" s="724"/>
      <c r="M61" s="724"/>
      <c r="N61" s="724"/>
      <c r="O61" s="724"/>
      <c r="P61" s="724"/>
      <c r="Q61" s="724"/>
      <c r="R61" s="724"/>
      <c r="S61" s="724"/>
      <c r="T61" s="724"/>
      <c r="U61" s="724"/>
      <c r="V61" s="724"/>
      <c r="W61" s="724"/>
      <c r="X61" s="144"/>
      <c r="Y61" s="732">
        <f>'1_INPUT'!$E$27</f>
        <v>470258.49276678503</v>
      </c>
      <c r="Z61" s="732"/>
      <c r="AA61" s="732"/>
      <c r="AB61" s="732"/>
      <c r="AC61" s="732"/>
      <c r="AD61" s="732"/>
      <c r="AE61" s="732"/>
      <c r="AF61" s="732"/>
      <c r="AG61" s="732"/>
      <c r="AH61" s="732"/>
      <c r="AI61" s="732"/>
      <c r="AJ61" s="732"/>
      <c r="AK61" s="732"/>
      <c r="AL61" s="255"/>
      <c r="AM61" s="254"/>
      <c r="AN61" s="481"/>
      <c r="AO61" s="481"/>
      <c r="AP61" s="481"/>
      <c r="AQ61" s="707"/>
      <c r="AR61" s="707"/>
      <c r="AS61" s="707"/>
      <c r="AT61" s="707"/>
      <c r="AU61" s="707"/>
      <c r="AV61" s="707"/>
      <c r="AW61" s="707"/>
      <c r="AX61" s="707"/>
      <c r="AY61" s="707"/>
      <c r="AZ61" s="707"/>
      <c r="BA61" s="707"/>
      <c r="BB61" s="707"/>
      <c r="BC61" s="707"/>
      <c r="BD61" s="708"/>
      <c r="BE61" s="708"/>
      <c r="BF61" s="708"/>
      <c r="BG61" s="708"/>
      <c r="BH61" s="708"/>
      <c r="BI61" s="708"/>
      <c r="BJ61" s="708"/>
      <c r="BK61" s="708"/>
      <c r="BL61" s="255"/>
      <c r="BM61" s="378"/>
      <c r="BN61" s="379"/>
      <c r="BO61" s="379"/>
      <c r="BP61" s="379"/>
      <c r="BQ61" s="379"/>
      <c r="BR61" s="379"/>
      <c r="BS61" s="380"/>
      <c r="BT61" s="380"/>
      <c r="BU61" s="381"/>
    </row>
    <row r="62" spans="7:79" ht="14.4">
      <c r="G62" s="371"/>
      <c r="H62" s="254"/>
      <c r="I62" s="724" t="s">
        <v>319</v>
      </c>
      <c r="J62" s="724"/>
      <c r="K62" s="724"/>
      <c r="L62" s="724"/>
      <c r="M62" s="724"/>
      <c r="N62" s="724"/>
      <c r="O62" s="724"/>
      <c r="P62" s="724"/>
      <c r="Q62" s="724"/>
      <c r="R62" s="724"/>
      <c r="S62" s="724"/>
      <c r="T62" s="724"/>
      <c r="U62" s="724"/>
      <c r="V62" s="724"/>
      <c r="W62" s="724"/>
      <c r="X62" s="144"/>
      <c r="Y62" s="732">
        <f>MAX(BUDGET!$I$8:$I$69)</f>
        <v>315917.87212603958</v>
      </c>
      <c r="Z62" s="732"/>
      <c r="AA62" s="732"/>
      <c r="AB62" s="732"/>
      <c r="AC62" s="732"/>
      <c r="AD62" s="732"/>
      <c r="AE62" s="732"/>
      <c r="AF62" s="732"/>
      <c r="AG62" s="732"/>
      <c r="AH62" s="732"/>
      <c r="AI62" s="732"/>
      <c r="AJ62" s="732"/>
      <c r="AK62" s="732"/>
      <c r="AL62" s="255"/>
      <c r="AM62" s="254"/>
      <c r="AN62" s="481"/>
      <c r="AO62" s="481"/>
      <c r="AP62" s="481"/>
      <c r="AQ62" s="707"/>
      <c r="AR62" s="707"/>
      <c r="AS62" s="707"/>
      <c r="AT62" s="707"/>
      <c r="AU62" s="707"/>
      <c r="AV62" s="707"/>
      <c r="AW62" s="707"/>
      <c r="AX62" s="707"/>
      <c r="AY62" s="707"/>
      <c r="AZ62" s="707"/>
      <c r="BA62" s="707"/>
      <c r="BB62" s="707"/>
      <c r="BC62" s="707"/>
      <c r="BD62" s="708"/>
      <c r="BE62" s="708"/>
      <c r="BF62" s="708"/>
      <c r="BG62" s="708"/>
      <c r="BH62" s="708"/>
      <c r="BI62" s="708"/>
      <c r="BJ62" s="708"/>
      <c r="BK62" s="708"/>
      <c r="BL62" s="255"/>
      <c r="BM62" s="378"/>
      <c r="BN62" s="379"/>
      <c r="BO62" s="379"/>
      <c r="BP62" s="379"/>
      <c r="BQ62" s="379"/>
      <c r="BR62" s="379"/>
      <c r="BS62" s="380"/>
      <c r="BT62" s="380"/>
      <c r="BU62" s="381"/>
    </row>
    <row r="63" spans="7:79" ht="14.4">
      <c r="G63" s="371"/>
      <c r="H63" s="254"/>
      <c r="I63" s="724" t="s">
        <v>318</v>
      </c>
      <c r="J63" s="724"/>
      <c r="K63" s="724"/>
      <c r="L63" s="724"/>
      <c r="M63" s="724"/>
      <c r="N63" s="724"/>
      <c r="O63" s="724"/>
      <c r="P63" s="724"/>
      <c r="Q63" s="724"/>
      <c r="R63" s="724"/>
      <c r="S63" s="724"/>
      <c r="T63" s="724"/>
      <c r="U63" s="724"/>
      <c r="V63" s="724"/>
      <c r="W63" s="724"/>
      <c r="X63" s="144"/>
      <c r="Y63" s="733">
        <f>Y62/Y61</f>
        <v>0.67179620779908489</v>
      </c>
      <c r="Z63" s="733"/>
      <c r="AA63" s="733"/>
      <c r="AB63" s="733"/>
      <c r="AC63" s="733"/>
      <c r="AD63" s="733"/>
      <c r="AE63" s="733"/>
      <c r="AF63" s="733"/>
      <c r="AG63" s="733"/>
      <c r="AH63" s="733"/>
      <c r="AI63" s="733"/>
      <c r="AJ63" s="733"/>
      <c r="AK63" s="733"/>
      <c r="AL63" s="255"/>
      <c r="AM63" s="254"/>
      <c r="AN63" s="481"/>
      <c r="AO63" s="481"/>
      <c r="AP63" s="481"/>
      <c r="AQ63" s="707"/>
      <c r="AR63" s="707"/>
      <c r="AS63" s="707"/>
      <c r="AT63" s="707"/>
      <c r="AU63" s="707"/>
      <c r="AV63" s="707"/>
      <c r="AW63" s="707"/>
      <c r="AX63" s="707"/>
      <c r="AY63" s="707"/>
      <c r="AZ63" s="707"/>
      <c r="BA63" s="707"/>
      <c r="BB63" s="707"/>
      <c r="BC63" s="707"/>
      <c r="BD63" s="708"/>
      <c r="BE63" s="708"/>
      <c r="BF63" s="708"/>
      <c r="BG63" s="708"/>
      <c r="BH63" s="708"/>
      <c r="BI63" s="708"/>
      <c r="BJ63" s="708"/>
      <c r="BK63" s="708"/>
      <c r="BL63" s="255"/>
      <c r="BM63" s="378"/>
      <c r="BN63" s="379"/>
      <c r="BO63" s="379"/>
      <c r="BP63" s="379"/>
      <c r="BQ63" s="379"/>
      <c r="BR63" s="379"/>
      <c r="BS63" s="380"/>
      <c r="BT63" s="380"/>
      <c r="BU63" s="381"/>
    </row>
    <row r="64" spans="7:79" ht="14.4">
      <c r="G64" s="371"/>
      <c r="H64" s="250"/>
      <c r="I64" s="284"/>
      <c r="J64" s="285"/>
      <c r="K64" s="285"/>
      <c r="L64" s="285"/>
      <c r="M64" s="285"/>
      <c r="N64" s="285"/>
      <c r="O64" s="285"/>
      <c r="P64" s="285"/>
      <c r="Q64" s="285"/>
      <c r="R64" s="285"/>
      <c r="S64" s="285"/>
      <c r="T64" s="284"/>
      <c r="U64" s="285"/>
      <c r="V64" s="285"/>
      <c r="W64" s="285"/>
      <c r="X64" s="285"/>
      <c r="Y64" s="286"/>
      <c r="Z64" s="286"/>
      <c r="AA64" s="286"/>
      <c r="AB64" s="286"/>
      <c r="AC64" s="286"/>
      <c r="AD64" s="286"/>
      <c r="AE64" s="286"/>
      <c r="AF64" s="286"/>
      <c r="AG64" s="286"/>
      <c r="AH64" s="286"/>
      <c r="AI64" s="286"/>
      <c r="AJ64" s="286"/>
      <c r="AK64" s="286"/>
      <c r="AL64" s="251"/>
      <c r="AM64" s="254"/>
      <c r="AN64" s="481"/>
      <c r="AO64" s="481"/>
      <c r="AP64" s="481"/>
      <c r="AQ64" s="707"/>
      <c r="AR64" s="707"/>
      <c r="AS64" s="707"/>
      <c r="AT64" s="707"/>
      <c r="AU64" s="707"/>
      <c r="AV64" s="707"/>
      <c r="AW64" s="707"/>
      <c r="AX64" s="707"/>
      <c r="AY64" s="707"/>
      <c r="AZ64" s="707"/>
      <c r="BA64" s="707"/>
      <c r="BB64" s="707"/>
      <c r="BC64" s="707"/>
      <c r="BD64" s="708"/>
      <c r="BE64" s="708"/>
      <c r="BF64" s="708"/>
      <c r="BG64" s="708"/>
      <c r="BH64" s="708"/>
      <c r="BI64" s="708"/>
      <c r="BJ64" s="708"/>
      <c r="BK64" s="708"/>
      <c r="BL64" s="255"/>
      <c r="BM64" s="378"/>
      <c r="BN64" s="379"/>
      <c r="BO64" s="379"/>
      <c r="BP64" s="379"/>
      <c r="BQ64" s="379"/>
      <c r="BR64" s="379"/>
      <c r="BS64" s="380"/>
      <c r="BT64" s="380"/>
      <c r="BU64" s="381"/>
    </row>
    <row r="65" spans="7:73" ht="14.4">
      <c r="G65" s="371"/>
      <c r="H65" s="252"/>
      <c r="I65" s="287"/>
      <c r="J65" s="287"/>
      <c r="K65" s="287"/>
      <c r="L65" s="287"/>
      <c r="M65" s="287"/>
      <c r="N65" s="287"/>
      <c r="O65" s="287"/>
      <c r="P65" s="287"/>
      <c r="Q65" s="287"/>
      <c r="R65" s="287"/>
      <c r="S65" s="287"/>
      <c r="T65" s="287"/>
      <c r="U65" s="287"/>
      <c r="V65" s="287"/>
      <c r="W65" s="287"/>
      <c r="X65" s="287"/>
      <c r="Y65" s="287"/>
      <c r="Z65" s="287"/>
      <c r="AA65" s="287"/>
      <c r="AB65" s="287"/>
      <c r="AC65" s="287"/>
      <c r="AD65" s="287"/>
      <c r="AE65" s="287"/>
      <c r="AF65" s="287"/>
      <c r="AG65" s="287"/>
      <c r="AH65" s="287"/>
      <c r="AI65" s="287"/>
      <c r="AJ65" s="287"/>
      <c r="AK65" s="287"/>
      <c r="AL65" s="253"/>
      <c r="AM65" s="252"/>
      <c r="AN65" s="479"/>
      <c r="AO65" s="479"/>
      <c r="AP65" s="479"/>
      <c r="AQ65" s="479"/>
      <c r="AR65" s="479"/>
      <c r="AS65" s="479"/>
      <c r="AT65" s="479"/>
      <c r="AU65" s="479"/>
      <c r="AV65" s="479"/>
      <c r="AW65" s="479"/>
      <c r="AX65" s="479"/>
      <c r="AY65" s="479"/>
      <c r="AZ65" s="479"/>
      <c r="BA65" s="479"/>
      <c r="BB65" s="479"/>
      <c r="BC65" s="479"/>
      <c r="BD65" s="479"/>
      <c r="BE65" s="479"/>
      <c r="BF65" s="479"/>
      <c r="BG65" s="479"/>
      <c r="BH65" s="479"/>
      <c r="BI65" s="479"/>
      <c r="BJ65" s="479"/>
      <c r="BK65" s="479"/>
      <c r="BL65" s="334" t="s">
        <v>445</v>
      </c>
      <c r="BM65" s="378"/>
      <c r="BN65" s="379"/>
      <c r="BO65" s="379"/>
      <c r="BP65" s="379"/>
      <c r="BQ65" s="379"/>
      <c r="BR65" s="379"/>
      <c r="BS65" s="380"/>
      <c r="BT65" s="380"/>
      <c r="BU65" s="381"/>
    </row>
    <row r="66" spans="7:73" ht="14.4">
      <c r="G66" s="259"/>
      <c r="H66" s="368"/>
      <c r="I66" s="368"/>
      <c r="J66" s="368"/>
      <c r="K66" s="368"/>
      <c r="L66" s="368"/>
      <c r="M66" s="368"/>
      <c r="N66" s="368"/>
      <c r="O66" s="368"/>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9"/>
      <c r="BM66" s="378"/>
      <c r="BN66" s="379"/>
      <c r="BO66" s="379"/>
      <c r="BP66" s="379"/>
      <c r="BQ66" s="379"/>
      <c r="BR66" s="379"/>
      <c r="BS66" s="380"/>
      <c r="BT66" s="380"/>
      <c r="BU66" s="381"/>
    </row>
    <row r="67" spans="7:73" ht="14.4">
      <c r="G67" s="259"/>
      <c r="H67" s="259"/>
      <c r="I67" s="259"/>
      <c r="J67" s="259"/>
      <c r="K67" s="259"/>
      <c r="L67" s="259"/>
      <c r="M67" s="259"/>
      <c r="N67" s="259"/>
      <c r="O67" s="259"/>
      <c r="P67" s="259"/>
      <c r="Q67" s="259"/>
      <c r="R67" s="259"/>
      <c r="S67" s="259"/>
      <c r="T67" s="259"/>
      <c r="U67" s="259"/>
      <c r="V67" s="259"/>
      <c r="W67" s="259"/>
      <c r="X67" s="259"/>
      <c r="Y67" s="259"/>
      <c r="Z67" s="259"/>
      <c r="AA67" s="259"/>
      <c r="AB67" s="259"/>
      <c r="AC67" s="259"/>
      <c r="AD67" s="259"/>
      <c r="AE67" s="259"/>
      <c r="AF67" s="259"/>
      <c r="AG67" s="259"/>
      <c r="AH67" s="259"/>
      <c r="AI67" s="259"/>
      <c r="AJ67" s="259"/>
      <c r="AK67" s="259"/>
      <c r="AL67" s="259"/>
      <c r="AM67" s="259"/>
      <c r="AN67" s="259"/>
      <c r="AO67" s="259"/>
      <c r="AP67" s="259"/>
      <c r="AQ67" s="259"/>
      <c r="AR67" s="259"/>
      <c r="AS67" s="259"/>
      <c r="AT67" s="259"/>
      <c r="AU67" s="259"/>
      <c r="AV67" s="259"/>
      <c r="AW67" s="259"/>
      <c r="AX67" s="259"/>
      <c r="AY67" s="259"/>
      <c r="AZ67" s="259"/>
      <c r="BA67" s="259"/>
      <c r="BB67" s="259"/>
      <c r="BC67" s="259"/>
      <c r="BD67" s="259"/>
      <c r="BE67" s="259"/>
      <c r="BF67" s="259"/>
      <c r="BG67" s="259"/>
      <c r="BH67" s="259"/>
      <c r="BI67" s="259"/>
      <c r="BJ67" s="259"/>
      <c r="BK67" s="259"/>
      <c r="BL67" s="371"/>
      <c r="BM67" s="378"/>
      <c r="BN67" s="379"/>
      <c r="BO67" s="379"/>
      <c r="BP67" s="379"/>
      <c r="BQ67" s="379"/>
      <c r="BR67" s="379"/>
      <c r="BS67" s="380"/>
      <c r="BT67" s="380"/>
      <c r="BU67" s="381"/>
    </row>
    <row r="68" spans="7:73" ht="14.4">
      <c r="G68" s="259"/>
      <c r="H68" s="259"/>
      <c r="I68" s="259"/>
      <c r="J68" s="259"/>
      <c r="K68" s="259"/>
      <c r="L68" s="259"/>
      <c r="M68" s="259"/>
      <c r="N68" s="259"/>
      <c r="O68" s="259"/>
      <c r="P68" s="259"/>
      <c r="Q68" s="259"/>
      <c r="R68" s="259"/>
      <c r="S68" s="259"/>
      <c r="T68" s="259"/>
      <c r="U68" s="259"/>
      <c r="V68" s="259"/>
      <c r="W68" s="259"/>
      <c r="X68" s="259"/>
      <c r="Y68" s="259"/>
      <c r="Z68" s="259"/>
      <c r="AA68" s="259"/>
      <c r="AB68" s="259"/>
      <c r="AC68" s="259"/>
      <c r="AD68" s="259"/>
      <c r="AE68" s="259"/>
      <c r="AF68" s="259"/>
      <c r="AG68" s="259"/>
      <c r="AH68" s="259"/>
      <c r="AI68" s="259"/>
      <c r="AJ68" s="259"/>
      <c r="AK68" s="259"/>
      <c r="AL68" s="259"/>
      <c r="AM68" s="259"/>
      <c r="AN68" s="259"/>
      <c r="AO68" s="259"/>
      <c r="AP68" s="259"/>
      <c r="AQ68" s="259"/>
      <c r="AR68" s="259"/>
      <c r="AS68" s="259"/>
      <c r="AT68" s="259"/>
      <c r="AU68" s="259"/>
      <c r="AV68" s="259"/>
      <c r="AW68" s="259"/>
      <c r="AX68" s="259"/>
      <c r="AY68" s="259"/>
      <c r="AZ68" s="259"/>
      <c r="BA68" s="259"/>
      <c r="BB68" s="259"/>
      <c r="BC68" s="259"/>
      <c r="BD68" s="259"/>
      <c r="BE68" s="259"/>
      <c r="BF68" s="259"/>
      <c r="BG68" s="259"/>
      <c r="BH68" s="259"/>
      <c r="BI68" s="259"/>
      <c r="BJ68" s="259"/>
      <c r="BK68" s="259"/>
      <c r="BL68" s="371"/>
      <c r="BM68" s="378"/>
      <c r="BN68" s="379"/>
      <c r="BO68" s="379"/>
      <c r="BP68" s="379"/>
      <c r="BQ68" s="379"/>
      <c r="BR68" s="379"/>
      <c r="BS68" s="380"/>
      <c r="BT68" s="380"/>
      <c r="BU68" s="381"/>
    </row>
    <row r="69" spans="7:73" ht="14.4">
      <c r="G69" s="259"/>
      <c r="H69" s="259"/>
      <c r="I69" s="259"/>
      <c r="J69" s="259"/>
      <c r="K69" s="259"/>
      <c r="L69" s="259"/>
      <c r="M69" s="259"/>
      <c r="N69" s="259"/>
      <c r="O69" s="259"/>
      <c r="P69" s="259"/>
      <c r="Q69" s="259"/>
      <c r="R69" s="259"/>
      <c r="S69" s="259"/>
      <c r="T69" s="259"/>
      <c r="U69" s="259"/>
      <c r="V69" s="259"/>
      <c r="W69" s="259"/>
      <c r="X69" s="259"/>
      <c r="Y69" s="259"/>
      <c r="Z69" s="259"/>
      <c r="AA69" s="259"/>
      <c r="AB69" s="259"/>
      <c r="AC69" s="259"/>
      <c r="AD69" s="259"/>
      <c r="AE69" s="259"/>
      <c r="AF69" s="259"/>
      <c r="AG69" s="259"/>
      <c r="AH69" s="259"/>
      <c r="AI69" s="259"/>
      <c r="AJ69" s="259"/>
      <c r="AK69" s="259"/>
      <c r="AL69" s="259"/>
      <c r="AM69" s="259"/>
      <c r="AN69" s="259"/>
      <c r="AO69" s="259"/>
      <c r="AP69" s="259"/>
      <c r="AQ69" s="259"/>
      <c r="AR69" s="259"/>
      <c r="AS69" s="259"/>
      <c r="AT69" s="259"/>
      <c r="AU69" s="259"/>
      <c r="AV69" s="259"/>
      <c r="AW69" s="259"/>
      <c r="AX69" s="259"/>
      <c r="AY69" s="259"/>
      <c r="AZ69" s="259"/>
      <c r="BA69" s="259"/>
      <c r="BB69" s="259"/>
      <c r="BC69" s="259"/>
      <c r="BD69" s="259"/>
      <c r="BE69" s="259"/>
      <c r="BF69" s="259"/>
      <c r="BG69" s="259"/>
      <c r="BH69" s="259"/>
      <c r="BI69" s="259"/>
      <c r="BJ69" s="259"/>
      <c r="BK69" s="259"/>
      <c r="BL69" s="371"/>
      <c r="BM69" s="378"/>
      <c r="BN69" s="379"/>
      <c r="BO69" s="379"/>
      <c r="BP69" s="379"/>
      <c r="BQ69" s="379"/>
      <c r="BR69" s="379"/>
      <c r="BS69" s="380"/>
      <c r="BT69" s="380"/>
      <c r="BU69" s="381"/>
    </row>
    <row r="70" spans="7:73" ht="14.4">
      <c r="G70" s="259"/>
      <c r="H70" s="259"/>
      <c r="I70" s="259"/>
      <c r="J70" s="259"/>
      <c r="K70" s="259"/>
      <c r="L70" s="259"/>
      <c r="M70" s="259"/>
      <c r="N70" s="259"/>
      <c r="O70" s="259"/>
      <c r="P70" s="259"/>
      <c r="Q70" s="259"/>
      <c r="R70" s="259"/>
      <c r="S70" s="259"/>
      <c r="T70" s="259"/>
      <c r="U70" s="259"/>
      <c r="V70" s="259"/>
      <c r="W70" s="259"/>
      <c r="X70" s="259"/>
      <c r="Y70" s="259"/>
      <c r="Z70" s="259"/>
      <c r="AA70" s="259"/>
      <c r="AB70" s="259"/>
      <c r="AC70" s="259"/>
      <c r="AD70" s="259"/>
      <c r="AE70" s="259"/>
      <c r="AF70" s="259"/>
      <c r="AG70" s="259"/>
      <c r="AH70" s="259"/>
      <c r="AI70" s="259"/>
      <c r="AJ70" s="259"/>
      <c r="AK70" s="259"/>
      <c r="AL70" s="259"/>
      <c r="AM70" s="259"/>
      <c r="AN70" s="259"/>
      <c r="AO70" s="259"/>
      <c r="AP70" s="259"/>
      <c r="AQ70" s="259"/>
      <c r="AR70" s="259"/>
      <c r="AS70" s="259"/>
      <c r="AT70" s="259"/>
      <c r="AU70" s="259"/>
      <c r="AV70" s="259"/>
      <c r="AW70" s="259"/>
      <c r="AX70" s="259"/>
      <c r="AY70" s="259"/>
      <c r="AZ70" s="259"/>
      <c r="BA70" s="259"/>
      <c r="BB70" s="259"/>
      <c r="BC70" s="259"/>
      <c r="BD70" s="259"/>
      <c r="BE70" s="259"/>
      <c r="BF70" s="259"/>
      <c r="BG70" s="259"/>
      <c r="BH70" s="259"/>
      <c r="BI70" s="259"/>
      <c r="BJ70" s="259"/>
      <c r="BK70" s="259"/>
      <c r="BL70" s="371"/>
      <c r="BM70" s="378"/>
      <c r="BN70" s="379"/>
      <c r="BO70" s="379"/>
      <c r="BP70" s="379"/>
      <c r="BQ70" s="379"/>
      <c r="BR70" s="379"/>
      <c r="BS70" s="380"/>
      <c r="BT70" s="380"/>
      <c r="BU70" s="381"/>
    </row>
    <row r="71" spans="7:73" ht="14.4">
      <c r="G71" s="259"/>
      <c r="H71" s="259"/>
      <c r="I71" s="259"/>
      <c r="J71" s="259"/>
      <c r="K71" s="259"/>
      <c r="L71" s="259"/>
      <c r="M71" s="259"/>
      <c r="N71" s="259"/>
      <c r="O71" s="259"/>
      <c r="P71" s="259"/>
      <c r="Q71" s="259"/>
      <c r="R71" s="259"/>
      <c r="S71" s="259"/>
      <c r="T71" s="259"/>
      <c r="U71" s="259"/>
      <c r="V71" s="259"/>
      <c r="W71" s="259"/>
      <c r="X71" s="259"/>
      <c r="Y71" s="259"/>
      <c r="Z71" s="259"/>
      <c r="AA71" s="259"/>
      <c r="AB71" s="259"/>
      <c r="AC71" s="259"/>
      <c r="AD71" s="259"/>
      <c r="AE71" s="259"/>
      <c r="AF71" s="259"/>
      <c r="AG71" s="259"/>
      <c r="AH71" s="259"/>
      <c r="AI71" s="259"/>
      <c r="AJ71" s="259"/>
      <c r="AK71" s="259"/>
      <c r="AL71" s="259"/>
      <c r="AM71" s="259"/>
      <c r="AN71" s="259"/>
      <c r="AO71" s="259"/>
      <c r="AP71" s="259"/>
      <c r="AQ71" s="259"/>
      <c r="AR71" s="259"/>
      <c r="AS71" s="259"/>
      <c r="AT71" s="259"/>
      <c r="AU71" s="259"/>
      <c r="AV71" s="259"/>
      <c r="AW71" s="259"/>
      <c r="AX71" s="259"/>
      <c r="AY71" s="259"/>
      <c r="AZ71" s="259"/>
      <c r="BA71" s="259"/>
      <c r="BB71" s="259"/>
      <c r="BC71" s="259"/>
      <c r="BD71" s="259"/>
      <c r="BE71" s="259"/>
      <c r="BF71" s="259"/>
      <c r="BG71" s="259"/>
      <c r="BH71" s="259"/>
      <c r="BI71" s="259"/>
      <c r="BJ71" s="259"/>
      <c r="BK71" s="259"/>
      <c r="BL71" s="371"/>
      <c r="BM71" s="378"/>
      <c r="BN71" s="379"/>
      <c r="BO71" s="379"/>
      <c r="BP71" s="379"/>
      <c r="BQ71" s="379"/>
      <c r="BR71" s="379"/>
      <c r="BS71" s="380"/>
      <c r="BT71" s="380"/>
      <c r="BU71" s="381"/>
    </row>
    <row r="72" spans="7:73" ht="14.4">
      <c r="G72" s="259"/>
      <c r="H72" s="259"/>
      <c r="I72" s="259"/>
      <c r="J72" s="259"/>
      <c r="K72" s="259"/>
      <c r="L72" s="259"/>
      <c r="M72" s="259"/>
      <c r="N72" s="259"/>
      <c r="O72" s="259"/>
      <c r="P72" s="259"/>
      <c r="Q72" s="259"/>
      <c r="R72" s="259"/>
      <c r="S72" s="259"/>
      <c r="T72" s="259"/>
      <c r="U72" s="259"/>
      <c r="V72" s="259"/>
      <c r="W72" s="259"/>
      <c r="X72" s="259"/>
      <c r="Y72" s="259"/>
      <c r="Z72" s="259"/>
      <c r="AA72" s="259"/>
      <c r="AB72" s="259"/>
      <c r="AC72" s="259"/>
      <c r="AD72" s="259"/>
      <c r="AE72" s="259"/>
      <c r="AF72" s="259"/>
      <c r="AG72" s="259"/>
      <c r="AH72" s="259"/>
      <c r="AI72" s="259"/>
      <c r="AJ72" s="259"/>
      <c r="AK72" s="259"/>
      <c r="AL72" s="259"/>
      <c r="AM72" s="259"/>
      <c r="AN72" s="259"/>
      <c r="AO72" s="259"/>
      <c r="AP72" s="259"/>
      <c r="AQ72" s="259"/>
      <c r="AR72" s="259"/>
      <c r="AS72" s="259"/>
      <c r="AT72" s="259"/>
      <c r="AU72" s="259"/>
      <c r="AV72" s="259"/>
      <c r="AW72" s="259"/>
      <c r="AX72" s="259"/>
      <c r="AY72" s="259"/>
      <c r="AZ72" s="259"/>
      <c r="BA72" s="259"/>
      <c r="BB72" s="259"/>
      <c r="BC72" s="259"/>
      <c r="BD72" s="259"/>
      <c r="BE72" s="259"/>
      <c r="BF72" s="259"/>
      <c r="BG72" s="259"/>
      <c r="BH72" s="259"/>
      <c r="BI72" s="259"/>
      <c r="BJ72" s="259"/>
      <c r="BK72" s="259"/>
      <c r="BL72" s="371"/>
      <c r="BM72" s="378"/>
      <c r="BN72" s="379"/>
      <c r="BO72" s="379"/>
      <c r="BP72" s="379"/>
      <c r="BQ72" s="379"/>
      <c r="BR72" s="379"/>
      <c r="BS72" s="380"/>
      <c r="BT72" s="380"/>
      <c r="BU72" s="381"/>
    </row>
    <row r="73" spans="7:73" ht="14.4">
      <c r="G73" s="370"/>
      <c r="H73" s="259"/>
      <c r="I73" s="259"/>
      <c r="J73" s="259"/>
      <c r="K73" s="259"/>
      <c r="L73" s="259"/>
      <c r="M73" s="259"/>
      <c r="N73" s="259"/>
      <c r="O73" s="259"/>
      <c r="P73" s="259"/>
      <c r="Q73" s="259"/>
      <c r="R73" s="259"/>
      <c r="S73" s="259"/>
      <c r="T73" s="259"/>
      <c r="U73" s="259"/>
      <c r="V73" s="259"/>
      <c r="W73" s="259"/>
      <c r="X73" s="259"/>
      <c r="Y73" s="259"/>
      <c r="Z73" s="259"/>
      <c r="AA73" s="259"/>
      <c r="AB73" s="259"/>
      <c r="AC73" s="259"/>
      <c r="AD73" s="259"/>
      <c r="AE73" s="259"/>
      <c r="AF73" s="259"/>
      <c r="AG73" s="259"/>
      <c r="AH73" s="259"/>
      <c r="AI73" s="259"/>
      <c r="AJ73" s="259"/>
      <c r="AK73" s="259"/>
      <c r="AL73" s="259"/>
      <c r="AM73" s="259"/>
      <c r="AN73" s="259"/>
      <c r="AO73" s="259"/>
      <c r="AP73" s="259"/>
      <c r="AQ73" s="259"/>
      <c r="AR73" s="259"/>
      <c r="AS73" s="259"/>
      <c r="AT73" s="259"/>
      <c r="AU73" s="259"/>
      <c r="AV73" s="259"/>
      <c r="AW73" s="259"/>
      <c r="AX73" s="259"/>
      <c r="AY73" s="259"/>
      <c r="AZ73" s="259"/>
      <c r="BA73" s="259"/>
      <c r="BB73" s="259"/>
      <c r="BC73" s="259"/>
      <c r="BD73" s="259"/>
      <c r="BE73" s="259"/>
      <c r="BF73" s="259"/>
      <c r="BG73" s="259"/>
      <c r="BH73" s="259"/>
      <c r="BI73" s="259"/>
      <c r="BJ73" s="259"/>
      <c r="BK73" s="259"/>
      <c r="BL73" s="371"/>
      <c r="BM73" s="378"/>
      <c r="BN73" s="379"/>
      <c r="BO73" s="379"/>
      <c r="BP73" s="379"/>
      <c r="BQ73" s="379"/>
      <c r="BR73" s="379"/>
      <c r="BS73" s="380"/>
      <c r="BT73" s="380"/>
      <c r="BU73" s="381"/>
    </row>
    <row r="74" spans="7:73" ht="14.4">
      <c r="G74" s="370"/>
      <c r="H74" s="259"/>
      <c r="I74" s="259"/>
      <c r="J74" s="259"/>
      <c r="K74" s="259"/>
      <c r="L74" s="259"/>
      <c r="M74" s="259"/>
      <c r="N74" s="259"/>
      <c r="O74" s="259"/>
      <c r="P74" s="259"/>
      <c r="Q74" s="259"/>
      <c r="R74" s="259"/>
      <c r="S74" s="259"/>
      <c r="T74" s="259"/>
      <c r="U74" s="259"/>
      <c r="V74" s="259"/>
      <c r="W74" s="259"/>
      <c r="X74" s="259"/>
      <c r="Y74" s="259"/>
      <c r="Z74" s="259"/>
      <c r="AA74" s="259"/>
      <c r="AB74" s="259"/>
      <c r="AC74" s="259"/>
      <c r="AD74" s="259"/>
      <c r="AE74" s="259"/>
      <c r="AF74" s="259"/>
      <c r="AG74" s="259"/>
      <c r="AH74" s="259"/>
      <c r="AI74" s="259"/>
      <c r="AJ74" s="259"/>
      <c r="AK74" s="259"/>
      <c r="AL74" s="259"/>
      <c r="AM74" s="259"/>
      <c r="AN74" s="259"/>
      <c r="AO74" s="259"/>
      <c r="AP74" s="259"/>
      <c r="AQ74" s="259"/>
      <c r="AR74" s="259"/>
      <c r="AS74" s="259"/>
      <c r="AT74" s="259"/>
      <c r="AU74" s="259"/>
      <c r="AV74" s="259"/>
      <c r="AW74" s="259"/>
      <c r="AX74" s="259"/>
      <c r="AY74" s="259"/>
      <c r="AZ74" s="259"/>
      <c r="BA74" s="259"/>
      <c r="BB74" s="259"/>
      <c r="BC74" s="259"/>
      <c r="BD74" s="259"/>
      <c r="BE74" s="259"/>
      <c r="BF74" s="259"/>
      <c r="BG74" s="259"/>
      <c r="BH74" s="259"/>
      <c r="BI74" s="259"/>
      <c r="BJ74" s="259"/>
      <c r="BK74" s="259"/>
      <c r="BL74" s="371"/>
      <c r="BM74" s="378"/>
      <c r="BN74" s="379"/>
      <c r="BO74" s="379"/>
      <c r="BP74" s="379"/>
      <c r="BQ74" s="379"/>
      <c r="BR74" s="379"/>
      <c r="BS74" s="380"/>
      <c r="BT74" s="380"/>
      <c r="BU74" s="381"/>
    </row>
    <row r="75" spans="7:73" ht="14.4">
      <c r="G75" s="370"/>
      <c r="H75" s="259"/>
      <c r="I75" s="259"/>
      <c r="J75" s="259"/>
      <c r="K75" s="259"/>
      <c r="L75" s="259"/>
      <c r="M75" s="259"/>
      <c r="N75" s="259"/>
      <c r="O75" s="259"/>
      <c r="P75" s="259"/>
      <c r="Q75" s="259"/>
      <c r="R75" s="259"/>
      <c r="S75" s="259"/>
      <c r="T75" s="259"/>
      <c r="U75" s="259"/>
      <c r="V75" s="259"/>
      <c r="W75" s="259"/>
      <c r="X75" s="259"/>
      <c r="Y75" s="259"/>
      <c r="Z75" s="259"/>
      <c r="AA75" s="259"/>
      <c r="AB75" s="259"/>
      <c r="AC75" s="259"/>
      <c r="AD75" s="259"/>
      <c r="AE75" s="259"/>
      <c r="AF75" s="259"/>
      <c r="AG75" s="259"/>
      <c r="AH75" s="259"/>
      <c r="AI75" s="259"/>
      <c r="AJ75" s="259"/>
      <c r="AK75" s="259"/>
      <c r="AL75" s="259"/>
      <c r="AM75" s="259"/>
      <c r="AN75" s="259"/>
      <c r="AO75" s="259"/>
      <c r="AP75" s="259"/>
      <c r="AQ75" s="259"/>
      <c r="AR75" s="259"/>
      <c r="AS75" s="259"/>
      <c r="AT75" s="259"/>
      <c r="AU75" s="259"/>
      <c r="AV75" s="259"/>
      <c r="AW75" s="259"/>
      <c r="AX75" s="259"/>
      <c r="AY75" s="259"/>
      <c r="AZ75" s="259"/>
      <c r="BA75" s="259"/>
      <c r="BB75" s="259"/>
      <c r="BC75" s="259"/>
      <c r="BD75" s="259"/>
      <c r="BE75" s="259"/>
      <c r="BF75" s="259"/>
      <c r="BG75" s="259"/>
      <c r="BH75" s="259"/>
      <c r="BI75" s="259"/>
      <c r="BJ75" s="259"/>
      <c r="BK75" s="259"/>
      <c r="BL75" s="371"/>
      <c r="BM75" s="378"/>
      <c r="BN75" s="379"/>
      <c r="BO75" s="379"/>
      <c r="BP75" s="379"/>
      <c r="BQ75" s="379"/>
      <c r="BR75" s="379"/>
      <c r="BS75" s="380"/>
      <c r="BT75" s="380"/>
      <c r="BU75" s="381"/>
    </row>
    <row r="76" spans="7:73" ht="14.4">
      <c r="G76" s="370"/>
      <c r="H76" s="259"/>
      <c r="I76" s="259"/>
      <c r="J76" s="259"/>
      <c r="K76" s="259"/>
      <c r="L76" s="259"/>
      <c r="M76" s="259"/>
      <c r="N76" s="259"/>
      <c r="O76" s="259"/>
      <c r="P76" s="259"/>
      <c r="Q76" s="259"/>
      <c r="R76" s="259"/>
      <c r="S76" s="259"/>
      <c r="T76" s="259"/>
      <c r="U76" s="259"/>
      <c r="V76" s="259"/>
      <c r="W76" s="259"/>
      <c r="X76" s="259"/>
      <c r="Y76" s="259"/>
      <c r="Z76" s="259"/>
      <c r="AA76" s="259"/>
      <c r="AB76" s="259"/>
      <c r="AC76" s="259"/>
      <c r="AD76" s="259"/>
      <c r="AE76" s="259"/>
      <c r="AF76" s="259"/>
      <c r="AG76" s="259"/>
      <c r="AH76" s="259"/>
      <c r="AI76" s="259"/>
      <c r="AJ76" s="259"/>
      <c r="AK76" s="259"/>
      <c r="AL76" s="259"/>
      <c r="AM76" s="259"/>
      <c r="AN76" s="259"/>
      <c r="AO76" s="259"/>
      <c r="AP76" s="259"/>
      <c r="AQ76" s="259"/>
      <c r="AR76" s="259"/>
      <c r="AS76" s="259"/>
      <c r="AT76" s="259"/>
      <c r="AU76" s="259"/>
      <c r="AV76" s="259"/>
      <c r="AW76" s="259"/>
      <c r="AX76" s="259"/>
      <c r="AY76" s="259"/>
      <c r="AZ76" s="259"/>
      <c r="BA76" s="259"/>
      <c r="BB76" s="259"/>
      <c r="BC76" s="259"/>
      <c r="BD76" s="259"/>
      <c r="BE76" s="259"/>
      <c r="BF76" s="259"/>
      <c r="BG76" s="259"/>
      <c r="BH76" s="259"/>
      <c r="BI76" s="259"/>
      <c r="BJ76" s="259"/>
      <c r="BK76" s="259"/>
      <c r="BL76" s="371"/>
      <c r="BM76" s="378"/>
      <c r="BN76" s="379"/>
      <c r="BO76" s="379"/>
      <c r="BP76" s="379"/>
      <c r="BQ76" s="379"/>
      <c r="BR76" s="379"/>
      <c r="BS76" s="380"/>
      <c r="BT76" s="380"/>
      <c r="BU76" s="381"/>
    </row>
    <row r="77" spans="7:73" ht="14.4">
      <c r="G77" s="370"/>
      <c r="H77" s="259"/>
      <c r="I77" s="259"/>
      <c r="J77" s="259"/>
      <c r="K77" s="259"/>
      <c r="L77" s="259"/>
      <c r="M77" s="259"/>
      <c r="N77" s="259"/>
      <c r="O77" s="259"/>
      <c r="P77" s="259"/>
      <c r="Q77" s="259"/>
      <c r="R77" s="259"/>
      <c r="S77" s="259"/>
      <c r="T77" s="259"/>
      <c r="U77" s="259"/>
      <c r="V77" s="259"/>
      <c r="W77" s="259"/>
      <c r="X77" s="259"/>
      <c r="Y77" s="259"/>
      <c r="Z77" s="259"/>
      <c r="AA77" s="259"/>
      <c r="AB77" s="259"/>
      <c r="AC77" s="259"/>
      <c r="AD77" s="259"/>
      <c r="AE77" s="259"/>
      <c r="AF77" s="259"/>
      <c r="AG77" s="259"/>
      <c r="AH77" s="259"/>
      <c r="AI77" s="259"/>
      <c r="AJ77" s="259"/>
      <c r="AK77" s="259"/>
      <c r="AL77" s="259"/>
      <c r="AM77" s="259"/>
      <c r="AN77" s="259"/>
      <c r="AO77" s="259"/>
      <c r="AP77" s="259"/>
      <c r="AQ77" s="259"/>
      <c r="AR77" s="259"/>
      <c r="AS77" s="259"/>
      <c r="AT77" s="259"/>
      <c r="AU77" s="259"/>
      <c r="AV77" s="259"/>
      <c r="AW77" s="259"/>
      <c r="AX77" s="259"/>
      <c r="AY77" s="259"/>
      <c r="AZ77" s="259"/>
      <c r="BA77" s="259"/>
      <c r="BB77" s="259"/>
      <c r="BC77" s="259"/>
      <c r="BD77" s="259"/>
      <c r="BE77" s="259"/>
      <c r="BF77" s="259"/>
      <c r="BG77" s="259"/>
      <c r="BH77" s="259"/>
      <c r="BI77" s="259"/>
      <c r="BJ77" s="259"/>
      <c r="BK77" s="259"/>
      <c r="BL77" s="371"/>
      <c r="BM77" s="378"/>
      <c r="BN77" s="379"/>
      <c r="BO77" s="379"/>
      <c r="BP77" s="379"/>
      <c r="BQ77" s="379"/>
      <c r="BR77" s="379"/>
      <c r="BS77" s="380"/>
      <c r="BT77" s="380"/>
      <c r="BU77" s="381"/>
    </row>
    <row r="78" spans="7:73" ht="14.4">
      <c r="G78" s="370"/>
      <c r="H78" s="259"/>
      <c r="I78" s="259"/>
      <c r="J78" s="259"/>
      <c r="K78" s="259"/>
      <c r="L78" s="259"/>
      <c r="M78" s="259"/>
      <c r="N78" s="259"/>
      <c r="O78" s="259"/>
      <c r="P78" s="259"/>
      <c r="Q78" s="259"/>
      <c r="R78" s="259"/>
      <c r="S78" s="259"/>
      <c r="T78" s="259"/>
      <c r="U78" s="259"/>
      <c r="V78" s="259"/>
      <c r="W78" s="259"/>
      <c r="X78" s="259"/>
      <c r="Y78" s="259"/>
      <c r="Z78" s="259"/>
      <c r="AA78" s="259"/>
      <c r="AB78" s="259"/>
      <c r="AC78" s="259"/>
      <c r="AD78" s="259"/>
      <c r="AE78" s="259"/>
      <c r="AF78" s="259"/>
      <c r="AG78" s="259"/>
      <c r="AH78" s="259"/>
      <c r="AI78" s="259"/>
      <c r="AJ78" s="259"/>
      <c r="AK78" s="259"/>
      <c r="AL78" s="259"/>
      <c r="AM78" s="259"/>
      <c r="AN78" s="259"/>
      <c r="AO78" s="259"/>
      <c r="AP78" s="259"/>
      <c r="AQ78" s="259"/>
      <c r="AR78" s="259"/>
      <c r="AS78" s="259"/>
      <c r="AT78" s="259"/>
      <c r="AU78" s="259"/>
      <c r="AV78" s="259"/>
      <c r="AW78" s="259"/>
      <c r="AX78" s="259"/>
      <c r="AY78" s="259"/>
      <c r="AZ78" s="259"/>
      <c r="BA78" s="259"/>
      <c r="BB78" s="259"/>
      <c r="BC78" s="259"/>
      <c r="BD78" s="259"/>
      <c r="BE78" s="259"/>
      <c r="BF78" s="259"/>
      <c r="BG78" s="259"/>
      <c r="BH78" s="259"/>
      <c r="BI78" s="259"/>
      <c r="BJ78" s="259"/>
      <c r="BK78" s="259"/>
      <c r="BL78" s="371"/>
      <c r="BM78" s="378"/>
      <c r="BN78" s="379"/>
      <c r="BO78" s="379"/>
      <c r="BP78" s="379"/>
      <c r="BQ78" s="379"/>
      <c r="BR78" s="379"/>
      <c r="BS78" s="380"/>
      <c r="BT78" s="380"/>
      <c r="BU78" s="381"/>
    </row>
    <row r="79" spans="7:73" ht="14.4">
      <c r="G79" s="370"/>
      <c r="H79" s="259"/>
      <c r="I79" s="259"/>
      <c r="J79" s="259"/>
      <c r="K79" s="259"/>
      <c r="L79" s="259"/>
      <c r="M79" s="259"/>
      <c r="N79" s="259"/>
      <c r="O79" s="259"/>
      <c r="P79" s="259"/>
      <c r="Q79" s="259"/>
      <c r="R79" s="259"/>
      <c r="S79" s="259"/>
      <c r="T79" s="259"/>
      <c r="U79" s="259"/>
      <c r="V79" s="259"/>
      <c r="W79" s="259"/>
      <c r="X79" s="259"/>
      <c r="Y79" s="259"/>
      <c r="Z79" s="259"/>
      <c r="AA79" s="259"/>
      <c r="AB79" s="259"/>
      <c r="AC79" s="259"/>
      <c r="AD79" s="259"/>
      <c r="AE79" s="259"/>
      <c r="AF79" s="259"/>
      <c r="AG79" s="259"/>
      <c r="AH79" s="259"/>
      <c r="AI79" s="259"/>
      <c r="AJ79" s="259"/>
      <c r="AK79" s="259"/>
      <c r="AL79" s="259"/>
      <c r="AM79" s="259"/>
      <c r="AN79" s="259"/>
      <c r="AO79" s="259"/>
      <c r="AP79" s="259"/>
      <c r="AQ79" s="259"/>
      <c r="AR79" s="259"/>
      <c r="AS79" s="259"/>
      <c r="AT79" s="259"/>
      <c r="AU79" s="259"/>
      <c r="AV79" s="259"/>
      <c r="AW79" s="259"/>
      <c r="AX79" s="259"/>
      <c r="AY79" s="259"/>
      <c r="AZ79" s="259"/>
      <c r="BA79" s="259"/>
      <c r="BB79" s="259"/>
      <c r="BC79" s="259"/>
      <c r="BD79" s="259"/>
      <c r="BE79" s="259"/>
      <c r="BF79" s="259"/>
      <c r="BG79" s="259"/>
      <c r="BH79" s="259"/>
      <c r="BI79" s="259"/>
      <c r="BJ79" s="259"/>
      <c r="BK79" s="259"/>
      <c r="BL79" s="371"/>
      <c r="BM79" s="378"/>
      <c r="BN79" s="379"/>
      <c r="BO79" s="379"/>
      <c r="BP79" s="379"/>
      <c r="BQ79" s="379"/>
      <c r="BR79" s="379"/>
      <c r="BS79" s="380"/>
      <c r="BT79" s="380"/>
      <c r="BU79" s="381"/>
    </row>
    <row r="80" spans="7:73" ht="14.4">
      <c r="G80" s="370"/>
      <c r="H80" s="259"/>
      <c r="I80" s="259"/>
      <c r="J80" s="259"/>
      <c r="K80" s="259"/>
      <c r="L80" s="259"/>
      <c r="M80" s="259"/>
      <c r="N80" s="259"/>
      <c r="O80" s="259"/>
      <c r="P80" s="259"/>
      <c r="Q80" s="259"/>
      <c r="R80" s="259"/>
      <c r="S80" s="259"/>
      <c r="T80" s="259"/>
      <c r="U80" s="259"/>
      <c r="V80" s="259"/>
      <c r="W80" s="259"/>
      <c r="X80" s="259"/>
      <c r="Y80" s="259"/>
      <c r="Z80" s="259"/>
      <c r="AA80" s="259"/>
      <c r="AB80" s="259"/>
      <c r="AC80" s="259"/>
      <c r="AD80" s="259"/>
      <c r="AE80" s="259"/>
      <c r="AF80" s="259"/>
      <c r="AG80" s="259"/>
      <c r="AH80" s="259"/>
      <c r="AI80" s="259"/>
      <c r="AJ80" s="259"/>
      <c r="AK80" s="259"/>
      <c r="AL80" s="259"/>
      <c r="AM80" s="259"/>
      <c r="AN80" s="259"/>
      <c r="AO80" s="259"/>
      <c r="AP80" s="259"/>
      <c r="AQ80" s="259"/>
      <c r="AR80" s="259"/>
      <c r="AS80" s="259"/>
      <c r="AT80" s="259"/>
      <c r="AU80" s="259"/>
      <c r="AV80" s="259"/>
      <c r="AW80" s="259"/>
      <c r="AX80" s="259"/>
      <c r="AY80" s="259"/>
      <c r="AZ80" s="259"/>
      <c r="BA80" s="259"/>
      <c r="BB80" s="259"/>
      <c r="BC80" s="259"/>
      <c r="BD80" s="259"/>
      <c r="BE80" s="259"/>
      <c r="BF80" s="259"/>
      <c r="BG80" s="259"/>
      <c r="BH80" s="259"/>
      <c r="BI80" s="259"/>
      <c r="BJ80" s="259"/>
      <c r="BK80" s="259"/>
      <c r="BL80" s="371"/>
      <c r="BM80" s="378"/>
      <c r="BN80" s="379"/>
      <c r="BO80" s="379"/>
      <c r="BP80" s="379"/>
      <c r="BQ80" s="379"/>
      <c r="BR80" s="379"/>
      <c r="BS80" s="380"/>
      <c r="BT80" s="380"/>
      <c r="BU80" s="381"/>
    </row>
    <row r="81" spans="7:73" ht="14.4">
      <c r="G81" s="370"/>
      <c r="H81" s="259"/>
      <c r="I81" s="259"/>
      <c r="J81" s="259"/>
      <c r="K81" s="259"/>
      <c r="L81" s="259"/>
      <c r="M81" s="259"/>
      <c r="N81" s="259"/>
      <c r="O81" s="259"/>
      <c r="P81" s="259"/>
      <c r="Q81" s="259"/>
      <c r="R81" s="259"/>
      <c r="S81" s="259"/>
      <c r="T81" s="259"/>
      <c r="U81" s="259"/>
      <c r="V81" s="259"/>
      <c r="W81" s="259"/>
      <c r="X81" s="259"/>
      <c r="Y81" s="259"/>
      <c r="Z81" s="259"/>
      <c r="AA81" s="259"/>
      <c r="AB81" s="259"/>
      <c r="AC81" s="259"/>
      <c r="AD81" s="259"/>
      <c r="AE81" s="259"/>
      <c r="AF81" s="259"/>
      <c r="AG81" s="259"/>
      <c r="AH81" s="259"/>
      <c r="AI81" s="259"/>
      <c r="AJ81" s="259"/>
      <c r="AK81" s="259"/>
      <c r="AL81" s="259"/>
      <c r="AM81" s="259"/>
      <c r="AN81" s="259"/>
      <c r="AO81" s="259"/>
      <c r="AP81" s="259"/>
      <c r="AQ81" s="259"/>
      <c r="AR81" s="259"/>
      <c r="AS81" s="259"/>
      <c r="AT81" s="259"/>
      <c r="AU81" s="259"/>
      <c r="AV81" s="259"/>
      <c r="AW81" s="259"/>
      <c r="AX81" s="259"/>
      <c r="AY81" s="259"/>
      <c r="AZ81" s="259"/>
      <c r="BA81" s="259"/>
      <c r="BB81" s="259"/>
      <c r="BC81" s="259"/>
      <c r="BD81" s="259"/>
      <c r="BE81" s="259"/>
      <c r="BF81" s="259"/>
      <c r="BG81" s="259"/>
      <c r="BH81" s="259"/>
      <c r="BI81" s="259"/>
      <c r="BJ81" s="259"/>
      <c r="BK81" s="259"/>
      <c r="BL81" s="371"/>
      <c r="BM81" s="378"/>
      <c r="BN81" s="379"/>
      <c r="BO81" s="379"/>
      <c r="BP81" s="379"/>
      <c r="BQ81" s="379"/>
      <c r="BR81" s="379"/>
      <c r="BS81" s="380"/>
      <c r="BT81" s="380"/>
      <c r="BU81" s="381"/>
    </row>
    <row r="82" spans="7:73" ht="14.4">
      <c r="G82" s="370"/>
      <c r="H82" s="259"/>
      <c r="I82" s="259"/>
      <c r="J82" s="259"/>
      <c r="K82" s="259"/>
      <c r="L82" s="259"/>
      <c r="M82" s="259"/>
      <c r="N82" s="259"/>
      <c r="O82" s="259"/>
      <c r="P82" s="259"/>
      <c r="Q82" s="259"/>
      <c r="R82" s="259"/>
      <c r="S82" s="259"/>
      <c r="T82" s="259"/>
      <c r="U82" s="259"/>
      <c r="V82" s="259"/>
      <c r="W82" s="259"/>
      <c r="X82" s="259"/>
      <c r="Y82" s="259"/>
      <c r="Z82" s="259"/>
      <c r="AA82" s="259"/>
      <c r="AB82" s="259"/>
      <c r="AC82" s="259"/>
      <c r="AD82" s="259"/>
      <c r="AE82" s="259"/>
      <c r="AF82" s="259"/>
      <c r="AG82" s="259"/>
      <c r="AH82" s="259"/>
      <c r="AI82" s="259"/>
      <c r="AJ82" s="259"/>
      <c r="AK82" s="259"/>
      <c r="AL82" s="259"/>
      <c r="AM82" s="259"/>
      <c r="AN82" s="259"/>
      <c r="AO82" s="259"/>
      <c r="AP82" s="259"/>
      <c r="AQ82" s="259"/>
      <c r="AR82" s="259"/>
      <c r="AS82" s="259"/>
      <c r="AT82" s="259"/>
      <c r="AU82" s="259"/>
      <c r="AV82" s="259"/>
      <c r="AW82" s="259"/>
      <c r="AX82" s="259"/>
      <c r="AY82" s="259"/>
      <c r="AZ82" s="259"/>
      <c r="BA82" s="259"/>
      <c r="BB82" s="259"/>
      <c r="BC82" s="259"/>
      <c r="BD82" s="259"/>
      <c r="BE82" s="259"/>
      <c r="BF82" s="259"/>
      <c r="BG82" s="259"/>
      <c r="BH82" s="259"/>
      <c r="BI82" s="259"/>
      <c r="BJ82" s="259"/>
      <c r="BK82" s="259"/>
      <c r="BL82" s="371"/>
      <c r="BM82" s="378"/>
      <c r="BN82" s="379"/>
      <c r="BO82" s="379"/>
      <c r="BP82" s="379"/>
      <c r="BQ82" s="379"/>
      <c r="BR82" s="379"/>
      <c r="BS82" s="380"/>
      <c r="BT82" s="380"/>
      <c r="BU82" s="381"/>
    </row>
    <row r="83" spans="7:73" ht="14.4">
      <c r="G83" s="370"/>
      <c r="H83" s="259"/>
      <c r="I83" s="259"/>
      <c r="J83" s="259"/>
      <c r="K83" s="259"/>
      <c r="L83" s="259"/>
      <c r="M83" s="259"/>
      <c r="N83" s="259"/>
      <c r="O83" s="259"/>
      <c r="P83" s="259"/>
      <c r="Q83" s="259"/>
      <c r="R83" s="259"/>
      <c r="S83" s="259"/>
      <c r="T83" s="259"/>
      <c r="U83" s="259"/>
      <c r="V83" s="259"/>
      <c r="W83" s="259"/>
      <c r="X83" s="259"/>
      <c r="Y83" s="259"/>
      <c r="Z83" s="259"/>
      <c r="AA83" s="259"/>
      <c r="AB83" s="259"/>
      <c r="AC83" s="259"/>
      <c r="AD83" s="259"/>
      <c r="AE83" s="259"/>
      <c r="AF83" s="259"/>
      <c r="AG83" s="259"/>
      <c r="AH83" s="259"/>
      <c r="AI83" s="259"/>
      <c r="AJ83" s="259"/>
      <c r="AK83" s="259"/>
      <c r="AL83" s="259"/>
      <c r="AM83" s="259"/>
      <c r="AN83" s="259"/>
      <c r="AO83" s="259"/>
      <c r="AP83" s="259"/>
      <c r="AQ83" s="259"/>
      <c r="AR83" s="259"/>
      <c r="AS83" s="259"/>
      <c r="AT83" s="259"/>
      <c r="AU83" s="259"/>
      <c r="AV83" s="259"/>
      <c r="AW83" s="259"/>
      <c r="AX83" s="259"/>
      <c r="AY83" s="259"/>
      <c r="AZ83" s="259"/>
      <c r="BA83" s="259"/>
      <c r="BB83" s="259"/>
      <c r="BC83" s="259"/>
      <c r="BD83" s="259"/>
      <c r="BE83" s="259"/>
      <c r="BF83" s="259"/>
      <c r="BG83" s="259"/>
      <c r="BH83" s="259"/>
      <c r="BI83" s="259"/>
      <c r="BJ83" s="259"/>
      <c r="BK83" s="259"/>
      <c r="BL83" s="371"/>
      <c r="BM83" s="378"/>
      <c r="BN83" s="379"/>
      <c r="BO83" s="379"/>
      <c r="BP83" s="379"/>
      <c r="BQ83" s="379"/>
      <c r="BR83" s="379"/>
      <c r="BS83" s="380"/>
      <c r="BT83" s="380"/>
      <c r="BU83" s="381"/>
    </row>
    <row r="84" spans="7:73" ht="14.4">
      <c r="G84" s="370"/>
      <c r="H84" s="259"/>
      <c r="I84" s="259"/>
      <c r="J84" s="259"/>
      <c r="K84" s="259"/>
      <c r="L84" s="259"/>
      <c r="M84" s="259"/>
      <c r="N84" s="259"/>
      <c r="O84" s="259"/>
      <c r="P84" s="259"/>
      <c r="Q84" s="259"/>
      <c r="R84" s="259"/>
      <c r="S84" s="259"/>
      <c r="T84" s="259"/>
      <c r="U84" s="259"/>
      <c r="V84" s="259"/>
      <c r="W84" s="259"/>
      <c r="X84" s="259"/>
      <c r="Y84" s="259"/>
      <c r="Z84" s="259"/>
      <c r="AA84" s="259"/>
      <c r="AB84" s="259"/>
      <c r="AC84" s="259"/>
      <c r="AD84" s="259"/>
      <c r="AE84" s="259"/>
      <c r="AF84" s="259"/>
      <c r="AG84" s="259"/>
      <c r="AH84" s="259"/>
      <c r="AI84" s="259"/>
      <c r="AJ84" s="259"/>
      <c r="AK84" s="259"/>
      <c r="AL84" s="259"/>
      <c r="AM84" s="259"/>
      <c r="AN84" s="259"/>
      <c r="AO84" s="259"/>
      <c r="AP84" s="259"/>
      <c r="AQ84" s="259"/>
      <c r="AR84" s="259"/>
      <c r="AS84" s="259"/>
      <c r="AT84" s="259"/>
      <c r="AU84" s="259"/>
      <c r="AV84" s="259"/>
      <c r="AW84" s="259"/>
      <c r="AX84" s="259"/>
      <c r="AY84" s="259"/>
      <c r="AZ84" s="259"/>
      <c r="BA84" s="259"/>
      <c r="BB84" s="259"/>
      <c r="BC84" s="259"/>
      <c r="BD84" s="259"/>
      <c r="BE84" s="259"/>
      <c r="BF84" s="259"/>
      <c r="BG84" s="259"/>
      <c r="BH84" s="259"/>
      <c r="BI84" s="259"/>
      <c r="BJ84" s="259"/>
      <c r="BK84" s="259"/>
      <c r="BL84" s="371"/>
      <c r="BM84" s="378"/>
      <c r="BN84" s="379"/>
      <c r="BO84" s="379"/>
      <c r="BP84" s="379"/>
      <c r="BQ84" s="379"/>
      <c r="BR84" s="379"/>
      <c r="BS84" s="380"/>
      <c r="BT84" s="380"/>
      <c r="BU84" s="381"/>
    </row>
    <row r="85" spans="7:73" ht="14.4">
      <c r="G85" s="370"/>
      <c r="H85" s="259"/>
      <c r="I85" s="259"/>
      <c r="J85" s="259"/>
      <c r="K85" s="259"/>
      <c r="L85" s="259"/>
      <c r="M85" s="259"/>
      <c r="N85" s="259"/>
      <c r="O85" s="259"/>
      <c r="P85" s="259"/>
      <c r="Q85" s="259"/>
      <c r="R85" s="259"/>
      <c r="S85" s="259"/>
      <c r="T85" s="259"/>
      <c r="U85" s="259"/>
      <c r="V85" s="259"/>
      <c r="W85" s="259"/>
      <c r="X85" s="259"/>
      <c r="Y85" s="259"/>
      <c r="Z85" s="259"/>
      <c r="AA85" s="259"/>
      <c r="AB85" s="259"/>
      <c r="AC85" s="259"/>
      <c r="AD85" s="259"/>
      <c r="AE85" s="259"/>
      <c r="AF85" s="259"/>
      <c r="AG85" s="259"/>
      <c r="AH85" s="259"/>
      <c r="AI85" s="259"/>
      <c r="AJ85" s="259"/>
      <c r="AK85" s="259"/>
      <c r="AL85" s="259"/>
      <c r="AM85" s="259"/>
      <c r="AN85" s="259"/>
      <c r="AO85" s="259"/>
      <c r="AP85" s="259"/>
      <c r="AQ85" s="259"/>
      <c r="AR85" s="259"/>
      <c r="AS85" s="259"/>
      <c r="AT85" s="259"/>
      <c r="AU85" s="259"/>
      <c r="AV85" s="259"/>
      <c r="AW85" s="259"/>
      <c r="AX85" s="259"/>
      <c r="AY85" s="259"/>
      <c r="AZ85" s="259"/>
      <c r="BA85" s="259"/>
      <c r="BB85" s="259"/>
      <c r="BC85" s="259"/>
      <c r="BD85" s="259"/>
      <c r="BE85" s="259"/>
      <c r="BF85" s="259"/>
      <c r="BG85" s="259"/>
      <c r="BH85" s="259"/>
      <c r="BI85" s="259"/>
      <c r="BJ85" s="259"/>
      <c r="BK85" s="259"/>
      <c r="BL85" s="371"/>
      <c r="BM85" s="378"/>
      <c r="BN85" s="379"/>
      <c r="BO85" s="379"/>
      <c r="BP85" s="379"/>
      <c r="BQ85" s="379"/>
      <c r="BR85" s="379"/>
      <c r="BS85" s="380"/>
      <c r="BT85" s="380"/>
      <c r="BU85" s="381"/>
    </row>
    <row r="86" spans="7:73" ht="14.4">
      <c r="G86" s="370"/>
      <c r="H86" s="259"/>
      <c r="I86" s="259"/>
      <c r="J86" s="259"/>
      <c r="K86" s="259"/>
      <c r="L86" s="259"/>
      <c r="M86" s="259"/>
      <c r="N86" s="259"/>
      <c r="O86" s="259"/>
      <c r="P86" s="259"/>
      <c r="Q86" s="259"/>
      <c r="R86" s="259"/>
      <c r="S86" s="259"/>
      <c r="T86" s="259"/>
      <c r="U86" s="259"/>
      <c r="V86" s="259"/>
      <c r="W86" s="259"/>
      <c r="X86" s="259"/>
      <c r="Y86" s="259"/>
      <c r="Z86" s="259"/>
      <c r="AA86" s="259"/>
      <c r="AB86" s="259"/>
      <c r="AC86" s="259"/>
      <c r="AD86" s="259"/>
      <c r="AE86" s="259"/>
      <c r="AF86" s="259"/>
      <c r="AG86" s="259"/>
      <c r="AH86" s="259"/>
      <c r="AI86" s="259"/>
      <c r="AJ86" s="259"/>
      <c r="AK86" s="259"/>
      <c r="AL86" s="259"/>
      <c r="AM86" s="259"/>
      <c r="AN86" s="259"/>
      <c r="AO86" s="259"/>
      <c r="AP86" s="259"/>
      <c r="AQ86" s="259"/>
      <c r="AR86" s="259"/>
      <c r="AS86" s="259"/>
      <c r="AT86" s="259"/>
      <c r="AU86" s="259"/>
      <c r="AV86" s="259"/>
      <c r="AW86" s="259"/>
      <c r="AX86" s="259"/>
      <c r="AY86" s="259"/>
      <c r="AZ86" s="259"/>
      <c r="BA86" s="259"/>
      <c r="BB86" s="259"/>
      <c r="BC86" s="259"/>
      <c r="BD86" s="259"/>
      <c r="BE86" s="259"/>
      <c r="BF86" s="259"/>
      <c r="BG86" s="259"/>
      <c r="BH86" s="259"/>
      <c r="BI86" s="259"/>
      <c r="BJ86" s="259"/>
      <c r="BK86" s="259"/>
      <c r="BL86" s="371"/>
      <c r="BM86" s="378"/>
      <c r="BN86" s="379"/>
      <c r="BO86" s="379"/>
      <c r="BP86" s="379"/>
      <c r="BQ86" s="379"/>
      <c r="BR86" s="379"/>
      <c r="BS86" s="380"/>
      <c r="BT86" s="380"/>
      <c r="BU86" s="381"/>
    </row>
    <row r="87" spans="7:73" ht="14.4">
      <c r="G87" s="370"/>
      <c r="H87" s="259"/>
      <c r="I87" s="259"/>
      <c r="J87" s="259"/>
      <c r="K87" s="259"/>
      <c r="L87" s="259"/>
      <c r="M87" s="259"/>
      <c r="N87" s="259"/>
      <c r="O87" s="259"/>
      <c r="P87" s="259"/>
      <c r="Q87" s="259"/>
      <c r="R87" s="259"/>
      <c r="S87" s="259"/>
      <c r="T87" s="259"/>
      <c r="U87" s="259"/>
      <c r="V87" s="259"/>
      <c r="W87" s="259"/>
      <c r="X87" s="259"/>
      <c r="Y87" s="259"/>
      <c r="Z87" s="259"/>
      <c r="AA87" s="259"/>
      <c r="AB87" s="259"/>
      <c r="AC87" s="259"/>
      <c r="AD87" s="259"/>
      <c r="AE87" s="259"/>
      <c r="AF87" s="259"/>
      <c r="AG87" s="259"/>
      <c r="AH87" s="259"/>
      <c r="AI87" s="259"/>
      <c r="AJ87" s="259"/>
      <c r="AK87" s="259"/>
      <c r="AL87" s="259"/>
      <c r="AM87" s="259"/>
      <c r="AN87" s="259"/>
      <c r="AO87" s="259"/>
      <c r="AP87" s="259"/>
      <c r="AQ87" s="259"/>
      <c r="AR87" s="259"/>
      <c r="AS87" s="259"/>
      <c r="AT87" s="259"/>
      <c r="AU87" s="259"/>
      <c r="AV87" s="259"/>
      <c r="AW87" s="259"/>
      <c r="AX87" s="259"/>
      <c r="AY87" s="259"/>
      <c r="AZ87" s="259"/>
      <c r="BA87" s="259"/>
      <c r="BB87" s="259"/>
      <c r="BC87" s="259"/>
      <c r="BD87" s="259"/>
      <c r="BE87" s="259"/>
      <c r="BF87" s="259"/>
      <c r="BG87" s="259"/>
      <c r="BH87" s="259"/>
      <c r="BI87" s="259"/>
      <c r="BJ87" s="259"/>
      <c r="BK87" s="259"/>
      <c r="BL87" s="371"/>
      <c r="BM87" s="378"/>
      <c r="BN87" s="379"/>
      <c r="BO87" s="379"/>
      <c r="BP87" s="379"/>
      <c r="BQ87" s="379"/>
      <c r="BR87" s="379"/>
      <c r="BS87" s="380"/>
      <c r="BT87" s="380"/>
      <c r="BU87" s="381"/>
    </row>
    <row r="88" spans="7:73" ht="14.4">
      <c r="G88" s="370"/>
      <c r="H88" s="259"/>
      <c r="I88" s="259"/>
      <c r="J88" s="259"/>
      <c r="K88" s="259"/>
      <c r="L88" s="259"/>
      <c r="M88" s="259"/>
      <c r="N88" s="259"/>
      <c r="O88" s="259"/>
      <c r="P88" s="259"/>
      <c r="Q88" s="259"/>
      <c r="R88" s="259"/>
      <c r="S88" s="259"/>
      <c r="T88" s="259"/>
      <c r="U88" s="259"/>
      <c r="V88" s="259"/>
      <c r="W88" s="259"/>
      <c r="X88" s="259"/>
      <c r="Y88" s="259"/>
      <c r="Z88" s="259"/>
      <c r="AA88" s="259"/>
      <c r="AB88" s="259"/>
      <c r="AC88" s="259"/>
      <c r="AD88" s="259"/>
      <c r="AE88" s="259"/>
      <c r="AF88" s="259"/>
      <c r="AG88" s="259"/>
      <c r="AH88" s="259"/>
      <c r="AI88" s="259"/>
      <c r="AJ88" s="259"/>
      <c r="AK88" s="259"/>
      <c r="AL88" s="259"/>
      <c r="AM88" s="259"/>
      <c r="AN88" s="259"/>
      <c r="AO88" s="259"/>
      <c r="AP88" s="259"/>
      <c r="AQ88" s="259"/>
      <c r="AR88" s="259"/>
      <c r="AS88" s="259"/>
      <c r="AT88" s="259"/>
      <c r="AU88" s="259"/>
      <c r="AV88" s="259"/>
      <c r="AW88" s="259"/>
      <c r="AX88" s="259"/>
      <c r="AY88" s="259"/>
      <c r="AZ88" s="259"/>
      <c r="BA88" s="259"/>
      <c r="BB88" s="259"/>
      <c r="BC88" s="259"/>
      <c r="BD88" s="259"/>
      <c r="BE88" s="259"/>
      <c r="BF88" s="259"/>
      <c r="BG88" s="259"/>
      <c r="BH88" s="259"/>
      <c r="BI88" s="259"/>
      <c r="BJ88" s="259"/>
      <c r="BK88" s="259"/>
      <c r="BL88" s="371"/>
      <c r="BM88" s="378"/>
      <c r="BN88" s="379"/>
      <c r="BO88" s="379"/>
      <c r="BP88" s="379"/>
      <c r="BQ88" s="379"/>
      <c r="BR88" s="379"/>
      <c r="BS88" s="380"/>
      <c r="BT88" s="380"/>
      <c r="BU88" s="381"/>
    </row>
    <row r="89" spans="7:73" ht="14.4">
      <c r="G89" s="370"/>
      <c r="H89" s="259"/>
      <c r="I89" s="259"/>
      <c r="J89" s="259"/>
      <c r="K89" s="259"/>
      <c r="L89" s="259"/>
      <c r="M89" s="259"/>
      <c r="N89" s="259"/>
      <c r="O89" s="259"/>
      <c r="P89" s="259"/>
      <c r="Q89" s="259"/>
      <c r="R89" s="259"/>
      <c r="S89" s="259"/>
      <c r="T89" s="259"/>
      <c r="U89" s="259"/>
      <c r="V89" s="259"/>
      <c r="W89" s="259"/>
      <c r="X89" s="259"/>
      <c r="Y89" s="259"/>
      <c r="Z89" s="259"/>
      <c r="AA89" s="259"/>
      <c r="AB89" s="259"/>
      <c r="AC89" s="259"/>
      <c r="AD89" s="259"/>
      <c r="AE89" s="259"/>
      <c r="AF89" s="259"/>
      <c r="AG89" s="259"/>
      <c r="AH89" s="259"/>
      <c r="AI89" s="259"/>
      <c r="AJ89" s="259"/>
      <c r="AK89" s="259"/>
      <c r="AL89" s="259"/>
      <c r="AM89" s="259"/>
      <c r="AN89" s="259"/>
      <c r="AO89" s="259"/>
      <c r="AP89" s="259"/>
      <c r="AQ89" s="259"/>
      <c r="AR89" s="259"/>
      <c r="AS89" s="259"/>
      <c r="AT89" s="259"/>
      <c r="AU89" s="259"/>
      <c r="AV89" s="259"/>
      <c r="AW89" s="259"/>
      <c r="AX89" s="259"/>
      <c r="AY89" s="259"/>
      <c r="AZ89" s="259"/>
      <c r="BA89" s="259"/>
      <c r="BB89" s="259"/>
      <c r="BC89" s="259"/>
      <c r="BD89" s="259"/>
      <c r="BE89" s="259"/>
      <c r="BF89" s="259"/>
      <c r="BG89" s="259"/>
      <c r="BH89" s="259"/>
      <c r="BI89" s="259"/>
      <c r="BJ89" s="259"/>
      <c r="BK89" s="259"/>
      <c r="BL89" s="371"/>
      <c r="BM89" s="378"/>
      <c r="BN89" s="379"/>
      <c r="BO89" s="379"/>
      <c r="BP89" s="379"/>
      <c r="BQ89" s="379"/>
      <c r="BR89" s="379"/>
      <c r="BS89" s="380"/>
      <c r="BT89" s="380"/>
      <c r="BU89" s="381"/>
    </row>
    <row r="90" spans="7:73" ht="14.4">
      <c r="G90" s="370"/>
      <c r="H90" s="259"/>
      <c r="I90" s="259"/>
      <c r="J90" s="259"/>
      <c r="K90" s="259"/>
      <c r="L90" s="259"/>
      <c r="M90" s="259"/>
      <c r="N90" s="259"/>
      <c r="O90" s="259"/>
      <c r="P90" s="259"/>
      <c r="Q90" s="259"/>
      <c r="R90" s="259"/>
      <c r="S90" s="259"/>
      <c r="T90" s="259"/>
      <c r="U90" s="259"/>
      <c r="V90" s="259"/>
      <c r="W90" s="259"/>
      <c r="X90" s="259"/>
      <c r="Y90" s="259"/>
      <c r="Z90" s="259"/>
      <c r="AA90" s="259"/>
      <c r="AB90" s="259"/>
      <c r="AC90" s="259"/>
      <c r="AD90" s="259"/>
      <c r="AE90" s="259"/>
      <c r="AF90" s="259"/>
      <c r="AG90" s="259"/>
      <c r="AH90" s="259"/>
      <c r="AI90" s="259"/>
      <c r="AJ90" s="259"/>
      <c r="AK90" s="259"/>
      <c r="AL90" s="259"/>
      <c r="AM90" s="259"/>
      <c r="AN90" s="259"/>
      <c r="AO90" s="259"/>
      <c r="AP90" s="259"/>
      <c r="AQ90" s="259"/>
      <c r="AR90" s="259"/>
      <c r="AS90" s="259"/>
      <c r="AT90" s="259"/>
      <c r="AU90" s="259"/>
      <c r="AV90" s="259"/>
      <c r="AW90" s="259"/>
      <c r="AX90" s="259"/>
      <c r="AY90" s="259"/>
      <c r="AZ90" s="259"/>
      <c r="BA90" s="259"/>
      <c r="BB90" s="259"/>
      <c r="BC90" s="259"/>
      <c r="BD90" s="259"/>
      <c r="BE90" s="259"/>
      <c r="BF90" s="259"/>
      <c r="BG90" s="259"/>
      <c r="BH90" s="259"/>
      <c r="BI90" s="259"/>
      <c r="BJ90" s="259"/>
      <c r="BK90" s="259"/>
      <c r="BL90" s="371"/>
      <c r="BM90" s="378"/>
      <c r="BN90" s="379"/>
      <c r="BO90" s="379"/>
      <c r="BP90" s="379"/>
      <c r="BQ90" s="379"/>
      <c r="BR90" s="379"/>
      <c r="BS90" s="380"/>
      <c r="BT90" s="380"/>
      <c r="BU90" s="381"/>
    </row>
    <row r="91" spans="7:73" ht="14.4">
      <c r="G91" s="370"/>
      <c r="H91" s="259"/>
      <c r="I91" s="259"/>
      <c r="J91" s="259"/>
      <c r="K91" s="259"/>
      <c r="L91" s="259"/>
      <c r="M91" s="259"/>
      <c r="N91" s="259"/>
      <c r="O91" s="259"/>
      <c r="P91" s="259"/>
      <c r="Q91" s="259"/>
      <c r="R91" s="259"/>
      <c r="S91" s="259"/>
      <c r="T91" s="259"/>
      <c r="U91" s="259"/>
      <c r="V91" s="259"/>
      <c r="W91" s="259"/>
      <c r="X91" s="259"/>
      <c r="Y91" s="259"/>
      <c r="Z91" s="259"/>
      <c r="AA91" s="259"/>
      <c r="AB91" s="259"/>
      <c r="AC91" s="259"/>
      <c r="AD91" s="259"/>
      <c r="AE91" s="259"/>
      <c r="AF91" s="259"/>
      <c r="AG91" s="259"/>
      <c r="AH91" s="259"/>
      <c r="AI91" s="259"/>
      <c r="AJ91" s="259"/>
      <c r="AK91" s="259"/>
      <c r="AL91" s="259"/>
      <c r="AM91" s="259"/>
      <c r="AN91" s="259"/>
      <c r="AO91" s="259"/>
      <c r="AP91" s="259"/>
      <c r="AQ91" s="259"/>
      <c r="AR91" s="259"/>
      <c r="AS91" s="259"/>
      <c r="AT91" s="259"/>
      <c r="AU91" s="259"/>
      <c r="AV91" s="259"/>
      <c r="AW91" s="259"/>
      <c r="AX91" s="259"/>
      <c r="AY91" s="259"/>
      <c r="AZ91" s="259"/>
      <c r="BA91" s="259"/>
      <c r="BB91" s="259"/>
      <c r="BC91" s="259"/>
      <c r="BD91" s="259"/>
      <c r="BE91" s="259"/>
      <c r="BF91" s="259"/>
      <c r="BG91" s="259"/>
      <c r="BH91" s="259"/>
      <c r="BI91" s="259"/>
      <c r="BJ91" s="259"/>
      <c r="BK91" s="259"/>
      <c r="BL91" s="371"/>
      <c r="BM91" s="378"/>
      <c r="BN91" s="379"/>
      <c r="BO91" s="379"/>
      <c r="BP91" s="379"/>
      <c r="BQ91" s="379"/>
      <c r="BR91" s="379"/>
      <c r="BS91" s="380"/>
      <c r="BT91" s="380"/>
      <c r="BU91" s="381"/>
    </row>
    <row r="92" spans="7:73" ht="14.4">
      <c r="G92" s="370"/>
      <c r="H92" s="259"/>
      <c r="I92" s="259"/>
      <c r="J92" s="259"/>
      <c r="K92" s="259"/>
      <c r="L92" s="259"/>
      <c r="M92" s="259"/>
      <c r="N92" s="259"/>
      <c r="O92" s="259"/>
      <c r="P92" s="259"/>
      <c r="Q92" s="259"/>
      <c r="R92" s="259"/>
      <c r="S92" s="259"/>
      <c r="T92" s="259"/>
      <c r="U92" s="259"/>
      <c r="V92" s="259"/>
      <c r="W92" s="259"/>
      <c r="X92" s="259"/>
      <c r="Y92" s="259"/>
      <c r="Z92" s="259"/>
      <c r="AA92" s="259"/>
      <c r="AB92" s="259"/>
      <c r="AC92" s="259"/>
      <c r="AD92" s="259"/>
      <c r="AE92" s="259"/>
      <c r="AF92" s="259"/>
      <c r="AG92" s="259"/>
      <c r="AH92" s="259"/>
      <c r="AI92" s="259"/>
      <c r="AJ92" s="259"/>
      <c r="AK92" s="259"/>
      <c r="AL92" s="259"/>
      <c r="AM92" s="259"/>
      <c r="AN92" s="259"/>
      <c r="AO92" s="259"/>
      <c r="AP92" s="259"/>
      <c r="AQ92" s="259"/>
      <c r="AR92" s="259"/>
      <c r="AS92" s="259"/>
      <c r="AT92" s="259"/>
      <c r="AU92" s="259"/>
      <c r="AV92" s="259"/>
      <c r="AW92" s="259"/>
      <c r="AX92" s="259"/>
      <c r="AY92" s="259"/>
      <c r="AZ92" s="259"/>
      <c r="BA92" s="259"/>
      <c r="BB92" s="259"/>
      <c r="BC92" s="259"/>
      <c r="BD92" s="259"/>
      <c r="BE92" s="259"/>
      <c r="BF92" s="259"/>
      <c r="BG92" s="259"/>
      <c r="BH92" s="259"/>
      <c r="BI92" s="259"/>
      <c r="BJ92" s="259"/>
      <c r="BK92" s="259"/>
      <c r="BL92" s="371"/>
      <c r="BM92" s="378"/>
      <c r="BN92" s="379"/>
      <c r="BO92" s="379"/>
      <c r="BP92" s="379"/>
      <c r="BQ92" s="379"/>
      <c r="BR92" s="379"/>
      <c r="BS92" s="380"/>
      <c r="BT92" s="380"/>
      <c r="BU92" s="381"/>
    </row>
    <row r="93" spans="7:73" ht="14.4">
      <c r="G93" s="370"/>
      <c r="H93" s="259"/>
      <c r="I93" s="259"/>
      <c r="J93" s="259"/>
      <c r="K93" s="259"/>
      <c r="L93" s="259"/>
      <c r="M93" s="259"/>
      <c r="N93" s="259"/>
      <c r="O93" s="259"/>
      <c r="P93" s="259"/>
      <c r="Q93" s="259"/>
      <c r="R93" s="259"/>
      <c r="S93" s="259"/>
      <c r="T93" s="259"/>
      <c r="U93" s="259"/>
      <c r="V93" s="259"/>
      <c r="W93" s="259"/>
      <c r="X93" s="259"/>
      <c r="Y93" s="259"/>
      <c r="Z93" s="259"/>
      <c r="AA93" s="259"/>
      <c r="AB93" s="259"/>
      <c r="AC93" s="259"/>
      <c r="AD93" s="259"/>
      <c r="AE93" s="259"/>
      <c r="AF93" s="259"/>
      <c r="AG93" s="259"/>
      <c r="AH93" s="259"/>
      <c r="AI93" s="259"/>
      <c r="AJ93" s="259"/>
      <c r="AK93" s="259"/>
      <c r="AL93" s="259"/>
      <c r="AM93" s="259"/>
      <c r="AN93" s="259"/>
      <c r="AO93" s="259"/>
      <c r="AP93" s="259"/>
      <c r="AQ93" s="259"/>
      <c r="AR93" s="259"/>
      <c r="AS93" s="259"/>
      <c r="AT93" s="259"/>
      <c r="AU93" s="259"/>
      <c r="AV93" s="259"/>
      <c r="AW93" s="259"/>
      <c r="AX93" s="259"/>
      <c r="AY93" s="259"/>
      <c r="AZ93" s="259"/>
      <c r="BA93" s="259"/>
      <c r="BB93" s="259"/>
      <c r="BC93" s="259"/>
      <c r="BD93" s="259"/>
      <c r="BE93" s="259"/>
      <c r="BF93" s="259"/>
      <c r="BG93" s="259"/>
      <c r="BH93" s="259"/>
      <c r="BI93" s="259"/>
      <c r="BJ93" s="259"/>
      <c r="BK93" s="259"/>
      <c r="BL93" s="371"/>
      <c r="BM93" s="378"/>
      <c r="BN93" s="379"/>
      <c r="BO93" s="379"/>
      <c r="BP93" s="379"/>
      <c r="BQ93" s="379"/>
      <c r="BR93" s="379"/>
      <c r="BS93" s="380"/>
      <c r="BT93" s="380"/>
      <c r="BU93" s="381"/>
    </row>
    <row r="94" spans="7:73" ht="14.4">
      <c r="G94" s="370"/>
      <c r="H94" s="259"/>
      <c r="I94" s="259"/>
      <c r="J94" s="259"/>
      <c r="K94" s="259"/>
      <c r="L94" s="259"/>
      <c r="M94" s="259"/>
      <c r="N94" s="259"/>
      <c r="O94" s="259"/>
      <c r="P94" s="259"/>
      <c r="Q94" s="259"/>
      <c r="R94" s="259"/>
      <c r="S94" s="259"/>
      <c r="T94" s="259"/>
      <c r="U94" s="259"/>
      <c r="V94" s="259"/>
      <c r="W94" s="259"/>
      <c r="X94" s="259"/>
      <c r="Y94" s="259"/>
      <c r="Z94" s="259"/>
      <c r="AA94" s="259"/>
      <c r="AB94" s="259"/>
      <c r="AC94" s="259"/>
      <c r="AD94" s="259"/>
      <c r="AE94" s="259"/>
      <c r="AF94" s="259"/>
      <c r="AG94" s="259"/>
      <c r="AH94" s="259"/>
      <c r="AI94" s="259"/>
      <c r="AJ94" s="259"/>
      <c r="AK94" s="259"/>
      <c r="AL94" s="259"/>
      <c r="AM94" s="259"/>
      <c r="AN94" s="259"/>
      <c r="AO94" s="259"/>
      <c r="AP94" s="259"/>
      <c r="AQ94" s="259"/>
      <c r="AR94" s="259"/>
      <c r="AS94" s="259"/>
      <c r="AT94" s="259"/>
      <c r="AU94" s="259"/>
      <c r="AV94" s="259"/>
      <c r="AW94" s="259"/>
      <c r="AX94" s="259"/>
      <c r="AY94" s="259"/>
      <c r="AZ94" s="259"/>
      <c r="BA94" s="259"/>
      <c r="BB94" s="259"/>
      <c r="BC94" s="259"/>
      <c r="BD94" s="259"/>
      <c r="BE94" s="259"/>
      <c r="BF94" s="259"/>
      <c r="BG94" s="259"/>
      <c r="BH94" s="259"/>
      <c r="BI94" s="259"/>
      <c r="BJ94" s="259"/>
      <c r="BK94" s="259"/>
      <c r="BL94" s="371"/>
      <c r="BM94" s="378"/>
      <c r="BN94" s="379"/>
      <c r="BO94" s="379"/>
      <c r="BP94" s="379"/>
      <c r="BQ94" s="379"/>
      <c r="BR94" s="379"/>
      <c r="BS94" s="380"/>
      <c r="BT94" s="380"/>
      <c r="BU94" s="381"/>
    </row>
    <row r="95" spans="7:73" ht="14.4">
      <c r="G95" s="370"/>
      <c r="H95" s="259"/>
      <c r="I95" s="259"/>
      <c r="J95" s="259"/>
      <c r="K95" s="259"/>
      <c r="L95" s="259"/>
      <c r="M95" s="259"/>
      <c r="N95" s="259"/>
      <c r="O95" s="259"/>
      <c r="P95" s="259"/>
      <c r="Q95" s="259"/>
      <c r="R95" s="259"/>
      <c r="S95" s="259"/>
      <c r="T95" s="259"/>
      <c r="U95" s="259"/>
      <c r="V95" s="259"/>
      <c r="W95" s="259"/>
      <c r="X95" s="259"/>
      <c r="Y95" s="259"/>
      <c r="Z95" s="259"/>
      <c r="AA95" s="259"/>
      <c r="AB95" s="259"/>
      <c r="AC95" s="259"/>
      <c r="AD95" s="259"/>
      <c r="AE95" s="259"/>
      <c r="AF95" s="259"/>
      <c r="AG95" s="259"/>
      <c r="AH95" s="259"/>
      <c r="AI95" s="259"/>
      <c r="AJ95" s="259"/>
      <c r="AK95" s="259"/>
      <c r="AL95" s="259"/>
      <c r="AM95" s="259"/>
      <c r="AN95" s="259"/>
      <c r="AO95" s="259"/>
      <c r="AP95" s="259"/>
      <c r="AQ95" s="259"/>
      <c r="AR95" s="259"/>
      <c r="AS95" s="259"/>
      <c r="AT95" s="259"/>
      <c r="AU95" s="259"/>
      <c r="AV95" s="259"/>
      <c r="AW95" s="259"/>
      <c r="AX95" s="259"/>
      <c r="AY95" s="259"/>
      <c r="AZ95" s="259"/>
      <c r="BA95" s="259"/>
      <c r="BB95" s="259"/>
      <c r="BC95" s="259"/>
      <c r="BD95" s="259"/>
      <c r="BE95" s="259"/>
      <c r="BF95" s="259"/>
      <c r="BG95" s="259"/>
      <c r="BH95" s="259"/>
      <c r="BI95" s="259"/>
      <c r="BJ95" s="259"/>
      <c r="BK95" s="259"/>
      <c r="BL95" s="371"/>
      <c r="BM95" s="378"/>
      <c r="BN95" s="379"/>
      <c r="BO95" s="379"/>
      <c r="BP95" s="379"/>
      <c r="BQ95" s="379"/>
      <c r="BR95" s="379"/>
      <c r="BS95" s="380"/>
      <c r="BT95" s="380"/>
      <c r="BU95" s="381"/>
    </row>
    <row r="96" spans="7:73" ht="14.4">
      <c r="G96" s="370"/>
      <c r="H96" s="259"/>
      <c r="I96" s="259"/>
      <c r="J96" s="259"/>
      <c r="K96" s="259"/>
      <c r="L96" s="259"/>
      <c r="M96" s="259"/>
      <c r="N96" s="259"/>
      <c r="O96" s="259"/>
      <c r="P96" s="259"/>
      <c r="Q96" s="259"/>
      <c r="R96" s="259"/>
      <c r="S96" s="259"/>
      <c r="T96" s="259"/>
      <c r="U96" s="259"/>
      <c r="V96" s="259"/>
      <c r="W96" s="259"/>
      <c r="X96" s="259"/>
      <c r="Y96" s="259"/>
      <c r="Z96" s="259"/>
      <c r="AA96" s="259"/>
      <c r="AB96" s="259"/>
      <c r="AC96" s="259"/>
      <c r="AD96" s="259"/>
      <c r="AE96" s="259"/>
      <c r="AF96" s="259"/>
      <c r="AG96" s="259"/>
      <c r="AH96" s="259"/>
      <c r="AI96" s="259"/>
      <c r="AJ96" s="259"/>
      <c r="AK96" s="259"/>
      <c r="AL96" s="259"/>
      <c r="AM96" s="259"/>
      <c r="AN96" s="259"/>
      <c r="AO96" s="259"/>
      <c r="AP96" s="259"/>
      <c r="AQ96" s="259"/>
      <c r="AR96" s="259"/>
      <c r="AS96" s="259"/>
      <c r="AT96" s="259"/>
      <c r="AU96" s="259"/>
      <c r="AV96" s="259"/>
      <c r="AW96" s="259"/>
      <c r="AX96" s="259"/>
      <c r="AY96" s="259"/>
      <c r="AZ96" s="259"/>
      <c r="BA96" s="259"/>
      <c r="BB96" s="259"/>
      <c r="BC96" s="259"/>
      <c r="BD96" s="259"/>
      <c r="BE96" s="259"/>
      <c r="BF96" s="259"/>
      <c r="BG96" s="259"/>
      <c r="BH96" s="259"/>
      <c r="BI96" s="259"/>
      <c r="BJ96" s="259"/>
      <c r="BK96" s="259"/>
      <c r="BL96" s="371"/>
      <c r="BM96" s="378"/>
      <c r="BN96" s="379"/>
      <c r="BO96" s="379"/>
      <c r="BP96" s="379"/>
      <c r="BQ96" s="379"/>
      <c r="BR96" s="379"/>
      <c r="BS96" s="380"/>
      <c r="BT96" s="380"/>
      <c r="BU96" s="381"/>
    </row>
    <row r="97" spans="7:73" ht="14.4">
      <c r="G97" s="370"/>
      <c r="H97" s="259"/>
      <c r="I97" s="259"/>
      <c r="J97" s="259"/>
      <c r="K97" s="259"/>
      <c r="L97" s="259"/>
      <c r="M97" s="259"/>
      <c r="N97" s="259"/>
      <c r="O97" s="259"/>
      <c r="P97" s="259"/>
      <c r="Q97" s="259"/>
      <c r="R97" s="259"/>
      <c r="S97" s="259"/>
      <c r="T97" s="259"/>
      <c r="U97" s="259"/>
      <c r="V97" s="259"/>
      <c r="W97" s="259"/>
      <c r="X97" s="259"/>
      <c r="Y97" s="259"/>
      <c r="Z97" s="259"/>
      <c r="AA97" s="259"/>
      <c r="AB97" s="259"/>
      <c r="AC97" s="259"/>
      <c r="AD97" s="259"/>
      <c r="AE97" s="259"/>
      <c r="AF97" s="259"/>
      <c r="AG97" s="259"/>
      <c r="AH97" s="259"/>
      <c r="AI97" s="259"/>
      <c r="AJ97" s="259"/>
      <c r="AK97" s="259"/>
      <c r="AL97" s="259"/>
      <c r="AM97" s="259"/>
      <c r="AN97" s="259"/>
      <c r="AO97" s="259"/>
      <c r="AP97" s="259"/>
      <c r="AQ97" s="259"/>
      <c r="AR97" s="259"/>
      <c r="AS97" s="259"/>
      <c r="AT97" s="259"/>
      <c r="AU97" s="259"/>
      <c r="AV97" s="259"/>
      <c r="AW97" s="259"/>
      <c r="AX97" s="259"/>
      <c r="AY97" s="259"/>
      <c r="AZ97" s="259"/>
      <c r="BA97" s="259"/>
      <c r="BB97" s="259"/>
      <c r="BC97" s="259"/>
      <c r="BD97" s="259"/>
      <c r="BE97" s="259"/>
      <c r="BF97" s="259"/>
      <c r="BG97" s="259"/>
      <c r="BH97" s="259"/>
      <c r="BI97" s="259"/>
      <c r="BJ97" s="259"/>
      <c r="BK97" s="259"/>
      <c r="BL97" s="371"/>
      <c r="BM97" s="378"/>
      <c r="BN97" s="379"/>
      <c r="BO97" s="379"/>
      <c r="BP97" s="379"/>
      <c r="BQ97" s="379"/>
      <c r="BR97" s="379"/>
      <c r="BS97" s="380"/>
      <c r="BT97" s="380"/>
      <c r="BU97" s="381"/>
    </row>
    <row r="98" spans="7:73" ht="14.4">
      <c r="G98" s="370"/>
      <c r="H98" s="259"/>
      <c r="I98" s="259"/>
      <c r="J98" s="259"/>
      <c r="K98" s="259"/>
      <c r="L98" s="259"/>
      <c r="M98" s="259"/>
      <c r="N98" s="259"/>
      <c r="O98" s="259"/>
      <c r="P98" s="259"/>
      <c r="Q98" s="259"/>
      <c r="R98" s="259"/>
      <c r="S98" s="259"/>
      <c r="T98" s="259"/>
      <c r="U98" s="259"/>
      <c r="V98" s="259"/>
      <c r="W98" s="259"/>
      <c r="X98" s="259"/>
      <c r="Y98" s="259"/>
      <c r="Z98" s="259"/>
      <c r="AA98" s="259"/>
      <c r="AB98" s="259"/>
      <c r="AC98" s="259"/>
      <c r="AD98" s="259"/>
      <c r="AE98" s="259"/>
      <c r="AF98" s="259"/>
      <c r="AG98" s="259"/>
      <c r="AH98" s="259"/>
      <c r="AI98" s="259"/>
      <c r="AJ98" s="259"/>
      <c r="AK98" s="259"/>
      <c r="AL98" s="259"/>
      <c r="AM98" s="259"/>
      <c r="AN98" s="259"/>
      <c r="AO98" s="259"/>
      <c r="AP98" s="259"/>
      <c r="AQ98" s="259"/>
      <c r="AR98" s="259"/>
      <c r="AS98" s="259"/>
      <c r="AT98" s="259"/>
      <c r="AU98" s="259"/>
      <c r="AV98" s="259"/>
      <c r="AW98" s="259"/>
      <c r="AX98" s="259"/>
      <c r="AY98" s="259"/>
      <c r="AZ98" s="259"/>
      <c r="BA98" s="259"/>
      <c r="BB98" s="259"/>
      <c r="BC98" s="259"/>
      <c r="BD98" s="259"/>
      <c r="BE98" s="259"/>
      <c r="BF98" s="259"/>
      <c r="BG98" s="259"/>
      <c r="BH98" s="259"/>
      <c r="BI98" s="259"/>
      <c r="BJ98" s="259"/>
      <c r="BK98" s="259"/>
      <c r="BL98" s="371"/>
      <c r="BM98" s="378"/>
      <c r="BN98" s="379"/>
      <c r="BO98" s="379"/>
      <c r="BP98" s="379"/>
      <c r="BQ98" s="379"/>
      <c r="BR98" s="379"/>
      <c r="BS98" s="380"/>
      <c r="BT98" s="380"/>
      <c r="BU98" s="381"/>
    </row>
    <row r="99" spans="7:73" ht="14.4">
      <c r="G99" s="370"/>
      <c r="H99" s="259"/>
      <c r="I99" s="259"/>
      <c r="J99" s="259"/>
      <c r="K99" s="259"/>
      <c r="L99" s="259"/>
      <c r="M99" s="259"/>
      <c r="N99" s="259"/>
      <c r="O99" s="259"/>
      <c r="P99" s="259"/>
      <c r="Q99" s="259"/>
      <c r="R99" s="259"/>
      <c r="S99" s="259"/>
      <c r="T99" s="259"/>
      <c r="U99" s="259"/>
      <c r="V99" s="259"/>
      <c r="W99" s="259"/>
      <c r="X99" s="259"/>
      <c r="Y99" s="259"/>
      <c r="Z99" s="259"/>
      <c r="AA99" s="259"/>
      <c r="AB99" s="259"/>
      <c r="AC99" s="259"/>
      <c r="AD99" s="259"/>
      <c r="AE99" s="259"/>
      <c r="AF99" s="259"/>
      <c r="AG99" s="259"/>
      <c r="AH99" s="259"/>
      <c r="AI99" s="259"/>
      <c r="AJ99" s="259"/>
      <c r="AK99" s="259"/>
      <c r="AL99" s="259"/>
      <c r="AM99" s="259"/>
      <c r="AN99" s="259"/>
      <c r="AO99" s="259"/>
      <c r="AP99" s="259"/>
      <c r="AQ99" s="259"/>
      <c r="AR99" s="259"/>
      <c r="AS99" s="259"/>
      <c r="AT99" s="259"/>
      <c r="AU99" s="259"/>
      <c r="AV99" s="259"/>
      <c r="AW99" s="259"/>
      <c r="AX99" s="259"/>
      <c r="AY99" s="259"/>
      <c r="AZ99" s="259"/>
      <c r="BA99" s="259"/>
      <c r="BB99" s="259"/>
      <c r="BC99" s="259"/>
      <c r="BD99" s="259"/>
      <c r="BE99" s="259"/>
      <c r="BF99" s="259"/>
      <c r="BG99" s="259"/>
      <c r="BH99" s="259"/>
      <c r="BI99" s="259"/>
      <c r="BJ99" s="259"/>
      <c r="BK99" s="259"/>
      <c r="BL99" s="371"/>
      <c r="BM99" s="378"/>
      <c r="BN99" s="379"/>
      <c r="BO99" s="379"/>
      <c r="BP99" s="379"/>
      <c r="BQ99" s="379"/>
      <c r="BR99" s="379"/>
      <c r="BS99" s="380"/>
      <c r="BT99" s="380"/>
      <c r="BU99" s="381"/>
    </row>
    <row r="100" spans="7:73" ht="14.4">
      <c r="G100" s="370"/>
      <c r="H100" s="259"/>
      <c r="I100" s="259"/>
      <c r="J100" s="259"/>
      <c r="K100" s="259"/>
      <c r="L100" s="259"/>
      <c r="M100" s="259"/>
      <c r="N100" s="259"/>
      <c r="O100" s="259"/>
      <c r="P100" s="259"/>
      <c r="Q100" s="259"/>
      <c r="R100" s="259"/>
      <c r="S100" s="259"/>
      <c r="T100" s="259"/>
      <c r="U100" s="259"/>
      <c r="V100" s="259"/>
      <c r="W100" s="259"/>
      <c r="X100" s="259"/>
      <c r="Y100" s="259"/>
      <c r="Z100" s="259"/>
      <c r="AA100" s="259"/>
      <c r="AB100" s="259"/>
      <c r="AC100" s="259"/>
      <c r="AD100" s="259"/>
      <c r="AE100" s="259"/>
      <c r="AF100" s="259"/>
      <c r="AG100" s="259"/>
      <c r="AH100" s="259"/>
      <c r="AI100" s="259"/>
      <c r="AJ100" s="259"/>
      <c r="AK100" s="259"/>
      <c r="AL100" s="259"/>
      <c r="AM100" s="259"/>
      <c r="AN100" s="259"/>
      <c r="AO100" s="259"/>
      <c r="AP100" s="259"/>
      <c r="AQ100" s="259"/>
      <c r="AR100" s="259"/>
      <c r="AS100" s="259"/>
      <c r="AT100" s="259"/>
      <c r="AU100" s="259"/>
      <c r="AV100" s="259"/>
      <c r="AW100" s="259"/>
      <c r="AX100" s="259"/>
      <c r="AY100" s="259"/>
      <c r="AZ100" s="259"/>
      <c r="BA100" s="259"/>
      <c r="BB100" s="259"/>
      <c r="BC100" s="259"/>
      <c r="BD100" s="259"/>
      <c r="BE100" s="259"/>
      <c r="BF100" s="259"/>
      <c r="BG100" s="259"/>
      <c r="BH100" s="259"/>
      <c r="BI100" s="259"/>
      <c r="BJ100" s="259"/>
      <c r="BK100" s="259"/>
      <c r="BL100" s="371"/>
      <c r="BM100" s="378"/>
      <c r="BN100" s="379"/>
      <c r="BO100" s="379"/>
      <c r="BP100" s="379"/>
      <c r="BQ100" s="379"/>
      <c r="BR100" s="379"/>
      <c r="BS100" s="380"/>
      <c r="BT100" s="380"/>
      <c r="BU100" s="381"/>
    </row>
    <row r="101" spans="7:73" ht="14.4">
      <c r="G101" s="370"/>
      <c r="H101" s="259"/>
      <c r="I101" s="259"/>
      <c r="J101" s="259"/>
      <c r="K101" s="259"/>
      <c r="L101" s="259"/>
      <c r="M101" s="259"/>
      <c r="N101" s="259"/>
      <c r="O101" s="259"/>
      <c r="P101" s="259"/>
      <c r="Q101" s="259"/>
      <c r="R101" s="259"/>
      <c r="S101" s="259"/>
      <c r="T101" s="259"/>
      <c r="U101" s="259"/>
      <c r="V101" s="259"/>
      <c r="W101" s="259"/>
      <c r="X101" s="259"/>
      <c r="Y101" s="259"/>
      <c r="Z101" s="259"/>
      <c r="AA101" s="259"/>
      <c r="AB101" s="259"/>
      <c r="AC101" s="259"/>
      <c r="AD101" s="259"/>
      <c r="AE101" s="259"/>
      <c r="AF101" s="259"/>
      <c r="AG101" s="259"/>
      <c r="AH101" s="259"/>
      <c r="AI101" s="259"/>
      <c r="AJ101" s="259"/>
      <c r="AK101" s="259"/>
      <c r="AL101" s="259"/>
      <c r="AM101" s="259"/>
      <c r="AN101" s="259"/>
      <c r="AO101" s="259"/>
      <c r="AP101" s="259"/>
      <c r="AQ101" s="259"/>
      <c r="AR101" s="259"/>
      <c r="AS101" s="259"/>
      <c r="AT101" s="259"/>
      <c r="AU101" s="259"/>
      <c r="AV101" s="259"/>
      <c r="AW101" s="259"/>
      <c r="AX101" s="259"/>
      <c r="AY101" s="259"/>
      <c r="AZ101" s="259"/>
      <c r="BA101" s="259"/>
      <c r="BB101" s="259"/>
      <c r="BC101" s="259"/>
      <c r="BD101" s="259"/>
      <c r="BE101" s="259"/>
      <c r="BF101" s="259"/>
      <c r="BG101" s="259"/>
      <c r="BH101" s="259"/>
      <c r="BI101" s="259"/>
      <c r="BJ101" s="259"/>
      <c r="BK101" s="259"/>
      <c r="BL101" s="371"/>
      <c r="BM101" s="378"/>
      <c r="BN101" s="379"/>
      <c r="BO101" s="379"/>
      <c r="BP101" s="379"/>
      <c r="BQ101" s="379"/>
      <c r="BR101" s="379"/>
      <c r="BS101" s="380"/>
      <c r="BT101" s="380"/>
      <c r="BU101" s="381"/>
    </row>
    <row r="102" spans="7:73" ht="14.4">
      <c r="G102" s="370"/>
      <c r="H102" s="259"/>
      <c r="I102" s="259"/>
      <c r="J102" s="259"/>
      <c r="K102" s="259"/>
      <c r="L102" s="259"/>
      <c r="M102" s="259"/>
      <c r="N102" s="259"/>
      <c r="O102" s="259"/>
      <c r="P102" s="259"/>
      <c r="Q102" s="259"/>
      <c r="R102" s="259"/>
      <c r="S102" s="259"/>
      <c r="T102" s="259"/>
      <c r="U102" s="259"/>
      <c r="V102" s="259"/>
      <c r="W102" s="259"/>
      <c r="X102" s="259"/>
      <c r="Y102" s="259"/>
      <c r="Z102" s="259"/>
      <c r="AA102" s="259"/>
      <c r="AB102" s="259"/>
      <c r="AC102" s="259"/>
      <c r="AD102" s="259"/>
      <c r="AE102" s="259"/>
      <c r="AF102" s="259"/>
      <c r="AG102" s="259"/>
      <c r="AH102" s="259"/>
      <c r="AI102" s="259"/>
      <c r="AJ102" s="259"/>
      <c r="AK102" s="259"/>
      <c r="AL102" s="259"/>
      <c r="AM102" s="259"/>
      <c r="AN102" s="259"/>
      <c r="AO102" s="259"/>
      <c r="AP102" s="259"/>
      <c r="AQ102" s="259"/>
      <c r="AR102" s="259"/>
      <c r="AS102" s="259"/>
      <c r="AT102" s="259"/>
      <c r="AU102" s="259"/>
      <c r="AV102" s="259"/>
      <c r="AW102" s="259"/>
      <c r="AX102" s="259"/>
      <c r="AY102" s="259"/>
      <c r="AZ102" s="259"/>
      <c r="BA102" s="259"/>
      <c r="BB102" s="259"/>
      <c r="BC102" s="259"/>
      <c r="BD102" s="259"/>
      <c r="BE102" s="259"/>
      <c r="BF102" s="259"/>
      <c r="BG102" s="259"/>
      <c r="BH102" s="259"/>
      <c r="BI102" s="259"/>
      <c r="BJ102" s="259"/>
      <c r="BK102" s="259"/>
      <c r="BL102" s="371"/>
      <c r="BM102" s="378"/>
      <c r="BN102" s="379"/>
      <c r="BO102" s="379"/>
      <c r="BP102" s="379"/>
      <c r="BQ102" s="379"/>
      <c r="BR102" s="379"/>
      <c r="BS102" s="380"/>
      <c r="BT102" s="380"/>
      <c r="BU102" s="381"/>
    </row>
    <row r="103" spans="7:73" ht="14.4">
      <c r="G103" s="370"/>
      <c r="H103" s="259"/>
      <c r="I103" s="259"/>
      <c r="J103" s="259"/>
      <c r="K103" s="259"/>
      <c r="L103" s="259"/>
      <c r="M103" s="259"/>
      <c r="N103" s="259"/>
      <c r="O103" s="259"/>
      <c r="P103" s="259"/>
      <c r="Q103" s="259"/>
      <c r="R103" s="259"/>
      <c r="S103" s="259"/>
      <c r="T103" s="259"/>
      <c r="U103" s="259"/>
      <c r="V103" s="259"/>
      <c r="W103" s="259"/>
      <c r="X103" s="259"/>
      <c r="Y103" s="259"/>
      <c r="Z103" s="259"/>
      <c r="AA103" s="259"/>
      <c r="AB103" s="259"/>
      <c r="AC103" s="259"/>
      <c r="AD103" s="259"/>
      <c r="AE103" s="259"/>
      <c r="AF103" s="259"/>
      <c r="AG103" s="259"/>
      <c r="AH103" s="259"/>
      <c r="AI103" s="259"/>
      <c r="AJ103" s="259"/>
      <c r="AK103" s="259"/>
      <c r="AL103" s="259"/>
      <c r="AM103" s="259"/>
      <c r="AN103" s="259"/>
      <c r="AO103" s="259"/>
      <c r="AP103" s="259"/>
      <c r="AQ103" s="259"/>
      <c r="AR103" s="259"/>
      <c r="AS103" s="259"/>
      <c r="AT103" s="259"/>
      <c r="AU103" s="259"/>
      <c r="AV103" s="259"/>
      <c r="AW103" s="259"/>
      <c r="AX103" s="259"/>
      <c r="AY103" s="259"/>
      <c r="AZ103" s="259"/>
      <c r="BA103" s="259"/>
      <c r="BB103" s="259"/>
      <c r="BC103" s="259"/>
      <c r="BD103" s="259"/>
      <c r="BE103" s="259"/>
      <c r="BF103" s="259"/>
      <c r="BG103" s="259"/>
      <c r="BH103" s="259"/>
      <c r="BI103" s="259"/>
      <c r="BJ103" s="259"/>
      <c r="BK103" s="259"/>
      <c r="BL103" s="371"/>
      <c r="BM103" s="378"/>
      <c r="BN103" s="379"/>
      <c r="BO103" s="379"/>
      <c r="BP103" s="379"/>
      <c r="BQ103" s="379"/>
      <c r="BR103" s="379"/>
      <c r="BS103" s="380"/>
      <c r="BT103" s="380"/>
      <c r="BU103" s="381"/>
    </row>
    <row r="104" spans="7:73" ht="14.4">
      <c r="G104" s="370"/>
      <c r="H104" s="259"/>
      <c r="I104" s="259"/>
      <c r="J104" s="259"/>
      <c r="K104" s="259"/>
      <c r="L104" s="259"/>
      <c r="M104" s="259"/>
      <c r="N104" s="259"/>
      <c r="O104" s="259"/>
      <c r="P104" s="259"/>
      <c r="Q104" s="259"/>
      <c r="R104" s="259"/>
      <c r="S104" s="259"/>
      <c r="T104" s="259"/>
      <c r="U104" s="259"/>
      <c r="V104" s="259"/>
      <c r="W104" s="259"/>
      <c r="X104" s="259"/>
      <c r="Y104" s="259"/>
      <c r="Z104" s="259"/>
      <c r="AA104" s="259"/>
      <c r="AB104" s="259"/>
      <c r="AC104" s="259"/>
      <c r="AD104" s="259"/>
      <c r="AE104" s="259"/>
      <c r="AF104" s="259"/>
      <c r="AG104" s="259"/>
      <c r="AH104" s="259"/>
      <c r="AI104" s="259"/>
      <c r="AJ104" s="259"/>
      <c r="AK104" s="259"/>
      <c r="AL104" s="259"/>
      <c r="AM104" s="259"/>
      <c r="AN104" s="259"/>
      <c r="AO104" s="259"/>
      <c r="AP104" s="259"/>
      <c r="AQ104" s="259"/>
      <c r="AR104" s="259"/>
      <c r="AS104" s="259"/>
      <c r="AT104" s="259"/>
      <c r="AU104" s="259"/>
      <c r="AV104" s="259"/>
      <c r="AW104" s="259"/>
      <c r="AX104" s="259"/>
      <c r="AY104" s="259"/>
      <c r="AZ104" s="259"/>
      <c r="BA104" s="259"/>
      <c r="BB104" s="259"/>
      <c r="BC104" s="259"/>
      <c r="BD104" s="259"/>
      <c r="BE104" s="259"/>
      <c r="BF104" s="259"/>
      <c r="BG104" s="259"/>
      <c r="BH104" s="259"/>
      <c r="BI104" s="259"/>
      <c r="BJ104" s="259"/>
      <c r="BK104" s="259"/>
      <c r="BL104" s="371"/>
      <c r="BM104" s="378"/>
      <c r="BN104" s="379"/>
      <c r="BO104" s="379"/>
      <c r="BP104" s="379"/>
      <c r="BQ104" s="379"/>
      <c r="BR104" s="379"/>
      <c r="BS104" s="380"/>
      <c r="BT104" s="380"/>
      <c r="BU104" s="381"/>
    </row>
    <row r="105" spans="7:73" ht="14.4">
      <c r="G105" s="370"/>
      <c r="H105" s="259"/>
      <c r="I105" s="259"/>
      <c r="J105" s="259"/>
      <c r="K105" s="259"/>
      <c r="L105" s="259"/>
      <c r="M105" s="259"/>
      <c r="N105" s="259"/>
      <c r="O105" s="259"/>
      <c r="P105" s="259"/>
      <c r="Q105" s="259"/>
      <c r="R105" s="259"/>
      <c r="S105" s="259"/>
      <c r="T105" s="259"/>
      <c r="U105" s="259"/>
      <c r="V105" s="259"/>
      <c r="W105" s="259"/>
      <c r="X105" s="259"/>
      <c r="Y105" s="259"/>
      <c r="Z105" s="259"/>
      <c r="AA105" s="259"/>
      <c r="AB105" s="259"/>
      <c r="AC105" s="259"/>
      <c r="AD105" s="259"/>
      <c r="AE105" s="259"/>
      <c r="AF105" s="259"/>
      <c r="AG105" s="259"/>
      <c r="AH105" s="259"/>
      <c r="AI105" s="259"/>
      <c r="AJ105" s="259"/>
      <c r="AK105" s="259"/>
      <c r="AL105" s="259"/>
      <c r="AM105" s="259"/>
      <c r="AN105" s="259"/>
      <c r="AO105" s="259"/>
      <c r="AP105" s="259"/>
      <c r="AQ105" s="259"/>
      <c r="AR105" s="259"/>
      <c r="AS105" s="259"/>
      <c r="AT105" s="259"/>
      <c r="AU105" s="259"/>
      <c r="AV105" s="259"/>
      <c r="AW105" s="259"/>
      <c r="AX105" s="259"/>
      <c r="AY105" s="259"/>
      <c r="AZ105" s="259"/>
      <c r="BA105" s="259"/>
      <c r="BB105" s="259"/>
      <c r="BC105" s="259"/>
      <c r="BD105" s="259"/>
      <c r="BE105" s="259"/>
      <c r="BF105" s="259"/>
      <c r="BG105" s="259"/>
      <c r="BH105" s="259"/>
      <c r="BI105" s="259"/>
      <c r="BJ105" s="259"/>
      <c r="BK105" s="259"/>
      <c r="BL105" s="371"/>
      <c r="BM105" s="378"/>
      <c r="BN105" s="379"/>
      <c r="BO105" s="379"/>
      <c r="BP105" s="379"/>
      <c r="BQ105" s="379"/>
      <c r="BR105" s="379"/>
      <c r="BS105" s="380"/>
      <c r="BT105" s="380"/>
      <c r="BU105" s="381"/>
    </row>
    <row r="106" spans="7:73" ht="14.4">
      <c r="G106" s="370"/>
      <c r="H106" s="259"/>
      <c r="I106" s="259"/>
      <c r="J106" s="259"/>
      <c r="K106" s="259"/>
      <c r="L106" s="259"/>
      <c r="M106" s="259"/>
      <c r="N106" s="259"/>
      <c r="O106" s="259"/>
      <c r="P106" s="259"/>
      <c r="Q106" s="259"/>
      <c r="R106" s="259"/>
      <c r="S106" s="259"/>
      <c r="T106" s="259"/>
      <c r="U106" s="259"/>
      <c r="V106" s="259"/>
      <c r="W106" s="259"/>
      <c r="X106" s="259"/>
      <c r="Y106" s="259"/>
      <c r="Z106" s="259"/>
      <c r="AA106" s="259"/>
      <c r="AB106" s="259"/>
      <c r="AC106" s="259"/>
      <c r="AD106" s="259"/>
      <c r="AE106" s="259"/>
      <c r="AF106" s="259"/>
      <c r="AG106" s="259"/>
      <c r="AH106" s="259"/>
      <c r="AI106" s="259"/>
      <c r="AJ106" s="259"/>
      <c r="AK106" s="259"/>
      <c r="AL106" s="259"/>
      <c r="AM106" s="259"/>
      <c r="AN106" s="259"/>
      <c r="AO106" s="259"/>
      <c r="AP106" s="259"/>
      <c r="AQ106" s="259"/>
      <c r="AR106" s="259"/>
      <c r="AS106" s="259"/>
      <c r="AT106" s="259"/>
      <c r="AU106" s="259"/>
      <c r="AV106" s="259"/>
      <c r="AW106" s="259"/>
      <c r="AX106" s="259"/>
      <c r="AY106" s="259"/>
      <c r="AZ106" s="259"/>
      <c r="BA106" s="259"/>
      <c r="BB106" s="259"/>
      <c r="BC106" s="259"/>
      <c r="BD106" s="259"/>
      <c r="BE106" s="259"/>
      <c r="BF106" s="259"/>
      <c r="BG106" s="259"/>
      <c r="BH106" s="259"/>
      <c r="BI106" s="259"/>
      <c r="BJ106" s="259"/>
      <c r="BK106" s="259"/>
      <c r="BL106" s="371"/>
      <c r="BM106" s="378"/>
      <c r="BN106" s="379"/>
      <c r="BO106" s="379"/>
      <c r="BP106" s="379"/>
      <c r="BQ106" s="379"/>
      <c r="BR106" s="379"/>
      <c r="BS106" s="380"/>
      <c r="BT106" s="380"/>
      <c r="BU106" s="381"/>
    </row>
    <row r="107" spans="7:73" ht="14.4">
      <c r="G107" s="370"/>
      <c r="H107" s="259"/>
      <c r="I107" s="259"/>
      <c r="J107" s="259"/>
      <c r="K107" s="259"/>
      <c r="L107" s="259"/>
      <c r="M107" s="259"/>
      <c r="N107" s="259"/>
      <c r="O107" s="259"/>
      <c r="P107" s="259"/>
      <c r="Q107" s="259"/>
      <c r="R107" s="259"/>
      <c r="S107" s="259"/>
      <c r="T107" s="259"/>
      <c r="U107" s="259"/>
      <c r="V107" s="259"/>
      <c r="W107" s="259"/>
      <c r="X107" s="259"/>
      <c r="Y107" s="259"/>
      <c r="Z107" s="259"/>
      <c r="AA107" s="259"/>
      <c r="AB107" s="259"/>
      <c r="AC107" s="259"/>
      <c r="AD107" s="259"/>
      <c r="AE107" s="259"/>
      <c r="AF107" s="259"/>
      <c r="AG107" s="259"/>
      <c r="AH107" s="259"/>
      <c r="AI107" s="259"/>
      <c r="AJ107" s="259"/>
      <c r="AK107" s="259"/>
      <c r="AL107" s="259"/>
      <c r="AM107" s="259"/>
      <c r="AN107" s="259"/>
      <c r="AO107" s="259"/>
      <c r="AP107" s="259"/>
      <c r="AQ107" s="259"/>
      <c r="AR107" s="259"/>
      <c r="AS107" s="259"/>
      <c r="AT107" s="259"/>
      <c r="AU107" s="259"/>
      <c r="AV107" s="259"/>
      <c r="AW107" s="259"/>
      <c r="AX107" s="259"/>
      <c r="AY107" s="259"/>
      <c r="AZ107" s="259"/>
      <c r="BA107" s="259"/>
      <c r="BB107" s="259"/>
      <c r="BC107" s="259"/>
      <c r="BD107" s="259"/>
      <c r="BE107" s="259"/>
      <c r="BF107" s="259"/>
      <c r="BG107" s="259"/>
      <c r="BH107" s="259"/>
      <c r="BI107" s="259"/>
      <c r="BJ107" s="259"/>
      <c r="BK107" s="259"/>
      <c r="BL107" s="371"/>
      <c r="BM107" s="378"/>
      <c r="BN107" s="379"/>
      <c r="BO107" s="379"/>
      <c r="BP107" s="379"/>
      <c r="BQ107" s="379"/>
      <c r="BR107" s="379"/>
      <c r="BS107" s="380"/>
      <c r="BT107" s="380"/>
      <c r="BU107" s="381"/>
    </row>
    <row r="108" spans="7:73" ht="14.4">
      <c r="G108" s="370"/>
      <c r="H108" s="259"/>
      <c r="I108" s="259"/>
      <c r="J108" s="259"/>
      <c r="K108" s="259"/>
      <c r="L108" s="259"/>
      <c r="M108" s="259"/>
      <c r="N108" s="259"/>
      <c r="O108" s="259"/>
      <c r="P108" s="259"/>
      <c r="Q108" s="259"/>
      <c r="R108" s="259"/>
      <c r="S108" s="259"/>
      <c r="T108" s="259"/>
      <c r="U108" s="259"/>
      <c r="V108" s="259"/>
      <c r="W108" s="259"/>
      <c r="X108" s="259"/>
      <c r="Y108" s="259"/>
      <c r="Z108" s="259"/>
      <c r="AA108" s="259"/>
      <c r="AB108" s="259"/>
      <c r="AC108" s="259"/>
      <c r="AD108" s="259"/>
      <c r="AE108" s="259"/>
      <c r="AF108" s="259"/>
      <c r="AG108" s="259"/>
      <c r="AH108" s="259"/>
      <c r="AI108" s="259"/>
      <c r="AJ108" s="259"/>
      <c r="AK108" s="259"/>
      <c r="AL108" s="259"/>
      <c r="AM108" s="259"/>
      <c r="AN108" s="259"/>
      <c r="AO108" s="259"/>
      <c r="AP108" s="259"/>
      <c r="AQ108" s="259"/>
      <c r="AR108" s="259"/>
      <c r="AS108" s="259"/>
      <c r="AT108" s="259"/>
      <c r="AU108" s="259"/>
      <c r="AV108" s="259"/>
      <c r="AW108" s="259"/>
      <c r="AX108" s="259"/>
      <c r="AY108" s="259"/>
      <c r="AZ108" s="259"/>
      <c r="BA108" s="259"/>
      <c r="BB108" s="259"/>
      <c r="BC108" s="259"/>
      <c r="BD108" s="259"/>
      <c r="BE108" s="259"/>
      <c r="BF108" s="259"/>
      <c r="BG108" s="259"/>
      <c r="BH108" s="259"/>
      <c r="BI108" s="259"/>
      <c r="BJ108" s="259"/>
      <c r="BK108" s="259"/>
      <c r="BL108" s="371"/>
      <c r="BM108" s="378"/>
      <c r="BN108" s="379"/>
      <c r="BO108" s="379"/>
      <c r="BP108" s="379"/>
      <c r="BQ108" s="379"/>
      <c r="BR108" s="379"/>
      <c r="BS108" s="380"/>
      <c r="BT108" s="380"/>
      <c r="BU108" s="381"/>
    </row>
    <row r="109" spans="7:73" ht="14.4">
      <c r="G109" s="370"/>
      <c r="H109" s="259"/>
      <c r="I109" s="259"/>
      <c r="J109" s="259"/>
      <c r="K109" s="259"/>
      <c r="L109" s="259"/>
      <c r="M109" s="259"/>
      <c r="N109" s="259"/>
      <c r="O109" s="259"/>
      <c r="P109" s="259"/>
      <c r="Q109" s="259"/>
      <c r="R109" s="259"/>
      <c r="S109" s="259"/>
      <c r="T109" s="259"/>
      <c r="U109" s="259"/>
      <c r="V109" s="259"/>
      <c r="W109" s="259"/>
      <c r="X109" s="259"/>
      <c r="Y109" s="259"/>
      <c r="Z109" s="259"/>
      <c r="AA109" s="259"/>
      <c r="AB109" s="259"/>
      <c r="AC109" s="259"/>
      <c r="AD109" s="259"/>
      <c r="AE109" s="259"/>
      <c r="AF109" s="259"/>
      <c r="AG109" s="259"/>
      <c r="AH109" s="259"/>
      <c r="AI109" s="259"/>
      <c r="AJ109" s="259"/>
      <c r="AK109" s="259"/>
      <c r="AL109" s="259"/>
      <c r="AM109" s="259"/>
      <c r="AN109" s="259"/>
      <c r="AO109" s="259"/>
      <c r="AP109" s="259"/>
      <c r="AQ109" s="259"/>
      <c r="AR109" s="259"/>
      <c r="AS109" s="259"/>
      <c r="AT109" s="259"/>
      <c r="AU109" s="259"/>
      <c r="AV109" s="259"/>
      <c r="AW109" s="259"/>
      <c r="AX109" s="259"/>
      <c r="AY109" s="259"/>
      <c r="AZ109" s="259"/>
      <c r="BA109" s="259"/>
      <c r="BB109" s="259"/>
      <c r="BC109" s="259"/>
      <c r="BD109" s="259"/>
      <c r="BE109" s="259"/>
      <c r="BF109" s="259"/>
      <c r="BG109" s="259"/>
      <c r="BH109" s="259"/>
      <c r="BI109" s="259"/>
      <c r="BJ109" s="259"/>
      <c r="BK109" s="259"/>
      <c r="BL109" s="371"/>
      <c r="BM109" s="378"/>
      <c r="BN109" s="379"/>
      <c r="BO109" s="379"/>
      <c r="BP109" s="379"/>
      <c r="BQ109" s="379"/>
      <c r="BR109" s="379"/>
      <c r="BS109" s="380"/>
      <c r="BT109" s="380"/>
      <c r="BU109" s="381"/>
    </row>
    <row r="110" spans="7:73" ht="14.4">
      <c r="G110" s="370"/>
      <c r="H110" s="259"/>
      <c r="I110" s="259"/>
      <c r="J110" s="259"/>
      <c r="K110" s="259"/>
      <c r="L110" s="259"/>
      <c r="M110" s="259"/>
      <c r="N110" s="259"/>
      <c r="O110" s="259"/>
      <c r="P110" s="259"/>
      <c r="Q110" s="259"/>
      <c r="R110" s="259"/>
      <c r="S110" s="259"/>
      <c r="T110" s="259"/>
      <c r="U110" s="259"/>
      <c r="V110" s="259"/>
      <c r="W110" s="259"/>
      <c r="X110" s="259"/>
      <c r="Y110" s="259"/>
      <c r="Z110" s="259"/>
      <c r="AA110" s="259"/>
      <c r="AB110" s="259"/>
      <c r="AC110" s="259"/>
      <c r="AD110" s="259"/>
      <c r="AE110" s="259"/>
      <c r="AF110" s="259"/>
      <c r="AG110" s="259"/>
      <c r="AH110" s="259"/>
      <c r="AI110" s="259"/>
      <c r="AJ110" s="259"/>
      <c r="AK110" s="259"/>
      <c r="AL110" s="259"/>
      <c r="AM110" s="259"/>
      <c r="AN110" s="259"/>
      <c r="AO110" s="259"/>
      <c r="AP110" s="259"/>
      <c r="AQ110" s="259"/>
      <c r="AR110" s="259"/>
      <c r="AS110" s="259"/>
      <c r="AT110" s="259"/>
      <c r="AU110" s="259"/>
      <c r="AV110" s="259"/>
      <c r="AW110" s="259"/>
      <c r="AX110" s="259"/>
      <c r="AY110" s="259"/>
      <c r="AZ110" s="259"/>
      <c r="BA110" s="259"/>
      <c r="BB110" s="259"/>
      <c r="BC110" s="259"/>
      <c r="BD110" s="259"/>
      <c r="BE110" s="259"/>
      <c r="BF110" s="259"/>
      <c r="BG110" s="259"/>
      <c r="BH110" s="259"/>
      <c r="BI110" s="259"/>
      <c r="BJ110" s="259"/>
      <c r="BK110" s="259"/>
      <c r="BL110" s="371"/>
      <c r="BM110" s="378"/>
      <c r="BN110" s="379"/>
      <c r="BO110" s="379"/>
      <c r="BP110" s="379"/>
      <c r="BQ110" s="379"/>
      <c r="BR110" s="379"/>
      <c r="BS110" s="380"/>
      <c r="BT110" s="380"/>
      <c r="BU110" s="381"/>
    </row>
    <row r="111" spans="7:73" ht="14.4">
      <c r="G111" s="370"/>
      <c r="H111" s="259"/>
      <c r="I111" s="259"/>
      <c r="J111" s="259"/>
      <c r="K111" s="259"/>
      <c r="L111" s="259"/>
      <c r="M111" s="259"/>
      <c r="N111" s="259"/>
      <c r="O111" s="259"/>
      <c r="P111" s="259"/>
      <c r="Q111" s="259"/>
      <c r="R111" s="259"/>
      <c r="S111" s="259"/>
      <c r="T111" s="259"/>
      <c r="U111" s="259"/>
      <c r="V111" s="259"/>
      <c r="W111" s="259"/>
      <c r="X111" s="259"/>
      <c r="Y111" s="259"/>
      <c r="Z111" s="259"/>
      <c r="AA111" s="259"/>
      <c r="AB111" s="259"/>
      <c r="AC111" s="259"/>
      <c r="AD111" s="259"/>
      <c r="AE111" s="259"/>
      <c r="AF111" s="259"/>
      <c r="AG111" s="259"/>
      <c r="AH111" s="259"/>
      <c r="AI111" s="259"/>
      <c r="AJ111" s="259"/>
      <c r="AK111" s="259"/>
      <c r="AL111" s="259"/>
      <c r="AM111" s="259"/>
      <c r="AN111" s="259"/>
      <c r="AO111" s="259"/>
      <c r="AP111" s="259"/>
      <c r="AQ111" s="259"/>
      <c r="AR111" s="259"/>
      <c r="AS111" s="259"/>
      <c r="AT111" s="259"/>
      <c r="AU111" s="259"/>
      <c r="AV111" s="259"/>
      <c r="AW111" s="259"/>
      <c r="AX111" s="259"/>
      <c r="AY111" s="259"/>
      <c r="AZ111" s="259"/>
      <c r="BA111" s="259"/>
      <c r="BB111" s="259"/>
      <c r="BC111" s="259"/>
      <c r="BD111" s="259"/>
      <c r="BE111" s="259"/>
      <c r="BF111" s="259"/>
      <c r="BG111" s="259"/>
      <c r="BH111" s="259"/>
      <c r="BI111" s="259"/>
      <c r="BJ111" s="259"/>
      <c r="BK111" s="259"/>
      <c r="BL111" s="371"/>
      <c r="BM111" s="378"/>
      <c r="BN111" s="379"/>
      <c r="BO111" s="379"/>
      <c r="BP111" s="379"/>
      <c r="BQ111" s="379"/>
      <c r="BR111" s="379"/>
      <c r="BS111" s="380"/>
      <c r="BT111" s="380"/>
      <c r="BU111" s="381"/>
    </row>
    <row r="112" spans="7:73" ht="14.4">
      <c r="G112" s="370"/>
      <c r="H112" s="259"/>
      <c r="I112" s="259"/>
      <c r="J112" s="259"/>
      <c r="K112" s="259"/>
      <c r="L112" s="259"/>
      <c r="M112" s="259"/>
      <c r="N112" s="259"/>
      <c r="O112" s="259"/>
      <c r="P112" s="259"/>
      <c r="Q112" s="259"/>
      <c r="R112" s="259"/>
      <c r="S112" s="259"/>
      <c r="T112" s="259"/>
      <c r="U112" s="259"/>
      <c r="V112" s="259"/>
      <c r="W112" s="259"/>
      <c r="X112" s="259"/>
      <c r="Y112" s="259"/>
      <c r="Z112" s="259"/>
      <c r="AA112" s="259"/>
      <c r="AB112" s="259"/>
      <c r="AC112" s="259"/>
      <c r="AD112" s="259"/>
      <c r="AE112" s="259"/>
      <c r="AF112" s="259"/>
      <c r="AG112" s="259"/>
      <c r="AH112" s="259"/>
      <c r="AI112" s="259"/>
      <c r="AJ112" s="259"/>
      <c r="AK112" s="259"/>
      <c r="AL112" s="259"/>
      <c r="AM112" s="259"/>
      <c r="AN112" s="259"/>
      <c r="AO112" s="259"/>
      <c r="AP112" s="259"/>
      <c r="AQ112" s="259"/>
      <c r="AR112" s="259"/>
      <c r="AS112" s="259"/>
      <c r="AT112" s="259"/>
      <c r="AU112" s="259"/>
      <c r="AV112" s="259"/>
      <c r="AW112" s="259"/>
      <c r="AX112" s="259"/>
      <c r="AY112" s="259"/>
      <c r="AZ112" s="259"/>
      <c r="BA112" s="259"/>
      <c r="BB112" s="259"/>
      <c r="BC112" s="259"/>
      <c r="BD112" s="259"/>
      <c r="BE112" s="259"/>
      <c r="BF112" s="259"/>
      <c r="BG112" s="259"/>
      <c r="BH112" s="259"/>
      <c r="BI112" s="259"/>
      <c r="BJ112" s="259"/>
      <c r="BK112" s="259"/>
      <c r="BL112" s="371"/>
      <c r="BM112" s="378"/>
      <c r="BN112" s="379"/>
      <c r="BO112" s="379"/>
      <c r="BP112" s="379"/>
      <c r="BQ112" s="379"/>
      <c r="BR112" s="379"/>
      <c r="BS112" s="380"/>
      <c r="BT112" s="380"/>
      <c r="BU112" s="381"/>
    </row>
    <row r="113" spans="7:73" ht="14.4">
      <c r="G113" s="370"/>
      <c r="H113" s="259"/>
      <c r="I113" s="259"/>
      <c r="J113" s="259"/>
      <c r="K113" s="259"/>
      <c r="L113" s="259"/>
      <c r="M113" s="259"/>
      <c r="N113" s="259"/>
      <c r="O113" s="259"/>
      <c r="P113" s="259"/>
      <c r="Q113" s="259"/>
      <c r="R113" s="259"/>
      <c r="S113" s="259"/>
      <c r="T113" s="259"/>
      <c r="U113" s="259"/>
      <c r="V113" s="259"/>
      <c r="W113" s="259"/>
      <c r="X113" s="259"/>
      <c r="Y113" s="259"/>
      <c r="Z113" s="259"/>
      <c r="AA113" s="259"/>
      <c r="AB113" s="259"/>
      <c r="AC113" s="259"/>
      <c r="AD113" s="259"/>
      <c r="AE113" s="259"/>
      <c r="AF113" s="259"/>
      <c r="AG113" s="259"/>
      <c r="AH113" s="259"/>
      <c r="AI113" s="259"/>
      <c r="AJ113" s="259"/>
      <c r="AK113" s="259"/>
      <c r="AL113" s="259"/>
      <c r="AM113" s="259"/>
      <c r="AN113" s="259"/>
      <c r="AO113" s="259"/>
      <c r="AP113" s="259"/>
      <c r="AQ113" s="259"/>
      <c r="AR113" s="259"/>
      <c r="AS113" s="259"/>
      <c r="AT113" s="259"/>
      <c r="AU113" s="259"/>
      <c r="AV113" s="259"/>
      <c r="AW113" s="259"/>
      <c r="AX113" s="259"/>
      <c r="AY113" s="259"/>
      <c r="AZ113" s="259"/>
      <c r="BA113" s="259"/>
      <c r="BB113" s="259"/>
      <c r="BC113" s="259"/>
      <c r="BD113" s="259"/>
      <c r="BE113" s="259"/>
      <c r="BF113" s="259"/>
      <c r="BG113" s="259"/>
      <c r="BH113" s="259"/>
      <c r="BI113" s="259"/>
      <c r="BJ113" s="259"/>
      <c r="BK113" s="259"/>
      <c r="BL113" s="371"/>
      <c r="BM113" s="378"/>
      <c r="BN113" s="379"/>
      <c r="BO113" s="379"/>
      <c r="BP113" s="379"/>
      <c r="BQ113" s="379"/>
      <c r="BR113" s="379"/>
      <c r="BS113" s="380"/>
      <c r="BT113" s="380"/>
      <c r="BU113" s="381"/>
    </row>
    <row r="114" spans="7:73" ht="14.4">
      <c r="G114" s="370"/>
      <c r="H114" s="259"/>
      <c r="I114" s="259"/>
      <c r="J114" s="259"/>
      <c r="K114" s="259"/>
      <c r="L114" s="259"/>
      <c r="M114" s="259"/>
      <c r="N114" s="259"/>
      <c r="O114" s="259"/>
      <c r="P114" s="259"/>
      <c r="Q114" s="259"/>
      <c r="R114" s="259"/>
      <c r="S114" s="259"/>
      <c r="T114" s="259"/>
      <c r="U114" s="259"/>
      <c r="V114" s="259"/>
      <c r="W114" s="259"/>
      <c r="X114" s="259"/>
      <c r="Y114" s="259"/>
      <c r="Z114" s="259"/>
      <c r="AA114" s="259"/>
      <c r="AB114" s="259"/>
      <c r="AC114" s="259"/>
      <c r="AD114" s="259"/>
      <c r="AE114" s="259"/>
      <c r="AF114" s="259"/>
      <c r="AG114" s="259"/>
      <c r="AH114" s="259"/>
      <c r="AI114" s="259"/>
      <c r="AJ114" s="259"/>
      <c r="AK114" s="259"/>
      <c r="AL114" s="259"/>
      <c r="AM114" s="259"/>
      <c r="AN114" s="259"/>
      <c r="AO114" s="259"/>
      <c r="AP114" s="259"/>
      <c r="AQ114" s="259"/>
      <c r="AR114" s="259"/>
      <c r="AS114" s="259"/>
      <c r="AT114" s="259"/>
      <c r="AU114" s="259"/>
      <c r="AV114" s="259"/>
      <c r="AW114" s="259"/>
      <c r="AX114" s="259"/>
      <c r="AY114" s="259"/>
      <c r="AZ114" s="259"/>
      <c r="BA114" s="259"/>
      <c r="BB114" s="259"/>
      <c r="BC114" s="259"/>
      <c r="BD114" s="259"/>
      <c r="BE114" s="259"/>
      <c r="BF114" s="259"/>
      <c r="BG114" s="259"/>
      <c r="BH114" s="259"/>
      <c r="BI114" s="259"/>
      <c r="BJ114" s="259"/>
      <c r="BK114" s="259"/>
      <c r="BL114" s="371"/>
      <c r="BM114" s="378"/>
      <c r="BN114" s="379"/>
      <c r="BO114" s="379"/>
      <c r="BP114" s="379"/>
      <c r="BQ114" s="379"/>
      <c r="BR114" s="379"/>
      <c r="BS114" s="380"/>
      <c r="BT114" s="380"/>
      <c r="BU114" s="381"/>
    </row>
    <row r="115" spans="7:73" ht="14.4">
      <c r="G115" s="370"/>
      <c r="H115" s="259"/>
      <c r="I115" s="259"/>
      <c r="J115" s="259"/>
      <c r="K115" s="259"/>
      <c r="L115" s="259"/>
      <c r="M115" s="259"/>
      <c r="N115" s="259"/>
      <c r="O115" s="259"/>
      <c r="P115" s="259"/>
      <c r="Q115" s="259"/>
      <c r="R115" s="259"/>
      <c r="S115" s="259"/>
      <c r="T115" s="259"/>
      <c r="U115" s="259"/>
      <c r="V115" s="259"/>
      <c r="W115" s="259"/>
      <c r="X115" s="259"/>
      <c r="Y115" s="259"/>
      <c r="Z115" s="259"/>
      <c r="AA115" s="259"/>
      <c r="AB115" s="259"/>
      <c r="AC115" s="259"/>
      <c r="AD115" s="259"/>
      <c r="AE115" s="259"/>
      <c r="AF115" s="259"/>
      <c r="AG115" s="259"/>
      <c r="AH115" s="259"/>
      <c r="AI115" s="259"/>
      <c r="AJ115" s="259"/>
      <c r="AK115" s="259"/>
      <c r="AL115" s="259"/>
      <c r="AM115" s="259"/>
      <c r="AN115" s="259"/>
      <c r="AO115" s="259"/>
      <c r="AP115" s="259"/>
      <c r="AQ115" s="259"/>
      <c r="AR115" s="259"/>
      <c r="AS115" s="259"/>
      <c r="AT115" s="259"/>
      <c r="AU115" s="259"/>
      <c r="AV115" s="259"/>
      <c r="AW115" s="259"/>
      <c r="AX115" s="259"/>
      <c r="AY115" s="259"/>
      <c r="AZ115" s="259"/>
      <c r="BA115" s="259"/>
      <c r="BB115" s="259"/>
      <c r="BC115" s="259"/>
      <c r="BD115" s="259"/>
      <c r="BE115" s="259"/>
      <c r="BF115" s="259"/>
      <c r="BG115" s="259"/>
      <c r="BH115" s="259"/>
      <c r="BI115" s="259"/>
      <c r="BJ115" s="259"/>
      <c r="BK115" s="259"/>
      <c r="BL115" s="371"/>
      <c r="BM115" s="378"/>
      <c r="BN115" s="379"/>
      <c r="BO115" s="379"/>
      <c r="BP115" s="379"/>
      <c r="BQ115" s="379"/>
      <c r="BR115" s="379"/>
      <c r="BS115" s="380"/>
      <c r="BT115" s="380"/>
      <c r="BU115" s="381"/>
    </row>
    <row r="116" spans="7:73" ht="14.4">
      <c r="G116" s="370"/>
      <c r="H116" s="259"/>
      <c r="I116" s="259"/>
      <c r="J116" s="259"/>
      <c r="K116" s="259"/>
      <c r="L116" s="259"/>
      <c r="M116" s="259"/>
      <c r="N116" s="259"/>
      <c r="O116" s="259"/>
      <c r="P116" s="259"/>
      <c r="Q116" s="259"/>
      <c r="R116" s="259"/>
      <c r="S116" s="259"/>
      <c r="T116" s="259"/>
      <c r="U116" s="259"/>
      <c r="V116" s="259"/>
      <c r="W116" s="259"/>
      <c r="X116" s="259"/>
      <c r="Y116" s="259"/>
      <c r="Z116" s="259"/>
      <c r="AA116" s="259"/>
      <c r="AB116" s="259"/>
      <c r="AC116" s="259"/>
      <c r="AD116" s="259"/>
      <c r="AE116" s="259"/>
      <c r="AF116" s="259"/>
      <c r="AG116" s="259"/>
      <c r="AH116" s="259"/>
      <c r="AI116" s="259"/>
      <c r="AJ116" s="259"/>
      <c r="AK116" s="259"/>
      <c r="AL116" s="259"/>
      <c r="AM116" s="259"/>
      <c r="AN116" s="259"/>
      <c r="AO116" s="259"/>
      <c r="AP116" s="259"/>
      <c r="AQ116" s="259"/>
      <c r="AR116" s="259"/>
      <c r="AS116" s="259"/>
      <c r="AT116" s="259"/>
      <c r="AU116" s="259"/>
      <c r="AV116" s="259"/>
      <c r="AW116" s="259"/>
      <c r="AX116" s="259"/>
      <c r="AY116" s="259"/>
      <c r="AZ116" s="259"/>
      <c r="BA116" s="259"/>
      <c r="BB116" s="259"/>
      <c r="BC116" s="259"/>
      <c r="BD116" s="259"/>
      <c r="BE116" s="259"/>
      <c r="BF116" s="259"/>
      <c r="BG116" s="259"/>
      <c r="BH116" s="259"/>
      <c r="BI116" s="259"/>
      <c r="BJ116" s="259"/>
      <c r="BK116" s="259"/>
      <c r="BL116" s="371"/>
      <c r="BM116" s="378"/>
      <c r="BN116" s="379"/>
      <c r="BO116" s="379"/>
      <c r="BP116" s="379"/>
      <c r="BQ116" s="379"/>
      <c r="BR116" s="379"/>
      <c r="BS116" s="380"/>
      <c r="BT116" s="380"/>
      <c r="BU116" s="381"/>
    </row>
    <row r="117" spans="7:73" ht="14.4">
      <c r="G117" s="370"/>
      <c r="H117" s="259"/>
      <c r="I117" s="259"/>
      <c r="J117" s="259"/>
      <c r="K117" s="259"/>
      <c r="L117" s="259"/>
      <c r="M117" s="259"/>
      <c r="N117" s="259"/>
      <c r="O117" s="259"/>
      <c r="P117" s="259"/>
      <c r="Q117" s="259"/>
      <c r="R117" s="259"/>
      <c r="S117" s="259"/>
      <c r="T117" s="259"/>
      <c r="U117" s="259"/>
      <c r="V117" s="259"/>
      <c r="W117" s="259"/>
      <c r="X117" s="259"/>
      <c r="Y117" s="259"/>
      <c r="Z117" s="259"/>
      <c r="AA117" s="259"/>
      <c r="AB117" s="259"/>
      <c r="AC117" s="259"/>
      <c r="AD117" s="259"/>
      <c r="AE117" s="259"/>
      <c r="AF117" s="259"/>
      <c r="AG117" s="259"/>
      <c r="AH117" s="259"/>
      <c r="AI117" s="259"/>
      <c r="AJ117" s="259"/>
      <c r="AK117" s="259"/>
      <c r="AL117" s="259"/>
      <c r="AM117" s="259"/>
      <c r="AN117" s="259"/>
      <c r="AO117" s="259"/>
      <c r="AP117" s="259"/>
      <c r="AQ117" s="259"/>
      <c r="AR117" s="259"/>
      <c r="AS117" s="259"/>
      <c r="AT117" s="259"/>
      <c r="AU117" s="259"/>
      <c r="AV117" s="259"/>
      <c r="AW117" s="259"/>
      <c r="AX117" s="259"/>
      <c r="AY117" s="259"/>
      <c r="AZ117" s="259"/>
      <c r="BA117" s="259"/>
      <c r="BB117" s="259"/>
      <c r="BC117" s="259"/>
      <c r="BD117" s="259"/>
      <c r="BE117" s="259"/>
      <c r="BF117" s="259"/>
      <c r="BG117" s="259"/>
      <c r="BH117" s="259"/>
      <c r="BI117" s="259"/>
      <c r="BJ117" s="259"/>
      <c r="BK117" s="259"/>
      <c r="BL117" s="371"/>
      <c r="BM117" s="378"/>
      <c r="BN117" s="379"/>
      <c r="BO117" s="379"/>
      <c r="BP117" s="379"/>
      <c r="BQ117" s="379"/>
      <c r="BR117" s="379"/>
      <c r="BS117" s="380"/>
      <c r="BT117" s="380"/>
      <c r="BU117" s="381"/>
    </row>
    <row r="118" spans="7:73" ht="14.4">
      <c r="G118" s="370"/>
      <c r="H118" s="259"/>
      <c r="I118" s="259"/>
      <c r="J118" s="259"/>
      <c r="K118" s="259"/>
      <c r="L118" s="259"/>
      <c r="M118" s="259"/>
      <c r="N118" s="259"/>
      <c r="O118" s="259"/>
      <c r="P118" s="259"/>
      <c r="Q118" s="259"/>
      <c r="R118" s="259"/>
      <c r="S118" s="259"/>
      <c r="T118" s="259"/>
      <c r="U118" s="259"/>
      <c r="V118" s="259"/>
      <c r="W118" s="259"/>
      <c r="X118" s="259"/>
      <c r="Y118" s="259"/>
      <c r="Z118" s="259"/>
      <c r="AA118" s="259"/>
      <c r="AB118" s="259"/>
      <c r="AC118" s="259"/>
      <c r="AD118" s="259"/>
      <c r="AE118" s="259"/>
      <c r="AF118" s="259"/>
      <c r="AG118" s="259"/>
      <c r="AH118" s="259"/>
      <c r="AI118" s="259"/>
      <c r="AJ118" s="259"/>
      <c r="AK118" s="259"/>
      <c r="AL118" s="259"/>
      <c r="AM118" s="259"/>
      <c r="AN118" s="259"/>
      <c r="AO118" s="259"/>
      <c r="AP118" s="259"/>
      <c r="AQ118" s="259"/>
      <c r="AR118" s="259"/>
      <c r="AS118" s="259"/>
      <c r="AT118" s="259"/>
      <c r="AU118" s="259"/>
      <c r="AV118" s="259"/>
      <c r="AW118" s="259"/>
      <c r="AX118" s="259"/>
      <c r="AY118" s="259"/>
      <c r="AZ118" s="259"/>
      <c r="BA118" s="259"/>
      <c r="BB118" s="259"/>
      <c r="BC118" s="259"/>
      <c r="BD118" s="259"/>
      <c r="BE118" s="259"/>
      <c r="BF118" s="259"/>
      <c r="BG118" s="259"/>
      <c r="BH118" s="259"/>
      <c r="BI118" s="259"/>
      <c r="BJ118" s="259"/>
      <c r="BK118" s="259"/>
      <c r="BL118" s="371"/>
      <c r="BM118" s="378"/>
      <c r="BN118" s="379"/>
      <c r="BO118" s="379"/>
      <c r="BP118" s="379"/>
      <c r="BQ118" s="379"/>
      <c r="BR118" s="379"/>
      <c r="BS118" s="380"/>
      <c r="BT118" s="380"/>
      <c r="BU118" s="381"/>
    </row>
    <row r="119" spans="7:73" ht="14.4">
      <c r="G119" s="370"/>
      <c r="H119" s="259"/>
      <c r="I119" s="259"/>
      <c r="J119" s="259"/>
      <c r="K119" s="259"/>
      <c r="L119" s="259"/>
      <c r="M119" s="259"/>
      <c r="N119" s="259"/>
      <c r="O119" s="259"/>
      <c r="P119" s="259"/>
      <c r="Q119" s="259"/>
      <c r="R119" s="259"/>
      <c r="S119" s="259"/>
      <c r="T119" s="259"/>
      <c r="U119" s="259"/>
      <c r="V119" s="259"/>
      <c r="W119" s="259"/>
      <c r="X119" s="259"/>
      <c r="Y119" s="259"/>
      <c r="Z119" s="259"/>
      <c r="AA119" s="259"/>
      <c r="AB119" s="259"/>
      <c r="AC119" s="259"/>
      <c r="AD119" s="259"/>
      <c r="AE119" s="259"/>
      <c r="AF119" s="259"/>
      <c r="AG119" s="259"/>
      <c r="AH119" s="259"/>
      <c r="AI119" s="259"/>
      <c r="AJ119" s="259"/>
      <c r="AK119" s="259"/>
      <c r="AL119" s="259"/>
      <c r="AM119" s="259"/>
      <c r="AN119" s="259"/>
      <c r="AO119" s="259"/>
      <c r="AP119" s="259"/>
      <c r="AQ119" s="259"/>
      <c r="AR119" s="259"/>
      <c r="AS119" s="259"/>
      <c r="AT119" s="259"/>
      <c r="AU119" s="259"/>
      <c r="AV119" s="259"/>
      <c r="AW119" s="259"/>
      <c r="AX119" s="259"/>
      <c r="AY119" s="259"/>
      <c r="AZ119" s="259"/>
      <c r="BA119" s="259"/>
      <c r="BB119" s="259"/>
      <c r="BC119" s="259"/>
      <c r="BD119" s="259"/>
      <c r="BE119" s="259"/>
      <c r="BF119" s="259"/>
      <c r="BG119" s="259"/>
      <c r="BH119" s="259"/>
      <c r="BI119" s="259"/>
      <c r="BJ119" s="259"/>
      <c r="BK119" s="259"/>
      <c r="BL119" s="371"/>
      <c r="BM119" s="378"/>
      <c r="BN119" s="379"/>
      <c r="BO119" s="379"/>
      <c r="BP119" s="379"/>
      <c r="BQ119" s="379"/>
      <c r="BR119" s="379"/>
      <c r="BS119" s="380"/>
      <c r="BT119" s="380"/>
      <c r="BU119" s="381"/>
    </row>
    <row r="120" spans="7:73" ht="14.4">
      <c r="G120" s="370"/>
      <c r="H120" s="259"/>
      <c r="I120" s="259"/>
      <c r="J120" s="259"/>
      <c r="K120" s="259"/>
      <c r="L120" s="259"/>
      <c r="M120" s="259"/>
      <c r="N120" s="259"/>
      <c r="O120" s="259"/>
      <c r="P120" s="259"/>
      <c r="Q120" s="259"/>
      <c r="R120" s="259"/>
      <c r="S120" s="259"/>
      <c r="T120" s="259"/>
      <c r="U120" s="259"/>
      <c r="V120" s="259"/>
      <c r="W120" s="259"/>
      <c r="X120" s="259"/>
      <c r="Y120" s="259"/>
      <c r="Z120" s="259"/>
      <c r="AA120" s="259"/>
      <c r="AB120" s="259"/>
      <c r="AC120" s="259"/>
      <c r="AD120" s="259"/>
      <c r="AE120" s="259"/>
      <c r="AF120" s="259"/>
      <c r="AG120" s="259"/>
      <c r="AH120" s="259"/>
      <c r="AI120" s="259"/>
      <c r="AJ120" s="259"/>
      <c r="AK120" s="259"/>
      <c r="AL120" s="259"/>
      <c r="AM120" s="259"/>
      <c r="AN120" s="259"/>
      <c r="AO120" s="259"/>
      <c r="AP120" s="259"/>
      <c r="AQ120" s="259"/>
      <c r="AR120" s="259"/>
      <c r="AS120" s="259"/>
      <c r="AT120" s="259"/>
      <c r="AU120" s="259"/>
      <c r="AV120" s="259"/>
      <c r="AW120" s="259"/>
      <c r="AX120" s="259"/>
      <c r="AY120" s="259"/>
      <c r="AZ120" s="259"/>
      <c r="BA120" s="259"/>
      <c r="BB120" s="259"/>
      <c r="BC120" s="259"/>
      <c r="BD120" s="259"/>
      <c r="BE120" s="259"/>
      <c r="BF120" s="259"/>
      <c r="BG120" s="259"/>
      <c r="BH120" s="259"/>
      <c r="BI120" s="259"/>
      <c r="BJ120" s="259"/>
      <c r="BK120" s="259"/>
      <c r="BL120" s="371"/>
      <c r="BM120" s="378"/>
      <c r="BN120" s="379"/>
      <c r="BO120" s="379"/>
      <c r="BP120" s="379"/>
      <c r="BQ120" s="379"/>
      <c r="BR120" s="379"/>
      <c r="BS120" s="380"/>
      <c r="BT120" s="380"/>
      <c r="BU120" s="381"/>
    </row>
    <row r="121" spans="7:73" ht="14.4">
      <c r="G121" s="370"/>
      <c r="H121" s="259"/>
      <c r="I121" s="259"/>
      <c r="J121" s="259"/>
      <c r="K121" s="259"/>
      <c r="L121" s="259"/>
      <c r="M121" s="259"/>
      <c r="N121" s="259"/>
      <c r="O121" s="259"/>
      <c r="P121" s="259"/>
      <c r="Q121" s="259"/>
      <c r="R121" s="259"/>
      <c r="S121" s="259"/>
      <c r="T121" s="259"/>
      <c r="U121" s="259"/>
      <c r="V121" s="259"/>
      <c r="W121" s="259"/>
      <c r="X121" s="259"/>
      <c r="Y121" s="259"/>
      <c r="Z121" s="259"/>
      <c r="AA121" s="259"/>
      <c r="AB121" s="259"/>
      <c r="AC121" s="259"/>
      <c r="AD121" s="259"/>
      <c r="AE121" s="259"/>
      <c r="AF121" s="259"/>
      <c r="AG121" s="259"/>
      <c r="AH121" s="259"/>
      <c r="AI121" s="259"/>
      <c r="AJ121" s="259"/>
      <c r="AK121" s="259"/>
      <c r="AL121" s="259"/>
      <c r="AM121" s="259"/>
      <c r="AN121" s="259"/>
      <c r="AO121" s="259"/>
      <c r="AP121" s="259"/>
      <c r="AQ121" s="259"/>
      <c r="AR121" s="259"/>
      <c r="AS121" s="259"/>
      <c r="AT121" s="259"/>
      <c r="AU121" s="259"/>
      <c r="AV121" s="259"/>
      <c r="AW121" s="259"/>
      <c r="AX121" s="259"/>
      <c r="AY121" s="259"/>
      <c r="AZ121" s="259"/>
      <c r="BA121" s="259"/>
      <c r="BB121" s="259"/>
      <c r="BC121" s="259"/>
      <c r="BD121" s="259"/>
      <c r="BE121" s="259"/>
      <c r="BF121" s="259"/>
      <c r="BG121" s="259"/>
      <c r="BH121" s="259"/>
      <c r="BI121" s="259"/>
      <c r="BJ121" s="259"/>
      <c r="BK121" s="259"/>
      <c r="BL121" s="371"/>
      <c r="BM121" s="378"/>
      <c r="BN121" s="379"/>
      <c r="BO121" s="379"/>
      <c r="BP121" s="379"/>
      <c r="BQ121" s="379"/>
      <c r="BR121" s="379"/>
      <c r="BS121" s="380"/>
      <c r="BT121" s="380"/>
      <c r="BU121" s="381"/>
    </row>
    <row r="122" spans="7:73" ht="14.4">
      <c r="G122" s="370"/>
      <c r="H122" s="259"/>
      <c r="I122" s="259"/>
      <c r="J122" s="259"/>
      <c r="K122" s="259"/>
      <c r="L122" s="259"/>
      <c r="M122" s="259"/>
      <c r="N122" s="259"/>
      <c r="O122" s="259"/>
      <c r="P122" s="259"/>
      <c r="Q122" s="259"/>
      <c r="R122" s="259"/>
      <c r="S122" s="259"/>
      <c r="T122" s="259"/>
      <c r="U122" s="259"/>
      <c r="V122" s="259"/>
      <c r="W122" s="259"/>
      <c r="X122" s="259"/>
      <c r="Y122" s="259"/>
      <c r="Z122" s="259"/>
      <c r="AA122" s="259"/>
      <c r="AB122" s="259"/>
      <c r="AC122" s="259"/>
      <c r="AD122" s="259"/>
      <c r="AE122" s="259"/>
      <c r="AF122" s="259"/>
      <c r="AG122" s="259"/>
      <c r="AH122" s="259"/>
      <c r="AI122" s="259"/>
      <c r="AJ122" s="259"/>
      <c r="AK122" s="259"/>
      <c r="AL122" s="259"/>
      <c r="AM122" s="259"/>
      <c r="AN122" s="259"/>
      <c r="AO122" s="259"/>
      <c r="AP122" s="259"/>
      <c r="AQ122" s="259"/>
      <c r="AR122" s="259"/>
      <c r="AS122" s="259"/>
      <c r="AT122" s="259"/>
      <c r="AU122" s="259"/>
      <c r="AV122" s="259"/>
      <c r="AW122" s="259"/>
      <c r="AX122" s="259"/>
      <c r="AY122" s="259"/>
      <c r="AZ122" s="259"/>
      <c r="BA122" s="259"/>
      <c r="BB122" s="259"/>
      <c r="BC122" s="259"/>
      <c r="BD122" s="259"/>
      <c r="BE122" s="259"/>
      <c r="BF122" s="259"/>
      <c r="BG122" s="259"/>
      <c r="BH122" s="259"/>
      <c r="BI122" s="259"/>
      <c r="BJ122" s="259"/>
      <c r="BK122" s="259"/>
      <c r="BL122" s="371"/>
      <c r="BM122" s="378"/>
      <c r="BN122" s="379"/>
      <c r="BO122" s="379"/>
      <c r="BP122" s="379"/>
      <c r="BQ122" s="379"/>
      <c r="BR122" s="379"/>
      <c r="BS122" s="380"/>
      <c r="BT122" s="380"/>
      <c r="BU122" s="381"/>
    </row>
    <row r="123" spans="7:73" ht="14.4">
      <c r="G123" s="370"/>
      <c r="H123" s="259"/>
      <c r="I123" s="259"/>
      <c r="J123" s="259"/>
      <c r="K123" s="259"/>
      <c r="L123" s="259"/>
      <c r="M123" s="259"/>
      <c r="N123" s="259"/>
      <c r="O123" s="259"/>
      <c r="P123" s="259"/>
      <c r="Q123" s="259"/>
      <c r="R123" s="259"/>
      <c r="S123" s="259"/>
      <c r="T123" s="259"/>
      <c r="U123" s="259"/>
      <c r="V123" s="259"/>
      <c r="W123" s="259"/>
      <c r="X123" s="259"/>
      <c r="Y123" s="259"/>
      <c r="Z123" s="259"/>
      <c r="AA123" s="259"/>
      <c r="AB123" s="259"/>
      <c r="AC123" s="259"/>
      <c r="AD123" s="259"/>
      <c r="AE123" s="259"/>
      <c r="AF123" s="259"/>
      <c r="AG123" s="259"/>
      <c r="AH123" s="259"/>
      <c r="AI123" s="259"/>
      <c r="AJ123" s="259"/>
      <c r="AK123" s="259"/>
      <c r="AL123" s="259"/>
      <c r="AM123" s="259"/>
      <c r="AN123" s="259"/>
      <c r="AO123" s="259"/>
      <c r="AP123" s="259"/>
      <c r="AQ123" s="259"/>
      <c r="AR123" s="259"/>
      <c r="AS123" s="259"/>
      <c r="AT123" s="259"/>
      <c r="AU123" s="259"/>
      <c r="AV123" s="259"/>
      <c r="AW123" s="259"/>
      <c r="AX123" s="259"/>
      <c r="AY123" s="259"/>
      <c r="AZ123" s="259"/>
      <c r="BA123" s="259"/>
      <c r="BB123" s="259"/>
      <c r="BC123" s="259"/>
      <c r="BD123" s="259"/>
      <c r="BE123" s="259"/>
      <c r="BF123" s="259"/>
      <c r="BG123" s="259"/>
      <c r="BH123" s="259"/>
      <c r="BI123" s="259"/>
      <c r="BJ123" s="259"/>
      <c r="BK123" s="259"/>
      <c r="BL123" s="371"/>
      <c r="BM123" s="378"/>
      <c r="BN123" s="379"/>
      <c r="BO123" s="379"/>
      <c r="BP123" s="379"/>
      <c r="BQ123" s="379"/>
      <c r="BR123" s="379"/>
      <c r="BS123" s="380"/>
      <c r="BT123" s="380"/>
      <c r="BU123" s="381"/>
    </row>
    <row r="124" spans="7:73" ht="14.4">
      <c r="G124" s="370"/>
      <c r="H124" s="259"/>
      <c r="I124" s="259"/>
      <c r="J124" s="259"/>
      <c r="K124" s="259"/>
      <c r="L124" s="259"/>
      <c r="M124" s="259"/>
      <c r="N124" s="259"/>
      <c r="O124" s="259"/>
      <c r="P124" s="259"/>
      <c r="Q124" s="259"/>
      <c r="R124" s="259"/>
      <c r="S124" s="259"/>
      <c r="T124" s="259"/>
      <c r="U124" s="259"/>
      <c r="V124" s="259"/>
      <c r="W124" s="259"/>
      <c r="X124" s="259"/>
      <c r="Y124" s="259"/>
      <c r="Z124" s="259"/>
      <c r="AA124" s="259"/>
      <c r="AB124" s="259"/>
      <c r="AC124" s="259"/>
      <c r="AD124" s="259"/>
      <c r="AE124" s="259"/>
      <c r="AF124" s="259"/>
      <c r="AG124" s="259"/>
      <c r="AH124" s="259"/>
      <c r="AI124" s="259"/>
      <c r="AJ124" s="259"/>
      <c r="AK124" s="259"/>
      <c r="AL124" s="259"/>
      <c r="AM124" s="259"/>
      <c r="AN124" s="259"/>
      <c r="AO124" s="259"/>
      <c r="AP124" s="259"/>
      <c r="AQ124" s="259"/>
      <c r="AR124" s="259"/>
      <c r="AS124" s="259"/>
      <c r="AT124" s="259"/>
      <c r="AU124" s="259"/>
      <c r="AV124" s="259"/>
      <c r="AW124" s="259"/>
      <c r="AX124" s="259"/>
      <c r="AY124" s="259"/>
      <c r="AZ124" s="259"/>
      <c r="BA124" s="259"/>
      <c r="BB124" s="259"/>
      <c r="BC124" s="259"/>
      <c r="BD124" s="259"/>
      <c r="BE124" s="259"/>
      <c r="BF124" s="259"/>
      <c r="BG124" s="259"/>
      <c r="BH124" s="259"/>
      <c r="BI124" s="259"/>
      <c r="BJ124" s="259"/>
      <c r="BK124" s="259"/>
      <c r="BL124" s="371"/>
      <c r="BM124" s="378"/>
      <c r="BN124" s="379"/>
      <c r="BO124" s="379"/>
      <c r="BP124" s="379"/>
      <c r="BQ124" s="379"/>
      <c r="BR124" s="379"/>
      <c r="BS124" s="380"/>
      <c r="BT124" s="380"/>
      <c r="BU124" s="381"/>
    </row>
    <row r="125" spans="7:73" ht="14.4">
      <c r="G125" s="370"/>
      <c r="H125" s="259"/>
      <c r="I125" s="259"/>
      <c r="J125" s="259"/>
      <c r="K125" s="259"/>
      <c r="L125" s="259"/>
      <c r="M125" s="259"/>
      <c r="N125" s="259"/>
      <c r="O125" s="259"/>
      <c r="P125" s="259"/>
      <c r="Q125" s="259"/>
      <c r="R125" s="259"/>
      <c r="S125" s="259"/>
      <c r="T125" s="259"/>
      <c r="U125" s="259"/>
      <c r="V125" s="259"/>
      <c r="W125" s="259"/>
      <c r="X125" s="259"/>
      <c r="Y125" s="259"/>
      <c r="Z125" s="259"/>
      <c r="AA125" s="259"/>
      <c r="AB125" s="259"/>
      <c r="AC125" s="259"/>
      <c r="AD125" s="259"/>
      <c r="AE125" s="259"/>
      <c r="AF125" s="259"/>
      <c r="AG125" s="259"/>
      <c r="AH125" s="259"/>
      <c r="AI125" s="259"/>
      <c r="AJ125" s="259"/>
      <c r="AK125" s="259"/>
      <c r="AL125" s="259"/>
      <c r="AM125" s="259"/>
      <c r="AN125" s="259"/>
      <c r="AO125" s="259"/>
      <c r="AP125" s="259"/>
      <c r="AQ125" s="259"/>
      <c r="AR125" s="259"/>
      <c r="AS125" s="259"/>
      <c r="AT125" s="259"/>
      <c r="AU125" s="259"/>
      <c r="AV125" s="259"/>
      <c r="AW125" s="259"/>
      <c r="AX125" s="259"/>
      <c r="AY125" s="259"/>
      <c r="AZ125" s="259"/>
      <c r="BA125" s="259"/>
      <c r="BB125" s="259"/>
      <c r="BC125" s="259"/>
      <c r="BD125" s="259"/>
      <c r="BE125" s="259"/>
      <c r="BF125" s="259"/>
      <c r="BG125" s="259"/>
      <c r="BH125" s="259"/>
      <c r="BI125" s="259"/>
      <c r="BJ125" s="259"/>
      <c r="BK125" s="259"/>
      <c r="BL125" s="371"/>
      <c r="BM125" s="378"/>
      <c r="BN125" s="379"/>
      <c r="BO125" s="379"/>
      <c r="BP125" s="379"/>
      <c r="BQ125" s="379"/>
      <c r="BR125" s="379"/>
      <c r="BS125" s="380"/>
      <c r="BT125" s="380"/>
      <c r="BU125" s="381"/>
    </row>
    <row r="126" spans="7:73" ht="14.4">
      <c r="G126" s="370"/>
      <c r="H126" s="259"/>
      <c r="I126" s="259"/>
      <c r="J126" s="259"/>
      <c r="K126" s="259"/>
      <c r="L126" s="259"/>
      <c r="M126" s="259"/>
      <c r="N126" s="259"/>
      <c r="O126" s="259"/>
      <c r="P126" s="259"/>
      <c r="Q126" s="259"/>
      <c r="R126" s="259"/>
      <c r="S126" s="259"/>
      <c r="T126" s="259"/>
      <c r="U126" s="259"/>
      <c r="V126" s="259"/>
      <c r="W126" s="259"/>
      <c r="X126" s="259"/>
      <c r="Y126" s="259"/>
      <c r="Z126" s="259"/>
      <c r="AA126" s="259"/>
      <c r="AB126" s="259"/>
      <c r="AC126" s="259"/>
      <c r="AD126" s="259"/>
      <c r="AE126" s="259"/>
      <c r="AF126" s="259"/>
      <c r="AG126" s="259"/>
      <c r="AH126" s="259"/>
      <c r="AI126" s="259"/>
      <c r="AJ126" s="259"/>
      <c r="AK126" s="259"/>
      <c r="AL126" s="259"/>
      <c r="AM126" s="259"/>
      <c r="AN126" s="259"/>
      <c r="AO126" s="259"/>
      <c r="AP126" s="259"/>
      <c r="AQ126" s="259"/>
      <c r="AR126" s="259"/>
      <c r="AS126" s="259"/>
      <c r="AT126" s="259"/>
      <c r="AU126" s="259"/>
      <c r="AV126" s="259"/>
      <c r="AW126" s="259"/>
      <c r="AX126" s="259"/>
      <c r="AY126" s="259"/>
      <c r="AZ126" s="259"/>
      <c r="BA126" s="259"/>
      <c r="BB126" s="259"/>
      <c r="BC126" s="259"/>
      <c r="BD126" s="259"/>
      <c r="BE126" s="259"/>
      <c r="BF126" s="259"/>
      <c r="BG126" s="259"/>
      <c r="BH126" s="259"/>
      <c r="BI126" s="259"/>
      <c r="BJ126" s="259"/>
      <c r="BK126" s="259"/>
      <c r="BL126" s="371"/>
      <c r="BM126" s="378"/>
      <c r="BN126" s="379"/>
      <c r="BO126" s="379"/>
      <c r="BP126" s="379"/>
      <c r="BQ126" s="379"/>
      <c r="BR126" s="379"/>
      <c r="BS126" s="380"/>
      <c r="BT126" s="380"/>
      <c r="BU126" s="381"/>
    </row>
    <row r="127" spans="7:73" ht="14.4">
      <c r="G127" s="370"/>
      <c r="H127" s="259"/>
      <c r="I127" s="259"/>
      <c r="J127" s="259"/>
      <c r="K127" s="259"/>
      <c r="L127" s="259"/>
      <c r="M127" s="259"/>
      <c r="N127" s="259"/>
      <c r="O127" s="259"/>
      <c r="P127" s="259"/>
      <c r="Q127" s="259"/>
      <c r="R127" s="259"/>
      <c r="S127" s="259"/>
      <c r="T127" s="259"/>
      <c r="U127" s="259"/>
      <c r="V127" s="259"/>
      <c r="W127" s="259"/>
      <c r="X127" s="259"/>
      <c r="Y127" s="259"/>
      <c r="Z127" s="259"/>
      <c r="AA127" s="259"/>
      <c r="AB127" s="259"/>
      <c r="AC127" s="259"/>
      <c r="AD127" s="259"/>
      <c r="AE127" s="259"/>
      <c r="AF127" s="259"/>
      <c r="AG127" s="259"/>
      <c r="AH127" s="259"/>
      <c r="AI127" s="259"/>
      <c r="AJ127" s="259"/>
      <c r="AK127" s="259"/>
      <c r="AL127" s="259"/>
      <c r="AM127" s="259"/>
      <c r="AN127" s="259"/>
      <c r="AO127" s="259"/>
      <c r="AP127" s="259"/>
      <c r="AQ127" s="259"/>
      <c r="AR127" s="259"/>
      <c r="AS127" s="259"/>
      <c r="AT127" s="259"/>
      <c r="AU127" s="259"/>
      <c r="AV127" s="259"/>
      <c r="AW127" s="259"/>
      <c r="AX127" s="259"/>
      <c r="AY127" s="259"/>
      <c r="AZ127" s="259"/>
      <c r="BA127" s="259"/>
      <c r="BB127" s="259"/>
      <c r="BC127" s="259"/>
      <c r="BD127" s="259"/>
      <c r="BE127" s="259"/>
      <c r="BF127" s="259"/>
      <c r="BG127" s="259"/>
      <c r="BH127" s="259"/>
      <c r="BI127" s="259"/>
      <c r="BJ127" s="259"/>
      <c r="BK127" s="259"/>
      <c r="BL127" s="371"/>
      <c r="BM127" s="378"/>
      <c r="BN127" s="379"/>
      <c r="BO127" s="379"/>
      <c r="BP127" s="379"/>
      <c r="BQ127" s="379"/>
      <c r="BR127" s="379"/>
      <c r="BS127" s="380"/>
      <c r="BT127" s="380"/>
      <c r="BU127" s="381"/>
    </row>
    <row r="128" spans="7:73" ht="14.4">
      <c r="G128" s="370"/>
      <c r="H128" s="259"/>
      <c r="I128" s="259"/>
      <c r="J128" s="259"/>
      <c r="K128" s="259"/>
      <c r="L128" s="259"/>
      <c r="M128" s="259"/>
      <c r="N128" s="259"/>
      <c r="O128" s="259"/>
      <c r="P128" s="259"/>
      <c r="Q128" s="259"/>
      <c r="R128" s="259"/>
      <c r="S128" s="259"/>
      <c r="T128" s="259"/>
      <c r="U128" s="259"/>
      <c r="V128" s="259"/>
      <c r="W128" s="259"/>
      <c r="X128" s="259"/>
      <c r="Y128" s="259"/>
      <c r="Z128" s="259"/>
      <c r="AA128" s="259"/>
      <c r="AB128" s="259"/>
      <c r="AC128" s="259"/>
      <c r="AD128" s="259"/>
      <c r="AE128" s="259"/>
      <c r="AF128" s="259"/>
      <c r="AG128" s="259"/>
      <c r="AH128" s="259"/>
      <c r="AI128" s="259"/>
      <c r="AJ128" s="259"/>
      <c r="AK128" s="259"/>
      <c r="AL128" s="259"/>
      <c r="AM128" s="259"/>
      <c r="AN128" s="259"/>
      <c r="AO128" s="259"/>
      <c r="AP128" s="259"/>
      <c r="AQ128" s="259"/>
      <c r="AR128" s="259"/>
      <c r="AS128" s="259"/>
      <c r="AT128" s="259"/>
      <c r="AU128" s="259"/>
      <c r="AV128" s="259"/>
      <c r="AW128" s="259"/>
      <c r="AX128" s="259"/>
      <c r="AY128" s="259"/>
      <c r="AZ128" s="259"/>
      <c r="BA128" s="259"/>
      <c r="BB128" s="259"/>
      <c r="BC128" s="259"/>
      <c r="BD128" s="259"/>
      <c r="BE128" s="259"/>
      <c r="BF128" s="259"/>
      <c r="BG128" s="259"/>
      <c r="BH128" s="259"/>
      <c r="BI128" s="259"/>
      <c r="BJ128" s="259"/>
      <c r="BK128" s="259"/>
      <c r="BL128" s="371"/>
      <c r="BM128" s="378"/>
      <c r="BN128" s="379"/>
      <c r="BO128" s="379"/>
      <c r="BP128" s="379"/>
      <c r="BQ128" s="379"/>
      <c r="BR128" s="379"/>
      <c r="BS128" s="380"/>
      <c r="BT128" s="380"/>
      <c r="BU128" s="381"/>
    </row>
    <row r="129" spans="7:73" ht="14.4">
      <c r="G129" s="370"/>
      <c r="H129" s="259"/>
      <c r="I129" s="259"/>
      <c r="J129" s="259"/>
      <c r="K129" s="259"/>
      <c r="L129" s="259"/>
      <c r="M129" s="259"/>
      <c r="N129" s="259"/>
      <c r="O129" s="259"/>
      <c r="P129" s="259"/>
      <c r="Q129" s="259"/>
      <c r="R129" s="259"/>
      <c r="S129" s="259"/>
      <c r="T129" s="259"/>
      <c r="U129" s="259"/>
      <c r="V129" s="259"/>
      <c r="W129" s="259"/>
      <c r="X129" s="259"/>
      <c r="Y129" s="259"/>
      <c r="Z129" s="259"/>
      <c r="AA129" s="259"/>
      <c r="AB129" s="259"/>
      <c r="AC129" s="259"/>
      <c r="AD129" s="259"/>
      <c r="AE129" s="259"/>
      <c r="AF129" s="259"/>
      <c r="AG129" s="259"/>
      <c r="AH129" s="259"/>
      <c r="AI129" s="259"/>
      <c r="AJ129" s="259"/>
      <c r="AK129" s="259"/>
      <c r="AL129" s="259"/>
      <c r="AM129" s="259"/>
      <c r="AN129" s="259"/>
      <c r="AO129" s="259"/>
      <c r="AP129" s="259"/>
      <c r="AQ129" s="259"/>
      <c r="AR129" s="259"/>
      <c r="AS129" s="259"/>
      <c r="AT129" s="259"/>
      <c r="AU129" s="259"/>
      <c r="AV129" s="259"/>
      <c r="AW129" s="259"/>
      <c r="AX129" s="259"/>
      <c r="AY129" s="259"/>
      <c r="AZ129" s="259"/>
      <c r="BA129" s="259"/>
      <c r="BB129" s="259"/>
      <c r="BC129" s="259"/>
      <c r="BD129" s="259"/>
      <c r="BE129" s="259"/>
      <c r="BF129" s="259"/>
      <c r="BG129" s="259"/>
      <c r="BH129" s="259"/>
      <c r="BI129" s="259"/>
      <c r="BJ129" s="259"/>
      <c r="BK129" s="259"/>
      <c r="BL129" s="371"/>
      <c r="BM129" s="378"/>
      <c r="BN129" s="379"/>
      <c r="BO129" s="379"/>
      <c r="BP129" s="379"/>
      <c r="BQ129" s="379"/>
      <c r="BR129" s="379"/>
      <c r="BS129" s="380"/>
      <c r="BT129" s="380"/>
      <c r="BU129" s="381"/>
    </row>
    <row r="130" spans="7:73" ht="14.4">
      <c r="G130" s="370"/>
      <c r="H130" s="259"/>
      <c r="I130" s="259"/>
      <c r="J130" s="259"/>
      <c r="K130" s="259"/>
      <c r="L130" s="259"/>
      <c r="M130" s="259"/>
      <c r="N130" s="259"/>
      <c r="O130" s="259"/>
      <c r="P130" s="259"/>
      <c r="Q130" s="259"/>
      <c r="R130" s="259"/>
      <c r="S130" s="259"/>
      <c r="T130" s="259"/>
      <c r="U130" s="259"/>
      <c r="V130" s="259"/>
      <c r="W130" s="259"/>
      <c r="X130" s="259"/>
      <c r="Y130" s="259"/>
      <c r="Z130" s="259"/>
      <c r="AA130" s="259"/>
      <c r="AB130" s="259"/>
      <c r="AC130" s="259"/>
      <c r="AD130" s="259"/>
      <c r="AE130" s="259"/>
      <c r="AF130" s="259"/>
      <c r="AG130" s="259"/>
      <c r="AH130" s="259"/>
      <c r="AI130" s="259"/>
      <c r="AJ130" s="259"/>
      <c r="AK130" s="259"/>
      <c r="AL130" s="259"/>
      <c r="AM130" s="259"/>
      <c r="AN130" s="259"/>
      <c r="AO130" s="259"/>
      <c r="AP130" s="259"/>
      <c r="AQ130" s="259"/>
      <c r="AR130" s="259"/>
      <c r="AS130" s="259"/>
      <c r="AT130" s="259"/>
      <c r="AU130" s="259"/>
      <c r="AV130" s="259"/>
      <c r="AW130" s="259"/>
      <c r="AX130" s="259"/>
      <c r="AY130" s="259"/>
      <c r="AZ130" s="259"/>
      <c r="BA130" s="259"/>
      <c r="BB130" s="259"/>
      <c r="BC130" s="259"/>
      <c r="BD130" s="259"/>
      <c r="BE130" s="259"/>
      <c r="BF130" s="259"/>
      <c r="BG130" s="259"/>
      <c r="BH130" s="259"/>
      <c r="BI130" s="259"/>
      <c r="BJ130" s="259"/>
      <c r="BK130" s="259"/>
      <c r="BL130" s="371"/>
      <c r="BM130" s="378"/>
      <c r="BN130" s="379"/>
      <c r="BO130" s="379"/>
      <c r="BP130" s="379"/>
      <c r="BQ130" s="379"/>
      <c r="BR130" s="379"/>
      <c r="BS130" s="380"/>
      <c r="BT130" s="380"/>
      <c r="BU130" s="381"/>
    </row>
    <row r="131" spans="7:73" ht="14.4">
      <c r="G131" s="370"/>
      <c r="H131" s="259"/>
      <c r="I131" s="259"/>
      <c r="J131" s="259"/>
      <c r="K131" s="259"/>
      <c r="L131" s="259"/>
      <c r="M131" s="259"/>
      <c r="N131" s="259"/>
      <c r="O131" s="259"/>
      <c r="P131" s="259"/>
      <c r="Q131" s="259"/>
      <c r="R131" s="259"/>
      <c r="S131" s="259"/>
      <c r="T131" s="259"/>
      <c r="U131" s="259"/>
      <c r="V131" s="259"/>
      <c r="W131" s="259"/>
      <c r="X131" s="259"/>
      <c r="Y131" s="259"/>
      <c r="Z131" s="259"/>
      <c r="AA131" s="259"/>
      <c r="AB131" s="259"/>
      <c r="AC131" s="259"/>
      <c r="AD131" s="259"/>
      <c r="AE131" s="259"/>
      <c r="AF131" s="259"/>
      <c r="AG131" s="259"/>
      <c r="AH131" s="259"/>
      <c r="AI131" s="259"/>
      <c r="AJ131" s="259"/>
      <c r="AK131" s="259"/>
      <c r="AL131" s="259"/>
      <c r="AM131" s="259"/>
      <c r="AN131" s="259"/>
      <c r="AO131" s="259"/>
      <c r="AP131" s="259"/>
      <c r="AQ131" s="259"/>
      <c r="AR131" s="259"/>
      <c r="AS131" s="259"/>
      <c r="AT131" s="259"/>
      <c r="AU131" s="259"/>
      <c r="AV131" s="259"/>
      <c r="AW131" s="259"/>
      <c r="AX131" s="259"/>
      <c r="AY131" s="259"/>
      <c r="AZ131" s="259"/>
      <c r="BA131" s="259"/>
      <c r="BB131" s="259"/>
      <c r="BC131" s="259"/>
      <c r="BD131" s="259"/>
      <c r="BE131" s="259"/>
      <c r="BF131" s="259"/>
      <c r="BG131" s="259"/>
      <c r="BH131" s="259"/>
      <c r="BI131" s="259"/>
      <c r="BJ131" s="259"/>
      <c r="BK131" s="259"/>
      <c r="BL131" s="371"/>
      <c r="BM131" s="378"/>
      <c r="BN131" s="379"/>
      <c r="BO131" s="379"/>
      <c r="BP131" s="379"/>
      <c r="BQ131" s="379"/>
      <c r="BR131" s="379"/>
      <c r="BS131" s="380"/>
      <c r="BT131" s="380"/>
      <c r="BU131" s="381"/>
    </row>
    <row r="132" spans="7:73" ht="14.4">
      <c r="G132" s="370"/>
      <c r="H132" s="259"/>
      <c r="I132" s="259"/>
      <c r="J132" s="259"/>
      <c r="K132" s="259"/>
      <c r="L132" s="259"/>
      <c r="M132" s="259"/>
      <c r="N132" s="259"/>
      <c r="O132" s="259"/>
      <c r="P132" s="259"/>
      <c r="Q132" s="259"/>
      <c r="R132" s="259"/>
      <c r="S132" s="259"/>
      <c r="T132" s="259"/>
      <c r="U132" s="259"/>
      <c r="V132" s="259"/>
      <c r="W132" s="259"/>
      <c r="X132" s="259"/>
      <c r="Y132" s="259"/>
      <c r="Z132" s="259"/>
      <c r="AA132" s="259"/>
      <c r="AB132" s="259"/>
      <c r="AC132" s="259"/>
      <c r="AD132" s="259"/>
      <c r="AE132" s="259"/>
      <c r="AF132" s="259"/>
      <c r="AG132" s="259"/>
      <c r="AH132" s="259"/>
      <c r="AI132" s="259"/>
      <c r="AJ132" s="259"/>
      <c r="AK132" s="259"/>
      <c r="AL132" s="259"/>
      <c r="AM132" s="259"/>
      <c r="AN132" s="259"/>
      <c r="AO132" s="259"/>
      <c r="AP132" s="259"/>
      <c r="AQ132" s="259"/>
      <c r="AR132" s="259"/>
      <c r="AS132" s="259"/>
      <c r="AT132" s="259"/>
      <c r="AU132" s="259"/>
      <c r="AV132" s="259"/>
      <c r="AW132" s="259"/>
      <c r="AX132" s="259"/>
      <c r="AY132" s="259"/>
      <c r="AZ132" s="259"/>
      <c r="BA132" s="259"/>
      <c r="BB132" s="259"/>
      <c r="BC132" s="259"/>
      <c r="BD132" s="259"/>
      <c r="BE132" s="259"/>
      <c r="BF132" s="259"/>
      <c r="BG132" s="259"/>
      <c r="BH132" s="259"/>
      <c r="BI132" s="259"/>
      <c r="BJ132" s="259"/>
      <c r="BK132" s="259"/>
      <c r="BL132" s="371"/>
      <c r="BM132" s="378"/>
      <c r="BN132" s="379"/>
      <c r="BO132" s="379"/>
      <c r="BP132" s="379"/>
      <c r="BQ132" s="379"/>
      <c r="BR132" s="379"/>
      <c r="BS132" s="380"/>
      <c r="BT132" s="380"/>
      <c r="BU132" s="381"/>
    </row>
    <row r="133" spans="7:73" ht="14.4">
      <c r="G133" s="370"/>
      <c r="H133" s="259"/>
      <c r="I133" s="259"/>
      <c r="J133" s="259"/>
      <c r="K133" s="259"/>
      <c r="L133" s="259"/>
      <c r="M133" s="259"/>
      <c r="N133" s="259"/>
      <c r="O133" s="259"/>
      <c r="P133" s="259"/>
      <c r="Q133" s="259"/>
      <c r="R133" s="259"/>
      <c r="S133" s="259"/>
      <c r="T133" s="259"/>
      <c r="U133" s="259"/>
      <c r="V133" s="259"/>
      <c r="W133" s="259"/>
      <c r="X133" s="259"/>
      <c r="Y133" s="259"/>
      <c r="Z133" s="259"/>
      <c r="AA133" s="259"/>
      <c r="AB133" s="259"/>
      <c r="AC133" s="259"/>
      <c r="AD133" s="259"/>
      <c r="AE133" s="259"/>
      <c r="AF133" s="259"/>
      <c r="AG133" s="259"/>
      <c r="AH133" s="259"/>
      <c r="AI133" s="259"/>
      <c r="AJ133" s="259"/>
      <c r="AK133" s="259"/>
      <c r="AL133" s="259"/>
      <c r="AM133" s="259"/>
      <c r="AN133" s="259"/>
      <c r="AO133" s="259"/>
      <c r="AP133" s="259"/>
      <c r="AQ133" s="259"/>
      <c r="AR133" s="259"/>
      <c r="AS133" s="259"/>
      <c r="AT133" s="259"/>
      <c r="AU133" s="259"/>
      <c r="AV133" s="259"/>
      <c r="AW133" s="259"/>
      <c r="AX133" s="259"/>
      <c r="AY133" s="259"/>
      <c r="AZ133" s="259"/>
      <c r="BA133" s="259"/>
      <c r="BB133" s="259"/>
      <c r="BC133" s="259"/>
      <c r="BD133" s="259"/>
      <c r="BE133" s="259"/>
      <c r="BF133" s="259"/>
      <c r="BG133" s="259"/>
      <c r="BH133" s="259"/>
      <c r="BI133" s="259"/>
      <c r="BJ133" s="259"/>
      <c r="BK133" s="259"/>
      <c r="BL133" s="371"/>
      <c r="BM133" s="378"/>
      <c r="BN133" s="379"/>
      <c r="BO133" s="379"/>
      <c r="BP133" s="379"/>
      <c r="BQ133" s="379"/>
      <c r="BR133" s="379"/>
      <c r="BS133" s="380"/>
      <c r="BT133" s="380"/>
      <c r="BU133" s="381"/>
    </row>
    <row r="134" spans="7:73" ht="14.4">
      <c r="G134" s="370"/>
      <c r="H134" s="259"/>
      <c r="I134" s="259"/>
      <c r="J134" s="259"/>
      <c r="K134" s="259"/>
      <c r="L134" s="259"/>
      <c r="M134" s="259"/>
      <c r="N134" s="259"/>
      <c r="O134" s="259"/>
      <c r="P134" s="259"/>
      <c r="Q134" s="259"/>
      <c r="R134" s="259"/>
      <c r="S134" s="259"/>
      <c r="T134" s="259"/>
      <c r="U134" s="259"/>
      <c r="V134" s="259"/>
      <c r="W134" s="259"/>
      <c r="X134" s="259"/>
      <c r="Y134" s="259"/>
      <c r="Z134" s="259"/>
      <c r="AA134" s="259"/>
      <c r="AB134" s="259"/>
      <c r="AC134" s="259"/>
      <c r="AD134" s="259"/>
      <c r="AE134" s="259"/>
      <c r="AF134" s="259"/>
      <c r="AG134" s="259"/>
      <c r="AH134" s="259"/>
      <c r="AI134" s="259"/>
      <c r="AJ134" s="259"/>
      <c r="AK134" s="259"/>
      <c r="AL134" s="259"/>
      <c r="AM134" s="259"/>
      <c r="AN134" s="259"/>
      <c r="AO134" s="259"/>
      <c r="AP134" s="259"/>
      <c r="AQ134" s="259"/>
      <c r="AR134" s="259"/>
      <c r="AS134" s="259"/>
      <c r="AT134" s="259"/>
      <c r="AU134" s="259"/>
      <c r="AV134" s="259"/>
      <c r="AW134" s="259"/>
      <c r="AX134" s="259"/>
      <c r="AY134" s="259"/>
      <c r="AZ134" s="259"/>
      <c r="BA134" s="259"/>
      <c r="BB134" s="259"/>
      <c r="BC134" s="259"/>
      <c r="BD134" s="259"/>
      <c r="BE134" s="259"/>
      <c r="BF134" s="259"/>
      <c r="BG134" s="259"/>
      <c r="BH134" s="259"/>
      <c r="BI134" s="259"/>
      <c r="BJ134" s="259"/>
      <c r="BK134" s="259"/>
      <c r="BL134" s="371"/>
      <c r="BM134" s="378"/>
      <c r="BN134" s="379"/>
      <c r="BO134" s="379"/>
      <c r="BP134" s="379"/>
      <c r="BQ134" s="379"/>
      <c r="BR134" s="379"/>
      <c r="BS134" s="380"/>
      <c r="BT134" s="380"/>
      <c r="BU134" s="381"/>
    </row>
    <row r="135" spans="7:73" ht="14.4">
      <c r="G135" s="370"/>
      <c r="H135" s="259"/>
      <c r="I135" s="259"/>
      <c r="J135" s="259"/>
      <c r="K135" s="259"/>
      <c r="L135" s="259"/>
      <c r="M135" s="259"/>
      <c r="N135" s="259"/>
      <c r="O135" s="259"/>
      <c r="P135" s="259"/>
      <c r="Q135" s="259"/>
      <c r="R135" s="259"/>
      <c r="S135" s="259"/>
      <c r="T135" s="259"/>
      <c r="U135" s="259"/>
      <c r="V135" s="259"/>
      <c r="W135" s="259"/>
      <c r="X135" s="259"/>
      <c r="Y135" s="259"/>
      <c r="Z135" s="259"/>
      <c r="AA135" s="259"/>
      <c r="AB135" s="259"/>
      <c r="AC135" s="259"/>
      <c r="AD135" s="259"/>
      <c r="AE135" s="259"/>
      <c r="AF135" s="259"/>
      <c r="AG135" s="259"/>
      <c r="AH135" s="259"/>
      <c r="AI135" s="259"/>
      <c r="AJ135" s="259"/>
      <c r="AK135" s="259"/>
      <c r="AL135" s="259"/>
      <c r="AM135" s="259"/>
      <c r="AN135" s="259"/>
      <c r="AO135" s="259"/>
      <c r="AP135" s="259"/>
      <c r="AQ135" s="259"/>
      <c r="AR135" s="259"/>
      <c r="AS135" s="259"/>
      <c r="AT135" s="259"/>
      <c r="AU135" s="259"/>
      <c r="AV135" s="259"/>
      <c r="AW135" s="259"/>
      <c r="AX135" s="259"/>
      <c r="AY135" s="259"/>
      <c r="AZ135" s="259"/>
      <c r="BA135" s="259"/>
      <c r="BB135" s="259"/>
      <c r="BC135" s="259"/>
      <c r="BD135" s="259"/>
      <c r="BE135" s="259"/>
      <c r="BF135" s="259"/>
      <c r="BG135" s="259"/>
      <c r="BH135" s="259"/>
      <c r="BI135" s="259"/>
      <c r="BJ135" s="259"/>
      <c r="BK135" s="259"/>
      <c r="BL135" s="371"/>
      <c r="BM135" s="378"/>
      <c r="BN135" s="379"/>
      <c r="BO135" s="379"/>
      <c r="BP135" s="379"/>
      <c r="BQ135" s="379"/>
      <c r="BR135" s="379"/>
      <c r="BS135" s="380"/>
      <c r="BT135" s="380"/>
      <c r="BU135" s="381"/>
    </row>
    <row r="136" spans="7:73" ht="14.4">
      <c r="G136" s="370"/>
      <c r="H136" s="259"/>
      <c r="I136" s="259"/>
      <c r="J136" s="259"/>
      <c r="K136" s="259"/>
      <c r="L136" s="259"/>
      <c r="M136" s="259"/>
      <c r="N136" s="259"/>
      <c r="O136" s="259"/>
      <c r="P136" s="259"/>
      <c r="Q136" s="259"/>
      <c r="R136" s="259"/>
      <c r="S136" s="259"/>
      <c r="T136" s="259"/>
      <c r="U136" s="259"/>
      <c r="V136" s="259"/>
      <c r="W136" s="259"/>
      <c r="X136" s="259"/>
      <c r="Y136" s="259"/>
      <c r="Z136" s="259"/>
      <c r="AA136" s="259"/>
      <c r="AB136" s="259"/>
      <c r="AC136" s="259"/>
      <c r="AD136" s="259"/>
      <c r="AE136" s="259"/>
      <c r="AF136" s="259"/>
      <c r="AG136" s="259"/>
      <c r="AH136" s="259"/>
      <c r="AI136" s="259"/>
      <c r="AJ136" s="259"/>
      <c r="AK136" s="259"/>
      <c r="AL136" s="259"/>
      <c r="AM136" s="259"/>
      <c r="AN136" s="259"/>
      <c r="AO136" s="259"/>
      <c r="AP136" s="259"/>
      <c r="AQ136" s="259"/>
      <c r="AR136" s="259"/>
      <c r="AS136" s="259"/>
      <c r="AT136" s="259"/>
      <c r="AU136" s="259"/>
      <c r="AV136" s="259"/>
      <c r="AW136" s="259"/>
      <c r="AX136" s="259"/>
      <c r="AY136" s="259"/>
      <c r="AZ136" s="259"/>
      <c r="BA136" s="259"/>
      <c r="BB136" s="259"/>
      <c r="BC136" s="259"/>
      <c r="BD136" s="259"/>
      <c r="BE136" s="259"/>
      <c r="BF136" s="259"/>
      <c r="BG136" s="259"/>
      <c r="BH136" s="259"/>
      <c r="BI136" s="259"/>
      <c r="BJ136" s="259"/>
      <c r="BK136" s="259"/>
      <c r="BL136" s="371"/>
      <c r="BM136" s="378"/>
      <c r="BN136" s="379"/>
      <c r="BO136" s="379"/>
      <c r="BP136" s="379"/>
      <c r="BQ136" s="379"/>
      <c r="BR136" s="379"/>
      <c r="BS136" s="380"/>
      <c r="BT136" s="380"/>
      <c r="BU136" s="381"/>
    </row>
    <row r="137" spans="7:73" ht="14.4">
      <c r="G137" s="370"/>
      <c r="H137" s="259"/>
      <c r="I137" s="259"/>
      <c r="J137" s="259"/>
      <c r="K137" s="259"/>
      <c r="L137" s="259"/>
      <c r="M137" s="259"/>
      <c r="N137" s="259"/>
      <c r="O137" s="259"/>
      <c r="P137" s="259"/>
      <c r="Q137" s="259"/>
      <c r="R137" s="259"/>
      <c r="S137" s="259"/>
      <c r="T137" s="259"/>
      <c r="U137" s="259"/>
      <c r="V137" s="259"/>
      <c r="W137" s="259"/>
      <c r="X137" s="259"/>
      <c r="Y137" s="259"/>
      <c r="Z137" s="259"/>
      <c r="AA137" s="259"/>
      <c r="AB137" s="259"/>
      <c r="AC137" s="259"/>
      <c r="AD137" s="259"/>
      <c r="AE137" s="259"/>
      <c r="AF137" s="259"/>
      <c r="AG137" s="259"/>
      <c r="AH137" s="259"/>
      <c r="AI137" s="259"/>
      <c r="AJ137" s="259"/>
      <c r="AK137" s="259"/>
      <c r="AL137" s="259"/>
      <c r="AM137" s="259"/>
      <c r="AN137" s="259"/>
      <c r="AO137" s="259"/>
      <c r="AP137" s="259"/>
      <c r="AQ137" s="259"/>
      <c r="AR137" s="259"/>
      <c r="AS137" s="259"/>
      <c r="AT137" s="259"/>
      <c r="AU137" s="259"/>
      <c r="AV137" s="259"/>
      <c r="AW137" s="259"/>
      <c r="AX137" s="259"/>
      <c r="AY137" s="259"/>
      <c r="AZ137" s="259"/>
      <c r="BA137" s="259"/>
      <c r="BB137" s="259"/>
      <c r="BC137" s="259"/>
      <c r="BD137" s="259"/>
      <c r="BE137" s="259"/>
      <c r="BF137" s="259"/>
      <c r="BG137" s="259"/>
      <c r="BH137" s="259"/>
      <c r="BI137" s="259"/>
      <c r="BJ137" s="259"/>
      <c r="BK137" s="259"/>
      <c r="BL137" s="371"/>
      <c r="BM137" s="378"/>
      <c r="BN137" s="379"/>
      <c r="BO137" s="379"/>
      <c r="BP137" s="379"/>
      <c r="BQ137" s="379"/>
      <c r="BR137" s="379"/>
      <c r="BS137" s="380"/>
      <c r="BT137" s="380"/>
      <c r="BU137" s="381"/>
    </row>
    <row r="138" spans="7:73" ht="14.4">
      <c r="G138" s="370"/>
      <c r="H138" s="259"/>
      <c r="I138" s="259"/>
      <c r="J138" s="259"/>
      <c r="K138" s="259"/>
      <c r="L138" s="259"/>
      <c r="M138" s="259"/>
      <c r="N138" s="259"/>
      <c r="O138" s="259"/>
      <c r="P138" s="259"/>
      <c r="Q138" s="259"/>
      <c r="R138" s="259"/>
      <c r="S138" s="259"/>
      <c r="T138" s="259"/>
      <c r="U138" s="259"/>
      <c r="V138" s="259"/>
      <c r="W138" s="259"/>
      <c r="X138" s="259"/>
      <c r="Y138" s="259"/>
      <c r="Z138" s="259"/>
      <c r="AA138" s="259"/>
      <c r="AB138" s="259"/>
      <c r="AC138" s="259"/>
      <c r="AD138" s="259"/>
      <c r="AE138" s="259"/>
      <c r="AF138" s="259"/>
      <c r="AG138" s="259"/>
      <c r="AH138" s="259"/>
      <c r="AI138" s="259"/>
      <c r="AJ138" s="259"/>
      <c r="AK138" s="259"/>
      <c r="AL138" s="259"/>
      <c r="AM138" s="259"/>
      <c r="AN138" s="259"/>
      <c r="AO138" s="259"/>
      <c r="AP138" s="259"/>
      <c r="AQ138" s="259"/>
      <c r="AR138" s="259"/>
      <c r="AS138" s="259"/>
      <c r="AT138" s="259"/>
      <c r="AU138" s="259"/>
      <c r="AV138" s="259"/>
      <c r="AW138" s="259"/>
      <c r="AX138" s="259"/>
      <c r="AY138" s="259"/>
      <c r="AZ138" s="259"/>
      <c r="BA138" s="259"/>
      <c r="BB138" s="259"/>
      <c r="BC138" s="259"/>
      <c r="BD138" s="259"/>
      <c r="BE138" s="259"/>
      <c r="BF138" s="259"/>
      <c r="BG138" s="259"/>
      <c r="BH138" s="259"/>
      <c r="BI138" s="259"/>
      <c r="BJ138" s="259"/>
      <c r="BK138" s="259"/>
      <c r="BL138" s="371"/>
      <c r="BM138" s="378"/>
      <c r="BN138" s="379"/>
      <c r="BO138" s="379"/>
      <c r="BP138" s="379"/>
      <c r="BQ138" s="379"/>
      <c r="BR138" s="379"/>
      <c r="BS138" s="380"/>
      <c r="BT138" s="380"/>
      <c r="BU138" s="381"/>
    </row>
    <row r="139" spans="7:73" ht="14.4">
      <c r="G139" s="370"/>
      <c r="H139" s="259"/>
      <c r="I139" s="259"/>
      <c r="J139" s="259"/>
      <c r="K139" s="259"/>
      <c r="L139" s="259"/>
      <c r="M139" s="259"/>
      <c r="N139" s="259"/>
      <c r="O139" s="259"/>
      <c r="P139" s="259"/>
      <c r="Q139" s="259"/>
      <c r="R139" s="259"/>
      <c r="S139" s="259"/>
      <c r="T139" s="259"/>
      <c r="U139" s="259"/>
      <c r="V139" s="259"/>
      <c r="W139" s="259"/>
      <c r="X139" s="259"/>
      <c r="Y139" s="259"/>
      <c r="Z139" s="259"/>
      <c r="AA139" s="259"/>
      <c r="AB139" s="259"/>
      <c r="AC139" s="259"/>
      <c r="AD139" s="259"/>
      <c r="AE139" s="259"/>
      <c r="AF139" s="259"/>
      <c r="AG139" s="259"/>
      <c r="AH139" s="259"/>
      <c r="AI139" s="259"/>
      <c r="AJ139" s="259"/>
      <c r="AK139" s="259"/>
      <c r="AL139" s="259"/>
      <c r="AM139" s="259"/>
      <c r="AN139" s="259"/>
      <c r="AO139" s="259"/>
      <c r="AP139" s="259"/>
      <c r="AQ139" s="259"/>
      <c r="AR139" s="259"/>
      <c r="AS139" s="259"/>
      <c r="AT139" s="259"/>
      <c r="AU139" s="259"/>
      <c r="AV139" s="259"/>
      <c r="AW139" s="259"/>
      <c r="AX139" s="259"/>
      <c r="AY139" s="259"/>
      <c r="AZ139" s="259"/>
      <c r="BA139" s="259"/>
      <c r="BB139" s="259"/>
      <c r="BC139" s="259"/>
      <c r="BD139" s="259"/>
      <c r="BE139" s="259"/>
      <c r="BF139" s="259"/>
      <c r="BG139" s="259"/>
      <c r="BH139" s="259"/>
      <c r="BI139" s="259"/>
      <c r="BJ139" s="259"/>
      <c r="BK139" s="259"/>
      <c r="BL139" s="371"/>
      <c r="BM139" s="378"/>
      <c r="BN139" s="379"/>
      <c r="BO139" s="379"/>
      <c r="BP139" s="379"/>
      <c r="BQ139" s="379"/>
      <c r="BR139" s="379"/>
      <c r="BS139" s="380"/>
      <c r="BT139" s="380"/>
      <c r="BU139" s="381"/>
    </row>
    <row r="140" spans="7:73" ht="14.4">
      <c r="G140" s="370"/>
      <c r="H140" s="259"/>
      <c r="I140" s="259"/>
      <c r="J140" s="259"/>
      <c r="K140" s="259"/>
      <c r="L140" s="259"/>
      <c r="M140" s="259"/>
      <c r="N140" s="259"/>
      <c r="O140" s="259"/>
      <c r="P140" s="259"/>
      <c r="Q140" s="259"/>
      <c r="R140" s="259"/>
      <c r="S140" s="259"/>
      <c r="T140" s="259"/>
      <c r="U140" s="259"/>
      <c r="V140" s="259"/>
      <c r="W140" s="259"/>
      <c r="X140" s="259"/>
      <c r="Y140" s="259"/>
      <c r="Z140" s="259"/>
      <c r="AA140" s="259"/>
      <c r="AB140" s="259"/>
      <c r="AC140" s="259"/>
      <c r="AD140" s="259"/>
      <c r="AE140" s="259"/>
      <c r="AF140" s="259"/>
      <c r="AG140" s="259"/>
      <c r="AH140" s="259"/>
      <c r="AI140" s="259"/>
      <c r="AJ140" s="259"/>
      <c r="AK140" s="259"/>
      <c r="AL140" s="259"/>
      <c r="AM140" s="259"/>
      <c r="AN140" s="259"/>
      <c r="AO140" s="259"/>
      <c r="AP140" s="259"/>
      <c r="AQ140" s="259"/>
      <c r="AR140" s="259"/>
      <c r="AS140" s="259"/>
      <c r="AT140" s="259"/>
      <c r="AU140" s="259"/>
      <c r="AV140" s="259"/>
      <c r="AW140" s="259"/>
      <c r="AX140" s="259"/>
      <c r="AY140" s="259"/>
      <c r="AZ140" s="259"/>
      <c r="BA140" s="259"/>
      <c r="BB140" s="259"/>
      <c r="BC140" s="259"/>
      <c r="BD140" s="259"/>
      <c r="BE140" s="259"/>
      <c r="BF140" s="259"/>
      <c r="BG140" s="259"/>
      <c r="BH140" s="259"/>
      <c r="BI140" s="259"/>
      <c r="BJ140" s="259"/>
      <c r="BK140" s="259"/>
      <c r="BL140" s="371"/>
      <c r="BM140" s="378"/>
      <c r="BN140" s="379"/>
      <c r="BO140" s="379"/>
      <c r="BP140" s="379"/>
      <c r="BQ140" s="379"/>
      <c r="BR140" s="379"/>
      <c r="BS140" s="380"/>
      <c r="BT140" s="380"/>
      <c r="BU140" s="381"/>
    </row>
    <row r="141" spans="7:73" ht="14.4">
      <c r="G141" s="370"/>
      <c r="H141" s="259"/>
      <c r="I141" s="259"/>
      <c r="J141" s="259"/>
      <c r="K141" s="259"/>
      <c r="L141" s="259"/>
      <c r="M141" s="259"/>
      <c r="N141" s="259"/>
      <c r="O141" s="259"/>
      <c r="P141" s="259"/>
      <c r="Q141" s="259"/>
      <c r="R141" s="259"/>
      <c r="S141" s="259"/>
      <c r="T141" s="259"/>
      <c r="U141" s="259"/>
      <c r="V141" s="259"/>
      <c r="W141" s="259"/>
      <c r="X141" s="259"/>
      <c r="Y141" s="259"/>
      <c r="Z141" s="259"/>
      <c r="AA141" s="259"/>
      <c r="AB141" s="259"/>
      <c r="AC141" s="259"/>
      <c r="AD141" s="259"/>
      <c r="AE141" s="259"/>
      <c r="AF141" s="259"/>
      <c r="AG141" s="259"/>
      <c r="AH141" s="259"/>
      <c r="AI141" s="259"/>
      <c r="AJ141" s="259"/>
      <c r="AK141" s="259"/>
      <c r="AL141" s="259"/>
      <c r="AM141" s="259"/>
      <c r="AN141" s="259"/>
      <c r="AO141" s="259"/>
      <c r="AP141" s="259"/>
      <c r="AQ141" s="259"/>
      <c r="AR141" s="259"/>
      <c r="AS141" s="259"/>
      <c r="AT141" s="259"/>
      <c r="AU141" s="259"/>
      <c r="AV141" s="259"/>
      <c r="AW141" s="259"/>
      <c r="AX141" s="259"/>
      <c r="AY141" s="259"/>
      <c r="AZ141" s="259"/>
      <c r="BA141" s="259"/>
      <c r="BB141" s="259"/>
      <c r="BC141" s="259"/>
      <c r="BD141" s="259"/>
      <c r="BE141" s="259"/>
      <c r="BF141" s="259"/>
      <c r="BG141" s="259"/>
      <c r="BH141" s="259"/>
      <c r="BI141" s="259"/>
      <c r="BJ141" s="259"/>
      <c r="BK141" s="259"/>
      <c r="BL141" s="371"/>
      <c r="BM141" s="378"/>
      <c r="BN141" s="379"/>
      <c r="BO141" s="379"/>
      <c r="BP141" s="379"/>
      <c r="BQ141" s="379"/>
      <c r="BR141" s="379"/>
      <c r="BS141" s="380"/>
      <c r="BT141" s="380"/>
      <c r="BU141" s="381"/>
    </row>
    <row r="142" spans="7:73" ht="14.4">
      <c r="G142" s="370"/>
      <c r="H142" s="259"/>
      <c r="I142" s="259"/>
      <c r="J142" s="259"/>
      <c r="K142" s="259"/>
      <c r="L142" s="259"/>
      <c r="M142" s="259"/>
      <c r="N142" s="259"/>
      <c r="O142" s="259"/>
      <c r="P142" s="259"/>
      <c r="Q142" s="259"/>
      <c r="R142" s="259"/>
      <c r="S142" s="259"/>
      <c r="T142" s="259"/>
      <c r="U142" s="259"/>
      <c r="V142" s="259"/>
      <c r="W142" s="259"/>
      <c r="X142" s="259"/>
      <c r="Y142" s="259"/>
      <c r="Z142" s="259"/>
      <c r="AA142" s="259"/>
      <c r="AB142" s="259"/>
      <c r="AC142" s="259"/>
      <c r="AD142" s="259"/>
      <c r="AE142" s="259"/>
      <c r="AF142" s="259"/>
      <c r="AG142" s="259"/>
      <c r="AH142" s="259"/>
      <c r="AI142" s="259"/>
      <c r="AJ142" s="259"/>
      <c r="AK142" s="259"/>
      <c r="AL142" s="259"/>
      <c r="AM142" s="259"/>
      <c r="AN142" s="259"/>
      <c r="AO142" s="259"/>
      <c r="AP142" s="259"/>
      <c r="AQ142" s="259"/>
      <c r="AR142" s="259"/>
      <c r="AS142" s="259"/>
      <c r="AT142" s="259"/>
      <c r="AU142" s="259"/>
      <c r="AV142" s="259"/>
      <c r="AW142" s="259"/>
      <c r="AX142" s="259"/>
      <c r="AY142" s="259"/>
      <c r="AZ142" s="259"/>
      <c r="BA142" s="259"/>
      <c r="BB142" s="259"/>
      <c r="BC142" s="259"/>
      <c r="BD142" s="259"/>
      <c r="BE142" s="259"/>
      <c r="BF142" s="259"/>
      <c r="BG142" s="259"/>
      <c r="BH142" s="259"/>
      <c r="BI142" s="259"/>
      <c r="BJ142" s="259"/>
      <c r="BK142" s="259"/>
      <c r="BL142" s="371"/>
      <c r="BM142" s="378"/>
      <c r="BN142" s="379"/>
      <c r="BO142" s="379"/>
      <c r="BP142" s="379"/>
      <c r="BQ142" s="379"/>
      <c r="BR142" s="379"/>
      <c r="BS142" s="380"/>
      <c r="BT142" s="380"/>
      <c r="BU142" s="381"/>
    </row>
    <row r="143" spans="7:73" ht="14.4">
      <c r="G143" s="370"/>
      <c r="H143" s="259"/>
      <c r="I143" s="259"/>
      <c r="J143" s="259"/>
      <c r="K143" s="259"/>
      <c r="L143" s="259"/>
      <c r="M143" s="259"/>
      <c r="N143" s="259"/>
      <c r="O143" s="259"/>
      <c r="P143" s="259"/>
      <c r="Q143" s="259"/>
      <c r="R143" s="259"/>
      <c r="S143" s="259"/>
      <c r="T143" s="259"/>
      <c r="U143" s="259"/>
      <c r="V143" s="259"/>
      <c r="W143" s="259"/>
      <c r="X143" s="259"/>
      <c r="Y143" s="259"/>
      <c r="Z143" s="259"/>
      <c r="AA143" s="259"/>
      <c r="AB143" s="259"/>
      <c r="AC143" s="259"/>
      <c r="AD143" s="259"/>
      <c r="AE143" s="259"/>
      <c r="AF143" s="259"/>
      <c r="AG143" s="259"/>
      <c r="AH143" s="259"/>
      <c r="AI143" s="259"/>
      <c r="AJ143" s="259"/>
      <c r="AK143" s="259"/>
      <c r="AL143" s="259"/>
      <c r="AM143" s="259"/>
      <c r="AN143" s="259"/>
      <c r="AO143" s="259"/>
      <c r="AP143" s="259"/>
      <c r="AQ143" s="259"/>
      <c r="AR143" s="259"/>
      <c r="AS143" s="259"/>
      <c r="AT143" s="259"/>
      <c r="AU143" s="259"/>
      <c r="AV143" s="259"/>
      <c r="AW143" s="259"/>
      <c r="AX143" s="259"/>
      <c r="AY143" s="259"/>
      <c r="AZ143" s="259"/>
      <c r="BA143" s="259"/>
      <c r="BB143" s="259"/>
      <c r="BC143" s="259"/>
      <c r="BD143" s="259"/>
      <c r="BE143" s="259"/>
      <c r="BF143" s="259"/>
      <c r="BG143" s="259"/>
      <c r="BH143" s="259"/>
      <c r="BI143" s="259"/>
      <c r="BJ143" s="259"/>
      <c r="BK143" s="259"/>
      <c r="BL143" s="371"/>
      <c r="BM143" s="378"/>
      <c r="BN143" s="379"/>
      <c r="BO143" s="379"/>
      <c r="BP143" s="379"/>
      <c r="BQ143" s="379"/>
      <c r="BR143" s="379"/>
      <c r="BS143" s="380"/>
      <c r="BT143" s="380"/>
      <c r="BU143" s="381"/>
    </row>
    <row r="144" spans="7:73" ht="14.4">
      <c r="G144" s="370"/>
      <c r="H144" s="259"/>
      <c r="I144" s="259"/>
      <c r="J144" s="259"/>
      <c r="K144" s="259"/>
      <c r="L144" s="259"/>
      <c r="M144" s="259"/>
      <c r="N144" s="259"/>
      <c r="O144" s="259"/>
      <c r="P144" s="259"/>
      <c r="Q144" s="259"/>
      <c r="R144" s="259"/>
      <c r="S144" s="259"/>
      <c r="T144" s="259"/>
      <c r="U144" s="259"/>
      <c r="V144" s="259"/>
      <c r="W144" s="259"/>
      <c r="X144" s="259"/>
      <c r="Y144" s="259"/>
      <c r="Z144" s="259"/>
      <c r="AA144" s="259"/>
      <c r="AB144" s="259"/>
      <c r="AC144" s="259"/>
      <c r="AD144" s="259"/>
      <c r="AE144" s="259"/>
      <c r="AF144" s="259"/>
      <c r="AG144" s="259"/>
      <c r="AH144" s="259"/>
      <c r="AI144" s="259"/>
      <c r="AJ144" s="259"/>
      <c r="AK144" s="259"/>
      <c r="AL144" s="259"/>
      <c r="AM144" s="259"/>
      <c r="AN144" s="259"/>
      <c r="AO144" s="259"/>
      <c r="AP144" s="259"/>
      <c r="AQ144" s="259"/>
      <c r="AR144" s="259"/>
      <c r="AS144" s="259"/>
      <c r="AT144" s="259"/>
      <c r="AU144" s="259"/>
      <c r="AV144" s="259"/>
      <c r="AW144" s="259"/>
      <c r="AX144" s="259"/>
      <c r="AY144" s="259"/>
      <c r="AZ144" s="259"/>
      <c r="BA144" s="259"/>
      <c r="BB144" s="259"/>
      <c r="BC144" s="259"/>
      <c r="BD144" s="259"/>
      <c r="BE144" s="259"/>
      <c r="BF144" s="259"/>
      <c r="BG144" s="259"/>
      <c r="BH144" s="259"/>
      <c r="BI144" s="259"/>
      <c r="BJ144" s="259"/>
      <c r="BK144" s="259"/>
      <c r="BL144" s="371"/>
      <c r="BM144" s="378"/>
      <c r="BN144" s="379"/>
      <c r="BO144" s="379"/>
      <c r="BP144" s="379"/>
      <c r="BQ144" s="379"/>
      <c r="BR144" s="379"/>
      <c r="BS144" s="380"/>
      <c r="BT144" s="380"/>
      <c r="BU144" s="381"/>
    </row>
    <row r="145" spans="7:73" ht="14.4">
      <c r="G145" s="370"/>
      <c r="H145" s="259"/>
      <c r="I145" s="259"/>
      <c r="J145" s="259"/>
      <c r="K145" s="259"/>
      <c r="L145" s="259"/>
      <c r="M145" s="259"/>
      <c r="N145" s="259"/>
      <c r="O145" s="259"/>
      <c r="P145" s="259"/>
      <c r="Q145" s="259"/>
      <c r="R145" s="259"/>
      <c r="S145" s="259"/>
      <c r="T145" s="259"/>
      <c r="U145" s="259"/>
      <c r="V145" s="259"/>
      <c r="W145" s="259"/>
      <c r="X145" s="259"/>
      <c r="Y145" s="259"/>
      <c r="Z145" s="259"/>
      <c r="AA145" s="259"/>
      <c r="AB145" s="259"/>
      <c r="AC145" s="259"/>
      <c r="AD145" s="259"/>
      <c r="AE145" s="259"/>
      <c r="AF145" s="259"/>
      <c r="AG145" s="259"/>
      <c r="AH145" s="259"/>
      <c r="AI145" s="259"/>
      <c r="AJ145" s="259"/>
      <c r="AK145" s="259"/>
      <c r="AL145" s="259"/>
      <c r="AM145" s="259"/>
      <c r="AN145" s="259"/>
      <c r="AO145" s="259"/>
      <c r="AP145" s="259"/>
      <c r="AQ145" s="259"/>
      <c r="AR145" s="259"/>
      <c r="AS145" s="259"/>
      <c r="AT145" s="259"/>
      <c r="AU145" s="259"/>
      <c r="AV145" s="259"/>
      <c r="AW145" s="259"/>
      <c r="AX145" s="259"/>
      <c r="AY145" s="259"/>
      <c r="AZ145" s="259"/>
      <c r="BA145" s="259"/>
      <c r="BB145" s="259"/>
      <c r="BC145" s="259"/>
      <c r="BD145" s="259"/>
      <c r="BE145" s="259"/>
      <c r="BF145" s="259"/>
      <c r="BG145" s="259"/>
      <c r="BH145" s="259"/>
      <c r="BI145" s="259"/>
      <c r="BJ145" s="259"/>
      <c r="BK145" s="259"/>
      <c r="BL145" s="371"/>
      <c r="BM145" s="378"/>
      <c r="BN145" s="379"/>
      <c r="BO145" s="379"/>
      <c r="BP145" s="379"/>
      <c r="BQ145" s="379"/>
      <c r="BR145" s="379"/>
      <c r="BS145" s="380"/>
      <c r="BT145" s="380"/>
      <c r="BU145" s="381"/>
    </row>
    <row r="146" spans="7:73" ht="14.4">
      <c r="G146" s="370"/>
      <c r="H146" s="259"/>
      <c r="I146" s="259"/>
      <c r="J146" s="259"/>
      <c r="K146" s="259"/>
      <c r="L146" s="259"/>
      <c r="M146" s="259"/>
      <c r="N146" s="259"/>
      <c r="O146" s="259"/>
      <c r="P146" s="259"/>
      <c r="Q146" s="259"/>
      <c r="R146" s="259"/>
      <c r="S146" s="259"/>
      <c r="T146" s="259"/>
      <c r="U146" s="259"/>
      <c r="V146" s="259"/>
      <c r="W146" s="259"/>
      <c r="X146" s="259"/>
      <c r="Y146" s="259"/>
      <c r="Z146" s="259"/>
      <c r="AA146" s="259"/>
      <c r="AB146" s="259"/>
      <c r="AC146" s="259"/>
      <c r="AD146" s="259"/>
      <c r="AE146" s="259"/>
      <c r="AF146" s="259"/>
      <c r="AG146" s="259"/>
      <c r="AH146" s="259"/>
      <c r="AI146" s="259"/>
      <c r="AJ146" s="259"/>
      <c r="AK146" s="259"/>
      <c r="AL146" s="259"/>
      <c r="AM146" s="259"/>
      <c r="AN146" s="259"/>
      <c r="AO146" s="259"/>
      <c r="AP146" s="259"/>
      <c r="AQ146" s="259"/>
      <c r="AR146" s="259"/>
      <c r="AS146" s="259"/>
      <c r="AT146" s="259"/>
      <c r="AU146" s="259"/>
      <c r="AV146" s="259"/>
      <c r="AW146" s="259"/>
      <c r="AX146" s="259"/>
      <c r="AY146" s="259"/>
      <c r="AZ146" s="259"/>
      <c r="BA146" s="259"/>
      <c r="BB146" s="259"/>
      <c r="BC146" s="259"/>
      <c r="BD146" s="259"/>
      <c r="BE146" s="259"/>
      <c r="BF146" s="259"/>
      <c r="BG146" s="259"/>
      <c r="BH146" s="259"/>
      <c r="BI146" s="259"/>
      <c r="BJ146" s="259"/>
      <c r="BK146" s="259"/>
      <c r="BL146" s="371"/>
      <c r="BM146" s="378"/>
      <c r="BN146" s="379"/>
      <c r="BO146" s="379"/>
      <c r="BP146" s="379"/>
      <c r="BQ146" s="379"/>
      <c r="BR146" s="379"/>
      <c r="BS146" s="380"/>
      <c r="BT146" s="380"/>
      <c r="BU146" s="381"/>
    </row>
    <row r="147" spans="7:73" ht="14.4">
      <c r="G147" s="370"/>
      <c r="H147" s="259"/>
      <c r="I147" s="259"/>
      <c r="J147" s="259"/>
      <c r="K147" s="259"/>
      <c r="L147" s="259"/>
      <c r="M147" s="259"/>
      <c r="N147" s="259"/>
      <c r="O147" s="259"/>
      <c r="P147" s="259"/>
      <c r="Q147" s="259"/>
      <c r="R147" s="259"/>
      <c r="S147" s="259"/>
      <c r="T147" s="259"/>
      <c r="U147" s="259"/>
      <c r="V147" s="259"/>
      <c r="W147" s="259"/>
      <c r="X147" s="259"/>
      <c r="Y147" s="259"/>
      <c r="Z147" s="259"/>
      <c r="AA147" s="259"/>
      <c r="AB147" s="259"/>
      <c r="AC147" s="259"/>
      <c r="AD147" s="259"/>
      <c r="AE147" s="259"/>
      <c r="AF147" s="259"/>
      <c r="AG147" s="259"/>
      <c r="AH147" s="259"/>
      <c r="AI147" s="259"/>
      <c r="AJ147" s="259"/>
      <c r="AK147" s="259"/>
      <c r="AL147" s="259"/>
      <c r="AM147" s="259"/>
      <c r="AN147" s="259"/>
      <c r="AO147" s="259"/>
      <c r="AP147" s="259"/>
      <c r="AQ147" s="259"/>
      <c r="AR147" s="259"/>
      <c r="AS147" s="259"/>
      <c r="AT147" s="259"/>
      <c r="AU147" s="259"/>
      <c r="AV147" s="259"/>
      <c r="AW147" s="259"/>
      <c r="AX147" s="259"/>
      <c r="AY147" s="259"/>
      <c r="AZ147" s="259"/>
      <c r="BA147" s="259"/>
      <c r="BB147" s="259"/>
      <c r="BC147" s="259"/>
      <c r="BD147" s="259"/>
      <c r="BE147" s="259"/>
      <c r="BF147" s="259"/>
      <c r="BG147" s="259"/>
      <c r="BH147" s="259"/>
      <c r="BI147" s="259"/>
      <c r="BJ147" s="259"/>
      <c r="BK147" s="259"/>
      <c r="BL147" s="371"/>
      <c r="BM147" s="378"/>
      <c r="BN147" s="379"/>
      <c r="BO147" s="379"/>
      <c r="BP147" s="379"/>
      <c r="BQ147" s="379"/>
      <c r="BR147" s="379"/>
      <c r="BS147" s="380"/>
      <c r="BT147" s="380"/>
      <c r="BU147" s="381"/>
    </row>
    <row r="148" spans="7:73" ht="14.4">
      <c r="G148" s="370"/>
      <c r="H148" s="259"/>
      <c r="I148" s="259"/>
      <c r="J148" s="259"/>
      <c r="K148" s="259"/>
      <c r="L148" s="259"/>
      <c r="M148" s="259"/>
      <c r="N148" s="259"/>
      <c r="O148" s="259"/>
      <c r="P148" s="259"/>
      <c r="Q148" s="259"/>
      <c r="R148" s="259"/>
      <c r="S148" s="259"/>
      <c r="T148" s="259"/>
      <c r="U148" s="259"/>
      <c r="V148" s="259"/>
      <c r="W148" s="259"/>
      <c r="X148" s="259"/>
      <c r="Y148" s="259"/>
      <c r="Z148" s="259"/>
      <c r="AA148" s="259"/>
      <c r="AB148" s="259"/>
      <c r="AC148" s="259"/>
      <c r="AD148" s="259"/>
      <c r="AE148" s="259"/>
      <c r="AF148" s="259"/>
      <c r="AG148" s="259"/>
      <c r="AH148" s="259"/>
      <c r="AI148" s="259"/>
      <c r="AJ148" s="259"/>
      <c r="AK148" s="259"/>
      <c r="AL148" s="259"/>
      <c r="AM148" s="259"/>
      <c r="AN148" s="259"/>
      <c r="AO148" s="259"/>
      <c r="AP148" s="259"/>
      <c r="AQ148" s="259"/>
      <c r="AR148" s="259"/>
      <c r="AS148" s="259"/>
      <c r="AT148" s="259"/>
      <c r="AU148" s="259"/>
      <c r="AV148" s="259"/>
      <c r="AW148" s="259"/>
      <c r="AX148" s="259"/>
      <c r="AY148" s="259"/>
      <c r="AZ148" s="259"/>
      <c r="BA148" s="259"/>
      <c r="BB148" s="259"/>
      <c r="BC148" s="259"/>
      <c r="BD148" s="259"/>
      <c r="BE148" s="259"/>
      <c r="BF148" s="259"/>
      <c r="BG148" s="259"/>
      <c r="BH148" s="259"/>
      <c r="BI148" s="259"/>
      <c r="BJ148" s="259"/>
      <c r="BK148" s="259"/>
      <c r="BL148" s="371"/>
      <c r="BM148" s="378"/>
      <c r="BN148" s="379"/>
      <c r="BO148" s="379"/>
      <c r="BP148" s="379"/>
      <c r="BQ148" s="379"/>
      <c r="BR148" s="379"/>
      <c r="BS148" s="380"/>
      <c r="BT148" s="380"/>
      <c r="BU148" s="381"/>
    </row>
    <row r="149" spans="7:73" ht="14.4">
      <c r="G149" s="370"/>
      <c r="H149" s="259"/>
      <c r="I149" s="259"/>
      <c r="J149" s="259"/>
      <c r="K149" s="259"/>
      <c r="L149" s="259"/>
      <c r="M149" s="259"/>
      <c r="N149" s="259"/>
      <c r="O149" s="259"/>
      <c r="P149" s="259"/>
      <c r="Q149" s="259"/>
      <c r="R149" s="259"/>
      <c r="S149" s="259"/>
      <c r="T149" s="259"/>
      <c r="U149" s="259"/>
      <c r="V149" s="259"/>
      <c r="W149" s="259"/>
      <c r="X149" s="259"/>
      <c r="Y149" s="259"/>
      <c r="Z149" s="259"/>
      <c r="AA149" s="259"/>
      <c r="AB149" s="259"/>
      <c r="AC149" s="259"/>
      <c r="AD149" s="259"/>
      <c r="AE149" s="259"/>
      <c r="AF149" s="259"/>
      <c r="AG149" s="259"/>
      <c r="AH149" s="259"/>
      <c r="AI149" s="259"/>
      <c r="AJ149" s="259"/>
      <c r="AK149" s="259"/>
      <c r="AL149" s="259"/>
      <c r="AM149" s="259"/>
      <c r="AN149" s="259"/>
      <c r="AO149" s="259"/>
      <c r="AP149" s="259"/>
      <c r="AQ149" s="259"/>
      <c r="AR149" s="259"/>
      <c r="AS149" s="259"/>
      <c r="AT149" s="259"/>
      <c r="AU149" s="259"/>
      <c r="AV149" s="259"/>
      <c r="AW149" s="259"/>
      <c r="AX149" s="259"/>
      <c r="AY149" s="259"/>
      <c r="AZ149" s="259"/>
      <c r="BA149" s="259"/>
      <c r="BB149" s="259"/>
      <c r="BC149" s="259"/>
      <c r="BD149" s="259"/>
      <c r="BE149" s="259"/>
      <c r="BF149" s="259"/>
      <c r="BG149" s="259"/>
      <c r="BH149" s="259"/>
      <c r="BI149" s="259"/>
      <c r="BJ149" s="259"/>
      <c r="BK149" s="259"/>
      <c r="BL149" s="371"/>
      <c r="BM149" s="378"/>
      <c r="BN149" s="379"/>
      <c r="BO149" s="379"/>
      <c r="BP149" s="379"/>
      <c r="BQ149" s="379"/>
      <c r="BR149" s="379"/>
      <c r="BS149" s="380"/>
      <c r="BT149" s="380"/>
      <c r="BU149" s="381"/>
    </row>
    <row r="150" spans="7:73" ht="14.4">
      <c r="G150" s="370"/>
      <c r="H150" s="259"/>
      <c r="I150" s="259"/>
      <c r="J150" s="259"/>
      <c r="K150" s="259"/>
      <c r="L150" s="259"/>
      <c r="M150" s="259"/>
      <c r="N150" s="259"/>
      <c r="O150" s="259"/>
      <c r="P150" s="259"/>
      <c r="Q150" s="259"/>
      <c r="R150" s="259"/>
      <c r="S150" s="259"/>
      <c r="T150" s="259"/>
      <c r="U150" s="259"/>
      <c r="V150" s="259"/>
      <c r="W150" s="259"/>
      <c r="X150" s="259"/>
      <c r="Y150" s="259"/>
      <c r="Z150" s="259"/>
      <c r="AA150" s="259"/>
      <c r="AB150" s="259"/>
      <c r="AC150" s="259"/>
      <c r="AD150" s="259"/>
      <c r="AE150" s="259"/>
      <c r="AF150" s="259"/>
      <c r="AG150" s="259"/>
      <c r="AH150" s="259"/>
      <c r="AI150" s="259"/>
      <c r="AJ150" s="259"/>
      <c r="AK150" s="259"/>
      <c r="AL150" s="259"/>
      <c r="AM150" s="259"/>
      <c r="AN150" s="259"/>
      <c r="AO150" s="259"/>
      <c r="AP150" s="259"/>
      <c r="AQ150" s="259"/>
      <c r="AR150" s="259"/>
      <c r="AS150" s="259"/>
      <c r="AT150" s="259"/>
      <c r="AU150" s="259"/>
      <c r="AV150" s="259"/>
      <c r="AW150" s="259"/>
      <c r="AX150" s="259"/>
      <c r="AY150" s="259"/>
      <c r="AZ150" s="259"/>
      <c r="BA150" s="259"/>
      <c r="BB150" s="259"/>
      <c r="BC150" s="259"/>
      <c r="BD150" s="259"/>
      <c r="BE150" s="259"/>
      <c r="BF150" s="259"/>
      <c r="BG150" s="259"/>
      <c r="BH150" s="259"/>
      <c r="BI150" s="259"/>
      <c r="BJ150" s="259"/>
      <c r="BK150" s="259"/>
      <c r="BL150" s="371"/>
      <c r="BM150" s="378"/>
      <c r="BN150" s="379"/>
      <c r="BO150" s="379"/>
      <c r="BP150" s="379"/>
      <c r="BQ150" s="379"/>
      <c r="BR150" s="379"/>
      <c r="BS150" s="380"/>
      <c r="BT150" s="380"/>
      <c r="BU150" s="381"/>
    </row>
    <row r="151" spans="7:73" ht="14.4">
      <c r="G151" s="370"/>
      <c r="H151" s="259"/>
      <c r="I151" s="259"/>
      <c r="J151" s="259"/>
      <c r="K151" s="259"/>
      <c r="L151" s="259"/>
      <c r="M151" s="259"/>
      <c r="N151" s="259"/>
      <c r="O151" s="259"/>
      <c r="P151" s="259"/>
      <c r="Q151" s="259"/>
      <c r="R151" s="259"/>
      <c r="S151" s="259"/>
      <c r="T151" s="259"/>
      <c r="U151" s="259"/>
      <c r="V151" s="259"/>
      <c r="W151" s="259"/>
      <c r="X151" s="259"/>
      <c r="Y151" s="259"/>
      <c r="Z151" s="259"/>
      <c r="AA151" s="259"/>
      <c r="AB151" s="259"/>
      <c r="AC151" s="259"/>
      <c r="AD151" s="259"/>
      <c r="AE151" s="259"/>
      <c r="AF151" s="259"/>
      <c r="AG151" s="259"/>
      <c r="AH151" s="259"/>
      <c r="AI151" s="259"/>
      <c r="AJ151" s="259"/>
      <c r="AK151" s="259"/>
      <c r="AL151" s="259"/>
      <c r="AM151" s="259"/>
      <c r="AN151" s="259"/>
      <c r="AO151" s="259"/>
      <c r="AP151" s="259"/>
      <c r="AQ151" s="259"/>
      <c r="AR151" s="259"/>
      <c r="AS151" s="259"/>
      <c r="AT151" s="259"/>
      <c r="AU151" s="259"/>
      <c r="AV151" s="259"/>
      <c r="AW151" s="259"/>
      <c r="AX151" s="259"/>
      <c r="AY151" s="259"/>
      <c r="AZ151" s="259"/>
      <c r="BA151" s="259"/>
      <c r="BB151" s="259"/>
      <c r="BC151" s="259"/>
      <c r="BD151" s="259"/>
      <c r="BE151" s="259"/>
      <c r="BF151" s="259"/>
      <c r="BG151" s="259"/>
      <c r="BH151" s="259"/>
      <c r="BI151" s="259"/>
      <c r="BJ151" s="259"/>
      <c r="BK151" s="259"/>
      <c r="BL151" s="371"/>
      <c r="BM151" s="378"/>
      <c r="BN151" s="379"/>
      <c r="BO151" s="379"/>
      <c r="BP151" s="379"/>
      <c r="BQ151" s="379"/>
      <c r="BR151" s="379"/>
      <c r="BS151" s="380"/>
      <c r="BT151" s="380"/>
      <c r="BU151" s="381"/>
    </row>
    <row r="152" spans="7:73" ht="14.4">
      <c r="G152" s="370"/>
      <c r="H152" s="259"/>
      <c r="I152" s="259"/>
      <c r="J152" s="259"/>
      <c r="K152" s="259"/>
      <c r="L152" s="259"/>
      <c r="M152" s="259"/>
      <c r="N152" s="259"/>
      <c r="O152" s="259"/>
      <c r="P152" s="259"/>
      <c r="Q152" s="259"/>
      <c r="R152" s="259"/>
      <c r="S152" s="259"/>
      <c r="T152" s="259"/>
      <c r="U152" s="259"/>
      <c r="V152" s="259"/>
      <c r="W152" s="259"/>
      <c r="X152" s="259"/>
      <c r="Y152" s="259"/>
      <c r="Z152" s="259"/>
      <c r="AA152" s="259"/>
      <c r="AB152" s="259"/>
      <c r="AC152" s="259"/>
      <c r="AD152" s="259"/>
      <c r="AE152" s="259"/>
      <c r="AF152" s="259"/>
      <c r="AG152" s="259"/>
      <c r="AH152" s="259"/>
      <c r="AI152" s="259"/>
      <c r="AJ152" s="259"/>
      <c r="AK152" s="259"/>
      <c r="AL152" s="259"/>
      <c r="AM152" s="259"/>
      <c r="AN152" s="259"/>
      <c r="AO152" s="259"/>
      <c r="AP152" s="259"/>
      <c r="AQ152" s="259"/>
      <c r="AR152" s="259"/>
      <c r="AS152" s="259"/>
      <c r="AT152" s="259"/>
      <c r="AU152" s="259"/>
      <c r="AV152" s="259"/>
      <c r="AW152" s="259"/>
      <c r="AX152" s="259"/>
      <c r="AY152" s="259"/>
      <c r="AZ152" s="259"/>
      <c r="BA152" s="259"/>
      <c r="BB152" s="259"/>
      <c r="BC152" s="259"/>
      <c r="BD152" s="259"/>
      <c r="BE152" s="259"/>
      <c r="BF152" s="259"/>
      <c r="BG152" s="259"/>
      <c r="BH152" s="259"/>
      <c r="BI152" s="259"/>
      <c r="BJ152" s="259"/>
      <c r="BK152" s="259"/>
      <c r="BL152" s="371"/>
      <c r="BM152" s="378"/>
      <c r="BN152" s="379"/>
      <c r="BO152" s="379"/>
      <c r="BP152" s="379"/>
      <c r="BQ152" s="379"/>
      <c r="BR152" s="379"/>
      <c r="BS152" s="380"/>
      <c r="BT152" s="380"/>
      <c r="BU152" s="381"/>
    </row>
    <row r="153" spans="7:73" ht="14.4">
      <c r="G153" s="370"/>
      <c r="H153" s="259"/>
      <c r="I153" s="259"/>
      <c r="J153" s="259"/>
      <c r="K153" s="259"/>
      <c r="L153" s="259"/>
      <c r="M153" s="259"/>
      <c r="N153" s="259"/>
      <c r="O153" s="259"/>
      <c r="P153" s="259"/>
      <c r="Q153" s="259"/>
      <c r="R153" s="259"/>
      <c r="S153" s="259"/>
      <c r="T153" s="259"/>
      <c r="U153" s="259"/>
      <c r="V153" s="259"/>
      <c r="W153" s="259"/>
      <c r="X153" s="259"/>
      <c r="Y153" s="259"/>
      <c r="Z153" s="259"/>
      <c r="AA153" s="259"/>
      <c r="AB153" s="259"/>
      <c r="AC153" s="259"/>
      <c r="AD153" s="259"/>
      <c r="AE153" s="259"/>
      <c r="AF153" s="259"/>
      <c r="AG153" s="259"/>
      <c r="AH153" s="259"/>
      <c r="AI153" s="259"/>
      <c r="AJ153" s="259"/>
      <c r="AK153" s="259"/>
      <c r="AL153" s="259"/>
      <c r="AM153" s="259"/>
      <c r="AN153" s="259"/>
      <c r="AO153" s="259"/>
      <c r="AP153" s="259"/>
      <c r="AQ153" s="259"/>
      <c r="AR153" s="259"/>
      <c r="AS153" s="259"/>
      <c r="AT153" s="259"/>
      <c r="AU153" s="259"/>
      <c r="AV153" s="259"/>
      <c r="AW153" s="259"/>
      <c r="AX153" s="259"/>
      <c r="AY153" s="259"/>
      <c r="AZ153" s="259"/>
      <c r="BA153" s="259"/>
      <c r="BB153" s="259"/>
      <c r="BC153" s="259"/>
      <c r="BD153" s="259"/>
      <c r="BE153" s="259"/>
      <c r="BF153" s="259"/>
      <c r="BG153" s="259"/>
      <c r="BH153" s="259"/>
      <c r="BI153" s="259"/>
      <c r="BJ153" s="259"/>
      <c r="BK153" s="259"/>
      <c r="BL153" s="371"/>
      <c r="BM153" s="378"/>
      <c r="BN153" s="379"/>
      <c r="BO153" s="379"/>
      <c r="BP153" s="379"/>
      <c r="BQ153" s="379"/>
      <c r="BR153" s="379"/>
      <c r="BS153" s="380"/>
      <c r="BT153" s="380"/>
      <c r="BU153" s="381"/>
    </row>
    <row r="154" spans="7:73" ht="14.4">
      <c r="G154" s="370"/>
      <c r="H154" s="259"/>
      <c r="I154" s="259"/>
      <c r="J154" s="259"/>
      <c r="K154" s="259"/>
      <c r="L154" s="259"/>
      <c r="M154" s="259"/>
      <c r="N154" s="259"/>
      <c r="O154" s="259"/>
      <c r="P154" s="259"/>
      <c r="Q154" s="259"/>
      <c r="R154" s="259"/>
      <c r="S154" s="259"/>
      <c r="T154" s="259"/>
      <c r="U154" s="259"/>
      <c r="V154" s="259"/>
      <c r="W154" s="259"/>
      <c r="X154" s="259"/>
      <c r="Y154" s="259"/>
      <c r="Z154" s="259"/>
      <c r="AA154" s="259"/>
      <c r="AB154" s="259"/>
      <c r="AC154" s="259"/>
      <c r="AD154" s="259"/>
      <c r="AE154" s="259"/>
      <c r="AF154" s="259"/>
      <c r="AG154" s="259"/>
      <c r="AH154" s="259"/>
      <c r="AI154" s="259"/>
      <c r="AJ154" s="259"/>
      <c r="AK154" s="259"/>
      <c r="AL154" s="259"/>
      <c r="AM154" s="259"/>
      <c r="AN154" s="259"/>
      <c r="AO154" s="259"/>
      <c r="AP154" s="259"/>
      <c r="AQ154" s="259"/>
      <c r="AR154" s="259"/>
      <c r="AS154" s="259"/>
      <c r="AT154" s="259"/>
      <c r="AU154" s="259"/>
      <c r="AV154" s="259"/>
      <c r="AW154" s="259"/>
      <c r="AX154" s="259"/>
      <c r="AY154" s="259"/>
      <c r="AZ154" s="259"/>
      <c r="BA154" s="259"/>
      <c r="BB154" s="259"/>
      <c r="BC154" s="259"/>
      <c r="BD154" s="259"/>
      <c r="BE154" s="259"/>
      <c r="BF154" s="259"/>
      <c r="BG154" s="259"/>
      <c r="BH154" s="259"/>
      <c r="BI154" s="259"/>
      <c r="BJ154" s="259"/>
      <c r="BK154" s="259"/>
      <c r="BL154" s="371"/>
      <c r="BM154" s="378"/>
      <c r="BN154" s="379"/>
      <c r="BO154" s="379"/>
      <c r="BP154" s="379"/>
      <c r="BQ154" s="379"/>
      <c r="BR154" s="379"/>
      <c r="BS154" s="380"/>
      <c r="BT154" s="380"/>
      <c r="BU154" s="381"/>
    </row>
    <row r="155" spans="7:73" ht="14.4">
      <c r="G155" s="370"/>
      <c r="H155" s="259"/>
      <c r="I155" s="259"/>
      <c r="J155" s="259"/>
      <c r="K155" s="259"/>
      <c r="L155" s="259"/>
      <c r="M155" s="259"/>
      <c r="N155" s="259"/>
      <c r="O155" s="259"/>
      <c r="P155" s="259"/>
      <c r="Q155" s="259"/>
      <c r="R155" s="259"/>
      <c r="S155" s="259"/>
      <c r="T155" s="259"/>
      <c r="U155" s="259"/>
      <c r="V155" s="259"/>
      <c r="W155" s="259"/>
      <c r="X155" s="259"/>
      <c r="Y155" s="259"/>
      <c r="Z155" s="259"/>
      <c r="AA155" s="259"/>
      <c r="AB155" s="259"/>
      <c r="AC155" s="259"/>
      <c r="AD155" s="259"/>
      <c r="AE155" s="259"/>
      <c r="AF155" s="259"/>
      <c r="AG155" s="259"/>
      <c r="AH155" s="259"/>
      <c r="AI155" s="259"/>
      <c r="AJ155" s="259"/>
      <c r="AK155" s="259"/>
      <c r="AL155" s="259"/>
      <c r="AM155" s="259"/>
      <c r="AN155" s="259"/>
      <c r="AO155" s="259"/>
      <c r="AP155" s="259"/>
      <c r="AQ155" s="259"/>
      <c r="AR155" s="259"/>
      <c r="AS155" s="259"/>
      <c r="AT155" s="259"/>
      <c r="AU155" s="259"/>
      <c r="AV155" s="259"/>
      <c r="AW155" s="259"/>
      <c r="AX155" s="259"/>
      <c r="AY155" s="259"/>
      <c r="AZ155" s="259"/>
      <c r="BA155" s="259"/>
      <c r="BB155" s="259"/>
      <c r="BC155" s="259"/>
      <c r="BD155" s="259"/>
      <c r="BE155" s="259"/>
      <c r="BF155" s="259"/>
      <c r="BG155" s="259"/>
      <c r="BH155" s="259"/>
      <c r="BI155" s="259"/>
      <c r="BJ155" s="259"/>
      <c r="BK155" s="259"/>
      <c r="BL155" s="371"/>
      <c r="BM155" s="378"/>
      <c r="BN155" s="379"/>
      <c r="BO155" s="379"/>
      <c r="BP155" s="379"/>
      <c r="BQ155" s="379"/>
      <c r="BR155" s="379"/>
      <c r="BS155" s="380"/>
      <c r="BT155" s="380"/>
      <c r="BU155" s="381"/>
    </row>
    <row r="156" spans="7:73" ht="14.4">
      <c r="G156" s="370"/>
      <c r="H156" s="259"/>
      <c r="I156" s="259"/>
      <c r="J156" s="259"/>
      <c r="K156" s="259"/>
      <c r="L156" s="259"/>
      <c r="M156" s="259"/>
      <c r="N156" s="259"/>
      <c r="O156" s="259"/>
      <c r="P156" s="259"/>
      <c r="Q156" s="259"/>
      <c r="R156" s="259"/>
      <c r="S156" s="259"/>
      <c r="T156" s="259"/>
      <c r="U156" s="259"/>
      <c r="V156" s="259"/>
      <c r="W156" s="259"/>
      <c r="X156" s="259"/>
      <c r="Y156" s="259"/>
      <c r="Z156" s="259"/>
      <c r="AA156" s="259"/>
      <c r="AB156" s="259"/>
      <c r="AC156" s="259"/>
      <c r="AD156" s="259"/>
      <c r="AE156" s="259"/>
      <c r="AF156" s="259"/>
      <c r="AG156" s="259"/>
      <c r="AH156" s="259"/>
      <c r="AI156" s="259"/>
      <c r="AJ156" s="259"/>
      <c r="AK156" s="259"/>
      <c r="AL156" s="259"/>
      <c r="AM156" s="259"/>
      <c r="AN156" s="259"/>
      <c r="AO156" s="259"/>
      <c r="AP156" s="259"/>
      <c r="AQ156" s="259"/>
      <c r="AR156" s="259"/>
      <c r="AS156" s="259"/>
      <c r="AT156" s="259"/>
      <c r="AU156" s="259"/>
      <c r="AV156" s="259"/>
      <c r="AW156" s="259"/>
      <c r="AX156" s="259"/>
      <c r="AY156" s="259"/>
      <c r="AZ156" s="259"/>
      <c r="BA156" s="259"/>
      <c r="BB156" s="259"/>
      <c r="BC156" s="259"/>
      <c r="BD156" s="259"/>
      <c r="BE156" s="259"/>
      <c r="BF156" s="259"/>
      <c r="BG156" s="259"/>
      <c r="BH156" s="259"/>
      <c r="BI156" s="259"/>
      <c r="BJ156" s="259"/>
      <c r="BK156" s="259"/>
      <c r="BL156" s="371"/>
      <c r="BM156" s="378"/>
      <c r="BN156" s="379"/>
      <c r="BO156" s="379"/>
      <c r="BP156" s="379"/>
      <c r="BQ156" s="379"/>
      <c r="BR156" s="379"/>
      <c r="BS156" s="380"/>
      <c r="BT156" s="380"/>
      <c r="BU156" s="381"/>
    </row>
    <row r="157" spans="7:73" ht="14.4">
      <c r="G157" s="370"/>
      <c r="H157" s="259"/>
      <c r="I157" s="259"/>
      <c r="J157" s="259"/>
      <c r="K157" s="259"/>
      <c r="L157" s="259"/>
      <c r="M157" s="259"/>
      <c r="N157" s="259"/>
      <c r="O157" s="259"/>
      <c r="P157" s="259"/>
      <c r="Q157" s="259"/>
      <c r="R157" s="259"/>
      <c r="S157" s="259"/>
      <c r="T157" s="259"/>
      <c r="U157" s="259"/>
      <c r="V157" s="259"/>
      <c r="W157" s="259"/>
      <c r="X157" s="259"/>
      <c r="Y157" s="259"/>
      <c r="Z157" s="259"/>
      <c r="AA157" s="259"/>
      <c r="AB157" s="259"/>
      <c r="AC157" s="259"/>
      <c r="AD157" s="259"/>
      <c r="AE157" s="259"/>
      <c r="AF157" s="259"/>
      <c r="AG157" s="259"/>
      <c r="AH157" s="259"/>
      <c r="AI157" s="259"/>
      <c r="AJ157" s="259"/>
      <c r="AK157" s="259"/>
      <c r="AL157" s="259"/>
      <c r="AM157" s="259"/>
      <c r="AN157" s="259"/>
      <c r="AO157" s="259"/>
      <c r="AP157" s="259"/>
      <c r="AQ157" s="259"/>
      <c r="AR157" s="259"/>
      <c r="AS157" s="259"/>
      <c r="AT157" s="259"/>
      <c r="AU157" s="259"/>
      <c r="AV157" s="259"/>
      <c r="AW157" s="259"/>
      <c r="AX157" s="259"/>
      <c r="AY157" s="259"/>
      <c r="AZ157" s="259"/>
      <c r="BA157" s="259"/>
      <c r="BB157" s="259"/>
      <c r="BC157" s="259"/>
      <c r="BD157" s="259"/>
      <c r="BE157" s="259"/>
      <c r="BF157" s="259"/>
      <c r="BG157" s="259"/>
      <c r="BH157" s="259"/>
      <c r="BI157" s="259"/>
      <c r="BJ157" s="259"/>
      <c r="BK157" s="259"/>
      <c r="BL157" s="371"/>
      <c r="BM157" s="378"/>
      <c r="BN157" s="379"/>
      <c r="BO157" s="379"/>
      <c r="BP157" s="379"/>
      <c r="BQ157" s="379"/>
      <c r="BR157" s="379"/>
      <c r="BS157" s="380"/>
      <c r="BT157" s="380"/>
      <c r="BU157" s="381"/>
    </row>
    <row r="158" spans="7:73" ht="14.4">
      <c r="G158" s="370"/>
      <c r="H158" s="259"/>
      <c r="I158" s="259"/>
      <c r="J158" s="259"/>
      <c r="K158" s="259"/>
      <c r="L158" s="259"/>
      <c r="M158" s="259"/>
      <c r="N158" s="259"/>
      <c r="O158" s="259"/>
      <c r="P158" s="259"/>
      <c r="Q158" s="259"/>
      <c r="R158" s="259"/>
      <c r="S158" s="259"/>
      <c r="T158" s="259"/>
      <c r="U158" s="259"/>
      <c r="V158" s="259"/>
      <c r="W158" s="259"/>
      <c r="X158" s="259"/>
      <c r="Y158" s="259"/>
      <c r="Z158" s="259"/>
      <c r="AA158" s="259"/>
      <c r="AB158" s="259"/>
      <c r="AC158" s="259"/>
      <c r="AD158" s="259"/>
      <c r="AE158" s="259"/>
      <c r="AF158" s="259"/>
      <c r="AG158" s="259"/>
      <c r="AH158" s="259"/>
      <c r="AI158" s="259"/>
      <c r="AJ158" s="259"/>
      <c r="AK158" s="259"/>
      <c r="AL158" s="259"/>
      <c r="AM158" s="259"/>
      <c r="AN158" s="259"/>
      <c r="AO158" s="259"/>
      <c r="AP158" s="259"/>
      <c r="AQ158" s="259"/>
      <c r="AR158" s="259"/>
      <c r="AS158" s="259"/>
      <c r="AT158" s="259"/>
      <c r="AU158" s="259"/>
      <c r="AV158" s="259"/>
      <c r="AW158" s="259"/>
      <c r="AX158" s="259"/>
      <c r="AY158" s="259"/>
      <c r="AZ158" s="259"/>
      <c r="BA158" s="259"/>
      <c r="BB158" s="259"/>
      <c r="BC158" s="259"/>
      <c r="BD158" s="259"/>
      <c r="BE158" s="259"/>
      <c r="BF158" s="259"/>
      <c r="BG158" s="259"/>
      <c r="BH158" s="259"/>
      <c r="BI158" s="259"/>
      <c r="BJ158" s="259"/>
      <c r="BK158" s="259"/>
      <c r="BL158" s="371"/>
      <c r="BM158" s="378"/>
      <c r="BN158" s="379"/>
      <c r="BO158" s="379"/>
      <c r="BP158" s="379"/>
      <c r="BQ158" s="379"/>
      <c r="BR158" s="379"/>
      <c r="BS158" s="380"/>
      <c r="BT158" s="380"/>
      <c r="BU158" s="381"/>
    </row>
    <row r="159" spans="7:73" ht="14.4">
      <c r="G159" s="370"/>
      <c r="H159" s="259"/>
      <c r="I159" s="259"/>
      <c r="J159" s="259"/>
      <c r="K159" s="259"/>
      <c r="L159" s="259"/>
      <c r="M159" s="259"/>
      <c r="N159" s="259"/>
      <c r="O159" s="259"/>
      <c r="P159" s="259"/>
      <c r="Q159" s="259"/>
      <c r="R159" s="259"/>
      <c r="S159" s="259"/>
      <c r="T159" s="259"/>
      <c r="U159" s="259"/>
      <c r="V159" s="259"/>
      <c r="W159" s="259"/>
      <c r="X159" s="259"/>
      <c r="Y159" s="259"/>
      <c r="Z159" s="259"/>
      <c r="AA159" s="259"/>
      <c r="AB159" s="259"/>
      <c r="AC159" s="259"/>
      <c r="AD159" s="259"/>
      <c r="AE159" s="259"/>
      <c r="AF159" s="259"/>
      <c r="AG159" s="259"/>
      <c r="AH159" s="259"/>
      <c r="AI159" s="259"/>
      <c r="AJ159" s="259"/>
      <c r="AK159" s="259"/>
      <c r="AL159" s="259"/>
      <c r="AM159" s="259"/>
      <c r="AN159" s="259"/>
      <c r="AO159" s="259"/>
      <c r="AP159" s="259"/>
      <c r="AQ159" s="259"/>
      <c r="AR159" s="259"/>
      <c r="AS159" s="259"/>
      <c r="AT159" s="259"/>
      <c r="AU159" s="259"/>
      <c r="AV159" s="259"/>
      <c r="AW159" s="259"/>
      <c r="AX159" s="259"/>
      <c r="AY159" s="259"/>
      <c r="AZ159" s="259"/>
      <c r="BA159" s="259"/>
      <c r="BB159" s="259"/>
      <c r="BC159" s="259"/>
      <c r="BD159" s="259"/>
      <c r="BE159" s="259"/>
      <c r="BF159" s="259"/>
      <c r="BG159" s="259"/>
      <c r="BH159" s="259"/>
      <c r="BI159" s="259"/>
      <c r="BJ159" s="259"/>
      <c r="BK159" s="259"/>
      <c r="BL159" s="371"/>
      <c r="BM159" s="378"/>
      <c r="BN159" s="379"/>
      <c r="BO159" s="379"/>
      <c r="BP159" s="379"/>
      <c r="BQ159" s="379"/>
      <c r="BR159" s="379"/>
      <c r="BS159" s="380"/>
      <c r="BT159" s="380"/>
      <c r="BU159" s="381"/>
    </row>
    <row r="160" spans="7:73" ht="14.4">
      <c r="G160" s="370"/>
      <c r="H160" s="259"/>
      <c r="I160" s="259"/>
      <c r="J160" s="259"/>
      <c r="K160" s="259"/>
      <c r="L160" s="259"/>
      <c r="M160" s="259"/>
      <c r="N160" s="259"/>
      <c r="O160" s="259"/>
      <c r="P160" s="259"/>
      <c r="Q160" s="259"/>
      <c r="R160" s="259"/>
      <c r="S160" s="259"/>
      <c r="T160" s="259"/>
      <c r="U160" s="259"/>
      <c r="V160" s="259"/>
      <c r="W160" s="259"/>
      <c r="X160" s="259"/>
      <c r="Y160" s="259"/>
      <c r="Z160" s="259"/>
      <c r="AA160" s="259"/>
      <c r="AB160" s="259"/>
      <c r="AC160" s="259"/>
      <c r="AD160" s="259"/>
      <c r="AE160" s="259"/>
      <c r="AF160" s="259"/>
      <c r="AG160" s="259"/>
      <c r="AH160" s="259"/>
      <c r="AI160" s="259"/>
      <c r="AJ160" s="259"/>
      <c r="AK160" s="259"/>
      <c r="AL160" s="259"/>
      <c r="AM160" s="259"/>
      <c r="AN160" s="259"/>
      <c r="AO160" s="259"/>
      <c r="AP160" s="259"/>
      <c r="AQ160" s="259"/>
      <c r="AR160" s="259"/>
      <c r="AS160" s="259"/>
      <c r="AT160" s="259"/>
      <c r="AU160" s="259"/>
      <c r="AV160" s="259"/>
      <c r="AW160" s="259"/>
      <c r="AX160" s="259"/>
      <c r="AY160" s="259"/>
      <c r="AZ160" s="259"/>
      <c r="BA160" s="259"/>
      <c r="BB160" s="259"/>
      <c r="BC160" s="259"/>
      <c r="BD160" s="259"/>
      <c r="BE160" s="259"/>
      <c r="BF160" s="259"/>
      <c r="BG160" s="259"/>
      <c r="BH160" s="259"/>
      <c r="BI160" s="259"/>
      <c r="BJ160" s="259"/>
      <c r="BK160" s="259"/>
      <c r="BL160" s="371"/>
      <c r="BM160" s="378"/>
      <c r="BN160" s="379"/>
      <c r="BO160" s="379"/>
      <c r="BP160" s="379"/>
      <c r="BQ160" s="379"/>
      <c r="BR160" s="379"/>
      <c r="BS160" s="380"/>
      <c r="BT160" s="380"/>
      <c r="BU160" s="381"/>
    </row>
    <row r="161" spans="7:73" ht="14.4">
      <c r="G161" s="370"/>
      <c r="H161" s="259"/>
      <c r="I161" s="259"/>
      <c r="J161" s="259"/>
      <c r="K161" s="259"/>
      <c r="L161" s="259"/>
      <c r="M161" s="259"/>
      <c r="N161" s="259"/>
      <c r="O161" s="259"/>
      <c r="P161" s="259"/>
      <c r="Q161" s="259"/>
      <c r="R161" s="259"/>
      <c r="S161" s="259"/>
      <c r="T161" s="259"/>
      <c r="U161" s="259"/>
      <c r="V161" s="259"/>
      <c r="W161" s="259"/>
      <c r="X161" s="259"/>
      <c r="Y161" s="259"/>
      <c r="Z161" s="259"/>
      <c r="AA161" s="259"/>
      <c r="AB161" s="259"/>
      <c r="AC161" s="259"/>
      <c r="AD161" s="259"/>
      <c r="AE161" s="259"/>
      <c r="AF161" s="259"/>
      <c r="AG161" s="259"/>
      <c r="AH161" s="259"/>
      <c r="AI161" s="259"/>
      <c r="AJ161" s="259"/>
      <c r="AK161" s="259"/>
      <c r="AL161" s="259"/>
      <c r="AM161" s="259"/>
      <c r="AN161" s="259"/>
      <c r="AO161" s="259"/>
      <c r="AP161" s="259"/>
      <c r="AQ161" s="259"/>
      <c r="AR161" s="259"/>
      <c r="AS161" s="259"/>
      <c r="AT161" s="259"/>
      <c r="AU161" s="259"/>
      <c r="AV161" s="259"/>
      <c r="AW161" s="259"/>
      <c r="AX161" s="259"/>
      <c r="AY161" s="259"/>
      <c r="AZ161" s="259"/>
      <c r="BA161" s="259"/>
      <c r="BB161" s="259"/>
      <c r="BC161" s="259"/>
      <c r="BD161" s="259"/>
      <c r="BE161" s="259"/>
      <c r="BF161" s="259"/>
      <c r="BG161" s="259"/>
      <c r="BH161" s="259"/>
      <c r="BI161" s="259"/>
      <c r="BJ161" s="259"/>
      <c r="BK161" s="259"/>
      <c r="BL161" s="371"/>
      <c r="BM161" s="378"/>
      <c r="BN161" s="379"/>
      <c r="BO161" s="379"/>
      <c r="BP161" s="379"/>
      <c r="BQ161" s="379"/>
      <c r="BR161" s="379"/>
      <c r="BS161" s="380"/>
      <c r="BT161" s="380"/>
      <c r="BU161" s="381"/>
    </row>
    <row r="162" spans="7:73" ht="14.4">
      <c r="G162" s="370"/>
      <c r="H162" s="259"/>
      <c r="I162" s="259"/>
      <c r="J162" s="259"/>
      <c r="K162" s="259"/>
      <c r="L162" s="259"/>
      <c r="M162" s="259"/>
      <c r="N162" s="259"/>
      <c r="O162" s="259"/>
      <c r="P162" s="259"/>
      <c r="Q162" s="259"/>
      <c r="R162" s="259"/>
      <c r="S162" s="259"/>
      <c r="T162" s="259"/>
      <c r="U162" s="259"/>
      <c r="V162" s="259"/>
      <c r="W162" s="259"/>
      <c r="X162" s="259"/>
      <c r="Y162" s="259"/>
      <c r="Z162" s="259"/>
      <c r="AA162" s="259"/>
      <c r="AB162" s="259"/>
      <c r="AC162" s="259"/>
      <c r="AD162" s="259"/>
      <c r="AE162" s="259"/>
      <c r="AF162" s="259"/>
      <c r="AG162" s="259"/>
      <c r="AH162" s="259"/>
      <c r="AI162" s="259"/>
      <c r="AJ162" s="259"/>
      <c r="AK162" s="259"/>
      <c r="AL162" s="259"/>
      <c r="AM162" s="259"/>
      <c r="AN162" s="259"/>
      <c r="AO162" s="259"/>
      <c r="AP162" s="259"/>
      <c r="AQ162" s="259"/>
      <c r="AR162" s="259"/>
      <c r="AS162" s="259"/>
      <c r="AT162" s="259"/>
      <c r="AU162" s="259"/>
      <c r="AV162" s="259"/>
      <c r="AW162" s="259"/>
      <c r="AX162" s="259"/>
      <c r="AY162" s="259"/>
      <c r="AZ162" s="259"/>
      <c r="BA162" s="259"/>
      <c r="BB162" s="259"/>
      <c r="BC162" s="259"/>
      <c r="BD162" s="259"/>
      <c r="BE162" s="259"/>
      <c r="BF162" s="259"/>
      <c r="BG162" s="259"/>
      <c r="BH162" s="259"/>
      <c r="BI162" s="259"/>
      <c r="BJ162" s="259"/>
      <c r="BK162" s="259"/>
      <c r="BL162" s="371"/>
      <c r="BM162" s="378"/>
      <c r="BN162" s="379"/>
      <c r="BO162" s="379"/>
      <c r="BP162" s="379"/>
      <c r="BQ162" s="379"/>
      <c r="BR162" s="379"/>
      <c r="BS162" s="380"/>
      <c r="BT162" s="380"/>
      <c r="BU162" s="381"/>
    </row>
    <row r="163" spans="7:73" ht="14.4">
      <c r="G163" s="370"/>
      <c r="H163" s="259"/>
      <c r="I163" s="259"/>
      <c r="J163" s="259"/>
      <c r="K163" s="259"/>
      <c r="L163" s="259"/>
      <c r="M163" s="259"/>
      <c r="N163" s="259"/>
      <c r="O163" s="259"/>
      <c r="P163" s="259"/>
      <c r="Q163" s="259"/>
      <c r="R163" s="259"/>
      <c r="S163" s="259"/>
      <c r="T163" s="259"/>
      <c r="U163" s="259"/>
      <c r="V163" s="259"/>
      <c r="W163" s="259"/>
      <c r="X163" s="259"/>
      <c r="Y163" s="259"/>
      <c r="Z163" s="259"/>
      <c r="AA163" s="259"/>
      <c r="AB163" s="259"/>
      <c r="AC163" s="259"/>
      <c r="AD163" s="259"/>
      <c r="AE163" s="259"/>
      <c r="AF163" s="259"/>
      <c r="AG163" s="259"/>
      <c r="AH163" s="259"/>
      <c r="AI163" s="259"/>
      <c r="AJ163" s="259"/>
      <c r="AK163" s="259"/>
      <c r="AL163" s="259"/>
      <c r="AM163" s="259"/>
      <c r="AN163" s="259"/>
      <c r="AO163" s="259"/>
      <c r="AP163" s="259"/>
      <c r="AQ163" s="259"/>
      <c r="AR163" s="259"/>
      <c r="AS163" s="259"/>
      <c r="AT163" s="259"/>
      <c r="AU163" s="259"/>
      <c r="AV163" s="259"/>
      <c r="AW163" s="259"/>
      <c r="AX163" s="259"/>
      <c r="AY163" s="259"/>
      <c r="AZ163" s="259"/>
      <c r="BA163" s="259"/>
      <c r="BB163" s="259"/>
      <c r="BC163" s="259"/>
      <c r="BD163" s="259"/>
      <c r="BE163" s="259"/>
      <c r="BF163" s="259"/>
      <c r="BG163" s="259"/>
      <c r="BH163" s="259"/>
      <c r="BI163" s="259"/>
      <c r="BJ163" s="259"/>
      <c r="BK163" s="259"/>
      <c r="BL163" s="371"/>
      <c r="BM163" s="378"/>
      <c r="BN163" s="379"/>
      <c r="BO163" s="379"/>
      <c r="BP163" s="379"/>
      <c r="BQ163" s="379"/>
      <c r="BR163" s="379"/>
      <c r="BS163" s="380"/>
      <c r="BT163" s="380"/>
      <c r="BU163" s="381"/>
    </row>
    <row r="164" spans="7:73" ht="14.4">
      <c r="G164" s="370"/>
      <c r="H164" s="259"/>
      <c r="I164" s="259"/>
      <c r="J164" s="259"/>
      <c r="K164" s="259"/>
      <c r="L164" s="259"/>
      <c r="M164" s="259"/>
      <c r="N164" s="259"/>
      <c r="O164" s="259"/>
      <c r="P164" s="259"/>
      <c r="Q164" s="259"/>
      <c r="R164" s="259"/>
      <c r="S164" s="259"/>
      <c r="T164" s="259"/>
      <c r="U164" s="259"/>
      <c r="V164" s="259"/>
      <c r="W164" s="259"/>
      <c r="X164" s="259"/>
      <c r="Y164" s="259"/>
      <c r="Z164" s="259"/>
      <c r="AA164" s="259"/>
      <c r="AB164" s="259"/>
      <c r="AC164" s="259"/>
      <c r="AD164" s="259"/>
      <c r="AE164" s="259"/>
      <c r="AF164" s="259"/>
      <c r="AG164" s="259"/>
      <c r="AH164" s="259"/>
      <c r="AI164" s="259"/>
      <c r="AJ164" s="259"/>
      <c r="AK164" s="259"/>
      <c r="AL164" s="259"/>
      <c r="AM164" s="259"/>
      <c r="AN164" s="259"/>
      <c r="AO164" s="259"/>
      <c r="AP164" s="259"/>
      <c r="AQ164" s="259"/>
      <c r="AR164" s="259"/>
      <c r="AS164" s="259"/>
      <c r="AT164" s="259"/>
      <c r="AU164" s="259"/>
      <c r="AV164" s="259"/>
      <c r="AW164" s="259"/>
      <c r="AX164" s="259"/>
      <c r="AY164" s="259"/>
      <c r="AZ164" s="259"/>
      <c r="BA164" s="259"/>
      <c r="BB164" s="259"/>
      <c r="BC164" s="259"/>
      <c r="BD164" s="259"/>
      <c r="BE164" s="259"/>
      <c r="BF164" s="259"/>
      <c r="BG164" s="259"/>
      <c r="BH164" s="259"/>
      <c r="BI164" s="259"/>
      <c r="BJ164" s="259"/>
      <c r="BK164" s="259"/>
      <c r="BL164" s="371"/>
      <c r="BM164" s="378"/>
      <c r="BN164" s="379"/>
      <c r="BO164" s="379"/>
      <c r="BP164" s="379"/>
      <c r="BQ164" s="379"/>
      <c r="BR164" s="379"/>
      <c r="BS164" s="380"/>
      <c r="BT164" s="380"/>
      <c r="BU164" s="381"/>
    </row>
    <row r="165" spans="7:73" ht="14.4">
      <c r="G165" s="370"/>
      <c r="H165" s="259"/>
      <c r="I165" s="259"/>
      <c r="J165" s="259"/>
      <c r="K165" s="259"/>
      <c r="L165" s="259"/>
      <c r="M165" s="259"/>
      <c r="N165" s="259"/>
      <c r="O165" s="259"/>
      <c r="P165" s="259"/>
      <c r="Q165" s="259"/>
      <c r="R165" s="259"/>
      <c r="S165" s="259"/>
      <c r="T165" s="259"/>
      <c r="U165" s="259"/>
      <c r="V165" s="259"/>
      <c r="W165" s="259"/>
      <c r="X165" s="259"/>
      <c r="Y165" s="259"/>
      <c r="Z165" s="259"/>
      <c r="AA165" s="259"/>
      <c r="AB165" s="259"/>
      <c r="AC165" s="259"/>
      <c r="AD165" s="259"/>
      <c r="AE165" s="259"/>
      <c r="AF165" s="259"/>
      <c r="AG165" s="259"/>
      <c r="AH165" s="259"/>
      <c r="AI165" s="259"/>
      <c r="AJ165" s="259"/>
      <c r="AK165" s="259"/>
      <c r="AL165" s="259"/>
      <c r="AM165" s="259"/>
      <c r="AN165" s="259"/>
      <c r="AO165" s="259"/>
      <c r="AP165" s="259"/>
      <c r="AQ165" s="259"/>
      <c r="AR165" s="259"/>
      <c r="AS165" s="259"/>
      <c r="AT165" s="259"/>
      <c r="AU165" s="259"/>
      <c r="AV165" s="259"/>
      <c r="AW165" s="259"/>
      <c r="AX165" s="259"/>
      <c r="AY165" s="259"/>
      <c r="AZ165" s="259"/>
      <c r="BA165" s="259"/>
      <c r="BB165" s="259"/>
      <c r="BC165" s="259"/>
      <c r="BD165" s="259"/>
      <c r="BE165" s="259"/>
      <c r="BF165" s="259"/>
      <c r="BG165" s="259"/>
      <c r="BH165" s="259"/>
      <c r="BI165" s="259"/>
      <c r="BJ165" s="259"/>
      <c r="BK165" s="259"/>
      <c r="BL165" s="371"/>
      <c r="BM165" s="378"/>
      <c r="BN165" s="379"/>
      <c r="BO165" s="379"/>
      <c r="BP165" s="379"/>
      <c r="BQ165" s="379"/>
      <c r="BR165" s="379"/>
      <c r="BS165" s="380"/>
      <c r="BT165" s="380"/>
      <c r="BU165" s="381"/>
    </row>
    <row r="166" spans="7:73" ht="14.4">
      <c r="G166" s="370"/>
      <c r="H166" s="259"/>
      <c r="I166" s="259"/>
      <c r="J166" s="259"/>
      <c r="K166" s="259"/>
      <c r="L166" s="259"/>
      <c r="M166" s="259"/>
      <c r="N166" s="259"/>
      <c r="O166" s="259"/>
      <c r="P166" s="259"/>
      <c r="Q166" s="259"/>
      <c r="R166" s="259"/>
      <c r="S166" s="259"/>
      <c r="T166" s="259"/>
      <c r="U166" s="259"/>
      <c r="V166" s="259"/>
      <c r="W166" s="259"/>
      <c r="X166" s="259"/>
      <c r="Y166" s="259"/>
      <c r="Z166" s="259"/>
      <c r="AA166" s="259"/>
      <c r="AB166" s="259"/>
      <c r="AC166" s="259"/>
      <c r="AD166" s="259"/>
      <c r="AE166" s="259"/>
      <c r="AF166" s="259"/>
      <c r="AG166" s="259"/>
      <c r="AH166" s="259"/>
      <c r="AI166" s="259"/>
      <c r="AJ166" s="259"/>
      <c r="AK166" s="259"/>
      <c r="AL166" s="259"/>
      <c r="AM166" s="259"/>
      <c r="AN166" s="259"/>
      <c r="AO166" s="259"/>
      <c r="AP166" s="259"/>
      <c r="AQ166" s="259"/>
      <c r="AR166" s="259"/>
      <c r="AS166" s="259"/>
      <c r="AT166" s="259"/>
      <c r="AU166" s="259"/>
      <c r="AV166" s="259"/>
      <c r="AW166" s="259"/>
      <c r="AX166" s="259"/>
      <c r="AY166" s="259"/>
      <c r="AZ166" s="259"/>
      <c r="BA166" s="259"/>
      <c r="BB166" s="259"/>
      <c r="BC166" s="259"/>
      <c r="BD166" s="259"/>
      <c r="BE166" s="259"/>
      <c r="BF166" s="259"/>
      <c r="BG166" s="259"/>
      <c r="BH166" s="259"/>
      <c r="BI166" s="259"/>
      <c r="BJ166" s="259"/>
      <c r="BK166" s="259"/>
      <c r="BL166" s="371"/>
      <c r="BM166" s="378"/>
      <c r="BN166" s="379"/>
      <c r="BO166" s="379"/>
      <c r="BP166" s="379"/>
      <c r="BQ166" s="379"/>
      <c r="BR166" s="379"/>
      <c r="BS166" s="380"/>
      <c r="BT166" s="380"/>
      <c r="BU166" s="381"/>
    </row>
    <row r="167" spans="7:73" ht="14.4">
      <c r="G167" s="370"/>
      <c r="H167" s="259"/>
      <c r="I167" s="259"/>
      <c r="J167" s="259"/>
      <c r="K167" s="259"/>
      <c r="L167" s="259"/>
      <c r="M167" s="259"/>
      <c r="N167" s="259"/>
      <c r="O167" s="259"/>
      <c r="P167" s="259"/>
      <c r="Q167" s="259"/>
      <c r="R167" s="259"/>
      <c r="S167" s="259"/>
      <c r="T167" s="259"/>
      <c r="U167" s="259"/>
      <c r="V167" s="259"/>
      <c r="W167" s="259"/>
      <c r="X167" s="259"/>
      <c r="Y167" s="259"/>
      <c r="Z167" s="259"/>
      <c r="AA167" s="259"/>
      <c r="AB167" s="259"/>
      <c r="AC167" s="259"/>
      <c r="AD167" s="259"/>
      <c r="AE167" s="259"/>
      <c r="AF167" s="259"/>
      <c r="AG167" s="259"/>
      <c r="AH167" s="259"/>
      <c r="AI167" s="259"/>
      <c r="AJ167" s="259"/>
      <c r="AK167" s="259"/>
      <c r="AL167" s="259"/>
      <c r="AM167" s="259"/>
      <c r="AN167" s="259"/>
      <c r="AO167" s="259"/>
      <c r="AP167" s="259"/>
      <c r="AQ167" s="259"/>
      <c r="AR167" s="259"/>
      <c r="AS167" s="259"/>
      <c r="AT167" s="259"/>
      <c r="AU167" s="259"/>
      <c r="AV167" s="259"/>
      <c r="AW167" s="259"/>
      <c r="AX167" s="259"/>
      <c r="AY167" s="259"/>
      <c r="AZ167" s="259"/>
      <c r="BA167" s="259"/>
      <c r="BB167" s="259"/>
      <c r="BC167" s="259"/>
      <c r="BD167" s="259"/>
      <c r="BE167" s="259"/>
      <c r="BF167" s="259"/>
      <c r="BG167" s="259"/>
      <c r="BH167" s="259"/>
      <c r="BI167" s="259"/>
      <c r="BJ167" s="259"/>
      <c r="BK167" s="259"/>
      <c r="BL167" s="371"/>
      <c r="BM167" s="378"/>
      <c r="BN167" s="379"/>
      <c r="BO167" s="379"/>
      <c r="BP167" s="379"/>
      <c r="BQ167" s="379"/>
      <c r="BR167" s="379"/>
      <c r="BS167" s="380"/>
      <c r="BT167" s="380"/>
      <c r="BU167" s="381"/>
    </row>
    <row r="168" spans="7:73" ht="14.4">
      <c r="G168" s="370"/>
      <c r="H168" s="259"/>
      <c r="I168" s="259"/>
      <c r="J168" s="259"/>
      <c r="K168" s="259"/>
      <c r="L168" s="259"/>
      <c r="M168" s="259"/>
      <c r="N168" s="259"/>
      <c r="O168" s="259"/>
      <c r="P168" s="259"/>
      <c r="Q168" s="259"/>
      <c r="R168" s="259"/>
      <c r="S168" s="259"/>
      <c r="T168" s="259"/>
      <c r="U168" s="259"/>
      <c r="V168" s="259"/>
      <c r="W168" s="259"/>
      <c r="X168" s="259"/>
      <c r="Y168" s="259"/>
      <c r="Z168" s="259"/>
      <c r="AA168" s="259"/>
      <c r="AB168" s="259"/>
      <c r="AC168" s="259"/>
      <c r="AD168" s="259"/>
      <c r="AE168" s="259"/>
      <c r="AF168" s="259"/>
      <c r="AG168" s="259"/>
      <c r="AH168" s="259"/>
      <c r="AI168" s="259"/>
      <c r="AJ168" s="259"/>
      <c r="AK168" s="259"/>
      <c r="AL168" s="259"/>
      <c r="AM168" s="259"/>
      <c r="AN168" s="259"/>
      <c r="AO168" s="259"/>
      <c r="AP168" s="259"/>
      <c r="AQ168" s="259"/>
      <c r="AR168" s="259"/>
      <c r="AS168" s="259"/>
      <c r="AT168" s="259"/>
      <c r="AU168" s="259"/>
      <c r="AV168" s="259"/>
      <c r="AW168" s="259"/>
      <c r="AX168" s="259"/>
      <c r="AY168" s="259"/>
      <c r="AZ168" s="259"/>
      <c r="BA168" s="259"/>
      <c r="BB168" s="259"/>
      <c r="BC168" s="259"/>
      <c r="BD168" s="259"/>
      <c r="BE168" s="259"/>
      <c r="BF168" s="259"/>
      <c r="BG168" s="259"/>
      <c r="BH168" s="259"/>
      <c r="BI168" s="259"/>
      <c r="BJ168" s="259"/>
      <c r="BK168" s="259"/>
      <c r="BL168" s="371"/>
      <c r="BM168" s="378"/>
      <c r="BN168" s="379"/>
      <c r="BO168" s="379"/>
      <c r="BP168" s="379"/>
      <c r="BQ168" s="379"/>
      <c r="BR168" s="379"/>
      <c r="BS168" s="380"/>
      <c r="BT168" s="380"/>
      <c r="BU168" s="381"/>
    </row>
    <row r="169" spans="7:73" ht="14.4">
      <c r="G169" s="370"/>
      <c r="H169" s="259"/>
      <c r="I169" s="259"/>
      <c r="J169" s="259"/>
      <c r="K169" s="259"/>
      <c r="L169" s="259"/>
      <c r="M169" s="259"/>
      <c r="N169" s="259"/>
      <c r="O169" s="259"/>
      <c r="P169" s="259"/>
      <c r="Q169" s="259"/>
      <c r="R169" s="259"/>
      <c r="S169" s="259"/>
      <c r="T169" s="259"/>
      <c r="U169" s="259"/>
      <c r="V169" s="259"/>
      <c r="W169" s="259"/>
      <c r="X169" s="259"/>
      <c r="Y169" s="259"/>
      <c r="Z169" s="259"/>
      <c r="AA169" s="259"/>
      <c r="AB169" s="259"/>
      <c r="AC169" s="259"/>
      <c r="AD169" s="259"/>
      <c r="AE169" s="259"/>
      <c r="AF169" s="259"/>
      <c r="AG169" s="259"/>
      <c r="AH169" s="259"/>
      <c r="AI169" s="259"/>
      <c r="AJ169" s="259"/>
      <c r="AK169" s="259"/>
      <c r="AL169" s="259"/>
      <c r="AM169" s="259"/>
      <c r="AN169" s="259"/>
      <c r="AO169" s="259"/>
      <c r="AP169" s="259"/>
      <c r="AQ169" s="259"/>
      <c r="AR169" s="259"/>
      <c r="AS169" s="259"/>
      <c r="AT169" s="259"/>
      <c r="AU169" s="259"/>
      <c r="AV169" s="259"/>
      <c r="AW169" s="259"/>
      <c r="AX169" s="259"/>
      <c r="AY169" s="259"/>
      <c r="AZ169" s="259"/>
      <c r="BA169" s="259"/>
      <c r="BB169" s="259"/>
      <c r="BC169" s="259"/>
      <c r="BD169" s="259"/>
      <c r="BE169" s="259"/>
      <c r="BF169" s="259"/>
      <c r="BG169" s="259"/>
      <c r="BH169" s="259"/>
      <c r="BI169" s="259"/>
      <c r="BJ169" s="259"/>
      <c r="BK169" s="259"/>
      <c r="BL169" s="371"/>
      <c r="BM169" s="378"/>
      <c r="BN169" s="379"/>
      <c r="BO169" s="379"/>
      <c r="BP169" s="379"/>
      <c r="BQ169" s="379"/>
      <c r="BR169" s="379"/>
      <c r="BS169" s="380"/>
      <c r="BT169" s="380"/>
      <c r="BU169" s="381"/>
    </row>
    <row r="170" spans="7:73" ht="14.4">
      <c r="G170" s="370"/>
      <c r="H170" s="259"/>
      <c r="I170" s="259"/>
      <c r="J170" s="259"/>
      <c r="K170" s="259"/>
      <c r="L170" s="259"/>
      <c r="M170" s="259"/>
      <c r="N170" s="259"/>
      <c r="O170" s="259"/>
      <c r="P170" s="259"/>
      <c r="Q170" s="259"/>
      <c r="R170" s="259"/>
      <c r="S170" s="259"/>
      <c r="T170" s="259"/>
      <c r="U170" s="259"/>
      <c r="V170" s="259"/>
      <c r="W170" s="259"/>
      <c r="X170" s="259"/>
      <c r="Y170" s="259"/>
      <c r="Z170" s="259"/>
      <c r="AA170" s="259"/>
      <c r="AB170" s="259"/>
      <c r="AC170" s="259"/>
      <c r="AD170" s="259"/>
      <c r="AE170" s="259"/>
      <c r="AF170" s="259"/>
      <c r="AG170" s="259"/>
      <c r="AH170" s="259"/>
      <c r="AI170" s="259"/>
      <c r="AJ170" s="259"/>
      <c r="AK170" s="259"/>
      <c r="AL170" s="259"/>
      <c r="AM170" s="259"/>
      <c r="AN170" s="259"/>
      <c r="AO170" s="259"/>
      <c r="AP170" s="259"/>
      <c r="AQ170" s="259"/>
      <c r="AR170" s="259"/>
      <c r="AS170" s="259"/>
      <c r="AT170" s="259"/>
      <c r="AU170" s="259"/>
      <c r="AV170" s="259"/>
      <c r="AW170" s="259"/>
      <c r="AX170" s="259"/>
      <c r="AY170" s="259"/>
      <c r="AZ170" s="259"/>
      <c r="BA170" s="259"/>
      <c r="BB170" s="259"/>
      <c r="BC170" s="259"/>
      <c r="BD170" s="259"/>
      <c r="BE170" s="259"/>
      <c r="BF170" s="259"/>
      <c r="BG170" s="259"/>
      <c r="BH170" s="259"/>
      <c r="BI170" s="259"/>
      <c r="BJ170" s="259"/>
      <c r="BK170" s="259"/>
      <c r="BL170" s="371"/>
      <c r="BM170" s="378"/>
      <c r="BN170" s="379"/>
      <c r="BO170" s="379"/>
      <c r="BP170" s="379"/>
      <c r="BQ170" s="379"/>
      <c r="BR170" s="379"/>
      <c r="BS170" s="380"/>
      <c r="BT170" s="380"/>
      <c r="BU170" s="381"/>
    </row>
    <row r="171" spans="7:73" ht="14.4">
      <c r="G171" s="370"/>
      <c r="H171" s="259"/>
      <c r="I171" s="259"/>
      <c r="J171" s="259"/>
      <c r="K171" s="259"/>
      <c r="L171" s="259"/>
      <c r="M171" s="259"/>
      <c r="N171" s="259"/>
      <c r="O171" s="259"/>
      <c r="P171" s="259"/>
      <c r="Q171" s="259"/>
      <c r="R171" s="259"/>
      <c r="S171" s="259"/>
      <c r="T171" s="259"/>
      <c r="U171" s="259"/>
      <c r="V171" s="259"/>
      <c r="W171" s="259"/>
      <c r="X171" s="259"/>
      <c r="Y171" s="259"/>
      <c r="Z171" s="259"/>
      <c r="AA171" s="259"/>
      <c r="AB171" s="259"/>
      <c r="AC171" s="259"/>
      <c r="AD171" s="259"/>
      <c r="AE171" s="259"/>
      <c r="AF171" s="259"/>
      <c r="AG171" s="259"/>
      <c r="AH171" s="259"/>
      <c r="AI171" s="259"/>
      <c r="AJ171" s="259"/>
      <c r="AK171" s="259"/>
      <c r="AL171" s="259"/>
      <c r="AM171" s="259"/>
      <c r="AN171" s="259"/>
      <c r="AO171" s="259"/>
      <c r="AP171" s="259"/>
      <c r="AQ171" s="259"/>
      <c r="AR171" s="259"/>
      <c r="AS171" s="259"/>
      <c r="AT171" s="259"/>
      <c r="AU171" s="259"/>
      <c r="AV171" s="259"/>
      <c r="AW171" s="259"/>
      <c r="AX171" s="259"/>
      <c r="AY171" s="259"/>
      <c r="AZ171" s="259"/>
      <c r="BA171" s="259"/>
      <c r="BB171" s="259"/>
      <c r="BC171" s="259"/>
      <c r="BD171" s="259"/>
      <c r="BE171" s="259"/>
      <c r="BF171" s="259"/>
      <c r="BG171" s="259"/>
      <c r="BH171" s="259"/>
      <c r="BI171" s="259"/>
      <c r="BJ171" s="259"/>
      <c r="BK171" s="259"/>
      <c r="BL171" s="371"/>
      <c r="BM171" s="378"/>
      <c r="BN171" s="379"/>
      <c r="BO171" s="379"/>
      <c r="BP171" s="379"/>
      <c r="BQ171" s="379"/>
      <c r="BR171" s="379"/>
      <c r="BS171" s="380"/>
      <c r="BT171" s="380"/>
      <c r="BU171" s="381"/>
    </row>
    <row r="172" spans="7:73" ht="14.4">
      <c r="G172" s="370"/>
      <c r="H172" s="259"/>
      <c r="I172" s="259"/>
      <c r="J172" s="259"/>
      <c r="K172" s="259"/>
      <c r="L172" s="259"/>
      <c r="M172" s="259"/>
      <c r="N172" s="259"/>
      <c r="O172" s="259"/>
      <c r="P172" s="259"/>
      <c r="Q172" s="259"/>
      <c r="R172" s="259"/>
      <c r="S172" s="259"/>
      <c r="T172" s="259"/>
      <c r="U172" s="259"/>
      <c r="V172" s="259"/>
      <c r="W172" s="259"/>
      <c r="X172" s="259"/>
      <c r="Y172" s="259"/>
      <c r="Z172" s="259"/>
      <c r="AA172" s="259"/>
      <c r="AB172" s="259"/>
      <c r="AC172" s="259"/>
      <c r="AD172" s="259"/>
      <c r="AE172" s="259"/>
      <c r="AF172" s="259"/>
      <c r="AG172" s="259"/>
      <c r="AH172" s="259"/>
      <c r="AI172" s="259"/>
      <c r="AJ172" s="259"/>
      <c r="AK172" s="259"/>
      <c r="AL172" s="259"/>
      <c r="AM172" s="259"/>
      <c r="AN172" s="259"/>
      <c r="AO172" s="259"/>
      <c r="AP172" s="259"/>
      <c r="AQ172" s="259"/>
      <c r="AR172" s="259"/>
      <c r="AS172" s="259"/>
      <c r="AT172" s="259"/>
      <c r="AU172" s="259"/>
      <c r="AV172" s="259"/>
      <c r="AW172" s="259"/>
      <c r="AX172" s="259"/>
      <c r="AY172" s="259"/>
      <c r="AZ172" s="259"/>
      <c r="BA172" s="259"/>
      <c r="BB172" s="259"/>
      <c r="BC172" s="259"/>
      <c r="BD172" s="259"/>
      <c r="BE172" s="259"/>
      <c r="BF172" s="259"/>
      <c r="BG172" s="259"/>
      <c r="BH172" s="259"/>
      <c r="BI172" s="259"/>
      <c r="BJ172" s="259"/>
      <c r="BK172" s="259"/>
      <c r="BL172" s="371"/>
      <c r="BM172" s="378"/>
      <c r="BN172" s="379"/>
      <c r="BO172" s="379"/>
      <c r="BP172" s="379"/>
      <c r="BQ172" s="379"/>
      <c r="BR172" s="379"/>
      <c r="BS172" s="380"/>
      <c r="BT172" s="380"/>
      <c r="BU172" s="381"/>
    </row>
    <row r="173" spans="7:73" ht="14.4">
      <c r="G173" s="370"/>
      <c r="H173" s="259"/>
      <c r="I173" s="259"/>
      <c r="J173" s="259"/>
      <c r="K173" s="259"/>
      <c r="L173" s="259"/>
      <c r="M173" s="259"/>
      <c r="N173" s="259"/>
      <c r="O173" s="259"/>
      <c r="P173" s="259"/>
      <c r="Q173" s="259"/>
      <c r="R173" s="259"/>
      <c r="S173" s="259"/>
      <c r="T173" s="259"/>
      <c r="U173" s="259"/>
      <c r="V173" s="259"/>
      <c r="W173" s="259"/>
      <c r="X173" s="259"/>
      <c r="Y173" s="259"/>
      <c r="Z173" s="259"/>
      <c r="AA173" s="259"/>
      <c r="AB173" s="259"/>
      <c r="AC173" s="259"/>
      <c r="AD173" s="259"/>
      <c r="AE173" s="259"/>
      <c r="AF173" s="259"/>
      <c r="AG173" s="259"/>
      <c r="AH173" s="259"/>
      <c r="AI173" s="259"/>
      <c r="AJ173" s="259"/>
      <c r="AK173" s="259"/>
      <c r="AL173" s="259"/>
      <c r="AM173" s="259"/>
      <c r="AN173" s="259"/>
      <c r="AO173" s="259"/>
      <c r="AP173" s="259"/>
      <c r="AQ173" s="259"/>
      <c r="AR173" s="259"/>
      <c r="AS173" s="259"/>
      <c r="AT173" s="259"/>
      <c r="AU173" s="259"/>
      <c r="AV173" s="259"/>
      <c r="AW173" s="259"/>
      <c r="AX173" s="259"/>
      <c r="AY173" s="259"/>
      <c r="AZ173" s="259"/>
      <c r="BA173" s="259"/>
      <c r="BB173" s="259"/>
      <c r="BC173" s="259"/>
      <c r="BD173" s="259"/>
      <c r="BE173" s="259"/>
      <c r="BF173" s="259"/>
      <c r="BG173" s="259"/>
      <c r="BH173" s="259"/>
      <c r="BI173" s="259"/>
      <c r="BJ173" s="259"/>
      <c r="BK173" s="259"/>
      <c r="BL173" s="371"/>
      <c r="BM173" s="378"/>
      <c r="BN173" s="379"/>
      <c r="BO173" s="379"/>
      <c r="BP173" s="379"/>
      <c r="BQ173" s="379"/>
      <c r="BR173" s="379"/>
      <c r="BS173" s="380"/>
      <c r="BT173" s="380"/>
      <c r="BU173" s="381"/>
    </row>
    <row r="174" spans="7:73" ht="14.4">
      <c r="G174" s="370"/>
      <c r="H174" s="259"/>
      <c r="I174" s="259"/>
      <c r="J174" s="259"/>
      <c r="K174" s="259"/>
      <c r="L174" s="259"/>
      <c r="M174" s="259"/>
      <c r="N174" s="259"/>
      <c r="O174" s="259"/>
      <c r="P174" s="259"/>
      <c r="Q174" s="259"/>
      <c r="R174" s="259"/>
      <c r="S174" s="259"/>
      <c r="T174" s="259"/>
      <c r="U174" s="259"/>
      <c r="V174" s="259"/>
      <c r="W174" s="259"/>
      <c r="X174" s="259"/>
      <c r="Y174" s="259"/>
      <c r="Z174" s="259"/>
      <c r="AA174" s="259"/>
      <c r="AB174" s="259"/>
      <c r="AC174" s="259"/>
      <c r="AD174" s="259"/>
      <c r="AE174" s="259"/>
      <c r="AF174" s="259"/>
      <c r="AG174" s="259"/>
      <c r="AH174" s="259"/>
      <c r="AI174" s="259"/>
      <c r="AJ174" s="259"/>
      <c r="AK174" s="259"/>
      <c r="AL174" s="259"/>
      <c r="AM174" s="259"/>
      <c r="AN174" s="259"/>
      <c r="AO174" s="259"/>
      <c r="AP174" s="259"/>
      <c r="AQ174" s="259"/>
      <c r="AR174" s="259"/>
      <c r="AS174" s="259"/>
      <c r="AT174" s="259"/>
      <c r="AU174" s="259"/>
      <c r="AV174" s="259"/>
      <c r="AW174" s="259"/>
      <c r="AX174" s="259"/>
      <c r="AY174" s="259"/>
      <c r="AZ174" s="259"/>
      <c r="BA174" s="259"/>
      <c r="BB174" s="259"/>
      <c r="BC174" s="259"/>
      <c r="BD174" s="259"/>
      <c r="BE174" s="259"/>
      <c r="BF174" s="259"/>
      <c r="BG174" s="259"/>
      <c r="BH174" s="259"/>
      <c r="BI174" s="259"/>
      <c r="BJ174" s="259"/>
      <c r="BK174" s="259"/>
      <c r="BL174" s="371"/>
      <c r="BM174" s="378"/>
      <c r="BN174" s="379"/>
      <c r="BO174" s="379"/>
      <c r="BP174" s="379"/>
      <c r="BQ174" s="379"/>
      <c r="BR174" s="379"/>
      <c r="BS174" s="380"/>
      <c r="BT174" s="380"/>
      <c r="BU174" s="381"/>
    </row>
    <row r="175" spans="7:73" ht="14.4">
      <c r="G175" s="370"/>
      <c r="H175" s="259"/>
      <c r="I175" s="259"/>
      <c r="J175" s="259"/>
      <c r="K175" s="259"/>
      <c r="L175" s="259"/>
      <c r="M175" s="259"/>
      <c r="N175" s="259"/>
      <c r="O175" s="259"/>
      <c r="P175" s="259"/>
      <c r="Q175" s="259"/>
      <c r="R175" s="259"/>
      <c r="S175" s="259"/>
      <c r="T175" s="259"/>
      <c r="U175" s="259"/>
      <c r="V175" s="259"/>
      <c r="W175" s="259"/>
      <c r="X175" s="259"/>
      <c r="Y175" s="259"/>
      <c r="Z175" s="259"/>
      <c r="AA175" s="259"/>
      <c r="AB175" s="259"/>
      <c r="AC175" s="259"/>
      <c r="AD175" s="259"/>
      <c r="AE175" s="259"/>
      <c r="AF175" s="259"/>
      <c r="AG175" s="259"/>
      <c r="AH175" s="259"/>
      <c r="AI175" s="259"/>
      <c r="AJ175" s="259"/>
      <c r="AK175" s="259"/>
      <c r="AL175" s="259"/>
      <c r="AM175" s="259"/>
      <c r="AN175" s="259"/>
      <c r="AO175" s="259"/>
      <c r="AP175" s="259"/>
      <c r="AQ175" s="259"/>
      <c r="AR175" s="259"/>
      <c r="AS175" s="259"/>
      <c r="AT175" s="259"/>
      <c r="AU175" s="259"/>
      <c r="AV175" s="259"/>
      <c r="AW175" s="259"/>
      <c r="AX175" s="259"/>
      <c r="AY175" s="259"/>
      <c r="AZ175" s="259"/>
      <c r="BA175" s="259"/>
      <c r="BB175" s="259"/>
      <c r="BC175" s="259"/>
      <c r="BD175" s="259"/>
      <c r="BE175" s="259"/>
      <c r="BF175" s="259"/>
      <c r="BG175" s="259"/>
      <c r="BH175" s="259"/>
      <c r="BI175" s="259"/>
      <c r="BJ175" s="259"/>
      <c r="BK175" s="259"/>
      <c r="BL175" s="371"/>
      <c r="BM175" s="378"/>
      <c r="BN175" s="379"/>
      <c r="BO175" s="379"/>
      <c r="BP175" s="379"/>
      <c r="BQ175" s="379"/>
      <c r="BR175" s="379"/>
      <c r="BS175" s="380"/>
      <c r="BT175" s="380"/>
      <c r="BU175" s="381"/>
    </row>
    <row r="176" spans="7:73" ht="14.4">
      <c r="G176" s="370"/>
      <c r="H176" s="259"/>
      <c r="I176" s="259"/>
      <c r="J176" s="259"/>
      <c r="K176" s="259"/>
      <c r="L176" s="259"/>
      <c r="M176" s="259"/>
      <c r="N176" s="259"/>
      <c r="O176" s="259"/>
      <c r="P176" s="259"/>
      <c r="Q176" s="259"/>
      <c r="R176" s="259"/>
      <c r="S176" s="259"/>
      <c r="T176" s="259"/>
      <c r="U176" s="259"/>
      <c r="V176" s="259"/>
      <c r="W176" s="259"/>
      <c r="X176" s="259"/>
      <c r="Y176" s="259"/>
      <c r="Z176" s="259"/>
      <c r="AA176" s="259"/>
      <c r="AB176" s="259"/>
      <c r="AC176" s="259"/>
      <c r="AD176" s="259"/>
      <c r="AE176" s="259"/>
      <c r="AF176" s="259"/>
      <c r="AG176" s="259"/>
      <c r="AH176" s="259"/>
      <c r="AI176" s="259"/>
      <c r="AJ176" s="259"/>
      <c r="AK176" s="259"/>
      <c r="AL176" s="259"/>
      <c r="AM176" s="259"/>
      <c r="AN176" s="259"/>
      <c r="AO176" s="259"/>
      <c r="AP176" s="259"/>
      <c r="AQ176" s="259"/>
      <c r="AR176" s="259"/>
      <c r="AS176" s="259"/>
      <c r="AT176" s="259"/>
      <c r="AU176" s="259"/>
      <c r="AV176" s="259"/>
      <c r="AW176" s="259"/>
      <c r="AX176" s="259"/>
      <c r="AY176" s="259"/>
      <c r="AZ176" s="259"/>
      <c r="BA176" s="259"/>
      <c r="BB176" s="259"/>
      <c r="BC176" s="259"/>
      <c r="BD176" s="259"/>
      <c r="BE176" s="259"/>
      <c r="BF176" s="259"/>
      <c r="BG176" s="259"/>
      <c r="BH176" s="259"/>
      <c r="BI176" s="259"/>
      <c r="BJ176" s="259"/>
      <c r="BK176" s="259"/>
      <c r="BL176" s="371"/>
      <c r="BM176" s="378"/>
      <c r="BN176" s="379"/>
      <c r="BO176" s="379"/>
      <c r="BP176" s="379"/>
      <c r="BQ176" s="379"/>
      <c r="BR176" s="379"/>
      <c r="BS176" s="380"/>
      <c r="BT176" s="380"/>
      <c r="BU176" s="381"/>
    </row>
    <row r="177" spans="7:73" ht="14.4">
      <c r="G177" s="370"/>
      <c r="H177" s="259"/>
      <c r="I177" s="259"/>
      <c r="J177" s="259"/>
      <c r="K177" s="259"/>
      <c r="L177" s="259"/>
      <c r="M177" s="259"/>
      <c r="N177" s="259"/>
      <c r="O177" s="259"/>
      <c r="P177" s="259"/>
      <c r="Q177" s="259"/>
      <c r="R177" s="259"/>
      <c r="S177" s="259"/>
      <c r="T177" s="259"/>
      <c r="U177" s="259"/>
      <c r="V177" s="259"/>
      <c r="W177" s="259"/>
      <c r="X177" s="259"/>
      <c r="Y177" s="259"/>
      <c r="Z177" s="259"/>
      <c r="AA177" s="259"/>
      <c r="AB177" s="259"/>
      <c r="AC177" s="259"/>
      <c r="AD177" s="259"/>
      <c r="AE177" s="259"/>
      <c r="AF177" s="259"/>
      <c r="AG177" s="259"/>
      <c r="AH177" s="259"/>
      <c r="AI177" s="259"/>
      <c r="AJ177" s="259"/>
      <c r="AK177" s="259"/>
      <c r="AL177" s="259"/>
      <c r="AM177" s="259"/>
      <c r="AN177" s="259"/>
      <c r="AO177" s="259"/>
      <c r="AP177" s="259"/>
      <c r="AQ177" s="259"/>
      <c r="AR177" s="259"/>
      <c r="AS177" s="259"/>
      <c r="AT177" s="259"/>
      <c r="AU177" s="259"/>
      <c r="AV177" s="259"/>
      <c r="AW177" s="259"/>
      <c r="AX177" s="259"/>
      <c r="AY177" s="259"/>
      <c r="AZ177" s="259"/>
      <c r="BA177" s="259"/>
      <c r="BB177" s="259"/>
      <c r="BC177" s="259"/>
      <c r="BD177" s="259"/>
      <c r="BE177" s="259"/>
      <c r="BF177" s="259"/>
      <c r="BG177" s="259"/>
      <c r="BH177" s="259"/>
      <c r="BI177" s="259"/>
      <c r="BJ177" s="259"/>
      <c r="BK177" s="259"/>
      <c r="BL177" s="371"/>
      <c r="BM177" s="378"/>
      <c r="BN177" s="379"/>
      <c r="BO177" s="379"/>
      <c r="BP177" s="379"/>
      <c r="BQ177" s="379"/>
      <c r="BR177" s="379"/>
      <c r="BS177" s="380"/>
      <c r="BT177" s="380"/>
      <c r="BU177" s="381"/>
    </row>
    <row r="178" spans="7:73" ht="14.4">
      <c r="G178" s="372"/>
      <c r="H178" s="373"/>
      <c r="I178" s="373"/>
      <c r="J178" s="373"/>
      <c r="K178" s="373"/>
      <c r="L178" s="373"/>
      <c r="M178" s="373"/>
      <c r="N178" s="373"/>
      <c r="O178" s="373"/>
      <c r="P178" s="373"/>
      <c r="Q178" s="373"/>
      <c r="R178" s="373"/>
      <c r="S178" s="373"/>
      <c r="T178" s="373"/>
      <c r="U178" s="373"/>
      <c r="V178" s="373"/>
      <c r="W178" s="373"/>
      <c r="X178" s="373"/>
      <c r="Y178" s="373"/>
      <c r="Z178" s="373"/>
      <c r="AA178" s="373"/>
      <c r="AB178" s="373"/>
      <c r="AC178" s="373"/>
      <c r="AD178" s="373"/>
      <c r="AE178" s="373"/>
      <c r="AF178" s="373"/>
      <c r="AG178" s="373"/>
      <c r="AH178" s="373"/>
      <c r="AI178" s="373"/>
      <c r="AJ178" s="373"/>
      <c r="AK178" s="373"/>
      <c r="AL178" s="373"/>
      <c r="AM178" s="373"/>
      <c r="AN178" s="373"/>
      <c r="AO178" s="373"/>
      <c r="AP178" s="373"/>
      <c r="AQ178" s="373"/>
      <c r="AR178" s="373"/>
      <c r="AS178" s="373"/>
      <c r="AT178" s="373"/>
      <c r="AU178" s="373"/>
      <c r="AV178" s="373"/>
      <c r="AW178" s="373"/>
      <c r="AX178" s="373"/>
      <c r="AY178" s="373"/>
      <c r="AZ178" s="373"/>
      <c r="BA178" s="373"/>
      <c r="BB178" s="373"/>
      <c r="BC178" s="373"/>
      <c r="BD178" s="373"/>
      <c r="BE178" s="373"/>
      <c r="BF178" s="373"/>
      <c r="BG178" s="373"/>
      <c r="BH178" s="373"/>
      <c r="BI178" s="373"/>
      <c r="BJ178" s="373"/>
      <c r="BK178" s="373"/>
      <c r="BL178" s="374"/>
      <c r="BM178" s="382"/>
      <c r="BN178" s="383"/>
      <c r="BO178" s="383"/>
      <c r="BP178" s="383"/>
      <c r="BQ178" s="383"/>
      <c r="BR178" s="383"/>
      <c r="BS178" s="384"/>
      <c r="BT178" s="384"/>
      <c r="BU178" s="385"/>
    </row>
    <row r="179" spans="7:73" ht="14.4">
      <c r="BN179" s="198"/>
      <c r="BO179" s="140"/>
      <c r="BP179" s="198"/>
      <c r="BQ179" s="140"/>
      <c r="BR179" s="198"/>
    </row>
    <row r="180" spans="7:73" ht="14.4">
      <c r="BN180" s="198"/>
      <c r="BO180" s="140"/>
      <c r="BP180" s="198"/>
      <c r="BQ180" s="140"/>
      <c r="BR180" s="198"/>
    </row>
    <row r="181" spans="7:73" ht="14.4">
      <c r="BN181" s="198"/>
      <c r="BO181" s="140"/>
      <c r="BP181" s="198"/>
      <c r="BQ181" s="140"/>
      <c r="BR181" s="198"/>
    </row>
    <row r="182" spans="7:73" ht="14.4">
      <c r="BN182" s="198"/>
      <c r="BO182" s="140"/>
      <c r="BP182" s="198"/>
      <c r="BQ182" s="140"/>
      <c r="BR182" s="198"/>
    </row>
    <row r="183" spans="7:73" ht="14.4">
      <c r="BN183" s="198"/>
      <c r="BO183" s="140"/>
      <c r="BP183" s="198"/>
      <c r="BQ183" s="140"/>
      <c r="BR183" s="198"/>
    </row>
    <row r="184" spans="7:73" ht="14.4">
      <c r="BN184" s="198"/>
      <c r="BO184" s="140"/>
      <c r="BP184" s="198"/>
      <c r="BQ184" s="140"/>
      <c r="BR184" s="198"/>
    </row>
    <row r="185" spans="7:73" ht="14.4">
      <c r="BN185" s="198"/>
      <c r="BO185" s="140"/>
      <c r="BP185" s="198"/>
      <c r="BQ185" s="140"/>
      <c r="BR185" s="198"/>
    </row>
    <row r="186" spans="7:73" ht="14.4">
      <c r="BN186" s="198"/>
      <c r="BO186" s="140"/>
      <c r="BP186" s="198"/>
      <c r="BQ186" s="140"/>
      <c r="BR186" s="198"/>
    </row>
    <row r="187" spans="7:73" ht="14.4">
      <c r="BN187" s="198"/>
      <c r="BO187" s="140"/>
      <c r="BP187" s="198"/>
      <c r="BQ187" s="140"/>
      <c r="BR187" s="198"/>
    </row>
    <row r="188" spans="7:73" ht="14.4">
      <c r="BN188" s="198"/>
      <c r="BO188" s="140"/>
      <c r="BP188" s="198"/>
      <c r="BQ188" s="140"/>
      <c r="BR188" s="198"/>
    </row>
    <row r="189" spans="7:73" ht="14.4">
      <c r="BN189" s="198"/>
      <c r="BO189" s="140"/>
      <c r="BP189" s="198"/>
      <c r="BQ189" s="140"/>
      <c r="BR189" s="198"/>
    </row>
    <row r="190" spans="7:73" ht="14.4">
      <c r="BN190" s="198"/>
      <c r="BO190" s="140"/>
      <c r="BP190" s="198"/>
      <c r="BQ190" s="140"/>
      <c r="BR190" s="198"/>
    </row>
    <row r="191" spans="7:73" ht="14.4">
      <c r="BN191" s="198"/>
      <c r="BO191" s="140"/>
      <c r="BP191" s="198"/>
      <c r="BQ191" s="140"/>
      <c r="BR191" s="198"/>
    </row>
    <row r="192" spans="7:73" ht="14.4">
      <c r="BN192" s="198"/>
      <c r="BO192" s="140"/>
      <c r="BP192" s="198"/>
      <c r="BQ192" s="140"/>
      <c r="BR192" s="198"/>
    </row>
    <row r="193" spans="7:135" ht="14.4">
      <c r="BN193" s="198"/>
      <c r="BO193" s="140"/>
      <c r="BP193" s="198"/>
      <c r="BQ193" s="140"/>
      <c r="BR193" s="198"/>
    </row>
    <row r="194" spans="7:135" ht="14.4">
      <c r="BN194" s="198"/>
      <c r="BO194" s="140"/>
      <c r="BP194" s="198"/>
      <c r="BQ194" s="140"/>
      <c r="BR194" s="198"/>
    </row>
    <row r="195" spans="7:135" ht="14.4">
      <c r="BN195" s="198"/>
      <c r="BO195" s="140"/>
      <c r="BP195" s="198"/>
      <c r="BQ195" s="140"/>
      <c r="BR195" s="198"/>
    </row>
    <row r="196" spans="7:135" ht="14.4">
      <c r="BN196" s="198"/>
      <c r="BO196" s="140"/>
      <c r="BP196" s="198"/>
      <c r="BQ196" s="140"/>
      <c r="BR196" s="198"/>
    </row>
    <row r="197" spans="7:135" ht="14.4">
      <c r="G197" s="198"/>
      <c r="H197" s="198"/>
      <c r="I197" s="198"/>
      <c r="J197" s="198"/>
      <c r="K197" s="198"/>
      <c r="L197" s="198"/>
      <c r="M197" s="198"/>
      <c r="N197" s="198"/>
      <c r="O197" s="198"/>
      <c r="P197" s="198"/>
      <c r="Q197" s="198"/>
      <c r="R197" s="198"/>
      <c r="S197" s="198"/>
      <c r="T197" s="198"/>
      <c r="U197" s="198"/>
      <c r="V197" s="198"/>
      <c r="W197" s="198"/>
      <c r="X197" s="198"/>
      <c r="Y197" s="198"/>
      <c r="Z197" s="198"/>
      <c r="AA197" s="198"/>
      <c r="AB197" s="198"/>
      <c r="AC197" s="198"/>
      <c r="AD197" s="198"/>
      <c r="AE197" s="198"/>
      <c r="AF197" s="198"/>
      <c r="AG197" s="198"/>
      <c r="AH197" s="198"/>
      <c r="AI197" s="198"/>
      <c r="AJ197" s="198"/>
      <c r="AK197" s="198"/>
      <c r="AL197" s="198"/>
      <c r="AM197" s="198"/>
      <c r="AN197" s="198"/>
      <c r="AO197" s="198"/>
      <c r="AP197" s="198"/>
      <c r="AQ197" s="198"/>
      <c r="AR197" s="198"/>
      <c r="AS197" s="198"/>
      <c r="AT197" s="198"/>
      <c r="AU197" s="198"/>
      <c r="AV197" s="198"/>
      <c r="AW197" s="198"/>
      <c r="AX197" s="198"/>
      <c r="AY197" s="198"/>
      <c r="AZ197" s="198"/>
      <c r="BA197" s="198"/>
      <c r="BB197" s="198"/>
      <c r="BC197" s="198"/>
      <c r="BD197" s="198"/>
      <c r="BE197" s="198"/>
      <c r="BF197" s="198"/>
      <c r="BG197" s="198"/>
      <c r="BH197" s="198"/>
      <c r="BI197" s="198"/>
      <c r="BJ197" s="198"/>
      <c r="BK197" s="198"/>
      <c r="BL197" s="198"/>
      <c r="BM197" s="198"/>
      <c r="BN197" s="198"/>
      <c r="BO197" s="198"/>
      <c r="BP197" s="198"/>
      <c r="BQ197" s="198"/>
      <c r="BR197" s="198"/>
      <c r="BS197" s="198"/>
      <c r="BT197" s="198"/>
      <c r="BU197" s="198"/>
      <c r="BV197" s="198"/>
      <c r="BW197" s="198"/>
      <c r="BX197" s="198"/>
      <c r="BY197" s="198"/>
      <c r="BZ197" s="198"/>
      <c r="CA197" s="198"/>
      <c r="CB197" s="198"/>
      <c r="CC197" s="198"/>
      <c r="CD197" s="198"/>
      <c r="CE197" s="198"/>
      <c r="CF197" s="198"/>
      <c r="CG197" s="198"/>
      <c r="CH197" s="198"/>
      <c r="CI197" s="198"/>
      <c r="CJ197" s="198"/>
      <c r="CK197" s="198"/>
      <c r="CL197" s="198"/>
      <c r="CM197" s="198"/>
      <c r="CN197" s="198"/>
      <c r="CO197" s="198"/>
      <c r="CP197" s="198"/>
      <c r="CQ197" s="198"/>
      <c r="CR197" s="198"/>
      <c r="CS197" s="198"/>
      <c r="CT197" s="198"/>
      <c r="CU197" s="198"/>
      <c r="CV197" s="198"/>
      <c r="CW197" s="198"/>
      <c r="CX197" s="198"/>
      <c r="CY197" s="198"/>
      <c r="CZ197" s="198"/>
      <c r="DA197" s="198"/>
      <c r="DB197" s="198"/>
      <c r="DC197" s="198"/>
      <c r="DD197" s="198"/>
      <c r="DE197" s="198"/>
      <c r="DF197" s="198"/>
      <c r="DG197" s="198"/>
      <c r="DH197" s="198"/>
      <c r="DI197" s="198"/>
      <c r="DJ197" s="198"/>
      <c r="DK197" s="198"/>
      <c r="DL197" s="198"/>
      <c r="DM197" s="198"/>
      <c r="DN197" s="198"/>
      <c r="DO197" s="198"/>
      <c r="DP197" s="198"/>
      <c r="DQ197" s="198"/>
      <c r="DR197" s="198"/>
      <c r="DS197" s="198"/>
      <c r="DT197" s="198"/>
      <c r="DU197" s="198"/>
      <c r="DV197" s="198"/>
      <c r="DW197" s="198"/>
      <c r="DX197" s="198"/>
      <c r="DY197" s="198"/>
      <c r="DZ197" s="198"/>
      <c r="EA197" s="198"/>
      <c r="EB197" s="198"/>
      <c r="EC197" s="198"/>
      <c r="ED197" s="198"/>
      <c r="EE197" s="198"/>
    </row>
    <row r="198" spans="7:135" ht="14.4">
      <c r="BN198" s="198"/>
      <c r="BO198" s="140"/>
      <c r="BP198" s="198"/>
      <c r="BQ198" s="140"/>
      <c r="BR198" s="198"/>
    </row>
    <row r="199" spans="7:135" ht="14.4">
      <c r="G199" s="198"/>
      <c r="H199" s="198"/>
      <c r="I199" s="198"/>
      <c r="J199" s="198"/>
      <c r="K199" s="198"/>
      <c r="L199" s="198"/>
      <c r="M199" s="198"/>
      <c r="N199" s="198"/>
      <c r="O199" s="198"/>
      <c r="P199" s="198"/>
      <c r="Q199" s="198"/>
      <c r="R199" s="198"/>
      <c r="S199" s="198"/>
      <c r="T199" s="198"/>
      <c r="U199" s="198"/>
      <c r="V199" s="198"/>
      <c r="W199" s="198"/>
      <c r="X199" s="198"/>
      <c r="Y199" s="198"/>
      <c r="Z199" s="198"/>
      <c r="AA199" s="198"/>
      <c r="AB199" s="198"/>
      <c r="AC199" s="198"/>
      <c r="AD199" s="198"/>
      <c r="AE199" s="198"/>
      <c r="AF199" s="198"/>
      <c r="AG199" s="198"/>
      <c r="AH199" s="198"/>
      <c r="AI199" s="198"/>
      <c r="AJ199" s="198"/>
      <c r="AK199" s="198"/>
      <c r="AL199" s="198"/>
      <c r="AM199" s="198"/>
      <c r="AN199" s="198"/>
      <c r="AO199" s="198"/>
      <c r="AP199" s="198"/>
      <c r="AQ199" s="198"/>
      <c r="AR199" s="198"/>
      <c r="AS199" s="198"/>
      <c r="AT199" s="198"/>
      <c r="AU199" s="198"/>
      <c r="AV199" s="198"/>
      <c r="AW199" s="198"/>
      <c r="AX199" s="198"/>
      <c r="AY199" s="198"/>
      <c r="AZ199" s="198"/>
      <c r="BA199" s="198"/>
      <c r="BB199" s="198"/>
      <c r="BC199" s="198"/>
      <c r="BD199" s="198"/>
      <c r="BE199" s="198"/>
      <c r="BF199" s="198"/>
      <c r="BG199" s="198"/>
      <c r="BH199" s="198"/>
      <c r="BI199" s="198"/>
      <c r="BJ199" s="198"/>
      <c r="BK199" s="198"/>
      <c r="BL199" s="198"/>
      <c r="BM199" s="198"/>
      <c r="BN199" s="198"/>
      <c r="BO199" s="198"/>
      <c r="BP199" s="198"/>
      <c r="BQ199" s="198"/>
      <c r="BR199" s="198"/>
      <c r="BS199" s="198"/>
      <c r="BT199" s="198"/>
      <c r="BU199" s="198"/>
      <c r="BV199" s="198"/>
      <c r="BW199" s="198"/>
      <c r="BX199" s="198"/>
      <c r="BY199" s="198"/>
      <c r="BZ199" s="198"/>
      <c r="CA199" s="198"/>
      <c r="CB199" s="198"/>
      <c r="CC199" s="198"/>
      <c r="CD199" s="198"/>
      <c r="CE199" s="198"/>
      <c r="CF199" s="198"/>
      <c r="CG199" s="198"/>
      <c r="CH199" s="198"/>
      <c r="CI199" s="198"/>
      <c r="CJ199" s="198"/>
      <c r="CK199" s="198"/>
      <c r="CL199" s="198"/>
      <c r="CM199" s="198"/>
      <c r="CN199" s="198"/>
      <c r="CO199" s="198"/>
      <c r="CP199" s="198"/>
      <c r="CQ199" s="198"/>
      <c r="CR199" s="198"/>
      <c r="CS199" s="198"/>
      <c r="CT199" s="198"/>
      <c r="CU199" s="198"/>
      <c r="CV199" s="198"/>
      <c r="CW199" s="198"/>
      <c r="CX199" s="198"/>
      <c r="CY199" s="198"/>
      <c r="CZ199" s="198"/>
      <c r="DA199" s="198"/>
      <c r="DB199" s="198"/>
      <c r="DC199" s="198"/>
      <c r="DD199" s="198"/>
      <c r="DE199" s="198"/>
      <c r="DF199" s="198"/>
      <c r="DG199" s="198"/>
      <c r="DH199" s="198"/>
      <c r="DI199" s="198"/>
      <c r="DJ199" s="198"/>
      <c r="DK199" s="198"/>
      <c r="DL199" s="198"/>
      <c r="DM199" s="198"/>
      <c r="DN199" s="198"/>
      <c r="DO199" s="198"/>
      <c r="DP199" s="198"/>
      <c r="DQ199" s="198"/>
      <c r="DR199" s="198"/>
      <c r="DS199" s="198"/>
      <c r="DT199" s="198"/>
      <c r="DU199" s="198"/>
      <c r="DV199" s="198"/>
      <c r="DW199" s="198"/>
      <c r="DX199" s="198"/>
      <c r="DY199" s="198"/>
      <c r="DZ199" s="198"/>
      <c r="EA199" s="198"/>
      <c r="EB199" s="198"/>
      <c r="EC199" s="198"/>
      <c r="ED199" s="198"/>
      <c r="EE199" s="198"/>
    </row>
    <row r="200" spans="7:135" ht="14.4">
      <c r="BN200" s="198"/>
      <c r="BO200" s="140"/>
      <c r="BP200" s="198"/>
      <c r="BQ200" s="140"/>
      <c r="BR200" s="198"/>
    </row>
    <row r="201" spans="7:135" ht="14.4">
      <c r="G201" s="198"/>
      <c r="H201" s="198"/>
      <c r="I201" s="198"/>
      <c r="J201" s="198"/>
      <c r="K201" s="198"/>
      <c r="L201" s="198"/>
      <c r="M201" s="198"/>
      <c r="N201" s="198"/>
      <c r="O201" s="198"/>
      <c r="P201" s="198"/>
      <c r="Q201" s="198"/>
      <c r="R201" s="198"/>
      <c r="S201" s="198"/>
      <c r="T201" s="198"/>
      <c r="U201" s="198"/>
      <c r="V201" s="198"/>
      <c r="W201" s="198"/>
      <c r="X201" s="198"/>
      <c r="Y201" s="198"/>
      <c r="Z201" s="198"/>
      <c r="AA201" s="198"/>
      <c r="AB201" s="198"/>
      <c r="AC201" s="198"/>
      <c r="AD201" s="198"/>
      <c r="AE201" s="198"/>
      <c r="AF201" s="198"/>
      <c r="AG201" s="198"/>
      <c r="AH201" s="198"/>
      <c r="AI201" s="198"/>
      <c r="AJ201" s="198"/>
      <c r="AK201" s="198"/>
      <c r="AL201" s="198"/>
      <c r="AM201" s="198"/>
      <c r="AN201" s="198"/>
      <c r="AO201" s="198"/>
      <c r="AP201" s="198"/>
      <c r="AQ201" s="198"/>
      <c r="AR201" s="198"/>
      <c r="AS201" s="198"/>
      <c r="AT201" s="198"/>
      <c r="AU201" s="198"/>
      <c r="AV201" s="198"/>
      <c r="AW201" s="198"/>
      <c r="AX201" s="198"/>
      <c r="AY201" s="198"/>
      <c r="AZ201" s="198"/>
      <c r="BA201" s="198"/>
      <c r="BB201" s="198"/>
      <c r="BC201" s="198"/>
      <c r="BD201" s="198"/>
      <c r="BE201" s="198"/>
      <c r="BF201" s="198"/>
      <c r="BG201" s="198"/>
      <c r="BH201" s="198"/>
      <c r="BI201" s="198"/>
      <c r="BJ201" s="198"/>
      <c r="BK201" s="198"/>
      <c r="BL201" s="198"/>
      <c r="BM201" s="198"/>
      <c r="BN201" s="198"/>
      <c r="BO201" s="198"/>
      <c r="BP201" s="198"/>
      <c r="BQ201" s="198"/>
      <c r="BR201" s="198"/>
      <c r="BS201" s="198"/>
      <c r="BT201" s="198"/>
      <c r="BU201" s="198"/>
      <c r="BV201" s="198"/>
      <c r="BW201" s="198"/>
      <c r="BX201" s="198"/>
      <c r="BY201" s="198"/>
      <c r="BZ201" s="198"/>
      <c r="CA201" s="198"/>
      <c r="CB201" s="198"/>
      <c r="CC201" s="198"/>
      <c r="CD201" s="198"/>
      <c r="CE201" s="198"/>
      <c r="CF201" s="198"/>
      <c r="CG201" s="198"/>
      <c r="CH201" s="198"/>
      <c r="CI201" s="198"/>
      <c r="CJ201" s="198"/>
      <c r="CK201" s="198"/>
      <c r="CL201" s="198"/>
      <c r="CM201" s="198"/>
      <c r="CN201" s="198"/>
      <c r="CO201" s="198"/>
      <c r="CP201" s="198"/>
      <c r="CQ201" s="198"/>
      <c r="CR201" s="198"/>
      <c r="CS201" s="198"/>
      <c r="CT201" s="198"/>
      <c r="CU201" s="198"/>
      <c r="CV201" s="198"/>
      <c r="CW201" s="198"/>
      <c r="CX201" s="198"/>
      <c r="CY201" s="198"/>
      <c r="CZ201" s="198"/>
      <c r="DA201" s="198"/>
      <c r="DB201" s="198"/>
      <c r="DC201" s="198"/>
      <c r="DD201" s="198"/>
      <c r="DE201" s="198"/>
      <c r="DF201" s="198"/>
      <c r="DG201" s="198"/>
      <c r="DH201" s="198"/>
      <c r="DI201" s="198"/>
      <c r="DJ201" s="198"/>
      <c r="DK201" s="198"/>
      <c r="DL201" s="198"/>
      <c r="DM201" s="198"/>
      <c r="DN201" s="198"/>
      <c r="DO201" s="198"/>
      <c r="DP201" s="198"/>
      <c r="DQ201" s="198"/>
      <c r="DR201" s="198"/>
      <c r="DS201" s="198"/>
      <c r="DT201" s="198"/>
      <c r="DU201" s="198"/>
      <c r="DV201" s="198"/>
      <c r="DW201" s="198"/>
      <c r="DX201" s="198"/>
      <c r="DY201" s="198"/>
      <c r="DZ201" s="198"/>
      <c r="EA201" s="198"/>
      <c r="EB201" s="198"/>
      <c r="EC201" s="198"/>
      <c r="ED201" s="198"/>
      <c r="EE201" s="198"/>
    </row>
    <row r="202" spans="7:135" ht="14.4">
      <c r="BN202" s="198"/>
      <c r="BO202" s="140"/>
      <c r="BP202" s="198"/>
      <c r="BQ202" s="140"/>
      <c r="BR202" s="198"/>
    </row>
    <row r="203" spans="7:135" ht="14.4">
      <c r="BN203" s="198"/>
      <c r="BO203" s="140"/>
      <c r="BP203" s="198"/>
      <c r="BQ203" s="140"/>
      <c r="BR203" s="198"/>
    </row>
    <row r="204" spans="7:135" ht="14.4">
      <c r="BN204" s="198"/>
      <c r="BO204" s="140"/>
      <c r="BP204" s="198"/>
      <c r="BQ204" s="140"/>
      <c r="BR204" s="198"/>
      <c r="BT204" s="140"/>
      <c r="BU204" s="140"/>
      <c r="BV204" s="140"/>
      <c r="BW204" s="140"/>
      <c r="BX204" s="140"/>
      <c r="BY204" s="140"/>
      <c r="BZ204" s="140"/>
      <c r="CA204" s="140"/>
      <c r="CB204" s="140"/>
      <c r="CC204" s="140"/>
      <c r="CD204" s="140"/>
    </row>
    <row r="205" spans="7:135" ht="14.4">
      <c r="BN205" s="198"/>
      <c r="BO205" s="140"/>
      <c r="BP205" s="198"/>
      <c r="BQ205" s="140"/>
      <c r="BR205" s="198"/>
      <c r="BT205" s="140"/>
      <c r="BU205" s="140"/>
      <c r="BV205" s="140"/>
      <c r="BW205" s="140"/>
      <c r="BX205" s="140"/>
      <c r="BY205" s="140"/>
      <c r="BZ205" s="140"/>
      <c r="CA205" s="140"/>
      <c r="CB205" s="140"/>
      <c r="CC205" s="140"/>
      <c r="CD205" s="140"/>
    </row>
    <row r="206" spans="7:135" ht="14.4">
      <c r="BN206" s="198"/>
      <c r="BO206" s="140"/>
      <c r="BP206" s="198"/>
      <c r="BQ206" s="140"/>
      <c r="BR206" s="198"/>
      <c r="BT206" s="140"/>
      <c r="BU206" s="140"/>
      <c r="BV206" s="140"/>
      <c r="BW206" s="140"/>
      <c r="BX206" s="140"/>
      <c r="BY206" s="140"/>
      <c r="BZ206" s="140"/>
      <c r="CA206" s="140"/>
      <c r="CB206" s="140"/>
      <c r="CC206" s="140"/>
      <c r="CD206" s="140"/>
    </row>
    <row r="207" spans="7:135" ht="14.4">
      <c r="BN207" s="198"/>
      <c r="BO207" s="140"/>
      <c r="BP207" s="198"/>
      <c r="BQ207" s="140"/>
      <c r="BR207" s="198"/>
      <c r="BT207" s="140"/>
      <c r="BU207" s="140"/>
      <c r="BV207" s="140"/>
      <c r="BW207" s="140"/>
      <c r="BX207" s="140"/>
      <c r="BY207" s="140"/>
      <c r="BZ207" s="140"/>
      <c r="CA207" s="140"/>
      <c r="CB207" s="140"/>
      <c r="CC207" s="140"/>
      <c r="CD207" s="140"/>
    </row>
    <row r="208" spans="7:135" ht="15" customHeight="1">
      <c r="BN208" s="198"/>
      <c r="BO208" s="140"/>
      <c r="BP208" s="198"/>
      <c r="BQ208" s="140"/>
      <c r="BR208" s="198"/>
      <c r="BT208" s="140"/>
      <c r="BU208" s="140"/>
      <c r="BV208" s="140"/>
      <c r="BW208" s="140"/>
      <c r="BX208" s="140"/>
      <c r="BY208" s="140"/>
      <c r="BZ208" s="140"/>
      <c r="CA208" s="140"/>
      <c r="CB208" s="140"/>
      <c r="CC208" s="140"/>
      <c r="CD208" s="140"/>
      <c r="CF208" s="762" t="s">
        <v>52</v>
      </c>
      <c r="CG208" s="762" t="s">
        <v>294</v>
      </c>
      <c r="CH208" s="762" t="s">
        <v>295</v>
      </c>
      <c r="CJ208" s="753" t="s">
        <v>45</v>
      </c>
      <c r="CK208" s="145"/>
      <c r="CL208" s="753" t="s">
        <v>296</v>
      </c>
      <c r="CM208" s="763" t="s">
        <v>1</v>
      </c>
      <c r="CN208" s="764"/>
      <c r="CO208" s="764"/>
      <c r="CP208" s="765"/>
      <c r="CQ208" s="760" t="s">
        <v>297</v>
      </c>
      <c r="CS208" s="753" t="s">
        <v>285</v>
      </c>
      <c r="CT208" s="753" t="s">
        <v>298</v>
      </c>
      <c r="CU208" s="753" t="s">
        <v>299</v>
      </c>
      <c r="DA208" s="140"/>
      <c r="DB208" s="753" t="s">
        <v>300</v>
      </c>
      <c r="DC208" s="140"/>
      <c r="DD208" s="753" t="s">
        <v>1</v>
      </c>
      <c r="DE208" s="753"/>
      <c r="DF208" s="753"/>
      <c r="DG208" s="753" t="s">
        <v>301</v>
      </c>
      <c r="DH208" s="753" t="s">
        <v>285</v>
      </c>
      <c r="DI208" s="753" t="s">
        <v>298</v>
      </c>
      <c r="DJ208" s="753" t="s">
        <v>299</v>
      </c>
    </row>
    <row r="209" spans="66:114" ht="14.4">
      <c r="BN209" s="198"/>
      <c r="BO209" s="140"/>
      <c r="BP209" s="198"/>
      <c r="BQ209" s="140"/>
      <c r="BR209" s="198"/>
      <c r="BT209" s="140"/>
      <c r="BU209" s="140"/>
      <c r="BV209" s="140"/>
      <c r="BW209" s="140"/>
      <c r="BX209" s="140"/>
      <c r="BY209" s="140"/>
      <c r="BZ209" s="140"/>
      <c r="CA209" s="140"/>
      <c r="CB209" s="140"/>
      <c r="CC209" s="140"/>
      <c r="CD209" s="140"/>
      <c r="CF209" s="762"/>
      <c r="CG209" s="762"/>
      <c r="CH209" s="762"/>
      <c r="CJ209" s="753"/>
      <c r="CK209" s="145"/>
      <c r="CL209" s="753"/>
      <c r="CM209" s="766"/>
      <c r="CN209" s="767"/>
      <c r="CO209" s="767"/>
      <c r="CP209" s="768"/>
      <c r="CQ209" s="761"/>
      <c r="CS209" s="753"/>
      <c r="CT209" s="753"/>
      <c r="CU209" s="754"/>
      <c r="DA209" s="140"/>
      <c r="DB209" s="753"/>
      <c r="DC209" s="140"/>
      <c r="DD209" s="753"/>
      <c r="DE209" s="753"/>
      <c r="DF209" s="753"/>
      <c r="DG209" s="753"/>
      <c r="DH209" s="753"/>
      <c r="DI209" s="753"/>
      <c r="DJ209" s="754"/>
    </row>
    <row r="210" spans="66:114" ht="14.4">
      <c r="BN210" s="198"/>
      <c r="BO210" s="140"/>
      <c r="BP210" s="198"/>
      <c r="BQ210" s="140"/>
      <c r="BR210" s="198"/>
      <c r="BT210" s="140"/>
      <c r="BU210" s="140"/>
      <c r="BV210" s="140"/>
      <c r="BW210" s="140"/>
      <c r="BX210" s="140"/>
      <c r="BY210" s="140"/>
      <c r="BZ210" s="140"/>
      <c r="CA210" s="140"/>
      <c r="CB210" s="140"/>
      <c r="CC210" s="140"/>
      <c r="CD210" s="140"/>
      <c r="CF210" s="146">
        <f>'1_INPUT'!F110</f>
        <v>0</v>
      </c>
      <c r="CG210" s="147">
        <f t="shared" ref="CG210:CG217" si="13">IFERROR(ROUND($CF210/$CE$230,0)*$CE$230,"")</f>
        <v>0</v>
      </c>
      <c r="CH210" s="148">
        <f>'1_INPUT'!E110</f>
        <v>0</v>
      </c>
      <c r="CJ210" s="149" t="s">
        <v>302</v>
      </c>
      <c r="CK210" s="149" t="s">
        <v>302</v>
      </c>
      <c r="CL210" s="150" t="s">
        <v>302</v>
      </c>
      <c r="CM210" s="150" t="s">
        <v>302</v>
      </c>
      <c r="CN210" s="150" t="s">
        <v>302</v>
      </c>
      <c r="CO210" s="150" t="s">
        <v>302</v>
      </c>
      <c r="CP210" s="150" t="s">
        <v>302</v>
      </c>
      <c r="CQ210" s="151" t="s">
        <v>302</v>
      </c>
      <c r="CS210" s="149" t="s">
        <v>302</v>
      </c>
      <c r="CT210" s="150" t="s">
        <v>302</v>
      </c>
      <c r="CU210" s="150" t="s">
        <v>302</v>
      </c>
      <c r="DA210" s="140"/>
      <c r="DC210" s="140"/>
      <c r="DD210" s="755"/>
      <c r="DE210" s="756"/>
      <c r="DF210" s="757"/>
      <c r="DG210" s="152"/>
      <c r="DH210" s="153" t="s">
        <v>65</v>
      </c>
      <c r="DI210" s="153" t="s">
        <v>64</v>
      </c>
      <c r="DJ210" s="153" t="s">
        <v>65</v>
      </c>
    </row>
    <row r="211" spans="66:114" ht="14.4">
      <c r="BN211" s="198"/>
      <c r="BO211" s="140"/>
      <c r="BP211" s="198"/>
      <c r="BQ211" s="140"/>
      <c r="BR211" s="198"/>
      <c r="BT211" s="140"/>
      <c r="BU211" s="140"/>
      <c r="BV211" s="140"/>
      <c r="BW211" s="140"/>
      <c r="BX211" s="140"/>
      <c r="BY211" s="140"/>
      <c r="BZ211" s="140"/>
      <c r="CA211" s="140"/>
      <c r="CB211" s="140"/>
      <c r="CC211" s="140"/>
      <c r="CD211" s="140"/>
      <c r="CF211" s="146">
        <f>'1_INPUT'!F111</f>
        <v>0</v>
      </c>
      <c r="CG211" s="147">
        <f t="shared" si="13"/>
        <v>0</v>
      </c>
      <c r="CH211" s="148">
        <f>'1_INPUT'!E111</f>
        <v>0</v>
      </c>
      <c r="CJ211" s="154">
        <v>1</v>
      </c>
      <c r="CK211" s="155" t="s">
        <v>340</v>
      </c>
      <c r="CL211" s="156" t="s">
        <v>340</v>
      </c>
      <c r="CM211" s="157" t="s">
        <v>213</v>
      </c>
      <c r="CN211" s="157" t="s">
        <v>303</v>
      </c>
      <c r="CO211" s="157" t="s">
        <v>214</v>
      </c>
      <c r="CP211" s="157" t="s">
        <v>63</v>
      </c>
      <c r="CQ211" s="156" t="s">
        <v>341</v>
      </c>
      <c r="CS211" s="158">
        <v>0</v>
      </c>
      <c r="CT211" s="158">
        <v>0</v>
      </c>
      <c r="CU211" s="158">
        <v>12</v>
      </c>
      <c r="CW211" s="159" t="s">
        <v>304</v>
      </c>
      <c r="CX211" s="157">
        <v>200</v>
      </c>
      <c r="CY211" s="157">
        <v>4</v>
      </c>
      <c r="CZ211" s="157">
        <v>100</v>
      </c>
      <c r="DA211" s="140"/>
      <c r="DB211" s="157" t="s">
        <v>342</v>
      </c>
      <c r="DC211" s="140"/>
      <c r="DD211" s="157" t="s">
        <v>321</v>
      </c>
      <c r="DE211" s="157" t="s">
        <v>321</v>
      </c>
      <c r="DF211" s="157" t="s">
        <v>321</v>
      </c>
      <c r="DG211" s="160" t="s">
        <v>342</v>
      </c>
      <c r="DH211" s="161" t="s">
        <v>321</v>
      </c>
      <c r="DI211" s="161" t="s">
        <v>321</v>
      </c>
      <c r="DJ211" s="161" t="s">
        <v>321</v>
      </c>
    </row>
    <row r="212" spans="66:114" ht="14.4">
      <c r="BN212" s="198"/>
      <c r="BO212" s="140"/>
      <c r="BP212" s="198"/>
      <c r="BQ212" s="140"/>
      <c r="BR212" s="198"/>
      <c r="BT212" s="140"/>
      <c r="BU212" s="140"/>
      <c r="BV212" s="140"/>
      <c r="BW212" s="140"/>
      <c r="BX212" s="140"/>
      <c r="BY212" s="140"/>
      <c r="BZ212" s="140"/>
      <c r="CA212" s="140"/>
      <c r="CB212" s="140"/>
      <c r="CC212" s="140"/>
      <c r="CD212" s="140"/>
      <c r="CF212" s="146">
        <f>'1_INPUT'!F112</f>
        <v>0</v>
      </c>
      <c r="CG212" s="147">
        <f t="shared" si="13"/>
        <v>0</v>
      </c>
      <c r="CH212" s="148">
        <f>'1_INPUT'!E112</f>
        <v>0</v>
      </c>
      <c r="CJ212" s="154">
        <v>2</v>
      </c>
      <c r="CK212" s="155" t="s">
        <v>340</v>
      </c>
      <c r="CL212" s="156" t="s">
        <v>340</v>
      </c>
      <c r="CM212" s="157" t="s">
        <v>214</v>
      </c>
      <c r="CN212" s="157" t="s">
        <v>303</v>
      </c>
      <c r="CO212" s="157" t="s">
        <v>216</v>
      </c>
      <c r="CP212" s="157" t="s">
        <v>63</v>
      </c>
      <c r="CQ212" s="156" t="s">
        <v>341</v>
      </c>
      <c r="CS212" s="158">
        <v>0</v>
      </c>
      <c r="CT212" s="158">
        <v>0</v>
      </c>
      <c r="CU212" s="158">
        <v>14</v>
      </c>
      <c r="CW212" s="159" t="s">
        <v>96</v>
      </c>
      <c r="CX212" s="157">
        <v>300</v>
      </c>
      <c r="CY212" s="157">
        <v>11</v>
      </c>
      <c r="CZ212" s="157">
        <v>101</v>
      </c>
      <c r="DA212" s="140"/>
      <c r="DB212" s="157">
        <v>1</v>
      </c>
      <c r="DC212" s="140"/>
      <c r="DD212" s="157" t="s">
        <v>213</v>
      </c>
      <c r="DE212" s="157" t="s">
        <v>303</v>
      </c>
      <c r="DF212" s="157" t="s">
        <v>214</v>
      </c>
      <c r="DG212" s="160" t="s">
        <v>343</v>
      </c>
      <c r="DH212" s="161">
        <v>0</v>
      </c>
      <c r="DI212" s="161">
        <v>0</v>
      </c>
      <c r="DJ212" s="161">
        <v>12</v>
      </c>
    </row>
    <row r="213" spans="66:114" ht="14.4">
      <c r="BN213" s="198"/>
      <c r="BO213" s="140"/>
      <c r="BP213" s="198"/>
      <c r="BQ213" s="140"/>
      <c r="BR213" s="198"/>
      <c r="BT213" s="140"/>
      <c r="BU213" s="140"/>
      <c r="BV213" s="140"/>
      <c r="BW213" s="140"/>
      <c r="BX213" s="140"/>
      <c r="BY213" s="140"/>
      <c r="BZ213" s="140"/>
      <c r="CA213" s="140"/>
      <c r="CB213" s="140"/>
      <c r="CC213" s="140"/>
      <c r="CD213" s="140"/>
      <c r="CF213" s="146">
        <f>'1_INPUT'!F113</f>
        <v>0</v>
      </c>
      <c r="CG213" s="147">
        <f t="shared" si="13"/>
        <v>0</v>
      </c>
      <c r="CH213" s="148">
        <f>'1_INPUT'!E113</f>
        <v>0</v>
      </c>
      <c r="CJ213" s="154">
        <v>3</v>
      </c>
      <c r="CK213" s="155">
        <v>26</v>
      </c>
      <c r="CL213" s="156" t="s">
        <v>304</v>
      </c>
      <c r="CM213" s="157" t="s">
        <v>216</v>
      </c>
      <c r="CN213" s="157" t="s">
        <v>303</v>
      </c>
      <c r="CO213" s="157" t="s">
        <v>217</v>
      </c>
      <c r="CP213" s="157" t="s">
        <v>63</v>
      </c>
      <c r="CQ213" s="156" t="s">
        <v>304</v>
      </c>
      <c r="CS213" s="158">
        <v>1.4374999999999998</v>
      </c>
      <c r="CT213" s="158">
        <v>1.4374999999999998</v>
      </c>
      <c r="CU213" s="158">
        <v>15.4375</v>
      </c>
      <c r="CW213" s="162" t="s">
        <v>344</v>
      </c>
      <c r="CX213" s="157" t="s">
        <v>321</v>
      </c>
      <c r="CY213" s="157" t="s">
        <v>321</v>
      </c>
      <c r="CZ213" s="157">
        <v>102</v>
      </c>
      <c r="DA213" s="140"/>
      <c r="DB213" s="157">
        <v>2</v>
      </c>
      <c r="DC213" s="140"/>
      <c r="DD213" s="157" t="s">
        <v>214</v>
      </c>
      <c r="DE213" s="157" t="s">
        <v>303</v>
      </c>
      <c r="DF213" s="157" t="s">
        <v>216</v>
      </c>
      <c r="DG213" s="160" t="s">
        <v>345</v>
      </c>
      <c r="DH213" s="161">
        <v>0</v>
      </c>
      <c r="DI213" s="161">
        <v>0</v>
      </c>
      <c r="DJ213" s="161">
        <v>14</v>
      </c>
    </row>
    <row r="214" spans="66:114" ht="14.4">
      <c r="BN214" s="198"/>
      <c r="BO214" s="140"/>
      <c r="BP214" s="198"/>
      <c r="BQ214" s="140"/>
      <c r="BR214" s="198"/>
      <c r="BT214" s="140"/>
      <c r="BU214" s="140"/>
      <c r="BV214" s="140"/>
      <c r="BW214" s="140"/>
      <c r="BX214" s="140"/>
      <c r="BY214" s="140"/>
      <c r="BZ214" s="140"/>
      <c r="CA214" s="140"/>
      <c r="CB214" s="140"/>
      <c r="CC214" s="140"/>
      <c r="CD214" s="140"/>
      <c r="CF214" s="146">
        <f>'1_INPUT'!F114</f>
        <v>0</v>
      </c>
      <c r="CG214" s="147">
        <f t="shared" si="13"/>
        <v>0</v>
      </c>
      <c r="CH214" s="148">
        <f>'1_INPUT'!E114</f>
        <v>0</v>
      </c>
      <c r="CJ214" s="154">
        <v>4</v>
      </c>
      <c r="CK214" s="155">
        <v>26</v>
      </c>
      <c r="CL214" s="156" t="s">
        <v>304</v>
      </c>
      <c r="CM214" s="157" t="s">
        <v>217</v>
      </c>
      <c r="CN214" s="157" t="s">
        <v>303</v>
      </c>
      <c r="CO214" s="157" t="s">
        <v>218</v>
      </c>
      <c r="CP214" s="157" t="s">
        <v>63</v>
      </c>
      <c r="CQ214" s="156" t="s">
        <v>346</v>
      </c>
      <c r="CS214" s="158">
        <v>2.4791666666666665</v>
      </c>
      <c r="CT214" s="158">
        <v>3.9166666666666661</v>
      </c>
      <c r="CU214" s="158">
        <v>17.916666666666668</v>
      </c>
      <c r="CW214" s="162" t="s">
        <v>342</v>
      </c>
      <c r="CX214" s="157">
        <v>100</v>
      </c>
      <c r="CY214" s="157">
        <v>1</v>
      </c>
      <c r="CZ214" s="157">
        <v>200</v>
      </c>
      <c r="DA214" s="140"/>
      <c r="DB214" s="157" t="s">
        <v>304</v>
      </c>
      <c r="DC214" s="140"/>
      <c r="DD214" s="157" t="s">
        <v>321</v>
      </c>
      <c r="DE214" s="157" t="s">
        <v>321</v>
      </c>
      <c r="DF214" s="157" t="s">
        <v>321</v>
      </c>
      <c r="DG214" s="160" t="s">
        <v>304</v>
      </c>
      <c r="DH214" s="161" t="s">
        <v>321</v>
      </c>
      <c r="DI214" s="161" t="s">
        <v>321</v>
      </c>
      <c r="DJ214" s="161" t="s">
        <v>321</v>
      </c>
    </row>
    <row r="215" spans="66:114" ht="14.4">
      <c r="BN215" s="198"/>
      <c r="BO215" s="140"/>
      <c r="BP215" s="198"/>
      <c r="BQ215" s="140"/>
      <c r="BR215" s="198"/>
      <c r="BT215" s="140"/>
      <c r="BU215" s="140"/>
      <c r="BV215" s="140"/>
      <c r="BW215" s="140"/>
      <c r="BX215" s="140"/>
      <c r="BY215" s="140"/>
      <c r="BZ215" s="140"/>
      <c r="CA215" s="140"/>
      <c r="CB215" s="140"/>
      <c r="CC215" s="140"/>
      <c r="CD215" s="140"/>
      <c r="CF215" s="146">
        <f>'1_INPUT'!F115</f>
        <v>0</v>
      </c>
      <c r="CG215" s="147">
        <f t="shared" si="13"/>
        <v>0</v>
      </c>
      <c r="CH215" s="148">
        <f>'1_INPUT'!E115</f>
        <v>0</v>
      </c>
      <c r="CJ215" s="154">
        <v>5</v>
      </c>
      <c r="CK215" s="155">
        <v>17.5</v>
      </c>
      <c r="CL215" s="156" t="s">
        <v>304</v>
      </c>
      <c r="CM215" s="157" t="s">
        <v>218</v>
      </c>
      <c r="CN215" s="157" t="s">
        <v>303</v>
      </c>
      <c r="CO215" s="157" t="s">
        <v>219</v>
      </c>
      <c r="CP215" s="157" t="s">
        <v>63</v>
      </c>
      <c r="CQ215" s="156" t="s">
        <v>304</v>
      </c>
      <c r="CS215" s="158">
        <v>3.8958333333333335</v>
      </c>
      <c r="CT215" s="158">
        <v>7.8125</v>
      </c>
      <c r="CU215" s="158">
        <v>21.8125</v>
      </c>
      <c r="CW215" s="162" t="s">
        <v>321</v>
      </c>
      <c r="CX215" s="157" t="s">
        <v>321</v>
      </c>
      <c r="CY215" s="157" t="s">
        <v>321</v>
      </c>
      <c r="CZ215" s="157">
        <v>203</v>
      </c>
      <c r="DA215" s="140"/>
      <c r="DB215" s="157">
        <v>3</v>
      </c>
      <c r="DC215" s="140"/>
      <c r="DD215" s="157" t="s">
        <v>216</v>
      </c>
      <c r="DE215" s="157" t="s">
        <v>303</v>
      </c>
      <c r="DF215" s="157" t="s">
        <v>217</v>
      </c>
      <c r="DG215" s="160" t="s">
        <v>347</v>
      </c>
      <c r="DH215" s="161">
        <v>1.4374999999999998</v>
      </c>
      <c r="DI215" s="161">
        <v>1.4374999999999998</v>
      </c>
      <c r="DJ215" s="161">
        <v>15.4375</v>
      </c>
    </row>
    <row r="216" spans="66:114" ht="14.4">
      <c r="BN216" s="198"/>
      <c r="BO216" s="140"/>
      <c r="BP216" s="198"/>
      <c r="BQ216" s="140"/>
      <c r="BR216" s="198"/>
      <c r="BT216" s="140"/>
      <c r="BU216" s="140"/>
      <c r="BV216" s="140"/>
      <c r="BW216" s="140"/>
      <c r="BX216" s="140"/>
      <c r="BY216" s="140"/>
      <c r="BZ216" s="140"/>
      <c r="CA216" s="140"/>
      <c r="CB216" s="140"/>
      <c r="CC216" s="140"/>
      <c r="CD216" s="140"/>
      <c r="CF216" s="146">
        <f>'1_INPUT'!F116</f>
        <v>0</v>
      </c>
      <c r="CG216" s="147">
        <f t="shared" si="13"/>
        <v>0</v>
      </c>
      <c r="CH216" s="148">
        <f>'1_INPUT'!E116</f>
        <v>0</v>
      </c>
      <c r="CJ216" s="154">
        <v>6</v>
      </c>
      <c r="CK216" s="155">
        <v>17.5</v>
      </c>
      <c r="CL216" s="156" t="s">
        <v>304</v>
      </c>
      <c r="CM216" s="157" t="s">
        <v>219</v>
      </c>
      <c r="CN216" s="157" t="s">
        <v>303</v>
      </c>
      <c r="CO216" s="157" t="s">
        <v>220</v>
      </c>
      <c r="CP216" s="157" t="s">
        <v>63</v>
      </c>
      <c r="CQ216" s="156" t="s">
        <v>346</v>
      </c>
      <c r="CS216" s="158">
        <v>3.3333333333333335</v>
      </c>
      <c r="CT216" s="158">
        <v>11.145833333333334</v>
      </c>
      <c r="CU216" s="158">
        <v>25.145833333333332</v>
      </c>
      <c r="CW216" s="162" t="s">
        <v>321</v>
      </c>
      <c r="CX216" s="157" t="s">
        <v>321</v>
      </c>
      <c r="CY216" s="157" t="s">
        <v>321</v>
      </c>
      <c r="CZ216" s="157">
        <v>204</v>
      </c>
      <c r="DA216" s="140"/>
      <c r="DB216" s="157">
        <v>4</v>
      </c>
      <c r="DC216" s="140"/>
      <c r="DD216" s="157" t="s">
        <v>217</v>
      </c>
      <c r="DE216" s="157" t="s">
        <v>303</v>
      </c>
      <c r="DF216" s="157" t="s">
        <v>218</v>
      </c>
      <c r="DG216" s="160" t="s">
        <v>348</v>
      </c>
      <c r="DH216" s="161">
        <v>2.4791666666666665</v>
      </c>
      <c r="DI216" s="161">
        <v>3.9166666666666661</v>
      </c>
      <c r="DJ216" s="161">
        <v>17.916666666666668</v>
      </c>
    </row>
    <row r="217" spans="66:114" ht="14.4">
      <c r="BN217" s="198"/>
      <c r="BO217" s="140"/>
      <c r="BP217" s="198"/>
      <c r="BQ217" s="140"/>
      <c r="BR217" s="198"/>
      <c r="BT217" s="140"/>
      <c r="BU217" s="140"/>
      <c r="BV217" s="140"/>
      <c r="BW217" s="140"/>
      <c r="BX217" s="140"/>
      <c r="BY217" s="140"/>
      <c r="BZ217" s="140"/>
      <c r="CA217" s="140"/>
      <c r="CB217" s="140"/>
      <c r="CC217" s="140"/>
      <c r="CD217" s="140"/>
      <c r="CF217" s="146">
        <f>'1_INPUT'!F117</f>
        <v>0</v>
      </c>
      <c r="CG217" s="147">
        <f t="shared" si="13"/>
        <v>0</v>
      </c>
      <c r="CH217" s="148">
        <f>'1_INPUT'!E117</f>
        <v>0</v>
      </c>
      <c r="CJ217" s="154">
        <v>7</v>
      </c>
      <c r="CK217" s="155">
        <v>12.25</v>
      </c>
      <c r="CL217" s="156" t="s">
        <v>304</v>
      </c>
      <c r="CM217" s="157" t="s">
        <v>220</v>
      </c>
      <c r="CN217" s="157" t="s">
        <v>303</v>
      </c>
      <c r="CO217" s="157" t="s">
        <v>221</v>
      </c>
      <c r="CP217" s="157" t="s">
        <v>63</v>
      </c>
      <c r="CQ217" s="156" t="s">
        <v>304</v>
      </c>
      <c r="CS217" s="158">
        <v>6.1458333333333321</v>
      </c>
      <c r="CT217" s="158">
        <v>17.291666666666664</v>
      </c>
      <c r="CU217" s="158">
        <v>31.291666666666668</v>
      </c>
      <c r="CW217" s="140"/>
      <c r="CX217" s="163">
        <v>101</v>
      </c>
      <c r="CY217" s="157">
        <v>2</v>
      </c>
      <c r="CZ217" s="157">
        <v>205</v>
      </c>
      <c r="DA217" s="140"/>
      <c r="DB217" s="157">
        <v>5</v>
      </c>
      <c r="DC217" s="140"/>
      <c r="DD217" s="157" t="s">
        <v>218</v>
      </c>
      <c r="DE217" s="157" t="s">
        <v>303</v>
      </c>
      <c r="DF217" s="157" t="s">
        <v>219</v>
      </c>
      <c r="DG217" s="160" t="s">
        <v>349</v>
      </c>
      <c r="DH217" s="161">
        <v>3.8958333333333335</v>
      </c>
      <c r="DI217" s="161">
        <v>7.8125</v>
      </c>
      <c r="DJ217" s="161">
        <v>21.8125</v>
      </c>
    </row>
    <row r="218" spans="66:114" ht="14.4">
      <c r="BN218" s="198"/>
      <c r="BO218" s="140"/>
      <c r="BP218" s="198"/>
      <c r="BQ218" s="140"/>
      <c r="BR218" s="198"/>
      <c r="BT218" s="140"/>
      <c r="BU218" s="140"/>
      <c r="BV218" s="140"/>
      <c r="BW218" s="140"/>
      <c r="BX218" s="140"/>
      <c r="BY218" s="140"/>
      <c r="BZ218" s="140"/>
      <c r="CA218" s="140"/>
      <c r="CB218" s="140"/>
      <c r="CC218" s="140"/>
      <c r="CD218" s="140"/>
      <c r="CF218" s="146"/>
      <c r="CG218" s="147"/>
      <c r="CH218" s="148"/>
      <c r="CJ218" s="154">
        <v>8</v>
      </c>
      <c r="CK218" s="155">
        <v>12.25</v>
      </c>
      <c r="CL218" s="156" t="s">
        <v>304</v>
      </c>
      <c r="CM218" s="157" t="s">
        <v>221</v>
      </c>
      <c r="CN218" s="157" t="s">
        <v>303</v>
      </c>
      <c r="CO218" s="157" t="s">
        <v>350</v>
      </c>
      <c r="CP218" s="157" t="s">
        <v>63</v>
      </c>
      <c r="CQ218" s="156" t="s">
        <v>346</v>
      </c>
      <c r="CS218" s="158">
        <v>4.9166666666666679</v>
      </c>
      <c r="CT218" s="158">
        <v>22.208333333333332</v>
      </c>
      <c r="CU218" s="158">
        <v>36.208333333333336</v>
      </c>
      <c r="CW218" s="140"/>
      <c r="CX218" s="163">
        <v>102</v>
      </c>
      <c r="CY218" s="157">
        <v>3</v>
      </c>
      <c r="CZ218" s="157">
        <v>206</v>
      </c>
      <c r="DA218" s="140"/>
      <c r="DB218" s="157">
        <v>6</v>
      </c>
      <c r="DC218" s="140"/>
      <c r="DD218" s="157" t="s">
        <v>219</v>
      </c>
      <c r="DE218" s="157" t="s">
        <v>303</v>
      </c>
      <c r="DF218" s="157" t="s">
        <v>220</v>
      </c>
      <c r="DG218" s="160" t="s">
        <v>351</v>
      </c>
      <c r="DH218" s="161">
        <v>3.3333333333333335</v>
      </c>
      <c r="DI218" s="161">
        <v>11.145833333333334</v>
      </c>
      <c r="DJ218" s="161">
        <v>25.145833333333332</v>
      </c>
    </row>
    <row r="219" spans="66:114" ht="14.4">
      <c r="BN219" s="198"/>
      <c r="BO219" s="140"/>
      <c r="BP219" s="198"/>
      <c r="BQ219" s="140"/>
      <c r="BR219" s="198"/>
      <c r="BT219" s="140"/>
      <c r="BU219" s="140"/>
      <c r="BV219" s="140"/>
      <c r="BW219" s="140"/>
      <c r="BX219" s="140"/>
      <c r="BY219" s="140"/>
      <c r="BZ219" s="140"/>
      <c r="CA219" s="140"/>
      <c r="CB219" s="140"/>
      <c r="CC219" s="140"/>
      <c r="CD219" s="140"/>
      <c r="CF219" s="146"/>
      <c r="CG219" s="147"/>
      <c r="CH219" s="148"/>
      <c r="CJ219" s="154">
        <v>9</v>
      </c>
      <c r="CK219" s="155" t="s">
        <v>352</v>
      </c>
      <c r="CL219" s="156" t="s">
        <v>352</v>
      </c>
      <c r="CM219" s="157" t="s">
        <v>350</v>
      </c>
      <c r="CN219" s="157" t="s">
        <v>303</v>
      </c>
      <c r="CO219" s="157" t="s">
        <v>353</v>
      </c>
      <c r="CP219" s="157" t="s">
        <v>63</v>
      </c>
      <c r="CQ219" s="156" t="s">
        <v>354</v>
      </c>
      <c r="CS219" s="158">
        <v>4.479166666666667</v>
      </c>
      <c r="CT219" s="158">
        <v>26.6875</v>
      </c>
      <c r="CU219" s="158">
        <v>40.6875</v>
      </c>
      <c r="CW219" s="140"/>
      <c r="CX219" s="163">
        <v>203</v>
      </c>
      <c r="CY219" s="157">
        <v>5</v>
      </c>
      <c r="CZ219" s="157">
        <v>207</v>
      </c>
      <c r="DA219" s="140"/>
      <c r="DB219" s="157">
        <v>7</v>
      </c>
      <c r="DC219" s="140"/>
      <c r="DD219" s="157" t="s">
        <v>220</v>
      </c>
      <c r="DE219" s="157" t="s">
        <v>303</v>
      </c>
      <c r="DF219" s="157" t="s">
        <v>221</v>
      </c>
      <c r="DG219" s="160" t="s">
        <v>349</v>
      </c>
      <c r="DH219" s="161">
        <v>6.1458333333333321</v>
      </c>
      <c r="DI219" s="161">
        <v>17.291666666666664</v>
      </c>
      <c r="DJ219" s="161">
        <v>31.291666666666668</v>
      </c>
    </row>
    <row r="220" spans="66:114" ht="14.4">
      <c r="BN220" s="198"/>
      <c r="BO220" s="140"/>
      <c r="BP220" s="198"/>
      <c r="BQ220" s="140"/>
      <c r="BR220" s="198"/>
      <c r="BT220" s="140"/>
      <c r="BU220" s="140"/>
      <c r="BV220" s="140"/>
      <c r="BW220" s="140"/>
      <c r="BX220" s="140"/>
      <c r="BY220" s="140"/>
      <c r="BZ220" s="140"/>
      <c r="CA220" s="140"/>
      <c r="CB220" s="140"/>
      <c r="CC220" s="140"/>
      <c r="CD220" s="140"/>
      <c r="CF220" s="146"/>
      <c r="CG220" s="147"/>
      <c r="CH220" s="148"/>
      <c r="CJ220" s="154">
        <v>10</v>
      </c>
      <c r="CK220" s="155" t="s">
        <v>352</v>
      </c>
      <c r="CL220" s="156" t="s">
        <v>352</v>
      </c>
      <c r="CM220" s="157" t="s">
        <v>353</v>
      </c>
      <c r="CN220" s="157" t="s">
        <v>303</v>
      </c>
      <c r="CO220" s="157" t="s">
        <v>355</v>
      </c>
      <c r="CP220" s="157" t="s">
        <v>63</v>
      </c>
      <c r="CQ220" s="156" t="s">
        <v>356</v>
      </c>
      <c r="CS220" s="158">
        <v>7.8749999999999991</v>
      </c>
      <c r="CT220" s="158">
        <v>34.5625</v>
      </c>
      <c r="CU220" s="158">
        <v>48.5625</v>
      </c>
      <c r="CW220" s="140"/>
      <c r="CX220" s="163">
        <v>204</v>
      </c>
      <c r="CY220" s="157">
        <v>6</v>
      </c>
      <c r="CZ220" s="157">
        <v>208</v>
      </c>
      <c r="DA220" s="140"/>
      <c r="DB220" s="157">
        <v>8</v>
      </c>
      <c r="DC220" s="140"/>
      <c r="DD220" s="157" t="s">
        <v>221</v>
      </c>
      <c r="DE220" s="157" t="s">
        <v>303</v>
      </c>
      <c r="DF220" s="157" t="s">
        <v>350</v>
      </c>
      <c r="DG220" s="160" t="s">
        <v>351</v>
      </c>
      <c r="DH220" s="161">
        <v>4.9166666666666679</v>
      </c>
      <c r="DI220" s="161">
        <v>22.208333333333332</v>
      </c>
      <c r="DJ220" s="161">
        <v>36.208333333333336</v>
      </c>
    </row>
    <row r="221" spans="66:114" ht="14.4">
      <c r="BN221" s="198"/>
      <c r="BO221" s="140"/>
      <c r="BP221" s="198"/>
      <c r="BQ221" s="140"/>
      <c r="BR221" s="198"/>
      <c r="BT221" s="140"/>
      <c r="BU221" s="140"/>
      <c r="BV221" s="140"/>
      <c r="BW221" s="140"/>
      <c r="BX221" s="140"/>
      <c r="BY221" s="140"/>
      <c r="BZ221" s="140"/>
      <c r="CA221" s="140"/>
      <c r="CB221" s="140"/>
      <c r="CC221" s="140"/>
      <c r="CD221" s="140"/>
      <c r="CJ221" s="154">
        <v>11</v>
      </c>
      <c r="CK221" s="155" t="s">
        <v>352</v>
      </c>
      <c r="CL221" s="156" t="s">
        <v>352</v>
      </c>
      <c r="CM221" s="157" t="s">
        <v>355</v>
      </c>
      <c r="CN221" s="157" t="s">
        <v>303</v>
      </c>
      <c r="CO221" s="157" t="s">
        <v>357</v>
      </c>
      <c r="CP221" s="157" t="s">
        <v>63</v>
      </c>
      <c r="CQ221" s="156" t="s">
        <v>358</v>
      </c>
      <c r="CS221" s="158">
        <v>15.833333333333334</v>
      </c>
      <c r="CT221" s="158">
        <v>50.395833333333336</v>
      </c>
      <c r="CU221" s="158">
        <v>64.395833333333329</v>
      </c>
      <c r="CW221" s="140"/>
      <c r="CX221" s="163">
        <v>205</v>
      </c>
      <c r="CY221" s="157">
        <v>7</v>
      </c>
      <c r="CZ221" s="157">
        <v>300</v>
      </c>
      <c r="DA221" s="140"/>
      <c r="DB221" s="157" t="s">
        <v>96</v>
      </c>
      <c r="DC221" s="140"/>
      <c r="DD221" s="157" t="s">
        <v>321</v>
      </c>
      <c r="DE221" s="157" t="s">
        <v>321</v>
      </c>
      <c r="DF221" s="157" t="s">
        <v>321</v>
      </c>
      <c r="DG221" s="160" t="s">
        <v>96</v>
      </c>
      <c r="DH221" s="161" t="s">
        <v>321</v>
      </c>
      <c r="DI221" s="161" t="s">
        <v>321</v>
      </c>
      <c r="DJ221" s="161" t="s">
        <v>321</v>
      </c>
    </row>
    <row r="222" spans="66:114" ht="14.4">
      <c r="BN222" s="198"/>
      <c r="BO222" s="140"/>
      <c r="BP222" s="198"/>
      <c r="BQ222" s="140"/>
      <c r="BR222" s="198"/>
      <c r="BT222" s="140"/>
      <c r="BU222" s="140"/>
      <c r="BV222" s="140"/>
      <c r="BW222" s="140"/>
      <c r="BX222" s="140"/>
      <c r="BY222" s="140"/>
      <c r="BZ222" s="140"/>
      <c r="CA222" s="140"/>
      <c r="CB222" s="140"/>
      <c r="CC222" s="140"/>
      <c r="CD222" s="140"/>
      <c r="CJ222" s="154">
        <v>12</v>
      </c>
      <c r="CK222" s="155" t="s">
        <v>321</v>
      </c>
      <c r="CL222" s="156" t="s">
        <v>321</v>
      </c>
      <c r="CM222" s="157" t="s">
        <v>357</v>
      </c>
      <c r="CN222" s="157" t="s">
        <v>303</v>
      </c>
      <c r="CO222" s="157" t="s">
        <v>359</v>
      </c>
      <c r="CP222" s="157" t="s">
        <v>63</v>
      </c>
      <c r="CQ222" s="156" t="s">
        <v>321</v>
      </c>
      <c r="CS222" s="158" t="s">
        <v>321</v>
      </c>
      <c r="CT222" s="158">
        <v>50.395833333333336</v>
      </c>
      <c r="CU222" s="158" t="s">
        <v>321</v>
      </c>
      <c r="CW222" s="140"/>
      <c r="CX222" s="163">
        <v>206</v>
      </c>
      <c r="CY222" s="157">
        <v>8</v>
      </c>
      <c r="CZ222" s="157">
        <v>309</v>
      </c>
      <c r="DA222" s="140"/>
      <c r="DB222" s="157">
        <v>9</v>
      </c>
      <c r="DC222" s="140"/>
      <c r="DD222" s="157" t="s">
        <v>350</v>
      </c>
      <c r="DE222" s="157" t="s">
        <v>303</v>
      </c>
      <c r="DF222" s="157" t="s">
        <v>353</v>
      </c>
      <c r="DG222" s="160" t="s">
        <v>360</v>
      </c>
      <c r="DH222" s="161">
        <v>4.479166666666667</v>
      </c>
      <c r="DI222" s="161">
        <v>26.6875</v>
      </c>
      <c r="DJ222" s="161">
        <v>40.6875</v>
      </c>
    </row>
    <row r="223" spans="66:114" ht="14.4">
      <c r="BN223" s="198"/>
      <c r="BO223" s="140"/>
      <c r="BP223" s="198"/>
      <c r="BQ223" s="140"/>
      <c r="BR223" s="198"/>
      <c r="BT223" s="140"/>
      <c r="BU223" s="140"/>
      <c r="BV223" s="140"/>
      <c r="BW223" s="140"/>
      <c r="BX223" s="140"/>
      <c r="BY223" s="140"/>
      <c r="BZ223" s="140"/>
      <c r="CA223" s="140"/>
      <c r="CB223" s="140"/>
      <c r="CC223" s="140"/>
      <c r="CD223" s="140"/>
      <c r="CJ223" s="154">
        <v>13</v>
      </c>
      <c r="CK223" s="155" t="s">
        <v>321</v>
      </c>
      <c r="CL223" s="156" t="s">
        <v>321</v>
      </c>
      <c r="CM223" s="157" t="s">
        <v>359</v>
      </c>
      <c r="CN223" s="157" t="s">
        <v>303</v>
      </c>
      <c r="CO223" s="157" t="s">
        <v>361</v>
      </c>
      <c r="CP223" s="157" t="s">
        <v>63</v>
      </c>
      <c r="CQ223" s="156" t="s">
        <v>321</v>
      </c>
      <c r="CS223" s="158" t="s">
        <v>321</v>
      </c>
      <c r="CT223" s="158">
        <v>50.395833333333336</v>
      </c>
      <c r="CU223" s="158" t="s">
        <v>321</v>
      </c>
      <c r="CW223" s="140"/>
      <c r="CX223" s="163">
        <v>207</v>
      </c>
      <c r="CY223" s="157">
        <v>9</v>
      </c>
      <c r="CZ223" s="157">
        <v>310</v>
      </c>
      <c r="DA223" s="140"/>
      <c r="DB223" s="157">
        <v>10</v>
      </c>
      <c r="DC223" s="140"/>
      <c r="DD223" s="157" t="s">
        <v>353</v>
      </c>
      <c r="DE223" s="157" t="s">
        <v>303</v>
      </c>
      <c r="DF223" s="157" t="s">
        <v>355</v>
      </c>
      <c r="DG223" s="160" t="s">
        <v>362</v>
      </c>
      <c r="DH223" s="161">
        <v>7.8749999999999991</v>
      </c>
      <c r="DI223" s="161">
        <v>34.5625</v>
      </c>
      <c r="DJ223" s="161">
        <v>48.5625</v>
      </c>
    </row>
    <row r="224" spans="66:114" ht="14.4">
      <c r="BN224" s="198"/>
      <c r="BO224" s="140"/>
      <c r="BP224" s="198"/>
      <c r="BQ224" s="140"/>
      <c r="BR224" s="198"/>
      <c r="BT224" s="140"/>
      <c r="BU224" s="140"/>
      <c r="BV224" s="140"/>
      <c r="BW224" s="140"/>
      <c r="BX224" s="140"/>
      <c r="BY224" s="140"/>
      <c r="BZ224" s="140"/>
      <c r="CA224" s="140"/>
      <c r="CB224" s="140"/>
      <c r="CC224" s="140"/>
      <c r="CD224" s="140"/>
      <c r="CJ224" s="154">
        <v>14</v>
      </c>
      <c r="CK224" s="155" t="s">
        <v>321</v>
      </c>
      <c r="CL224" s="156" t="s">
        <v>321</v>
      </c>
      <c r="CM224" s="157" t="s">
        <v>361</v>
      </c>
      <c r="CN224" s="157" t="s">
        <v>303</v>
      </c>
      <c r="CO224" s="157" t="s">
        <v>363</v>
      </c>
      <c r="CP224" s="157" t="s">
        <v>63</v>
      </c>
      <c r="CQ224" s="156" t="s">
        <v>321</v>
      </c>
      <c r="CS224" s="158" t="s">
        <v>321</v>
      </c>
      <c r="CT224" s="158">
        <v>50.395833333333336</v>
      </c>
      <c r="CU224" s="158" t="s">
        <v>321</v>
      </c>
      <c r="CW224" s="140"/>
      <c r="CX224" s="163">
        <v>208</v>
      </c>
      <c r="CY224" s="157">
        <v>10</v>
      </c>
      <c r="CZ224" s="157">
        <v>311</v>
      </c>
      <c r="DA224" s="140"/>
      <c r="DB224" s="157">
        <v>11</v>
      </c>
      <c r="DC224" s="140"/>
      <c r="DD224" s="157" t="s">
        <v>355</v>
      </c>
      <c r="DE224" s="157" t="s">
        <v>303</v>
      </c>
      <c r="DF224" s="157" t="s">
        <v>357</v>
      </c>
      <c r="DG224" s="160" t="s">
        <v>258</v>
      </c>
      <c r="DH224" s="161">
        <v>15.833333333333334</v>
      </c>
      <c r="DI224" s="161">
        <v>50.395833333333336</v>
      </c>
      <c r="DJ224" s="161">
        <v>64.395833333333329</v>
      </c>
    </row>
    <row r="225" spans="66:114" ht="14.4">
      <c r="BN225" s="198"/>
      <c r="BO225" s="140"/>
      <c r="BP225" s="198"/>
      <c r="BQ225" s="140"/>
      <c r="BR225" s="198"/>
      <c r="BT225" s="140"/>
      <c r="BU225" s="140"/>
      <c r="BV225" s="140"/>
      <c r="BW225" s="140"/>
      <c r="BX225" s="140"/>
      <c r="BY225" s="140"/>
      <c r="BZ225" s="140"/>
      <c r="CA225" s="140"/>
      <c r="CB225" s="140"/>
      <c r="CC225" s="140"/>
      <c r="CD225" s="140"/>
      <c r="CJ225" s="154">
        <v>15</v>
      </c>
      <c r="CK225" s="155" t="s">
        <v>321</v>
      </c>
      <c r="CL225" s="156" t="s">
        <v>321</v>
      </c>
      <c r="CM225" s="157" t="s">
        <v>363</v>
      </c>
      <c r="CN225" s="157" t="s">
        <v>303</v>
      </c>
      <c r="CO225" s="157" t="s">
        <v>364</v>
      </c>
      <c r="CP225" s="157" t="s">
        <v>63</v>
      </c>
      <c r="CQ225" s="156" t="s">
        <v>321</v>
      </c>
      <c r="CS225" s="158" t="s">
        <v>321</v>
      </c>
      <c r="CT225" s="158">
        <v>50.395833333333336</v>
      </c>
      <c r="CU225" s="158" t="s">
        <v>321</v>
      </c>
      <c r="CW225" s="140"/>
      <c r="CX225" s="163">
        <v>309</v>
      </c>
      <c r="CY225" s="157">
        <v>12</v>
      </c>
      <c r="CZ225" s="157" t="s">
        <v>321</v>
      </c>
      <c r="DA225" s="140"/>
      <c r="DB225" s="157" t="s">
        <v>321</v>
      </c>
      <c r="DC225" s="140"/>
      <c r="DD225" s="157" t="s">
        <v>321</v>
      </c>
      <c r="DE225" s="157" t="s">
        <v>321</v>
      </c>
      <c r="DF225" s="157" t="s">
        <v>321</v>
      </c>
      <c r="DG225" s="160" t="s">
        <v>321</v>
      </c>
      <c r="DH225" s="161" t="s">
        <v>321</v>
      </c>
      <c r="DI225" s="161" t="s">
        <v>321</v>
      </c>
      <c r="DJ225" s="161" t="s">
        <v>321</v>
      </c>
    </row>
    <row r="226" spans="66:114" ht="14.4">
      <c r="BN226" s="198"/>
      <c r="BO226" s="140"/>
      <c r="BP226" s="198"/>
      <c r="BQ226" s="140"/>
      <c r="BR226" s="198"/>
      <c r="BT226" s="728" t="s">
        <v>47</v>
      </c>
      <c r="BU226" s="729"/>
      <c r="BV226" s="729"/>
      <c r="BW226" s="730"/>
      <c r="BY226" s="728" t="s">
        <v>48</v>
      </c>
      <c r="BZ226" s="729"/>
      <c r="CA226" s="729"/>
      <c r="CB226" s="730"/>
      <c r="CJ226" s="154">
        <v>16</v>
      </c>
      <c r="CK226" s="155" t="s">
        <v>321</v>
      </c>
      <c r="CL226" s="156" t="s">
        <v>321</v>
      </c>
      <c r="CM226" s="157" t="s">
        <v>364</v>
      </c>
      <c r="CN226" s="157" t="s">
        <v>303</v>
      </c>
      <c r="CO226" s="157" t="s">
        <v>365</v>
      </c>
      <c r="CP226" s="157" t="s">
        <v>63</v>
      </c>
      <c r="CQ226" s="156" t="s">
        <v>321</v>
      </c>
      <c r="CS226" s="158" t="s">
        <v>321</v>
      </c>
      <c r="CT226" s="158">
        <v>50.395833333333336</v>
      </c>
      <c r="CU226" s="158" t="s">
        <v>321</v>
      </c>
      <c r="CW226" s="140"/>
      <c r="CX226" s="163">
        <v>310</v>
      </c>
      <c r="CY226" s="157">
        <v>13</v>
      </c>
      <c r="CZ226" s="157" t="s">
        <v>321</v>
      </c>
      <c r="DA226" s="140"/>
      <c r="DB226" s="157" t="s">
        <v>321</v>
      </c>
      <c r="DC226" s="140"/>
      <c r="DD226" s="157" t="s">
        <v>321</v>
      </c>
      <c r="DE226" s="157" t="s">
        <v>321</v>
      </c>
      <c r="DF226" s="157" t="s">
        <v>321</v>
      </c>
      <c r="DG226" s="160" t="s">
        <v>321</v>
      </c>
      <c r="DH226" s="161" t="s">
        <v>321</v>
      </c>
      <c r="DI226" s="161" t="s">
        <v>321</v>
      </c>
      <c r="DJ226" s="161" t="s">
        <v>321</v>
      </c>
    </row>
    <row r="227" spans="66:114" ht="25.2">
      <c r="BN227" s="198"/>
      <c r="BO227" s="140"/>
      <c r="BP227" s="198"/>
      <c r="BQ227" s="140"/>
      <c r="BR227" s="198"/>
      <c r="BT227" s="164" t="s">
        <v>294</v>
      </c>
      <c r="BU227" s="164" t="s">
        <v>305</v>
      </c>
      <c r="BV227" s="164" t="s">
        <v>52</v>
      </c>
      <c r="BW227" s="164" t="s">
        <v>306</v>
      </c>
      <c r="BY227" s="164" t="s">
        <v>294</v>
      </c>
      <c r="BZ227" s="164" t="s">
        <v>305</v>
      </c>
      <c r="CA227" s="164" t="s">
        <v>52</v>
      </c>
      <c r="CB227" s="164" t="s">
        <v>306</v>
      </c>
      <c r="CD227" s="759" t="s">
        <v>307</v>
      </c>
      <c r="CE227" s="759"/>
      <c r="CF227" s="759"/>
      <c r="CJ227" s="154">
        <v>17</v>
      </c>
      <c r="CK227" s="155" t="s">
        <v>321</v>
      </c>
      <c r="CL227" s="156" t="s">
        <v>321</v>
      </c>
      <c r="CM227" s="157" t="s">
        <v>365</v>
      </c>
      <c r="CN227" s="157" t="s">
        <v>303</v>
      </c>
      <c r="CO227" s="157" t="s">
        <v>366</v>
      </c>
      <c r="CP227" s="157" t="s">
        <v>63</v>
      </c>
      <c r="CQ227" s="156" t="s">
        <v>321</v>
      </c>
      <c r="CS227" s="158" t="s">
        <v>321</v>
      </c>
      <c r="CT227" s="158">
        <v>50.395833333333336</v>
      </c>
      <c r="CU227" s="158" t="s">
        <v>321</v>
      </c>
      <c r="CW227" s="140"/>
      <c r="CX227" s="163">
        <v>311</v>
      </c>
      <c r="CY227" s="157">
        <v>14</v>
      </c>
      <c r="CZ227" s="157" t="s">
        <v>321</v>
      </c>
      <c r="DA227" s="140"/>
      <c r="DB227" s="157" t="s">
        <v>321</v>
      </c>
      <c r="DC227" s="140"/>
      <c r="DD227" s="157" t="s">
        <v>321</v>
      </c>
      <c r="DE227" s="157" t="s">
        <v>321</v>
      </c>
      <c r="DF227" s="157" t="s">
        <v>321</v>
      </c>
      <c r="DG227" s="160" t="s">
        <v>321</v>
      </c>
      <c r="DH227" s="161" t="s">
        <v>321</v>
      </c>
      <c r="DI227" s="161" t="s">
        <v>321</v>
      </c>
      <c r="DJ227" s="161" t="s">
        <v>321</v>
      </c>
    </row>
    <row r="228" spans="66:114" ht="14.4">
      <c r="BN228" s="198"/>
      <c r="BO228" s="140"/>
      <c r="BP228" s="198"/>
      <c r="BQ228" s="140"/>
      <c r="BR228" s="198"/>
      <c r="BT228" s="165">
        <f>IFERROR(IF(AND(BV228=0,BV228=""),0,ROUND($BV228/$CE$230,0)*$CE$230),"")</f>
        <v>0</v>
      </c>
      <c r="BU228" s="194">
        <f>IF('1_INPUT'!C94=0,"",'1_INPUT'!C94)</f>
        <v>20</v>
      </c>
      <c r="BV228" s="165">
        <f>IFERROR(VLOOKUP(BU228,'1_INPUT'!$C$94:$D$101,2,FALSE),0)</f>
        <v>0</v>
      </c>
      <c r="BW228" s="166" t="str">
        <f>IF(BV228="","",""&amp;TEXT(BU228,"# #/#")&amp;"'' at "&amp;TEXT($BV228,"0")&amp;" m")</f>
        <v>20'' at 0 m</v>
      </c>
      <c r="BY228" s="165">
        <f>IFERROR(IF(AND(CA228=0,CA228=""),0,ROUND($CA228/$CE$230,0)*$CE$230),"")</f>
        <v>68.5</v>
      </c>
      <c r="BZ228" s="194">
        <f t="shared" ref="BZ228:BZ235" si="14">BU228</f>
        <v>20</v>
      </c>
      <c r="CA228" s="165">
        <f>IFERROR(VLOOKUP(BZ228,'1_INPUT'!$C$94:$E$101,3,FALSE),0)</f>
        <v>98.69</v>
      </c>
      <c r="CB228" s="166" t="str">
        <f>IF(CA228="","",""&amp;TEXT(BZ228,"# #/#")&amp;"'' at "&amp;TEXT($CA228,"0")&amp;" m")</f>
        <v>20'' at 99 m</v>
      </c>
      <c r="CC228" s="139" t="s">
        <v>84</v>
      </c>
      <c r="CD228" s="167" t="s">
        <v>293</v>
      </c>
      <c r="CE228" s="187">
        <f>MAX(BV228:BV235,CA228:CA235)</f>
        <v>2399</v>
      </c>
      <c r="CF228" s="167" t="s">
        <v>0</v>
      </c>
      <c r="CJ228" s="154">
        <v>18</v>
      </c>
      <c r="CK228" s="155" t="s">
        <v>321</v>
      </c>
      <c r="CL228" s="156" t="s">
        <v>321</v>
      </c>
      <c r="CM228" s="157" t="s">
        <v>366</v>
      </c>
      <c r="CN228" s="157" t="s">
        <v>303</v>
      </c>
      <c r="CO228" s="157" t="s">
        <v>367</v>
      </c>
      <c r="CP228" s="157" t="s">
        <v>63</v>
      </c>
      <c r="CQ228" s="156" t="s">
        <v>321</v>
      </c>
      <c r="CS228" s="158" t="s">
        <v>321</v>
      </c>
      <c r="CT228" s="158">
        <v>50.395833333333336</v>
      </c>
      <c r="CU228" s="158" t="s">
        <v>321</v>
      </c>
      <c r="CW228" s="140"/>
      <c r="CX228" s="163" t="s">
        <v>321</v>
      </c>
      <c r="CY228" s="157" t="s">
        <v>321</v>
      </c>
      <c r="CZ228" s="157" t="s">
        <v>321</v>
      </c>
      <c r="DA228" s="140"/>
      <c r="DB228" s="157" t="s">
        <v>321</v>
      </c>
      <c r="DC228" s="140"/>
      <c r="DD228" s="157" t="s">
        <v>321</v>
      </c>
      <c r="DE228" s="157" t="s">
        <v>321</v>
      </c>
      <c r="DF228" s="157" t="s">
        <v>321</v>
      </c>
      <c r="DG228" s="160" t="s">
        <v>321</v>
      </c>
      <c r="DH228" s="161" t="s">
        <v>321</v>
      </c>
      <c r="DI228" s="161" t="s">
        <v>321</v>
      </c>
      <c r="DJ228" s="161" t="s">
        <v>321</v>
      </c>
    </row>
    <row r="229" spans="66:114" ht="14.4">
      <c r="BN229" s="198"/>
      <c r="BO229" s="140"/>
      <c r="BP229" s="198"/>
      <c r="BQ229" s="140"/>
      <c r="BR229" s="198"/>
      <c r="BT229" s="165">
        <f t="shared" ref="BT229:BT240" si="15">IFERROR(IF(AND(BV229=0,BV229=""),0,ROUND($BV229/$CE$230,0)*$CE$230),"")</f>
        <v>0</v>
      </c>
      <c r="BU229" s="194">
        <f>IF('1_INPUT'!C95=0,"",'1_INPUT'!C95)</f>
        <v>13.375</v>
      </c>
      <c r="BV229" s="165">
        <f>IFERROR(VLOOKUP(BU229,'1_INPUT'!$C$94:$D$101,2,FALSE),0)</f>
        <v>0</v>
      </c>
      <c r="BW229" s="166" t="str">
        <f t="shared" ref="BW229:BW235" si="16">IF(BV229="","",""&amp;TEXT(BU229,"# #/#")&amp;"'' at "&amp;TEXT($BV229,"0")&amp;" m")</f>
        <v>13 3/8'' at 0 m</v>
      </c>
      <c r="BY229" s="165">
        <f t="shared" ref="BY229:BY235" si="17">IFERROR(IF(AND(CA229=0,CA229=""),0,ROUND($CA229/$CE$230,0)*$CE$230),"")</f>
        <v>685</v>
      </c>
      <c r="BZ229" s="194">
        <f t="shared" si="14"/>
        <v>13.375</v>
      </c>
      <c r="CA229" s="165">
        <f>IFERROR(VLOOKUP(BZ229,'1_INPUT'!$C$94:$E$101,3,FALSE),0)</f>
        <v>698.86</v>
      </c>
      <c r="CB229" s="166" t="str">
        <f t="shared" ref="CB229:CB235" si="18">IF(CA229="","",""&amp;TEXT(BZ229,"# #/#")&amp;"'' at "&amp;TEXT($CA229,"0")&amp;" m")</f>
        <v>13 3/8'' at 699 m</v>
      </c>
      <c r="CC229" s="139" t="s">
        <v>84</v>
      </c>
      <c r="CD229" s="167" t="s">
        <v>308</v>
      </c>
      <c r="CE229" s="169">
        <v>35</v>
      </c>
      <c r="CF229" s="170" t="s">
        <v>309</v>
      </c>
      <c r="CJ229" s="154">
        <v>19</v>
      </c>
      <c r="CK229" s="155" t="s">
        <v>321</v>
      </c>
      <c r="CL229" s="156" t="s">
        <v>321</v>
      </c>
      <c r="CM229" s="157" t="s">
        <v>367</v>
      </c>
      <c r="CN229" s="157" t="s">
        <v>303</v>
      </c>
      <c r="CO229" s="157" t="s">
        <v>368</v>
      </c>
      <c r="CP229" s="157" t="s">
        <v>63</v>
      </c>
      <c r="CQ229" s="156" t="s">
        <v>321</v>
      </c>
      <c r="CS229" s="158" t="s">
        <v>321</v>
      </c>
      <c r="CT229" s="158">
        <v>50.395833333333336</v>
      </c>
      <c r="CU229" s="158" t="s">
        <v>321</v>
      </c>
      <c r="CW229" s="140"/>
      <c r="CX229" s="163" t="s">
        <v>321</v>
      </c>
      <c r="CY229" s="157" t="s">
        <v>321</v>
      </c>
      <c r="CZ229" s="157" t="s">
        <v>321</v>
      </c>
      <c r="DA229" s="140"/>
      <c r="DB229" s="157" t="s">
        <v>321</v>
      </c>
      <c r="DC229" s="140"/>
      <c r="DD229" s="157" t="s">
        <v>321</v>
      </c>
      <c r="DE229" s="157" t="s">
        <v>321</v>
      </c>
      <c r="DF229" s="157" t="s">
        <v>321</v>
      </c>
      <c r="DG229" s="160" t="s">
        <v>321</v>
      </c>
      <c r="DH229" s="161" t="s">
        <v>321</v>
      </c>
      <c r="DI229" s="161" t="s">
        <v>321</v>
      </c>
      <c r="DJ229" s="161" t="s">
        <v>321</v>
      </c>
    </row>
    <row r="230" spans="66:114" ht="14.4">
      <c r="BN230" s="198"/>
      <c r="BO230" s="140"/>
      <c r="BP230" s="198"/>
      <c r="BQ230" s="140"/>
      <c r="BR230" s="198"/>
      <c r="BT230" s="165">
        <f t="shared" si="15"/>
        <v>0</v>
      </c>
      <c r="BU230" s="194">
        <f>IF('1_INPUT'!C96=0,"",'1_INPUT'!C96)</f>
        <v>9.625</v>
      </c>
      <c r="BV230" s="165">
        <f>IFERROR(VLOOKUP(BU230,'1_INPUT'!$C$94:$D$101,2,FALSE),0)</f>
        <v>0</v>
      </c>
      <c r="BW230" s="166" t="str">
        <f t="shared" si="16"/>
        <v>9 5/8'' at 0 m</v>
      </c>
      <c r="BY230" s="165">
        <f t="shared" si="17"/>
        <v>1507</v>
      </c>
      <c r="BZ230" s="194">
        <f t="shared" si="14"/>
        <v>9.625</v>
      </c>
      <c r="CA230" s="165">
        <f>IFERROR(VLOOKUP(BZ230,'1_INPUT'!$C$94:$E$101,3,FALSE),0)</f>
        <v>1495.27</v>
      </c>
      <c r="CB230" s="166" t="str">
        <f t="shared" si="18"/>
        <v>9 5/8'' at 1495 m</v>
      </c>
      <c r="CC230" s="139" t="s">
        <v>84</v>
      </c>
      <c r="CD230" s="167" t="s">
        <v>310</v>
      </c>
      <c r="CE230" s="168">
        <f>ROUND(CE228/CE229,1)</f>
        <v>68.5</v>
      </c>
      <c r="CF230" s="170" t="s">
        <v>309</v>
      </c>
      <c r="CJ230" s="154">
        <v>20</v>
      </c>
      <c r="CK230" s="155" t="s">
        <v>321</v>
      </c>
      <c r="CL230" s="156" t="s">
        <v>321</v>
      </c>
      <c r="CM230" s="157" t="s">
        <v>368</v>
      </c>
      <c r="CN230" s="157" t="s">
        <v>303</v>
      </c>
      <c r="CO230" s="157" t="s">
        <v>369</v>
      </c>
      <c r="CP230" s="157" t="s">
        <v>63</v>
      </c>
      <c r="CQ230" s="156" t="s">
        <v>321</v>
      </c>
      <c r="CS230" s="158" t="s">
        <v>321</v>
      </c>
      <c r="CT230" s="158">
        <v>50.395833333333336</v>
      </c>
      <c r="CU230" s="158" t="s">
        <v>321</v>
      </c>
      <c r="CW230" s="140"/>
      <c r="CX230" s="163" t="s">
        <v>321</v>
      </c>
      <c r="CY230" s="157" t="s">
        <v>321</v>
      </c>
      <c r="CZ230" s="157" t="s">
        <v>321</v>
      </c>
      <c r="DA230" s="140"/>
      <c r="DB230" s="157" t="s">
        <v>321</v>
      </c>
      <c r="DC230" s="140"/>
      <c r="DD230" s="157" t="s">
        <v>321</v>
      </c>
      <c r="DE230" s="157" t="s">
        <v>321</v>
      </c>
      <c r="DF230" s="157" t="s">
        <v>321</v>
      </c>
      <c r="DG230" s="160" t="s">
        <v>321</v>
      </c>
      <c r="DH230" s="161" t="s">
        <v>321</v>
      </c>
      <c r="DI230" s="161" t="s">
        <v>321</v>
      </c>
      <c r="DJ230" s="161" t="s">
        <v>321</v>
      </c>
    </row>
    <row r="231" spans="66:114" ht="14.4">
      <c r="BN231" s="198"/>
      <c r="BO231" s="140"/>
      <c r="BP231" s="198"/>
      <c r="BQ231" s="140"/>
      <c r="BR231" s="198"/>
      <c r="BT231" s="165">
        <f t="shared" si="15"/>
        <v>0</v>
      </c>
      <c r="BU231" s="194">
        <f>IF('1_INPUT'!C97=0,"",'1_INPUT'!C97)</f>
        <v>7</v>
      </c>
      <c r="BV231" s="165">
        <f>IFERROR(VLOOKUP(BU231,'1_INPUT'!$C$94:$D$101,2,FALSE),0)</f>
        <v>0</v>
      </c>
      <c r="BW231" s="166" t="str">
        <f t="shared" si="16"/>
        <v>7'' at 0 m</v>
      </c>
      <c r="BY231" s="165">
        <f t="shared" si="17"/>
        <v>2329</v>
      </c>
      <c r="BZ231" s="194">
        <f t="shared" si="14"/>
        <v>7</v>
      </c>
      <c r="CA231" s="165">
        <f>IFERROR(VLOOKUP(BZ231,'1_INPUT'!$C$94:$E$101,3,FALSE),0)</f>
        <v>2305</v>
      </c>
      <c r="CB231" s="166" t="str">
        <f t="shared" si="18"/>
        <v>7'' at 2305 m</v>
      </c>
      <c r="CC231" s="139" t="s">
        <v>84</v>
      </c>
      <c r="CJ231" s="154">
        <v>21</v>
      </c>
      <c r="CK231" s="155" t="s">
        <v>321</v>
      </c>
      <c r="CL231" s="156" t="s">
        <v>321</v>
      </c>
      <c r="CM231" s="157" t="s">
        <v>369</v>
      </c>
      <c r="CN231" s="157" t="s">
        <v>303</v>
      </c>
      <c r="CO231" s="157" t="s">
        <v>370</v>
      </c>
      <c r="CP231" s="157" t="s">
        <v>63</v>
      </c>
      <c r="CQ231" s="156" t="s">
        <v>321</v>
      </c>
      <c r="CS231" s="158" t="s">
        <v>321</v>
      </c>
      <c r="CT231" s="158">
        <v>50.395833333333336</v>
      </c>
      <c r="CU231" s="158" t="s">
        <v>321</v>
      </c>
      <c r="CW231" s="140"/>
      <c r="CX231" s="163" t="s">
        <v>321</v>
      </c>
      <c r="CY231" s="157" t="s">
        <v>321</v>
      </c>
      <c r="CZ231" s="157" t="s">
        <v>321</v>
      </c>
      <c r="DA231" s="140"/>
      <c r="DB231" s="157" t="s">
        <v>321</v>
      </c>
      <c r="DC231" s="140"/>
      <c r="DD231" s="157" t="s">
        <v>321</v>
      </c>
      <c r="DE231" s="157" t="s">
        <v>321</v>
      </c>
      <c r="DF231" s="157" t="s">
        <v>321</v>
      </c>
      <c r="DG231" s="160" t="s">
        <v>321</v>
      </c>
      <c r="DH231" s="161" t="s">
        <v>321</v>
      </c>
      <c r="DI231" s="161" t="s">
        <v>321</v>
      </c>
      <c r="DJ231" s="161" t="s">
        <v>321</v>
      </c>
    </row>
    <row r="232" spans="66:114" ht="14.4">
      <c r="BN232" s="198"/>
      <c r="BO232" s="140"/>
      <c r="BP232" s="198"/>
      <c r="BQ232" s="140"/>
      <c r="BR232" s="198"/>
      <c r="BT232" s="165">
        <f t="shared" si="15"/>
        <v>0</v>
      </c>
      <c r="BU232" s="194">
        <f>IF('1_INPUT'!C98=0,"",'1_INPUT'!C98)</f>
        <v>4.5</v>
      </c>
      <c r="BV232" s="165">
        <f>IFERROR(VLOOKUP(BU232,'1_INPUT'!$C$94:$D$101,2,FALSE),0)</f>
        <v>0</v>
      </c>
      <c r="BW232" s="166" t="str">
        <f t="shared" si="16"/>
        <v>4 1/2'' at 0 m</v>
      </c>
      <c r="BY232" s="165">
        <f t="shared" si="17"/>
        <v>2397.5</v>
      </c>
      <c r="BZ232" s="194">
        <f t="shared" si="14"/>
        <v>4.5</v>
      </c>
      <c r="CA232" s="165">
        <f>IFERROR(VLOOKUP(BZ232,'1_INPUT'!$C$94:$E$101,3,FALSE),0)</f>
        <v>2399</v>
      </c>
      <c r="CB232" s="166" t="str">
        <f t="shared" si="18"/>
        <v>4 1/2'' at 2399 m</v>
      </c>
      <c r="CC232" s="139" t="s">
        <v>84</v>
      </c>
      <c r="CW232" s="140"/>
      <c r="CX232" s="163" t="s">
        <v>321</v>
      </c>
      <c r="CY232" s="157" t="s">
        <v>321</v>
      </c>
      <c r="CZ232" s="157" t="s">
        <v>321</v>
      </c>
    </row>
    <row r="233" spans="66:114" ht="14.4">
      <c r="BN233" s="198"/>
      <c r="BO233" s="140"/>
      <c r="BP233" s="198"/>
      <c r="BQ233" s="140"/>
      <c r="BR233" s="198"/>
      <c r="BT233" s="165">
        <f t="shared" si="15"/>
        <v>0</v>
      </c>
      <c r="BU233" s="194"/>
      <c r="BV233" s="165">
        <f>IFERROR(VLOOKUP(BU233,'1_INPUT'!$C$94:$D$101,2,FALSE),0)</f>
        <v>0</v>
      </c>
      <c r="BW233" s="166" t="str">
        <f t="shared" si="16"/>
        <v>0'' at 0 m</v>
      </c>
      <c r="BY233" s="165">
        <f t="shared" si="17"/>
        <v>0</v>
      </c>
      <c r="BZ233" s="194"/>
      <c r="CA233" s="165">
        <f>IFERROR(VLOOKUP(BZ233,'1_INPUT'!$C$94:$E$101,3,FALSE),0)</f>
        <v>0</v>
      </c>
      <c r="CB233" s="166" t="str">
        <f t="shared" si="18"/>
        <v>0'' at 0 m</v>
      </c>
      <c r="CC233" s="139" t="s">
        <v>84</v>
      </c>
      <c r="CW233" s="140"/>
      <c r="CX233" s="163" t="s">
        <v>321</v>
      </c>
      <c r="CY233" s="157" t="s">
        <v>321</v>
      </c>
      <c r="CZ233" s="157" t="s">
        <v>321</v>
      </c>
    </row>
    <row r="234" spans="66:114" ht="14.4">
      <c r="BN234" s="198"/>
      <c r="BO234" s="140"/>
      <c r="BP234" s="198"/>
      <c r="BQ234" s="140"/>
      <c r="BR234" s="198"/>
      <c r="BT234" s="165">
        <f t="shared" si="15"/>
        <v>0</v>
      </c>
      <c r="BU234" s="194"/>
      <c r="BV234" s="165">
        <f>IFERROR(VLOOKUP(BU234,'1_INPUT'!$C$94:$D$101,2,FALSE),0)</f>
        <v>0</v>
      </c>
      <c r="BW234" s="166" t="str">
        <f t="shared" si="16"/>
        <v>0'' at 0 m</v>
      </c>
      <c r="BY234" s="165">
        <f t="shared" si="17"/>
        <v>0</v>
      </c>
      <c r="BZ234" s="194"/>
      <c r="CA234" s="165">
        <f>IFERROR(VLOOKUP(BZ234,'1_INPUT'!$C$94:$E$101,3,FALSE),0)</f>
        <v>0</v>
      </c>
      <c r="CB234" s="166" t="str">
        <f t="shared" si="18"/>
        <v>0'' at 0 m</v>
      </c>
      <c r="CC234" s="139" t="s">
        <v>84</v>
      </c>
      <c r="CW234" s="140"/>
      <c r="CX234" s="163" t="str">
        <f>IFERROR(VLOOKUP($CL228,$CW$211:$CX$216,2,FALSE)+CJ228,"")</f>
        <v/>
      </c>
      <c r="CY234" s="157" t="str">
        <f>IFERROR(RANK(CX234,$CX$211:$CX$237,1),"")</f>
        <v/>
      </c>
      <c r="CZ234" s="157" t="str">
        <f>IFERROR(INDEX($CX$211:$CY$237,MATCH(ROWS($CZ$210:CZ233),$CY$211:$CY$237,0),1),"")</f>
        <v/>
      </c>
    </row>
    <row r="235" spans="66:114" ht="14.4">
      <c r="BN235" s="198"/>
      <c r="BO235" s="140"/>
      <c r="BP235" s="198"/>
      <c r="BQ235" s="140"/>
      <c r="BR235" s="198"/>
      <c r="BT235" s="165" t="str">
        <f t="shared" si="15"/>
        <v/>
      </c>
      <c r="BU235" s="194" t="str">
        <f>IF('1_INPUT'!C101=0,"",'1_INPUT'!C101)</f>
        <v/>
      </c>
      <c r="BV235" s="165" t="str">
        <f>IFERROR(VLOOKUP(BU235,'1_INPUT'!$C$94:$D$101,2,FALSE),"")</f>
        <v/>
      </c>
      <c r="BW235" s="166" t="str">
        <f t="shared" si="16"/>
        <v/>
      </c>
      <c r="BY235" s="165">
        <f t="shared" si="17"/>
        <v>0</v>
      </c>
      <c r="BZ235" s="194" t="str">
        <f t="shared" si="14"/>
        <v/>
      </c>
      <c r="CA235" s="165">
        <f>IFERROR(VLOOKUP(BZ235,'1_INPUT'!$C$94:$E$101,3,FALSE),0)</f>
        <v>0</v>
      </c>
      <c r="CB235" s="166" t="str">
        <f t="shared" si="18"/>
        <v>'' at 0 m</v>
      </c>
      <c r="CC235" s="139" t="s">
        <v>84</v>
      </c>
      <c r="CW235" s="140"/>
      <c r="CX235" s="163" t="str">
        <f>IFERROR(VLOOKUP($CL229,$CW$211:$CX$216,2,FALSE)+CJ229,"")</f>
        <v/>
      </c>
      <c r="CY235" s="157" t="str">
        <f>IFERROR(RANK(CX235,$CX$211:$CX$237,1),"")</f>
        <v/>
      </c>
      <c r="CZ235" s="157" t="str">
        <f>IFERROR(INDEX($CX$211:$CY$237,MATCH(ROWS($CZ$210:CZ234),$CY$211:$CY$237,0),1),"")</f>
        <v/>
      </c>
    </row>
    <row r="236" spans="66:114" ht="14.4">
      <c r="BN236" s="198"/>
      <c r="BO236" s="140"/>
      <c r="BP236" s="198"/>
      <c r="BQ236" s="140"/>
      <c r="BR236" s="198"/>
      <c r="BT236" s="171">
        <f t="shared" si="15"/>
        <v>0</v>
      </c>
      <c r="BU236" s="195">
        <f>'1_INPUT'!G94</f>
        <v>7</v>
      </c>
      <c r="BV236" s="171">
        <f>IFERROR(VLOOKUP(BU236,'1_INPUT'!$G$94:$I$100,2,FALSE),"")</f>
        <v>0</v>
      </c>
      <c r="BW236" s="172" t="str">
        <f>"TOL "&amp;TEXT(BU236,"# #/#")&amp;"'' at "&amp;TEXT(BV236,"0")&amp;" m"</f>
        <v>TOL 7'' at 0 m</v>
      </c>
      <c r="BY236" s="171">
        <f>IFERROR(IF(AND(CA236=0,CA236=""),0,ROUND(CA236/$CE$230,0)*$CE$230),"")</f>
        <v>1438.5</v>
      </c>
      <c r="BZ236" s="195">
        <f>BU236</f>
        <v>7</v>
      </c>
      <c r="CA236" s="171">
        <f>IFERROR(VLOOKUP(BZ236,'1_INPUT'!$G$94:$I$100,3,FALSE),"")</f>
        <v>1433.34</v>
      </c>
      <c r="CB236" s="172" t="str">
        <f>"TOL "&amp;TEXT(BZ236,"# #/#")&amp;"'' at "&amp;TEXT(CA236,"0")&amp;" m"</f>
        <v>TOL 7'' at 1433 m</v>
      </c>
      <c r="CC236" s="139" t="s">
        <v>84</v>
      </c>
      <c r="CW236" s="140"/>
      <c r="CX236" s="163" t="str">
        <f>IFERROR(VLOOKUP($CL230,$CW$211:$CX$216,2,FALSE)+CJ230,"")</f>
        <v/>
      </c>
      <c r="CY236" s="157" t="str">
        <f>IFERROR(RANK(CX236,$CX$211:$CX$237,1),"")</f>
        <v/>
      </c>
      <c r="CZ236" s="157" t="str">
        <f>IFERROR(INDEX($CX$211:$CY$237,MATCH(ROWS($CZ$210:CZ235),$CY$211:$CY$237,0),1),"")</f>
        <v/>
      </c>
    </row>
    <row r="237" spans="66:114" ht="14.4">
      <c r="BN237" s="198"/>
      <c r="BO237" s="140"/>
      <c r="BP237" s="198"/>
      <c r="BQ237" s="140"/>
      <c r="BR237" s="198"/>
      <c r="BT237" s="171">
        <f t="shared" si="15"/>
        <v>0</v>
      </c>
      <c r="BU237" s="195">
        <f>'1_INPUT'!G95</f>
        <v>4.5</v>
      </c>
      <c r="BV237" s="171">
        <f>IFERROR(VLOOKUP(BU237,'1_INPUT'!$G$94:$I$100,2,FALSE),"")</f>
        <v>0</v>
      </c>
      <c r="BW237" s="172" t="str">
        <f>"TOL "&amp;TEXT(BU237,"# #/#")&amp;"'' at "&amp;TEXT(BV237,"0")&amp;" m"</f>
        <v>TOL 4 1/2'' at 0 m</v>
      </c>
      <c r="BY237" s="171">
        <f>IFERROR(IF(AND(CA237=0,CA237=""),0,ROUND(CA237/$CE$230,0)*$CE$230),"")</f>
        <v>2260.5</v>
      </c>
      <c r="BZ237" s="195">
        <f>BU237</f>
        <v>4.5</v>
      </c>
      <c r="CA237" s="171">
        <f>IFERROR(VLOOKUP(BZ237,'1_INPUT'!$G$94:$I$100,3,FALSE),"")</f>
        <v>2249</v>
      </c>
      <c r="CB237" s="172" t="str">
        <f>"TOL "&amp;TEXT(BZ237,"# #/#")&amp;"'' at "&amp;TEXT(CA237,"0")&amp;" m"</f>
        <v>TOL 4 1/2'' at 2249 m</v>
      </c>
      <c r="CC237" s="139" t="s">
        <v>84</v>
      </c>
      <c r="CX237" s="163" t="str">
        <f>IFERROR(VLOOKUP($CL231,$CW$211:$CX$216,2,FALSE)+CJ231,"")</f>
        <v/>
      </c>
      <c r="CY237" s="157" t="str">
        <f>IFERROR(RANK(CX237,$CX$211:$CX$237,1),"")</f>
        <v/>
      </c>
      <c r="CZ237" s="157" t="str">
        <f>IFERROR(INDEX($CX$211:$CY$237,MATCH(ROWS($CZ$210:CZ236),$CY$211:$CY$237,0),1),"")</f>
        <v/>
      </c>
    </row>
    <row r="238" spans="66:114" ht="14.4">
      <c r="BN238" s="198"/>
      <c r="BO238" s="140"/>
      <c r="BP238" s="198"/>
      <c r="BQ238" s="140"/>
      <c r="BR238" s="198"/>
      <c r="BT238" s="190" t="str">
        <f t="shared" si="15"/>
        <v/>
      </c>
      <c r="BU238" s="196">
        <f>'1_INPUT'!G96</f>
        <v>0</v>
      </c>
      <c r="BV238" s="171" t="str">
        <f>IFERROR(VLOOKUP(BU238,'1_INPUT'!$G$94:$I$100,2,FALSE),"")</f>
        <v/>
      </c>
      <c r="BW238" s="191" t="str">
        <f>"TOL "&amp;TEXT(BU238,"# #/#")&amp;"'' at "&amp;TEXT(BV238,"0")&amp;" m"</f>
        <v>TOL 0'' at  m</v>
      </c>
      <c r="BY238" s="190" t="str">
        <f>IFERROR(IF(AND(CA238=0,CA238=""),0,ROUND(CA238/$CE$230,0)*$CE$230),"")</f>
        <v/>
      </c>
      <c r="BZ238" s="196">
        <f>BU238</f>
        <v>0</v>
      </c>
      <c r="CA238" s="171" t="str">
        <f>IFERROR(VLOOKUP(BZ238,'1_INPUT'!$G$94:$I$100,3,FALSE),"")</f>
        <v/>
      </c>
      <c r="CB238" s="191" t="str">
        <f>"TOL "&amp;TEXT(BZ238,"# #/#")&amp;"'' at "&amp;TEXT(CA238,"0")&amp;" m"</f>
        <v>TOL 0'' at  m</v>
      </c>
      <c r="CC238" s="139" t="s">
        <v>311</v>
      </c>
    </row>
    <row r="239" spans="66:114" ht="14.4">
      <c r="BN239" s="198"/>
      <c r="BO239" s="140"/>
      <c r="BP239" s="198"/>
      <c r="BQ239" s="140"/>
      <c r="BR239" s="198"/>
      <c r="BT239" s="192" t="str">
        <f t="shared" si="15"/>
        <v/>
      </c>
      <c r="BU239" s="197" t="s">
        <v>337</v>
      </c>
      <c r="BV239" s="192" t="str">
        <f>IFERROR(VLOOKUP(BU239,'1_INPUT'!$G$94:$I$100,2,FALSE),"")</f>
        <v/>
      </c>
      <c r="BW239" s="193" t="str">
        <f>""&amp;TEXT(BU239,"# #/#")&amp;"'' at "&amp;TEXT(BV239,"0")&amp;" m"</f>
        <v>KOP #1'' at  m</v>
      </c>
      <c r="BY239" s="192" t="str">
        <f>IFERROR(IF(AND(CA239=0,CA239=""),0,ROUND($CA239/$CE$230,0)*$CE$230),"")</f>
        <v/>
      </c>
      <c r="BZ239" s="197" t="str">
        <f>BU239</f>
        <v>KOP #1</v>
      </c>
      <c r="CA239" s="192" t="str">
        <f>IFERROR(VLOOKUP(BZ239,'1_INPUT'!$G$94:$I$100,3,FALSE),"")</f>
        <v/>
      </c>
      <c r="CB239" s="193" t="str">
        <f>""&amp;TEXT(BZ239,"# #/#")&amp;"'' at "&amp;TEXT(CA239,"0")&amp;" m"</f>
        <v>KOP #1'' at  m</v>
      </c>
      <c r="CC239" s="139" t="s">
        <v>84</v>
      </c>
    </row>
    <row r="240" spans="66:114" ht="14.4">
      <c r="BN240" s="198"/>
      <c r="BO240" s="140"/>
      <c r="BP240" s="198"/>
      <c r="BQ240" s="140"/>
      <c r="BR240" s="198"/>
      <c r="BT240" s="192" t="str">
        <f t="shared" si="15"/>
        <v/>
      </c>
      <c r="BU240" s="197" t="s">
        <v>338</v>
      </c>
      <c r="BV240" s="192" t="str">
        <f>IFERROR(VLOOKUP(BU240,'1_INPUT'!$G$94:$I$100,2,FALSE),"")</f>
        <v/>
      </c>
      <c r="BW240" s="193" t="str">
        <f>""&amp;TEXT(BU240,"# #/#")&amp;"'' at "&amp;TEXT(BV240,"0")&amp;" m"</f>
        <v>KOP #2'' at  m</v>
      </c>
      <c r="BY240" s="192" t="str">
        <f>IFERROR(IF(AND(CA240=0,CA240=""),0,ROUND($CA240/$CE$230,0)*$CE$230),"")</f>
        <v/>
      </c>
      <c r="BZ240" s="197" t="str">
        <f>BU240</f>
        <v>KOP #2</v>
      </c>
      <c r="CA240" s="192" t="str">
        <f>IFERROR(VLOOKUP(BZ240,'1_INPUT'!$G$94:$I$100,3,FALSE),"")</f>
        <v/>
      </c>
      <c r="CB240" s="193" t="str">
        <f>""&amp;TEXT(BZ240,"# #/#")&amp;"'' at "&amp;TEXT(CA240,"0")&amp;" m"</f>
        <v>KOP #2'' at  m</v>
      </c>
      <c r="CC240" s="139" t="s">
        <v>84</v>
      </c>
    </row>
    <row r="241" spans="66:79" ht="14.4">
      <c r="BN241" s="198"/>
      <c r="BO241" s="140"/>
      <c r="BP241" s="198"/>
      <c r="BQ241" s="140"/>
      <c r="BR241" s="198"/>
    </row>
    <row r="242" spans="66:79" ht="14.4">
      <c r="BN242" s="198"/>
      <c r="BO242" s="140"/>
      <c r="BP242" s="198"/>
      <c r="BQ242" s="140"/>
      <c r="BR242" s="198"/>
    </row>
    <row r="243" spans="66:79" ht="14.4">
      <c r="BN243" s="198"/>
      <c r="BO243" s="140"/>
      <c r="BP243" s="198"/>
      <c r="BQ243" s="140"/>
      <c r="BR243" s="198"/>
    </row>
    <row r="244" spans="66:79" ht="14.4">
      <c r="BN244" s="198"/>
      <c r="BO244" s="140"/>
      <c r="BP244" s="198"/>
      <c r="BQ244" s="140"/>
      <c r="BR244" s="198"/>
      <c r="BU244"/>
      <c r="BV244"/>
      <c r="BW244"/>
      <c r="BX244"/>
      <c r="BY244"/>
      <c r="BZ244"/>
      <c r="CA244"/>
    </row>
    <row r="245" spans="66:79" ht="14.4">
      <c r="BN245" s="198"/>
      <c r="BO245" s="140"/>
      <c r="BP245" s="198"/>
      <c r="BQ245" s="140"/>
      <c r="BR245" s="198"/>
      <c r="BU245"/>
      <c r="BV245"/>
      <c r="BW245"/>
      <c r="BX245"/>
      <c r="BY245"/>
      <c r="BZ245"/>
      <c r="CA245"/>
    </row>
    <row r="246" spans="66:79" ht="14.4">
      <c r="BN246" s="198"/>
      <c r="BO246" s="140"/>
      <c r="BP246" s="198"/>
      <c r="BQ246" s="140"/>
      <c r="BR246" s="198"/>
      <c r="BU246"/>
      <c r="BV246"/>
      <c r="BW246"/>
      <c r="BX246"/>
      <c r="BY246"/>
      <c r="BZ246"/>
      <c r="CA246"/>
    </row>
    <row r="247" spans="66:79" ht="14.4">
      <c r="BN247" s="198"/>
      <c r="BO247" s="140"/>
      <c r="BP247" s="198"/>
      <c r="BQ247" s="140"/>
      <c r="BR247" s="198"/>
      <c r="BU247"/>
      <c r="BV247"/>
      <c r="BW247"/>
      <c r="BX247"/>
      <c r="BY247"/>
      <c r="BZ247"/>
      <c r="CA247"/>
    </row>
    <row r="248" spans="66:79" ht="14.4">
      <c r="BN248" s="198"/>
      <c r="BO248" s="140"/>
      <c r="BP248" s="198"/>
      <c r="BQ248" s="140"/>
      <c r="BR248" s="198"/>
      <c r="BU248"/>
      <c r="BV248"/>
      <c r="BW248"/>
      <c r="BX248"/>
      <c r="BY248"/>
      <c r="BZ248"/>
      <c r="CA248"/>
    </row>
    <row r="249" spans="66:79" ht="14.4">
      <c r="BN249" s="198"/>
      <c r="BO249" s="140"/>
      <c r="BP249" s="198"/>
      <c r="BQ249" s="140"/>
      <c r="BR249" s="198"/>
      <c r="BU249"/>
      <c r="BV249"/>
      <c r="BW249"/>
      <c r="BX249"/>
      <c r="BY249"/>
      <c r="BZ249"/>
      <c r="CA249"/>
    </row>
    <row r="250" spans="66:79" ht="14.4">
      <c r="BN250" s="198"/>
      <c r="BO250" s="140"/>
      <c r="BP250" s="198"/>
      <c r="BQ250" s="140"/>
      <c r="BR250" s="198"/>
      <c r="BU250"/>
      <c r="BV250"/>
      <c r="BW250"/>
      <c r="BX250"/>
      <c r="BY250"/>
      <c r="BZ250"/>
      <c r="CA250"/>
    </row>
    <row r="251" spans="66:79" ht="14.4">
      <c r="BN251" s="198"/>
      <c r="BO251" s="140"/>
      <c r="BP251" s="198"/>
      <c r="BQ251" s="140"/>
      <c r="BR251" s="198"/>
    </row>
    <row r="252" spans="66:79" ht="14.4">
      <c r="BN252" s="198"/>
      <c r="BO252" s="140"/>
      <c r="BP252" s="198"/>
      <c r="BQ252" s="140"/>
      <c r="BR252" s="198"/>
    </row>
    <row r="253" spans="66:79" ht="14.4">
      <c r="BN253" s="198"/>
      <c r="BO253" s="140"/>
      <c r="BP253" s="198"/>
      <c r="BQ253" s="140"/>
      <c r="BR253" s="198"/>
    </row>
    <row r="254" spans="66:79" ht="14.4">
      <c r="BN254" s="198"/>
      <c r="BO254" s="140"/>
      <c r="BP254" s="198"/>
      <c r="BQ254" s="140"/>
      <c r="BR254" s="198"/>
    </row>
    <row r="255" spans="66:79" ht="14.4">
      <c r="BN255" s="198"/>
      <c r="BO255" s="140"/>
      <c r="BP255" s="198"/>
      <c r="BQ255" s="140"/>
      <c r="BR255" s="198"/>
    </row>
    <row r="256" spans="66:79" ht="14.4">
      <c r="BN256" s="198"/>
      <c r="BO256" s="140"/>
      <c r="BP256" s="198"/>
      <c r="BQ256" s="140"/>
      <c r="BR256" s="198"/>
    </row>
    <row r="257" spans="66:70" ht="14.4">
      <c r="BN257" s="198"/>
      <c r="BO257" s="140"/>
      <c r="BP257" s="198"/>
      <c r="BQ257" s="140"/>
      <c r="BR257" s="198"/>
    </row>
    <row r="258" spans="66:70" ht="14.4">
      <c r="BN258" s="198"/>
      <c r="BO258" s="140"/>
      <c r="BP258" s="198"/>
      <c r="BQ258" s="140"/>
      <c r="BR258" s="198"/>
    </row>
    <row r="259" spans="66:70" ht="14.4">
      <c r="BN259" s="198"/>
      <c r="BO259" s="140"/>
      <c r="BP259" s="198"/>
      <c r="BQ259" s="140"/>
      <c r="BR259" s="198"/>
    </row>
    <row r="260" spans="66:70" ht="14.4">
      <c r="BN260" s="198"/>
      <c r="BO260" s="140"/>
      <c r="BP260" s="198"/>
      <c r="BQ260" s="140"/>
      <c r="BR260" s="198"/>
    </row>
    <row r="261" spans="66:70" ht="14.4">
      <c r="BN261" s="198"/>
      <c r="BO261" s="140"/>
      <c r="BP261" s="198"/>
      <c r="BQ261" s="140"/>
      <c r="BR261" s="198"/>
    </row>
    <row r="262" spans="66:70" ht="14.4">
      <c r="BN262" s="198"/>
      <c r="BO262" s="140"/>
      <c r="BP262" s="198"/>
      <c r="BQ262" s="140"/>
      <c r="BR262" s="198"/>
    </row>
    <row r="263" spans="66:70" ht="14.4">
      <c r="BN263" s="198"/>
      <c r="BO263" s="140"/>
      <c r="BP263" s="198"/>
      <c r="BQ263" s="140"/>
      <c r="BR263" s="198"/>
    </row>
    <row r="264" spans="66:70" ht="14.4">
      <c r="BN264" s="198"/>
      <c r="BO264" s="140"/>
      <c r="BP264" s="198"/>
      <c r="BQ264" s="140"/>
      <c r="BR264" s="198"/>
    </row>
    <row r="265" spans="66:70" ht="14.4">
      <c r="BN265" s="198"/>
      <c r="BO265" s="140"/>
      <c r="BP265" s="198"/>
      <c r="BQ265" s="140"/>
      <c r="BR265" s="198"/>
    </row>
    <row r="266" spans="66:70" ht="14.4">
      <c r="BN266" s="198"/>
      <c r="BO266" s="140"/>
      <c r="BP266" s="198"/>
      <c r="BQ266" s="140"/>
      <c r="BR266" s="198"/>
    </row>
    <row r="267" spans="66:70" ht="14.4">
      <c r="BN267" s="198"/>
      <c r="BO267" s="140"/>
      <c r="BP267" s="198"/>
      <c r="BQ267" s="140"/>
      <c r="BR267" s="198"/>
    </row>
    <row r="268" spans="66:70" ht="14.4">
      <c r="BN268" s="198"/>
      <c r="BO268" s="140"/>
      <c r="BP268" s="198"/>
      <c r="BQ268" s="140"/>
      <c r="BR268" s="198"/>
    </row>
    <row r="269" spans="66:70" ht="14.4">
      <c r="BN269" s="198"/>
      <c r="BO269" s="140"/>
      <c r="BP269" s="198"/>
      <c r="BQ269" s="140"/>
      <c r="BR269" s="198"/>
    </row>
    <row r="270" spans="66:70" ht="14.4">
      <c r="BN270" s="198"/>
      <c r="BO270" s="140"/>
      <c r="BP270" s="198"/>
      <c r="BQ270" s="140"/>
      <c r="BR270" s="198"/>
    </row>
    <row r="271" spans="66:70" ht="14.4">
      <c r="BN271" s="198"/>
      <c r="BO271" s="140"/>
      <c r="BP271" s="198"/>
      <c r="BQ271" s="140"/>
      <c r="BR271" s="198"/>
    </row>
    <row r="272" spans="66:70" ht="14.4">
      <c r="BN272" s="198"/>
      <c r="BO272" s="140"/>
      <c r="BP272" s="198"/>
      <c r="BQ272" s="140"/>
      <c r="BR272" s="198"/>
    </row>
    <row r="273" spans="66:70" ht="14.4">
      <c r="BN273" s="198"/>
      <c r="BO273" s="140"/>
      <c r="BP273" s="198"/>
      <c r="BQ273" s="140"/>
      <c r="BR273" s="198"/>
    </row>
    <row r="274" spans="66:70" ht="14.4">
      <c r="BN274" s="198"/>
      <c r="BO274" s="140"/>
      <c r="BP274" s="198"/>
      <c r="BQ274" s="140"/>
      <c r="BR274" s="198"/>
    </row>
    <row r="275" spans="66:70" ht="14.4">
      <c r="BN275" s="198"/>
      <c r="BO275" s="140"/>
      <c r="BP275" s="198"/>
      <c r="BQ275" s="140"/>
      <c r="BR275" s="198"/>
    </row>
    <row r="276" spans="66:70" ht="14.4">
      <c r="BN276" s="198"/>
      <c r="BO276" s="140"/>
      <c r="BP276" s="198"/>
      <c r="BQ276" s="140"/>
      <c r="BR276" s="198"/>
    </row>
    <row r="277" spans="66:70" ht="14.4">
      <c r="BN277" s="198"/>
      <c r="BO277" s="140"/>
      <c r="BP277" s="198"/>
      <c r="BQ277" s="140"/>
      <c r="BR277" s="198"/>
    </row>
  </sheetData>
  <sheetProtection formatCells="0" formatColumns="0"/>
  <mergeCells count="267">
    <mergeCell ref="AA30:AD30"/>
    <mergeCell ref="AA35:AD35"/>
    <mergeCell ref="AA36:AD36"/>
    <mergeCell ref="H2:BL4"/>
    <mergeCell ref="AA16:AD16"/>
    <mergeCell ref="AA17:AD17"/>
    <mergeCell ref="AA18:AD18"/>
    <mergeCell ref="AA19:AD19"/>
    <mergeCell ref="AA20:AD20"/>
    <mergeCell ref="AA21:AD21"/>
    <mergeCell ref="AA22:AD22"/>
    <mergeCell ref="AA23:AD23"/>
    <mergeCell ref="AA7:AD7"/>
    <mergeCell ref="AA8:AD8"/>
    <mergeCell ref="AA9:AD9"/>
    <mergeCell ref="AA10:AD10"/>
    <mergeCell ref="AA11:AD11"/>
    <mergeCell ref="AA12:AD12"/>
    <mergeCell ref="AA13:AD13"/>
    <mergeCell ref="AA14:AD14"/>
    <mergeCell ref="AA15:AD15"/>
    <mergeCell ref="AJ21:AK21"/>
    <mergeCell ref="P31:S31"/>
    <mergeCell ref="P32:S32"/>
    <mergeCell ref="AA32:AD32"/>
    <mergeCell ref="AA33:AD33"/>
    <mergeCell ref="AA34:AD34"/>
    <mergeCell ref="DG208:DG209"/>
    <mergeCell ref="DH208:DH209"/>
    <mergeCell ref="BF58:BG58"/>
    <mergeCell ref="AQ56:BC56"/>
    <mergeCell ref="BD56:BE56"/>
    <mergeCell ref="BF56:BG56"/>
    <mergeCell ref="AQ57:BC57"/>
    <mergeCell ref="BD57:BE57"/>
    <mergeCell ref="BF57:BG57"/>
    <mergeCell ref="AQ54:BC54"/>
    <mergeCell ref="BD54:BE54"/>
    <mergeCell ref="BF54:BG54"/>
    <mergeCell ref="AQ58:BC58"/>
    <mergeCell ref="BD50:BE50"/>
    <mergeCell ref="BF50:BG50"/>
    <mergeCell ref="AQ52:BC52"/>
    <mergeCell ref="BD52:BE52"/>
    <mergeCell ref="AA40:AD40"/>
    <mergeCell ref="AA41:AD41"/>
    <mergeCell ref="AA42:AD42"/>
    <mergeCell ref="I44:AK44"/>
    <mergeCell ref="CD227:CF227"/>
    <mergeCell ref="CQ208:CQ209"/>
    <mergeCell ref="CS208:CS209"/>
    <mergeCell ref="CT208:CT209"/>
    <mergeCell ref="CU208:CU209"/>
    <mergeCell ref="DB208:DB209"/>
    <mergeCell ref="DD208:DF209"/>
    <mergeCell ref="CF208:CF209"/>
    <mergeCell ref="CG208:CG209"/>
    <mergeCell ref="CH208:CH209"/>
    <mergeCell ref="CJ208:CJ209"/>
    <mergeCell ref="CL208:CL209"/>
    <mergeCell ref="CM208:CP209"/>
    <mergeCell ref="P40:S40"/>
    <mergeCell ref="P41:S41"/>
    <mergeCell ref="P42:S42"/>
    <mergeCell ref="DI208:DI209"/>
    <mergeCell ref="DJ208:DJ209"/>
    <mergeCell ref="DD210:DF210"/>
    <mergeCell ref="AJ35:AK35"/>
    <mergeCell ref="AJ36:AK36"/>
    <mergeCell ref="AJ31:AK31"/>
    <mergeCell ref="AJ32:AK32"/>
    <mergeCell ref="AJ33:AK33"/>
    <mergeCell ref="P37:S37"/>
    <mergeCell ref="AA31:AD31"/>
    <mergeCell ref="BF52:BG52"/>
    <mergeCell ref="AQ51:BC51"/>
    <mergeCell ref="BD51:BE51"/>
    <mergeCell ref="BF51:BG51"/>
    <mergeCell ref="AJ40:AK40"/>
    <mergeCell ref="AJ41:AK41"/>
    <mergeCell ref="AN46:AP47"/>
    <mergeCell ref="AJ37:AK37"/>
    <mergeCell ref="AJ38:AK38"/>
    <mergeCell ref="AJ39:AK39"/>
    <mergeCell ref="Y45:AK45"/>
    <mergeCell ref="P38:S38"/>
    <mergeCell ref="P39:S39"/>
    <mergeCell ref="AA37:AD37"/>
    <mergeCell ref="AA38:AD38"/>
    <mergeCell ref="AA39:AD39"/>
    <mergeCell ref="A1:C1"/>
    <mergeCell ref="AF5:AL5"/>
    <mergeCell ref="AG7:AH41"/>
    <mergeCell ref="AJ7:AK7"/>
    <mergeCell ref="AJ8:AK8"/>
    <mergeCell ref="AJ16:AK16"/>
    <mergeCell ref="AJ17:AK17"/>
    <mergeCell ref="AJ18:AK18"/>
    <mergeCell ref="AJ13:AK13"/>
    <mergeCell ref="AJ14:AK14"/>
    <mergeCell ref="AJ15:AK15"/>
    <mergeCell ref="AJ22:AK22"/>
    <mergeCell ref="AJ23:AK23"/>
    <mergeCell ref="AJ24:AK24"/>
    <mergeCell ref="AJ19:AK19"/>
    <mergeCell ref="AJ20:AK20"/>
    <mergeCell ref="AJ28:AK28"/>
    <mergeCell ref="P26:S26"/>
    <mergeCell ref="P27:S27"/>
    <mergeCell ref="P28:S28"/>
    <mergeCell ref="AJ29:AK29"/>
    <mergeCell ref="AJ30:AK30"/>
    <mergeCell ref="C4:D4"/>
    <mergeCell ref="E4:F4"/>
    <mergeCell ref="B4:B5"/>
    <mergeCell ref="AJ9:AK9"/>
    <mergeCell ref="AJ10:AK10"/>
    <mergeCell ref="AJ11:AK11"/>
    <mergeCell ref="AJ12:AK12"/>
    <mergeCell ref="AJ25:AK25"/>
    <mergeCell ref="AJ26:AK26"/>
    <mergeCell ref="AJ27:AK27"/>
    <mergeCell ref="P29:S29"/>
    <mergeCell ref="P7:S7"/>
    <mergeCell ref="P8:S8"/>
    <mergeCell ref="P9:S9"/>
    <mergeCell ref="P10:S10"/>
    <mergeCell ref="P11:S11"/>
    <mergeCell ref="P12:S12"/>
    <mergeCell ref="P13:S13"/>
    <mergeCell ref="P14:S14"/>
    <mergeCell ref="P15:S15"/>
    <mergeCell ref="P16:S16"/>
    <mergeCell ref="P17:S17"/>
    <mergeCell ref="P18:S18"/>
    <mergeCell ref="P19:S19"/>
    <mergeCell ref="P20:S20"/>
    <mergeCell ref="P21:S21"/>
    <mergeCell ref="AA25:AD25"/>
    <mergeCell ref="AA26:AD26"/>
    <mergeCell ref="AA24:AD24"/>
    <mergeCell ref="AA27:AD27"/>
    <mergeCell ref="P22:S22"/>
    <mergeCell ref="P23:S23"/>
    <mergeCell ref="P24:S24"/>
    <mergeCell ref="P25:S25"/>
    <mergeCell ref="AA28:AD28"/>
    <mergeCell ref="AA29:AD29"/>
    <mergeCell ref="BT226:BW226"/>
    <mergeCell ref="BY226:CB226"/>
    <mergeCell ref="Y59:AK59"/>
    <mergeCell ref="Y60:AK60"/>
    <mergeCell ref="Y61:AK61"/>
    <mergeCell ref="Y62:AK62"/>
    <mergeCell ref="Y63:AK63"/>
    <mergeCell ref="Y46:AK46"/>
    <mergeCell ref="Y47:AK47"/>
    <mergeCell ref="Y48:AK48"/>
    <mergeCell ref="Y49:AK49"/>
    <mergeCell ref="Y50:AK50"/>
    <mergeCell ref="Y51:AK51"/>
    <mergeCell ref="Y52:AK52"/>
    <mergeCell ref="Y53:AK53"/>
    <mergeCell ref="Y54:AK54"/>
    <mergeCell ref="BF47:BG47"/>
    <mergeCell ref="AJ34:AK34"/>
    <mergeCell ref="Y57:AK57"/>
    <mergeCell ref="Y58:AK58"/>
    <mergeCell ref="AQ50:BC50"/>
    <mergeCell ref="AQ53:BC53"/>
    <mergeCell ref="I59:W59"/>
    <mergeCell ref="I60:W60"/>
    <mergeCell ref="I61:W61"/>
    <mergeCell ref="I62:W62"/>
    <mergeCell ref="I63:W63"/>
    <mergeCell ref="I46:W46"/>
    <mergeCell ref="I47:W47"/>
    <mergeCell ref="I48:W48"/>
    <mergeCell ref="I49:W49"/>
    <mergeCell ref="I50:W50"/>
    <mergeCell ref="I51:W51"/>
    <mergeCell ref="I52:W52"/>
    <mergeCell ref="I53:W53"/>
    <mergeCell ref="I54:W54"/>
    <mergeCell ref="I57:W57"/>
    <mergeCell ref="I58:W58"/>
    <mergeCell ref="P30:S30"/>
    <mergeCell ref="I45:W45"/>
    <mergeCell ref="P33:S33"/>
    <mergeCell ref="P34:S34"/>
    <mergeCell ref="P35:S35"/>
    <mergeCell ref="P36:S36"/>
    <mergeCell ref="BD46:BG46"/>
    <mergeCell ref="Y55:AK55"/>
    <mergeCell ref="Y56:AK56"/>
    <mergeCell ref="I55:W55"/>
    <mergeCell ref="I56:W56"/>
    <mergeCell ref="BD49:BE49"/>
    <mergeCell ref="BF49:BG49"/>
    <mergeCell ref="AQ48:BC48"/>
    <mergeCell ref="BD48:BE48"/>
    <mergeCell ref="BF48:BG48"/>
    <mergeCell ref="AQ46:BC47"/>
    <mergeCell ref="AQ49:BC49"/>
    <mergeCell ref="BD47:BE47"/>
    <mergeCell ref="BD53:BE53"/>
    <mergeCell ref="BF53:BG53"/>
    <mergeCell ref="AQ55:BC55"/>
    <mergeCell ref="BD55:BE55"/>
    <mergeCell ref="BF55:BG55"/>
    <mergeCell ref="BH46:BK46"/>
    <mergeCell ref="BH47:BI47"/>
    <mergeCell ref="BJ47:BK47"/>
    <mergeCell ref="BH48:BI48"/>
    <mergeCell ref="BJ48:BK48"/>
    <mergeCell ref="BH49:BI49"/>
    <mergeCell ref="BJ49:BK49"/>
    <mergeCell ref="BH50:BI50"/>
    <mergeCell ref="BJ50:BK50"/>
    <mergeCell ref="BH59:BI59"/>
    <mergeCell ref="BJ59:BK59"/>
    <mergeCell ref="AQ60:BC60"/>
    <mergeCell ref="BD60:BE60"/>
    <mergeCell ref="BF60:BG60"/>
    <mergeCell ref="BH60:BI60"/>
    <mergeCell ref="BJ60:BK60"/>
    <mergeCell ref="BH51:BI51"/>
    <mergeCell ref="BJ51:BK51"/>
    <mergeCell ref="BH52:BI52"/>
    <mergeCell ref="BJ52:BK52"/>
    <mergeCell ref="BH53:BI53"/>
    <mergeCell ref="BJ53:BK53"/>
    <mergeCell ref="BH58:BI58"/>
    <mergeCell ref="BJ58:BK58"/>
    <mergeCell ref="BH54:BI54"/>
    <mergeCell ref="BJ54:BK54"/>
    <mergeCell ref="BH55:BI55"/>
    <mergeCell ref="BJ55:BK55"/>
    <mergeCell ref="BH56:BI56"/>
    <mergeCell ref="BJ56:BK56"/>
    <mergeCell ref="BH57:BI57"/>
    <mergeCell ref="BJ57:BK57"/>
    <mergeCell ref="BD58:BE58"/>
    <mergeCell ref="H5:AE5"/>
    <mergeCell ref="AQ63:BC63"/>
    <mergeCell ref="BD63:BE63"/>
    <mergeCell ref="BF63:BG63"/>
    <mergeCell ref="BH63:BI63"/>
    <mergeCell ref="BJ63:BK63"/>
    <mergeCell ref="AQ64:BC64"/>
    <mergeCell ref="BD64:BE64"/>
    <mergeCell ref="BF64:BG64"/>
    <mergeCell ref="BH64:BI64"/>
    <mergeCell ref="BJ64:BK64"/>
    <mergeCell ref="AQ61:BC61"/>
    <mergeCell ref="BD61:BE61"/>
    <mergeCell ref="BF61:BG61"/>
    <mergeCell ref="BH61:BI61"/>
    <mergeCell ref="BJ61:BK61"/>
    <mergeCell ref="AQ62:BC62"/>
    <mergeCell ref="BD62:BE62"/>
    <mergeCell ref="BF62:BG62"/>
    <mergeCell ref="BH62:BI62"/>
    <mergeCell ref="BJ62:BK62"/>
    <mergeCell ref="AQ59:BC59"/>
    <mergeCell ref="BD59:BE59"/>
    <mergeCell ref="BF59:BG59"/>
  </mergeCells>
  <conditionalFormatting sqref="I7:I41 T7:T41 X25">
    <cfRule type="cellIs" dxfId="17" priority="7" operator="equal">
      <formula>0</formula>
    </cfRule>
  </conditionalFormatting>
  <conditionalFormatting sqref="I7:O41">
    <cfRule type="cellIs" dxfId="16" priority="6" operator="equal">
      <formula>3</formula>
    </cfRule>
    <cfRule type="cellIs" dxfId="15" priority="8" operator="equal">
      <formula>2</formula>
    </cfRule>
    <cfRule type="cellIs" dxfId="14" priority="9" operator="equal">
      <formula>1</formula>
    </cfRule>
  </conditionalFormatting>
  <conditionalFormatting sqref="P7:S41 AA7:AD41">
    <cfRule type="notContainsBlanks" dxfId="13" priority="5">
      <formula>LEN(TRIM(P7))&gt;0</formula>
    </cfRule>
  </conditionalFormatting>
  <conditionalFormatting sqref="T7:Z41">
    <cfRule type="cellIs" dxfId="12" priority="1" operator="equal">
      <formula>3</formula>
    </cfRule>
    <cfRule type="cellIs" dxfId="11" priority="3" operator="equal">
      <formula>2</formula>
    </cfRule>
    <cfRule type="cellIs" dxfId="10" priority="4" operator="equal">
      <formula>1</formula>
    </cfRule>
  </conditionalFormatting>
  <conditionalFormatting sqref="U7:U41">
    <cfRule type="cellIs" dxfId="9" priority="2" operator="equal">
      <formula>0</formula>
    </cfRule>
  </conditionalFormatting>
  <conditionalFormatting sqref="X7:X24 J7:O41 V7:W41 Y7:Z41 X26:X41">
    <cfRule type="cellIs" dxfId="8" priority="11" operator="equal">
      <formula>0</formula>
    </cfRule>
  </conditionalFormatting>
  <printOptions horizontalCentered="1"/>
  <pageMargins left="0.23622047244094491" right="0.23622047244094491" top="0.31496062992125984" bottom="0.43307086614173229" header="0.31496062992125984" footer="0.31496062992125984"/>
  <pageSetup paperSize="9" scale="64" orientation="landscape" r:id="rId1"/>
  <ignoredErrors>
    <ignoredError sqref="I6:AD6 Z7:AD41 Y51:AK61 Y63:AK63 Z62:AK62" emptyCellReference="1"/>
    <ignoredError sqref="I7:Y41" evalError="1" emptyCellReference="1"/>
    <ignoredError sqref="I42:Y42" evalError="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filterMode="1">
    <tabColor rgb="FFCCFFFF"/>
  </sheetPr>
  <dimension ref="A1:M137"/>
  <sheetViews>
    <sheetView topLeftCell="A72" zoomScale="71" zoomScaleNormal="71" workbookViewId="0">
      <selection activeCell="E69" sqref="E69"/>
    </sheetView>
  </sheetViews>
  <sheetFormatPr defaultRowHeight="13.2"/>
  <cols>
    <col min="1" max="1" width="6.33203125" customWidth="1"/>
    <col min="2" max="2" width="7.44140625" customWidth="1"/>
    <col min="3" max="3" width="42.5546875" bestFit="1" customWidth="1"/>
    <col min="4" max="4" width="7.33203125" customWidth="1"/>
    <col min="5" max="5" width="68" customWidth="1"/>
    <col min="6" max="6" width="9.5546875" customWidth="1"/>
    <col min="7" max="7" width="8.109375" style="5" customWidth="1"/>
    <col min="8" max="8" width="13.33203125" style="10" customWidth="1"/>
    <col min="9" max="9" width="45.5546875" style="8" customWidth="1"/>
    <col min="10" max="10" width="33.88671875" customWidth="1"/>
    <col min="11" max="11" width="14.44140625" customWidth="1"/>
    <col min="12" max="12" width="9.109375" customWidth="1"/>
    <col min="13" max="13" width="18.5546875" customWidth="1"/>
  </cols>
  <sheetData>
    <row r="1" spans="1:13" ht="33.75" customHeight="1">
      <c r="A1" s="787"/>
      <c r="B1" s="787"/>
      <c r="C1" s="788" t="str">
        <f ca="1">IF(COUNTIF(A126,"*KUMULATIF WAKTU ADA YG BEDA*")=1,"KUMULATIF WAKTU ADA YG BEDA, COBA SESUAIKAN KOLOM ''CODE IADC'' &amp; KOLOM ''HOURS'' PADA INPUT AGAR SESUAI DNG TABEL IADC","WORKOVER TIME SUMMARY")</f>
        <v>WORKOVER TIME SUMMARY</v>
      </c>
      <c r="D1" s="788"/>
      <c r="E1" s="788"/>
      <c r="F1" s="788"/>
      <c r="G1" s="788"/>
      <c r="H1" s="788"/>
      <c r="I1" s="788"/>
      <c r="J1" s="788"/>
      <c r="K1" s="787"/>
    </row>
    <row r="2" spans="1:13" ht="33.75" customHeight="1">
      <c r="A2" s="787"/>
      <c r="B2" s="787"/>
      <c r="C2" s="789"/>
      <c r="D2" s="789"/>
      <c r="E2" s="789"/>
      <c r="F2" s="789"/>
      <c r="G2" s="789"/>
      <c r="H2" s="789"/>
      <c r="I2" s="789"/>
      <c r="J2" s="40" t="s">
        <v>433</v>
      </c>
      <c r="K2" s="787"/>
    </row>
    <row r="3" spans="1:13" s="9" customFormat="1" ht="15.9" customHeight="1" thickBot="1">
      <c r="A3" s="11"/>
      <c r="B3" s="11"/>
      <c r="C3" s="11"/>
      <c r="D3" s="11"/>
      <c r="E3" s="11"/>
      <c r="F3" s="11"/>
      <c r="G3" s="2"/>
      <c r="H3" s="12"/>
      <c r="I3" s="13"/>
      <c r="J3" s="11"/>
      <c r="K3" s="11"/>
    </row>
    <row r="4" spans="1:13" s="9" customFormat="1" ht="15.9" hidden="1" customHeight="1">
      <c r="A4" s="801" t="s">
        <v>60</v>
      </c>
      <c r="B4" s="801"/>
      <c r="C4" s="1" t="str">
        <f>": "&amp;'1_INPUT'!$E$14&amp;""</f>
        <v>: SPA-034</v>
      </c>
      <c r="D4" s="11"/>
      <c r="E4" s="11"/>
      <c r="F4" s="11"/>
      <c r="G4" s="2"/>
      <c r="H4" s="12"/>
      <c r="I4" s="13"/>
      <c r="J4" s="11"/>
      <c r="K4" s="11"/>
    </row>
    <row r="5" spans="1:13" s="9" customFormat="1" ht="15.9" hidden="1" customHeight="1" thickBot="1">
      <c r="A5" s="802" t="s">
        <v>22</v>
      </c>
      <c r="B5" s="802"/>
      <c r="C5" s="1" t="str">
        <f>": "&amp;'1_INPUT'!$E$15&amp;""</f>
        <v>: SOPA</v>
      </c>
      <c r="D5" s="11"/>
      <c r="E5" s="11"/>
      <c r="F5" s="11"/>
      <c r="G5" s="2"/>
      <c r="H5" s="12"/>
      <c r="I5" s="13"/>
      <c r="J5" s="11"/>
      <c r="K5" s="11"/>
    </row>
    <row r="6" spans="1:13" s="14" customFormat="1" ht="32.4" thickTop="1" thickBot="1">
      <c r="A6" s="792" t="s">
        <v>23</v>
      </c>
      <c r="B6" s="793"/>
      <c r="C6" s="33" t="s">
        <v>30</v>
      </c>
      <c r="D6" s="34" t="s">
        <v>31</v>
      </c>
      <c r="E6" s="33" t="s">
        <v>32</v>
      </c>
      <c r="F6" s="33" t="s">
        <v>24</v>
      </c>
      <c r="G6" s="33" t="s">
        <v>53</v>
      </c>
      <c r="H6" s="35" t="s">
        <v>76</v>
      </c>
      <c r="I6" s="796" t="s">
        <v>236</v>
      </c>
      <c r="J6" s="796"/>
      <c r="K6" s="797"/>
      <c r="M6" s="33" t="s">
        <v>434</v>
      </c>
    </row>
    <row r="7" spans="1:13" ht="16.2" thickTop="1">
      <c r="A7" s="839" t="s">
        <v>212</v>
      </c>
      <c r="B7" s="798">
        <v>1</v>
      </c>
      <c r="C7" s="805" t="s">
        <v>25</v>
      </c>
      <c r="D7" s="18" t="s">
        <v>34</v>
      </c>
      <c r="E7" s="73" t="s">
        <v>101</v>
      </c>
      <c r="F7" s="19" t="s">
        <v>26</v>
      </c>
      <c r="G7" s="18"/>
      <c r="H7" s="20">
        <f ca="1">SUMIF('2_DATA'!$M$9:$M$672,'3_TIME SUM'!F7,'2_DATA'!$N$9:$N$672)</f>
        <v>0</v>
      </c>
      <c r="I7" s="790"/>
      <c r="J7" s="790"/>
      <c r="K7" s="791"/>
      <c r="M7" s="73" t="s">
        <v>251</v>
      </c>
    </row>
    <row r="8" spans="1:13" ht="15.6">
      <c r="A8" s="840"/>
      <c r="B8" s="799"/>
      <c r="C8" s="806"/>
      <c r="D8" s="18" t="s">
        <v>57</v>
      </c>
      <c r="E8" s="73" t="s">
        <v>102</v>
      </c>
      <c r="F8" s="19" t="s">
        <v>27</v>
      </c>
      <c r="G8" s="18"/>
      <c r="H8" s="20">
        <f ca="1">SUMIF('2_DATA'!$M$9:$M$672,'3_TIME SUM'!F8,'2_DATA'!$N$9:$N$672)</f>
        <v>0</v>
      </c>
      <c r="I8" s="790"/>
      <c r="J8" s="790"/>
      <c r="K8" s="791"/>
      <c r="M8" s="73" t="s">
        <v>101</v>
      </c>
    </row>
    <row r="9" spans="1:13" ht="15.6">
      <c r="A9" s="840"/>
      <c r="B9" s="799"/>
      <c r="C9" s="806"/>
      <c r="D9" s="18" t="s">
        <v>58</v>
      </c>
      <c r="E9" s="73" t="s">
        <v>103</v>
      </c>
      <c r="F9" s="19" t="s">
        <v>110</v>
      </c>
      <c r="G9" s="18"/>
      <c r="H9" s="20">
        <f ca="1">SUMIF('2_DATA'!$M$9:$M$672,'3_TIME SUM'!F9,'2_DATA'!$N$9:$N$672)</f>
        <v>0</v>
      </c>
      <c r="I9" s="790"/>
      <c r="J9" s="790"/>
      <c r="K9" s="791"/>
      <c r="M9" s="73" t="s">
        <v>102</v>
      </c>
    </row>
    <row r="10" spans="1:13" ht="15.6">
      <c r="A10" s="840"/>
      <c r="B10" s="799"/>
      <c r="C10" s="806"/>
      <c r="D10" s="18" t="s">
        <v>59</v>
      </c>
      <c r="E10" s="73" t="s">
        <v>104</v>
      </c>
      <c r="F10" s="19" t="s">
        <v>111</v>
      </c>
      <c r="G10" s="18"/>
      <c r="H10" s="20">
        <f ca="1">SUMIF('2_DATA'!$M$9:$M$672,'3_TIME SUM'!F10,'2_DATA'!$N$9:$N$672)</f>
        <v>0</v>
      </c>
      <c r="I10" s="790"/>
      <c r="J10" s="790"/>
      <c r="K10" s="791"/>
      <c r="M10" s="73" t="s">
        <v>103</v>
      </c>
    </row>
    <row r="11" spans="1:13" ht="15.6">
      <c r="A11" s="840"/>
      <c r="B11" s="799"/>
      <c r="C11" s="806"/>
      <c r="D11" s="18" t="s">
        <v>2</v>
      </c>
      <c r="E11" s="73" t="s">
        <v>105</v>
      </c>
      <c r="F11" s="19" t="s">
        <v>112</v>
      </c>
      <c r="G11" s="18"/>
      <c r="H11" s="20">
        <f ca="1">SUMIF('2_DATA'!$M$9:$M$672,'3_TIME SUM'!F11,'2_DATA'!$N$9:$N$672)</f>
        <v>0</v>
      </c>
      <c r="I11" s="790"/>
      <c r="J11" s="790"/>
      <c r="K11" s="791"/>
      <c r="M11" s="73" t="s">
        <v>104</v>
      </c>
    </row>
    <row r="12" spans="1:13" ht="15.6">
      <c r="A12" s="840"/>
      <c r="B12" s="799"/>
      <c r="C12" s="806"/>
      <c r="D12" s="18" t="s">
        <v>6</v>
      </c>
      <c r="E12" s="73" t="s">
        <v>106</v>
      </c>
      <c r="F12" s="19" t="s">
        <v>113</v>
      </c>
      <c r="G12" s="18"/>
      <c r="H12" s="20">
        <f ca="1">SUMIF('2_DATA'!$M$9:$M$672,'3_TIME SUM'!F12,'2_DATA'!$N$9:$N$672)</f>
        <v>0</v>
      </c>
      <c r="I12" s="790"/>
      <c r="J12" s="790"/>
      <c r="K12" s="791"/>
      <c r="M12" s="73" t="s">
        <v>105</v>
      </c>
    </row>
    <row r="13" spans="1:13" ht="15.6">
      <c r="A13" s="840"/>
      <c r="B13" s="799"/>
      <c r="C13" s="806"/>
      <c r="D13" s="18" t="s">
        <v>8</v>
      </c>
      <c r="E13" s="73" t="s">
        <v>107</v>
      </c>
      <c r="F13" s="19" t="s">
        <v>114</v>
      </c>
      <c r="G13" s="18"/>
      <c r="H13" s="20">
        <f ca="1">SUMIF('2_DATA'!$M$9:$M$672,'3_TIME SUM'!F13,'2_DATA'!$N$9:$N$672)</f>
        <v>0</v>
      </c>
      <c r="I13" s="790"/>
      <c r="J13" s="790"/>
      <c r="K13" s="791"/>
      <c r="M13" s="73" t="s">
        <v>106</v>
      </c>
    </row>
    <row r="14" spans="1:13" ht="15.6">
      <c r="A14" s="840"/>
      <c r="B14" s="799"/>
      <c r="C14" s="806"/>
      <c r="D14" s="18" t="s">
        <v>10</v>
      </c>
      <c r="E14" s="73" t="s">
        <v>108</v>
      </c>
      <c r="F14" s="19" t="s">
        <v>115</v>
      </c>
      <c r="G14" s="18"/>
      <c r="H14" s="20">
        <f ca="1">SUMIF('2_DATA'!$M$9:$M$672,'3_TIME SUM'!F14,'2_DATA'!$N$9:$N$672)</f>
        <v>0</v>
      </c>
      <c r="I14" s="790"/>
      <c r="J14" s="790"/>
      <c r="K14" s="791"/>
      <c r="M14" s="73" t="s">
        <v>107</v>
      </c>
    </row>
    <row r="15" spans="1:13" ht="15.6">
      <c r="A15" s="840"/>
      <c r="B15" s="799"/>
      <c r="C15" s="806"/>
      <c r="D15" s="18" t="s">
        <v>99</v>
      </c>
      <c r="E15" s="73" t="s">
        <v>109</v>
      </c>
      <c r="F15" s="19" t="s">
        <v>116</v>
      </c>
      <c r="G15" s="18"/>
      <c r="H15" s="20">
        <f ca="1">SUMIF('2_DATA'!$M$9:$M$672,'3_TIME SUM'!F15,'2_DATA'!$N$9:$N$672)</f>
        <v>0</v>
      </c>
      <c r="I15" s="790"/>
      <c r="J15" s="790"/>
      <c r="K15" s="791"/>
      <c r="M15" s="73" t="s">
        <v>108</v>
      </c>
    </row>
    <row r="16" spans="1:13" ht="15.6">
      <c r="A16" s="840"/>
      <c r="B16" s="799"/>
      <c r="C16" s="806"/>
      <c r="D16" s="18" t="s">
        <v>118</v>
      </c>
      <c r="E16" s="73" t="s">
        <v>13</v>
      </c>
      <c r="F16" s="19" t="s">
        <v>117</v>
      </c>
      <c r="G16" s="18"/>
      <c r="H16" s="20">
        <f ca="1">SUMIF('2_DATA'!$M$9:$M$672,'3_TIME SUM'!F16,'2_DATA'!$N$9:$N$672)</f>
        <v>0</v>
      </c>
      <c r="I16" s="790" t="s">
        <v>450</v>
      </c>
      <c r="J16" s="790"/>
      <c r="K16" s="791"/>
      <c r="M16" s="73" t="s">
        <v>109</v>
      </c>
    </row>
    <row r="17" spans="1:13" ht="15.6">
      <c r="A17" s="840"/>
      <c r="B17" s="800"/>
      <c r="C17" s="807"/>
      <c r="D17" s="21"/>
      <c r="E17" s="74"/>
      <c r="F17" s="22"/>
      <c r="G17" s="21"/>
      <c r="H17" s="31"/>
      <c r="I17" s="803"/>
      <c r="J17" s="803"/>
      <c r="K17" s="804"/>
      <c r="M17" s="74" t="s">
        <v>13</v>
      </c>
    </row>
    <row r="18" spans="1:13" ht="15.6">
      <c r="A18" s="840"/>
      <c r="B18" s="823">
        <v>2</v>
      </c>
      <c r="C18" s="821" t="s">
        <v>78</v>
      </c>
      <c r="D18" s="18" t="s">
        <v>34</v>
      </c>
      <c r="E18" s="73" t="s">
        <v>120</v>
      </c>
      <c r="F18" s="23" t="s">
        <v>77</v>
      </c>
      <c r="G18" s="24"/>
      <c r="H18" s="32">
        <f ca="1">SUMIF('2_DATA'!$M$9:$M$672,'3_TIME SUM'!F18,'2_DATA'!$N$9:$N$672)</f>
        <v>0</v>
      </c>
      <c r="I18" s="794"/>
      <c r="J18" s="794"/>
      <c r="K18" s="795"/>
      <c r="M18" s="73" t="s">
        <v>252</v>
      </c>
    </row>
    <row r="19" spans="1:13" ht="15.6">
      <c r="A19" s="840"/>
      <c r="B19" s="799"/>
      <c r="C19" s="806"/>
      <c r="D19" s="18" t="s">
        <v>57</v>
      </c>
      <c r="E19" s="73" t="s">
        <v>121</v>
      </c>
      <c r="F19" s="19" t="s">
        <v>28</v>
      </c>
      <c r="G19" s="18"/>
      <c r="H19" s="20">
        <f ca="1">SUMIF('2_DATA'!$M$9:$M$672,'3_TIME SUM'!F19,'2_DATA'!$N$9:$N$672)</f>
        <v>0</v>
      </c>
      <c r="I19" s="790"/>
      <c r="J19" s="790"/>
      <c r="K19" s="791"/>
      <c r="M19" s="73" t="s">
        <v>120</v>
      </c>
    </row>
    <row r="20" spans="1:13" ht="15.6">
      <c r="A20" s="840"/>
      <c r="B20" s="799"/>
      <c r="C20" s="806"/>
      <c r="D20" s="18" t="s">
        <v>58</v>
      </c>
      <c r="E20" s="73" t="s">
        <v>123</v>
      </c>
      <c r="F20" s="19" t="s">
        <v>67</v>
      </c>
      <c r="G20" s="18"/>
      <c r="H20" s="20">
        <f ca="1">SUMIF('2_DATA'!$M$9:$M$672,'3_TIME SUM'!F20,'2_DATA'!$N$9:$N$672)</f>
        <v>50</v>
      </c>
      <c r="I20" s="810" t="s">
        <v>456</v>
      </c>
      <c r="J20" s="811" t="s">
        <v>456</v>
      </c>
      <c r="K20" s="812" t="s">
        <v>456</v>
      </c>
      <c r="M20" s="73" t="s">
        <v>121</v>
      </c>
    </row>
    <row r="21" spans="1:13" ht="15.6">
      <c r="A21" s="840"/>
      <c r="B21" s="799"/>
      <c r="C21" s="806"/>
      <c r="D21" s="18" t="s">
        <v>59</v>
      </c>
      <c r="E21" s="73" t="s">
        <v>557</v>
      </c>
      <c r="F21" s="19" t="s">
        <v>122</v>
      </c>
      <c r="G21" s="18"/>
      <c r="H21" s="20">
        <f ca="1">SUMIF('2_DATA'!$M$9:$M$672,'3_TIME SUM'!F21,'2_DATA'!$N$9:$N$672)</f>
        <v>0.5</v>
      </c>
      <c r="I21" s="810" t="s">
        <v>562</v>
      </c>
      <c r="J21" s="811" t="s">
        <v>562</v>
      </c>
      <c r="K21" s="812" t="s">
        <v>562</v>
      </c>
      <c r="M21" s="73" t="s">
        <v>123</v>
      </c>
    </row>
    <row r="22" spans="1:13" ht="15.6">
      <c r="A22" s="840"/>
      <c r="B22" s="799"/>
      <c r="C22" s="806"/>
      <c r="D22" s="18" t="s">
        <v>2</v>
      </c>
      <c r="E22" s="73" t="s">
        <v>558</v>
      </c>
      <c r="F22" s="19" t="s">
        <v>124</v>
      </c>
      <c r="G22" s="18"/>
      <c r="H22" s="20">
        <f ca="1">SUMIF('2_DATA'!$M$9:$M$672,'3_TIME SUM'!F22,'2_DATA'!$N$9:$N$672)</f>
        <v>2</v>
      </c>
      <c r="I22" s="790"/>
      <c r="J22" s="790"/>
      <c r="K22" s="791"/>
      <c r="M22" s="73" t="s">
        <v>125</v>
      </c>
    </row>
    <row r="23" spans="1:13" ht="15.6">
      <c r="A23" s="840"/>
      <c r="B23" s="799"/>
      <c r="C23" s="806"/>
      <c r="D23" s="18" t="s">
        <v>6</v>
      </c>
      <c r="E23" s="73" t="s">
        <v>451</v>
      </c>
      <c r="F23" s="19" t="s">
        <v>126</v>
      </c>
      <c r="G23" s="18"/>
      <c r="H23" s="20">
        <f ca="1">SUMIF('2_DATA'!$M$9:$M$672,'3_TIME SUM'!F23,'2_DATA'!$N$9:$N$672)</f>
        <v>4</v>
      </c>
      <c r="I23" s="790"/>
      <c r="J23" s="790"/>
      <c r="K23" s="791"/>
      <c r="M23" s="73" t="s">
        <v>127</v>
      </c>
    </row>
    <row r="24" spans="1:13" ht="15.6">
      <c r="A24" s="840"/>
      <c r="B24" s="799"/>
      <c r="C24" s="806"/>
      <c r="D24" s="18" t="s">
        <v>8</v>
      </c>
      <c r="E24" s="438" t="s">
        <v>452</v>
      </c>
      <c r="F24" s="48" t="s">
        <v>128</v>
      </c>
      <c r="G24" s="18"/>
      <c r="H24" s="20">
        <f ca="1">SUMIF('2_DATA'!$M$9:$M$672,'3_TIME SUM'!F24,'2_DATA'!$N$9:$N$672)</f>
        <v>0</v>
      </c>
      <c r="I24" s="790"/>
      <c r="J24" s="790"/>
      <c r="K24" s="791"/>
      <c r="M24" s="73" t="s">
        <v>129</v>
      </c>
    </row>
    <row r="25" spans="1:13" ht="15.6">
      <c r="A25" s="840"/>
      <c r="B25" s="799"/>
      <c r="C25" s="806"/>
      <c r="D25" s="18" t="s">
        <v>10</v>
      </c>
      <c r="E25" s="438" t="s">
        <v>453</v>
      </c>
      <c r="F25" s="48" t="s">
        <v>559</v>
      </c>
      <c r="G25" s="18"/>
      <c r="H25" s="20">
        <f ca="1">SUMIF('2_DATA'!$M$9:$M$672,'3_TIME SUM'!F25,'2_DATA'!$N$9:$N$672)</f>
        <v>0</v>
      </c>
      <c r="I25" s="790"/>
      <c r="J25" s="790"/>
      <c r="K25" s="791"/>
      <c r="M25" s="73" t="s">
        <v>129</v>
      </c>
    </row>
    <row r="26" spans="1:13" ht="15.6">
      <c r="A26" s="840"/>
      <c r="B26" s="799"/>
      <c r="C26" s="806"/>
      <c r="D26" s="18" t="s">
        <v>99</v>
      </c>
      <c r="E26" s="73" t="s">
        <v>454</v>
      </c>
      <c r="F26" s="19" t="s">
        <v>560</v>
      </c>
      <c r="G26" s="18"/>
      <c r="H26" s="20">
        <f ca="1">SUMIF('2_DATA'!$M$9:$M$672,'3_TIME SUM'!F26,'2_DATA'!$N$9:$N$672)</f>
        <v>0</v>
      </c>
      <c r="I26" s="790"/>
      <c r="J26" s="790"/>
      <c r="K26" s="791"/>
      <c r="M26" s="73" t="s">
        <v>129</v>
      </c>
    </row>
    <row r="27" spans="1:13" ht="15.6">
      <c r="A27" s="840"/>
      <c r="B27" s="800"/>
      <c r="C27" s="807"/>
      <c r="D27" s="21" t="s">
        <v>118</v>
      </c>
      <c r="E27" s="439" t="s">
        <v>455</v>
      </c>
      <c r="F27" s="440" t="s">
        <v>561</v>
      </c>
      <c r="G27" s="21"/>
      <c r="H27" s="20">
        <f ca="1">SUMIF('2_DATA'!$M$9:$M$672,'3_TIME SUM'!F27,'2_DATA'!$N$9:$N$672)</f>
        <v>0</v>
      </c>
      <c r="I27" s="803"/>
      <c r="J27" s="803"/>
      <c r="K27" s="804"/>
      <c r="M27" s="74" t="s">
        <v>129</v>
      </c>
    </row>
    <row r="28" spans="1:13" ht="15" customHeight="1">
      <c r="A28" s="840"/>
      <c r="B28" s="828">
        <v>3</v>
      </c>
      <c r="C28" s="825" t="s">
        <v>29</v>
      </c>
      <c r="D28" s="23" t="s">
        <v>34</v>
      </c>
      <c r="E28" s="441" t="s">
        <v>457</v>
      </c>
      <c r="F28" s="23" t="s">
        <v>130</v>
      </c>
      <c r="G28" s="28"/>
      <c r="H28" s="32">
        <f ca="1">SUMIF('2_DATA'!$M$9:$M$672,'3_TIME SUM'!F28,'2_DATA'!$N$9:$N$672)</f>
        <v>11</v>
      </c>
      <c r="I28" s="830"/>
      <c r="J28" s="830"/>
      <c r="K28" s="831"/>
      <c r="M28" s="75" t="s">
        <v>253</v>
      </c>
    </row>
    <row r="29" spans="1:13" ht="15" customHeight="1">
      <c r="A29" s="840"/>
      <c r="B29" s="829"/>
      <c r="C29" s="826"/>
      <c r="D29" s="29" t="s">
        <v>57</v>
      </c>
      <c r="E29" s="76" t="s">
        <v>458</v>
      </c>
      <c r="F29" s="29" t="s">
        <v>131</v>
      </c>
      <c r="G29" s="29" t="s">
        <v>53</v>
      </c>
      <c r="H29" s="20">
        <f ca="1">SUMIF('2_DATA'!$M$9:$M$672,'3_TIME SUM'!F29,'2_DATA'!$N$9:$N$672)</f>
        <v>0</v>
      </c>
      <c r="I29" s="808"/>
      <c r="J29" s="808"/>
      <c r="K29" s="809"/>
      <c r="M29" s="76" t="s">
        <v>132</v>
      </c>
    </row>
    <row r="30" spans="1:13" ht="15" customHeight="1">
      <c r="A30" s="840"/>
      <c r="B30" s="829"/>
      <c r="C30" s="827"/>
      <c r="D30" s="30" t="s">
        <v>58</v>
      </c>
      <c r="E30" s="442" t="s">
        <v>459</v>
      </c>
      <c r="F30" s="22" t="s">
        <v>133</v>
      </c>
      <c r="G30" s="30"/>
      <c r="H30" s="46">
        <f ca="1">SUMIF('2_DATA'!$M$9:$M$672,'3_TIME SUM'!F30,'2_DATA'!$N$9:$N$672)</f>
        <v>0</v>
      </c>
      <c r="I30" s="815"/>
      <c r="J30" s="815"/>
      <c r="K30" s="816"/>
      <c r="M30" s="76" t="s">
        <v>134</v>
      </c>
    </row>
    <row r="31" spans="1:13" ht="15.6">
      <c r="A31" s="840"/>
      <c r="B31" s="823">
        <v>4</v>
      </c>
      <c r="C31" s="806" t="s">
        <v>16</v>
      </c>
      <c r="D31" s="18" t="s">
        <v>34</v>
      </c>
      <c r="E31" s="73" t="s">
        <v>460</v>
      </c>
      <c r="F31" s="19" t="s">
        <v>94</v>
      </c>
      <c r="G31" s="18"/>
      <c r="H31" s="20">
        <f ca="1">SUMIF('2_DATA'!$M$9:$M$672,'3_TIME SUM'!F31,'2_DATA'!$N$9:$N$672)</f>
        <v>0</v>
      </c>
      <c r="I31" s="790"/>
      <c r="J31" s="790"/>
      <c r="K31" s="791"/>
      <c r="M31" s="73" t="s">
        <v>254</v>
      </c>
    </row>
    <row r="32" spans="1:13" ht="15.6">
      <c r="A32" s="840"/>
      <c r="B32" s="799"/>
      <c r="C32" s="806"/>
      <c r="D32" s="18" t="s">
        <v>57</v>
      </c>
      <c r="E32" s="73" t="s">
        <v>136</v>
      </c>
      <c r="F32" s="19" t="s">
        <v>17</v>
      </c>
      <c r="G32" s="18"/>
      <c r="H32" s="20">
        <f ca="1">SUMIF('2_DATA'!$M$9:$M$672,'3_TIME SUM'!F32,'2_DATA'!$N$9:$N$672)</f>
        <v>0</v>
      </c>
      <c r="I32" s="790"/>
      <c r="J32" s="790"/>
      <c r="K32" s="791"/>
      <c r="M32" s="73" t="s">
        <v>135</v>
      </c>
    </row>
    <row r="33" spans="1:13" ht="15.6">
      <c r="A33" s="840"/>
      <c r="B33" s="799"/>
      <c r="C33" s="806"/>
      <c r="D33" s="18" t="s">
        <v>58</v>
      </c>
      <c r="E33" s="73" t="s">
        <v>16</v>
      </c>
      <c r="F33" s="19" t="s">
        <v>138</v>
      </c>
      <c r="G33" s="18"/>
      <c r="H33" s="20">
        <f ca="1">SUMIF('2_DATA'!$M$9:$M$672,'3_TIME SUM'!F33,'2_DATA'!$N$9:$N$672)</f>
        <v>0</v>
      </c>
      <c r="I33" s="790"/>
      <c r="J33" s="790"/>
      <c r="K33" s="791"/>
      <c r="M33" s="73" t="s">
        <v>136</v>
      </c>
    </row>
    <row r="34" spans="1:13" ht="15.6">
      <c r="A34" s="840"/>
      <c r="B34" s="799"/>
      <c r="C34" s="806"/>
      <c r="D34" s="18" t="s">
        <v>59</v>
      </c>
      <c r="E34" s="73" t="s">
        <v>137</v>
      </c>
      <c r="F34" s="19" t="s">
        <v>139</v>
      </c>
      <c r="G34" s="18"/>
      <c r="H34" s="20">
        <f ca="1">SUMIF('2_DATA'!$M$9:$M$672,'3_TIME SUM'!F34,'2_DATA'!$N$9:$N$672)</f>
        <v>0</v>
      </c>
      <c r="I34" s="810"/>
      <c r="J34" s="811"/>
      <c r="K34" s="812"/>
      <c r="M34" s="73" t="s">
        <v>16</v>
      </c>
    </row>
    <row r="35" spans="1:13" ht="15.6">
      <c r="A35" s="840"/>
      <c r="B35" s="800"/>
      <c r="C35" s="807"/>
      <c r="D35" s="21"/>
      <c r="E35" s="74"/>
      <c r="F35" s="22"/>
      <c r="G35" s="21"/>
      <c r="H35" s="31">
        <f ca="1">SUMIF('2_DATA'!$M$9:$M$672,'3_TIME SUM'!F35,'2_DATA'!$N$9:$N$672)</f>
        <v>0</v>
      </c>
      <c r="I35" s="810"/>
      <c r="J35" s="811"/>
      <c r="K35" s="812"/>
      <c r="M35" s="74" t="s">
        <v>137</v>
      </c>
    </row>
    <row r="36" spans="1:13" ht="15.6">
      <c r="A36" s="840"/>
      <c r="B36" s="823">
        <v>5</v>
      </c>
      <c r="C36" s="821" t="s">
        <v>140</v>
      </c>
      <c r="D36" s="18" t="s">
        <v>34</v>
      </c>
      <c r="E36" s="73" t="s">
        <v>141</v>
      </c>
      <c r="F36" s="19" t="s">
        <v>36</v>
      </c>
      <c r="G36" s="18"/>
      <c r="H36" s="20">
        <f ca="1">SUMIF('2_DATA'!$M$9:$M$672,'3_TIME SUM'!F36,'2_DATA'!$N$9:$N$672)</f>
        <v>18.5</v>
      </c>
      <c r="I36" s="794"/>
      <c r="J36" s="794"/>
      <c r="K36" s="795"/>
      <c r="M36" s="73" t="s">
        <v>255</v>
      </c>
    </row>
    <row r="37" spans="1:13" ht="15.6">
      <c r="A37" s="840"/>
      <c r="B37" s="799"/>
      <c r="C37" s="806"/>
      <c r="D37" s="18" t="s">
        <v>57</v>
      </c>
      <c r="E37" s="73" t="s">
        <v>142</v>
      </c>
      <c r="F37" s="19" t="s">
        <v>79</v>
      </c>
      <c r="G37" s="18"/>
      <c r="H37" s="20">
        <f ca="1">SUMIF('2_DATA'!$M$9:$M$672,'3_TIME SUM'!F37,'2_DATA'!$N$9:$N$672)</f>
        <v>0</v>
      </c>
      <c r="I37" s="832"/>
      <c r="J37" s="832"/>
      <c r="K37" s="833"/>
    </row>
    <row r="38" spans="1:13" ht="15.6">
      <c r="A38" s="840"/>
      <c r="B38" s="824"/>
      <c r="C38" s="822"/>
      <c r="D38" s="47" t="s">
        <v>58</v>
      </c>
      <c r="E38" s="443" t="s">
        <v>563</v>
      </c>
      <c r="F38" s="466" t="s">
        <v>143</v>
      </c>
      <c r="G38" s="467" t="s">
        <v>53</v>
      </c>
      <c r="H38" s="468">
        <f ca="1">SUMIF('2_DATA'!$M$9:$M$672,'3_TIME SUM'!F38,'2_DATA'!$N$9:$N$672)</f>
        <v>0</v>
      </c>
      <c r="I38" s="813" t="s">
        <v>461</v>
      </c>
      <c r="J38" s="813"/>
      <c r="K38" s="814"/>
    </row>
    <row r="39" spans="1:13" ht="15.6">
      <c r="A39" s="840"/>
      <c r="B39" s="799">
        <v>6</v>
      </c>
      <c r="C39" s="806" t="s">
        <v>33</v>
      </c>
      <c r="D39" s="18" t="s">
        <v>34</v>
      </c>
      <c r="E39" s="73" t="s">
        <v>237</v>
      </c>
      <c r="F39" s="19" t="s">
        <v>35</v>
      </c>
      <c r="G39" s="18"/>
      <c r="H39" s="20">
        <f ca="1">SUMIF('2_DATA'!$M$9:$M$672,'3_TIME SUM'!F39,'2_DATA'!$N$9:$N$672)</f>
        <v>0</v>
      </c>
      <c r="I39" s="790"/>
      <c r="J39" s="790"/>
      <c r="K39" s="791"/>
    </row>
    <row r="40" spans="1:13" ht="15.6">
      <c r="A40" s="840"/>
      <c r="B40" s="799"/>
      <c r="C40" s="806"/>
      <c r="D40" s="18" t="s">
        <v>57</v>
      </c>
      <c r="E40" s="73" t="s">
        <v>238</v>
      </c>
      <c r="F40" s="19" t="s">
        <v>95</v>
      </c>
      <c r="G40" s="18"/>
      <c r="H40" s="20">
        <f ca="1">SUMIF('2_DATA'!$M$9:$M$672,'3_TIME SUM'!F40,'2_DATA'!$N$9:$N$672)</f>
        <v>1.5</v>
      </c>
      <c r="I40" s="790"/>
      <c r="J40" s="790"/>
      <c r="K40" s="791"/>
    </row>
    <row r="41" spans="1:13" ht="15.6">
      <c r="A41" s="840"/>
      <c r="B41" s="799"/>
      <c r="C41" s="806"/>
      <c r="D41" s="18" t="s">
        <v>58</v>
      </c>
      <c r="E41" s="73" t="s">
        <v>239</v>
      </c>
      <c r="F41" s="19" t="s">
        <v>39</v>
      </c>
      <c r="G41" s="18"/>
      <c r="H41" s="20">
        <f ca="1">SUMIF('2_DATA'!$M$9:$M$672,'3_TIME SUM'!F41,'2_DATA'!$N$9:$N$672)</f>
        <v>0</v>
      </c>
      <c r="I41" s="790"/>
      <c r="J41" s="790"/>
      <c r="K41" s="791"/>
    </row>
    <row r="42" spans="1:13" ht="15.6">
      <c r="A42" s="840"/>
      <c r="B42" s="799"/>
      <c r="C42" s="806"/>
      <c r="D42" s="18" t="s">
        <v>59</v>
      </c>
      <c r="E42" s="73" t="s">
        <v>240</v>
      </c>
      <c r="F42" s="19" t="s">
        <v>85</v>
      </c>
      <c r="G42" s="18"/>
      <c r="H42" s="20">
        <f ca="1">SUMIF('2_DATA'!$M$9:$M$672,'3_TIME SUM'!F42,'2_DATA'!$N$9:$N$672)</f>
        <v>81</v>
      </c>
      <c r="I42" s="790"/>
      <c r="J42" s="790"/>
      <c r="K42" s="791"/>
    </row>
    <row r="43" spans="1:13" ht="15.6">
      <c r="A43" s="840"/>
      <c r="B43" s="799"/>
      <c r="C43" s="806"/>
      <c r="D43" s="18" t="s">
        <v>2</v>
      </c>
      <c r="E43" s="73" t="s">
        <v>241</v>
      </c>
      <c r="F43" s="19" t="s">
        <v>144</v>
      </c>
      <c r="G43" s="18"/>
      <c r="H43" s="20">
        <f ca="1">SUMIF('2_DATA'!$M$9:$M$672,'3_TIME SUM'!F43,'2_DATA'!$N$9:$N$672)</f>
        <v>0</v>
      </c>
      <c r="I43" s="790"/>
      <c r="J43" s="790"/>
      <c r="K43" s="791"/>
    </row>
    <row r="44" spans="1:13" ht="15.6">
      <c r="A44" s="840"/>
      <c r="B44" s="799"/>
      <c r="C44" s="806"/>
      <c r="D44" s="18" t="s">
        <v>6</v>
      </c>
      <c r="E44" s="73" t="s">
        <v>242</v>
      </c>
      <c r="F44" s="19" t="s">
        <v>145</v>
      </c>
      <c r="G44" s="18"/>
      <c r="H44" s="20">
        <f ca="1">SUMIF('2_DATA'!$M$9:$M$672,'3_TIME SUM'!F44,'2_DATA'!$N$9:$N$672)</f>
        <v>0</v>
      </c>
      <c r="I44" s="790"/>
      <c r="J44" s="790"/>
      <c r="K44" s="791"/>
    </row>
    <row r="45" spans="1:13" ht="15.6">
      <c r="A45" s="840"/>
      <c r="B45" s="799"/>
      <c r="C45" s="806"/>
      <c r="D45" s="18" t="s">
        <v>8</v>
      </c>
      <c r="E45" s="73" t="s">
        <v>243</v>
      </c>
      <c r="F45" s="19" t="s">
        <v>146</v>
      </c>
      <c r="G45" s="18"/>
      <c r="H45" s="20">
        <f ca="1">SUMIF('2_DATA'!$M$9:$M$672,'3_TIME SUM'!F45,'2_DATA'!$N$9:$N$672)</f>
        <v>120</v>
      </c>
      <c r="I45" s="790"/>
      <c r="J45" s="790"/>
      <c r="K45" s="791"/>
    </row>
    <row r="46" spans="1:13" ht="15.6">
      <c r="A46" s="840"/>
      <c r="B46" s="799"/>
      <c r="C46" s="806"/>
      <c r="D46" s="18" t="s">
        <v>10</v>
      </c>
      <c r="E46" s="73" t="s">
        <v>462</v>
      </c>
      <c r="F46" s="19" t="s">
        <v>147</v>
      </c>
      <c r="G46" s="18"/>
      <c r="H46" s="20">
        <f ca="1">SUMIF('2_DATA'!$M$9:$M$672,'3_TIME SUM'!F46,'2_DATA'!$N$9:$N$672)</f>
        <v>1</v>
      </c>
      <c r="I46" s="790"/>
      <c r="J46" s="790"/>
      <c r="K46" s="791"/>
    </row>
    <row r="47" spans="1:13" ht="15.6">
      <c r="A47" s="840"/>
      <c r="B47" s="823">
        <v>7</v>
      </c>
      <c r="C47" s="821" t="s">
        <v>86</v>
      </c>
      <c r="D47" s="24" t="s">
        <v>34</v>
      </c>
      <c r="E47" s="78" t="s">
        <v>148</v>
      </c>
      <c r="F47" s="23" t="s">
        <v>150</v>
      </c>
      <c r="G47" s="24"/>
      <c r="H47" s="37">
        <v>0</v>
      </c>
      <c r="I47" s="794"/>
      <c r="J47" s="794"/>
      <c r="K47" s="795"/>
    </row>
    <row r="48" spans="1:13" ht="30">
      <c r="A48" s="840"/>
      <c r="B48" s="799"/>
      <c r="C48" s="806"/>
      <c r="D48" s="18" t="s">
        <v>57</v>
      </c>
      <c r="E48" s="464" t="s">
        <v>149</v>
      </c>
      <c r="F48" s="19" t="s">
        <v>151</v>
      </c>
      <c r="G48" s="18"/>
      <c r="H48" s="31">
        <v>0</v>
      </c>
      <c r="I48" s="790"/>
      <c r="J48" s="790"/>
      <c r="K48" s="791"/>
    </row>
    <row r="49" spans="1:11" ht="15" customHeight="1">
      <c r="A49" s="840"/>
      <c r="B49" s="828">
        <v>8</v>
      </c>
      <c r="C49" s="825" t="s">
        <v>87</v>
      </c>
      <c r="D49" s="28" t="s">
        <v>34</v>
      </c>
      <c r="E49" s="75" t="s">
        <v>463</v>
      </c>
      <c r="F49" s="28" t="s">
        <v>152</v>
      </c>
      <c r="G49" s="28" t="s">
        <v>53</v>
      </c>
      <c r="H49" s="20">
        <f ca="1">SUMIF('2_DATA'!$M$9:$M$672,'3_TIME SUM'!F49,'2_DATA'!$N$9:$N$672)</f>
        <v>0</v>
      </c>
      <c r="I49" s="830"/>
      <c r="J49" s="830"/>
      <c r="K49" s="831"/>
    </row>
    <row r="50" spans="1:11" ht="15" customHeight="1">
      <c r="A50" s="840"/>
      <c r="B50" s="829"/>
      <c r="C50" s="826"/>
      <c r="D50" s="29" t="s">
        <v>57</v>
      </c>
      <c r="E50" s="76" t="s">
        <v>464</v>
      </c>
      <c r="F50" s="29" t="s">
        <v>153</v>
      </c>
      <c r="G50" s="29" t="s">
        <v>53</v>
      </c>
      <c r="H50" s="20">
        <f ca="1">SUMIF('2_DATA'!$M$9:$M$672,'3_TIME SUM'!F50,'2_DATA'!$N$9:$N$672)</f>
        <v>0</v>
      </c>
      <c r="I50" s="808"/>
      <c r="J50" s="808"/>
      <c r="K50" s="809"/>
    </row>
    <row r="51" spans="1:11" ht="15" customHeight="1">
      <c r="A51" s="840"/>
      <c r="B51" s="829"/>
      <c r="C51" s="826"/>
      <c r="D51" s="29" t="s">
        <v>58</v>
      </c>
      <c r="E51" s="76" t="s">
        <v>465</v>
      </c>
      <c r="F51" s="29" t="s">
        <v>154</v>
      </c>
      <c r="G51" s="29" t="s">
        <v>53</v>
      </c>
      <c r="H51" s="20">
        <f ca="1">SUMIF('2_DATA'!$M$9:$M$672,'3_TIME SUM'!F51,'2_DATA'!$N$9:$N$672)</f>
        <v>0</v>
      </c>
      <c r="I51" s="808"/>
      <c r="J51" s="808"/>
      <c r="K51" s="809"/>
    </row>
    <row r="52" spans="1:11" ht="15" customHeight="1">
      <c r="A52" s="840"/>
      <c r="B52" s="829"/>
      <c r="C52" s="826"/>
      <c r="D52" s="29" t="s">
        <v>59</v>
      </c>
      <c r="E52" s="76" t="s">
        <v>466</v>
      </c>
      <c r="F52" s="29" t="s">
        <v>155</v>
      </c>
      <c r="G52" s="29" t="s">
        <v>53</v>
      </c>
      <c r="H52" s="20">
        <f ca="1">SUMIF('2_DATA'!$M$9:$M$672,'3_TIME SUM'!F52,'2_DATA'!$N$9:$N$672)</f>
        <v>3.5</v>
      </c>
      <c r="I52" s="808"/>
      <c r="J52" s="808"/>
      <c r="K52" s="809"/>
    </row>
    <row r="53" spans="1:11" ht="15" customHeight="1">
      <c r="A53" s="840"/>
      <c r="B53" s="829"/>
      <c r="C53" s="826"/>
      <c r="D53" s="29" t="s">
        <v>2</v>
      </c>
      <c r="E53" s="76" t="s">
        <v>467</v>
      </c>
      <c r="F53" s="29" t="s">
        <v>156</v>
      </c>
      <c r="G53" s="29" t="s">
        <v>53</v>
      </c>
      <c r="H53" s="20">
        <f ca="1">SUMIF('2_DATA'!$M$9:$M$672,'3_TIME SUM'!F53,'2_DATA'!$N$9:$N$672)</f>
        <v>0</v>
      </c>
      <c r="I53" s="808"/>
      <c r="J53" s="808"/>
      <c r="K53" s="809"/>
    </row>
    <row r="54" spans="1:11" ht="15" customHeight="1">
      <c r="A54" s="840"/>
      <c r="B54" s="829"/>
      <c r="C54" s="826"/>
      <c r="D54" s="29" t="s">
        <v>6</v>
      </c>
      <c r="E54" s="76" t="s">
        <v>468</v>
      </c>
      <c r="F54" s="29" t="s">
        <v>157</v>
      </c>
      <c r="G54" s="29" t="s">
        <v>53</v>
      </c>
      <c r="H54" s="20">
        <f ca="1">SUMIF('2_DATA'!$M$9:$M$672,'3_TIME SUM'!F54,'2_DATA'!$N$9:$N$672)</f>
        <v>8</v>
      </c>
      <c r="I54" s="808"/>
      <c r="J54" s="808"/>
      <c r="K54" s="809"/>
    </row>
    <row r="55" spans="1:11" ht="15" customHeight="1">
      <c r="A55" s="840"/>
      <c r="B55" s="829"/>
      <c r="C55" s="826"/>
      <c r="D55" s="29" t="s">
        <v>8</v>
      </c>
      <c r="E55" s="76" t="s">
        <v>469</v>
      </c>
      <c r="F55" s="29" t="s">
        <v>158</v>
      </c>
      <c r="G55" s="29" t="s">
        <v>53</v>
      </c>
      <c r="H55" s="20">
        <f ca="1">SUMIF('2_DATA'!$M$9:$M$672,'3_TIME SUM'!F55,'2_DATA'!$N$9:$N$672)</f>
        <v>0</v>
      </c>
      <c r="I55" s="808"/>
      <c r="J55" s="808"/>
      <c r="K55" s="809"/>
    </row>
    <row r="56" spans="1:11" ht="15.6">
      <c r="A56" s="840"/>
      <c r="B56" s="435">
        <v>9</v>
      </c>
      <c r="C56" s="436" t="s">
        <v>88</v>
      </c>
      <c r="D56" s="24" t="s">
        <v>34</v>
      </c>
      <c r="E56" s="79" t="s">
        <v>564</v>
      </c>
      <c r="F56" s="23" t="s">
        <v>167</v>
      </c>
      <c r="G56" s="24"/>
      <c r="H56" s="37">
        <f ca="1">SUMIF('2_DATA'!$M$9:$M$672,'3_TIME SUM'!F56,'2_DATA'!$N$9:$N$672)</f>
        <v>0</v>
      </c>
      <c r="I56" s="794"/>
      <c r="J56" s="794"/>
      <c r="K56" s="795"/>
    </row>
    <row r="57" spans="1:11" ht="15.6">
      <c r="A57" s="840"/>
      <c r="B57" s="435">
        <v>10</v>
      </c>
      <c r="C57" s="436" t="s">
        <v>89</v>
      </c>
      <c r="D57" s="24" t="s">
        <v>34</v>
      </c>
      <c r="E57" s="445" t="s">
        <v>168</v>
      </c>
      <c r="F57" s="25" t="s">
        <v>565</v>
      </c>
      <c r="G57" s="26"/>
      <c r="H57" s="27">
        <f ca="1">SUMIF('2_DATA'!$M$9:$M$672,'3_TIME SUM'!F57,'2_DATA'!$N$9:$N$672)</f>
        <v>0</v>
      </c>
      <c r="I57" s="794"/>
      <c r="J57" s="794"/>
      <c r="K57" s="795"/>
    </row>
    <row r="58" spans="1:11" ht="15.6">
      <c r="A58" s="840"/>
      <c r="B58" s="823">
        <v>11</v>
      </c>
      <c r="C58" s="821" t="s">
        <v>90</v>
      </c>
      <c r="D58" s="24" t="s">
        <v>34</v>
      </c>
      <c r="E58" s="73" t="s">
        <v>470</v>
      </c>
      <c r="F58" s="19" t="s">
        <v>91</v>
      </c>
      <c r="G58" s="18"/>
      <c r="H58" s="20">
        <f ca="1">SUMIF('2_DATA'!$M$9:$M$672,'3_TIME SUM'!F58,'2_DATA'!$N$9:$N$672)</f>
        <v>14.5</v>
      </c>
      <c r="I58" s="794"/>
      <c r="J58" s="794"/>
      <c r="K58" s="795"/>
    </row>
    <row r="59" spans="1:11" ht="15.6">
      <c r="A59" s="840"/>
      <c r="B59" s="799"/>
      <c r="C59" s="806"/>
      <c r="D59" s="18" t="s">
        <v>57</v>
      </c>
      <c r="E59" s="73" t="s">
        <v>169</v>
      </c>
      <c r="F59" s="19" t="s">
        <v>92</v>
      </c>
      <c r="G59" s="18"/>
      <c r="H59" s="20">
        <f ca="1">SUMIF('2_DATA'!$M$9:$M$672,'3_TIME SUM'!F59,'2_DATA'!$N$9:$N$672)</f>
        <v>1</v>
      </c>
      <c r="I59" s="790"/>
      <c r="J59" s="790"/>
      <c r="K59" s="791"/>
    </row>
    <row r="60" spans="1:11" ht="15.6">
      <c r="A60" s="840"/>
      <c r="B60" s="799"/>
      <c r="C60" s="806"/>
      <c r="D60" s="18" t="s">
        <v>58</v>
      </c>
      <c r="E60" s="73" t="s">
        <v>471</v>
      </c>
      <c r="F60" s="19" t="s">
        <v>170</v>
      </c>
      <c r="G60" s="18"/>
      <c r="H60" s="20">
        <f ca="1">SUMIF('2_DATA'!$M$9:$M$672,'3_TIME SUM'!F60,'2_DATA'!$N$9:$N$672)</f>
        <v>0</v>
      </c>
      <c r="I60" s="790"/>
      <c r="J60" s="790"/>
      <c r="K60" s="791"/>
    </row>
    <row r="61" spans="1:11" ht="15.6">
      <c r="A61" s="840"/>
      <c r="B61" s="799"/>
      <c r="C61" s="806"/>
      <c r="D61" s="21" t="s">
        <v>59</v>
      </c>
      <c r="E61" s="74" t="s">
        <v>472</v>
      </c>
      <c r="F61" s="22" t="s">
        <v>171</v>
      </c>
      <c r="G61" s="21" t="s">
        <v>53</v>
      </c>
      <c r="H61" s="46">
        <f ca="1">SUMIF('2_DATA'!$M$9:$M$672,'3_TIME SUM'!F61,'2_DATA'!$N$9:$N$672)</f>
        <v>0</v>
      </c>
      <c r="I61" s="790" t="s">
        <v>473</v>
      </c>
      <c r="J61" s="790"/>
      <c r="K61" s="791"/>
    </row>
    <row r="62" spans="1:11" ht="15.6">
      <c r="A62" s="840"/>
      <c r="B62" s="823">
        <v>12</v>
      </c>
      <c r="C62" s="821" t="s">
        <v>172</v>
      </c>
      <c r="D62" s="18" t="s">
        <v>34</v>
      </c>
      <c r="E62" s="73" t="s">
        <v>173</v>
      </c>
      <c r="F62" s="19" t="s">
        <v>37</v>
      </c>
      <c r="G62" s="18"/>
      <c r="H62" s="20">
        <f ca="1">SUMIF('2_DATA'!$M$9:$M$672,'3_TIME SUM'!F62,'2_DATA'!$N$9:$N$672)</f>
        <v>1</v>
      </c>
      <c r="I62" s="794"/>
      <c r="J62" s="794"/>
      <c r="K62" s="795"/>
    </row>
    <row r="63" spans="1:11" ht="15.6">
      <c r="A63" s="840"/>
      <c r="B63" s="799"/>
      <c r="C63" s="806"/>
      <c r="D63" s="18" t="s">
        <v>57</v>
      </c>
      <c r="E63" s="73" t="s">
        <v>174</v>
      </c>
      <c r="F63" s="19" t="s">
        <v>38</v>
      </c>
      <c r="G63" s="18"/>
      <c r="H63" s="20">
        <f ca="1">SUMIF('2_DATA'!$M$9:$M$672,'3_TIME SUM'!F63,'2_DATA'!$N$9:$N$672)</f>
        <v>0</v>
      </c>
      <c r="I63" s="790"/>
      <c r="J63" s="790"/>
      <c r="K63" s="791"/>
    </row>
    <row r="64" spans="1:11" ht="15.6">
      <c r="A64" s="840"/>
      <c r="B64" s="799"/>
      <c r="C64" s="806"/>
      <c r="D64" s="18" t="s">
        <v>58</v>
      </c>
      <c r="E64" s="73" t="s">
        <v>175</v>
      </c>
      <c r="F64" s="19" t="s">
        <v>176</v>
      </c>
      <c r="G64" s="18"/>
      <c r="H64" s="20">
        <f ca="1">SUMIF('2_DATA'!$M$9:$M$672,'3_TIME SUM'!F64,'2_DATA'!$N$9:$N$672)</f>
        <v>0</v>
      </c>
      <c r="I64" s="790"/>
      <c r="J64" s="790"/>
      <c r="K64" s="791"/>
    </row>
    <row r="65" spans="1:11" ht="15.6">
      <c r="A65" s="840"/>
      <c r="B65" s="799"/>
      <c r="C65" s="806"/>
      <c r="D65" s="18" t="s">
        <v>59</v>
      </c>
      <c r="E65" s="73" t="s">
        <v>474</v>
      </c>
      <c r="F65" s="19" t="s">
        <v>177</v>
      </c>
      <c r="G65" s="18"/>
      <c r="H65" s="20">
        <f ca="1">SUMIF('2_DATA'!$M$9:$M$672,'3_TIME SUM'!F65,'2_DATA'!$N$9:$N$672)</f>
        <v>0</v>
      </c>
      <c r="I65" s="790"/>
      <c r="J65" s="790"/>
      <c r="K65" s="791"/>
    </row>
    <row r="66" spans="1:11" ht="15.6">
      <c r="A66" s="840"/>
      <c r="B66" s="799"/>
      <c r="C66" s="806"/>
      <c r="D66" s="18" t="s">
        <v>2</v>
      </c>
      <c r="E66" s="73" t="s">
        <v>475</v>
      </c>
      <c r="F66" s="19" t="s">
        <v>178</v>
      </c>
      <c r="G66" s="18"/>
      <c r="H66" s="20">
        <f ca="1">SUMIF('2_DATA'!$M$9:$M$672,'3_TIME SUM'!F66,'2_DATA'!$N$9:$N$672)</f>
        <v>0</v>
      </c>
      <c r="I66" s="790"/>
      <c r="J66" s="790"/>
      <c r="K66" s="791"/>
    </row>
    <row r="67" spans="1:11" ht="15.6">
      <c r="A67" s="840"/>
      <c r="B67" s="800"/>
      <c r="C67" s="807"/>
      <c r="D67" s="21" t="s">
        <v>6</v>
      </c>
      <c r="E67" s="74" t="s">
        <v>476</v>
      </c>
      <c r="F67" s="22" t="s">
        <v>179</v>
      </c>
      <c r="G67" s="21" t="s">
        <v>53</v>
      </c>
      <c r="H67" s="31">
        <f ca="1">SUMIF('2_DATA'!$M$9:$M$672,'3_TIME SUM'!F67,'2_DATA'!$N$9:$N$672)</f>
        <v>0</v>
      </c>
      <c r="I67" s="803" t="s">
        <v>477</v>
      </c>
      <c r="J67" s="803"/>
      <c r="K67" s="804"/>
    </row>
    <row r="68" spans="1:11" ht="15.6">
      <c r="A68" s="840"/>
      <c r="B68" s="435">
        <v>13</v>
      </c>
      <c r="C68" s="436" t="s">
        <v>71</v>
      </c>
      <c r="D68" s="24" t="s">
        <v>34</v>
      </c>
      <c r="E68" s="78" t="s">
        <v>180</v>
      </c>
      <c r="F68" s="23" t="s">
        <v>93</v>
      </c>
      <c r="G68" s="24"/>
      <c r="H68" s="20">
        <f ca="1">SUMIF('2_DATA'!$M$9:$M$672,'3_TIME SUM'!F68,'2_DATA'!$N$9:$N$672)</f>
        <v>52.5</v>
      </c>
      <c r="I68" s="794"/>
      <c r="J68" s="794"/>
      <c r="K68" s="795"/>
    </row>
    <row r="69" spans="1:11" ht="15.6">
      <c r="A69" s="840"/>
      <c r="B69" s="823">
        <v>14</v>
      </c>
      <c r="C69" s="821" t="s">
        <v>181</v>
      </c>
      <c r="D69" s="24" t="s">
        <v>34</v>
      </c>
      <c r="E69" s="78" t="s">
        <v>182</v>
      </c>
      <c r="F69" s="23" t="s">
        <v>184</v>
      </c>
      <c r="G69" s="24"/>
      <c r="H69" s="37">
        <f ca="1">SUMIF('2_DATA'!$M$9:$M$672,'3_TIME SUM'!F69,'2_DATA'!$N$9:$N$672)</f>
        <v>5</v>
      </c>
      <c r="I69" s="794"/>
      <c r="J69" s="794"/>
      <c r="K69" s="795"/>
    </row>
    <row r="70" spans="1:11" ht="15.6">
      <c r="A70" s="840"/>
      <c r="B70" s="799"/>
      <c r="C70" s="806"/>
      <c r="D70" s="18" t="s">
        <v>57</v>
      </c>
      <c r="E70" s="73" t="s">
        <v>478</v>
      </c>
      <c r="F70" s="19" t="s">
        <v>185</v>
      </c>
      <c r="G70" s="18"/>
      <c r="H70" s="20">
        <f ca="1">SUMIF('2_DATA'!$M$9:$M$672,'3_TIME SUM'!F70,'2_DATA'!$N$9:$N$672)</f>
        <v>3.5</v>
      </c>
      <c r="I70" s="790"/>
      <c r="J70" s="790"/>
      <c r="K70" s="791"/>
    </row>
    <row r="71" spans="1:11" ht="15.6">
      <c r="A71" s="840"/>
      <c r="B71" s="799"/>
      <c r="C71" s="806"/>
      <c r="D71" s="18" t="s">
        <v>58</v>
      </c>
      <c r="E71" s="73" t="s">
        <v>479</v>
      </c>
      <c r="F71" s="19" t="s">
        <v>186</v>
      </c>
      <c r="G71" s="18"/>
      <c r="H71" s="20">
        <f ca="1">SUMIF('2_DATA'!$M$9:$M$672,'3_TIME SUM'!F71,'2_DATA'!$N$9:$N$672)</f>
        <v>4</v>
      </c>
      <c r="I71" s="790"/>
      <c r="J71" s="790"/>
      <c r="K71" s="791"/>
    </row>
    <row r="72" spans="1:11" ht="15.6">
      <c r="A72" s="840"/>
      <c r="B72" s="824"/>
      <c r="C72" s="822"/>
      <c r="D72" s="47" t="s">
        <v>59</v>
      </c>
      <c r="E72" s="80" t="s">
        <v>183</v>
      </c>
      <c r="F72" s="444" t="s">
        <v>187</v>
      </c>
      <c r="G72" s="47"/>
      <c r="H72" s="31">
        <f ca="1">SUMIF('2_DATA'!$M$9:$M$672,'3_TIME SUM'!F72,'2_DATA'!$N$9:$N$672)</f>
        <v>0</v>
      </c>
      <c r="I72" s="790"/>
      <c r="J72" s="790"/>
      <c r="K72" s="791"/>
    </row>
    <row r="73" spans="1:11" ht="15.6">
      <c r="A73" s="840"/>
      <c r="B73" s="432">
        <v>15</v>
      </c>
      <c r="C73" s="434" t="s">
        <v>188</v>
      </c>
      <c r="D73" s="446" t="s">
        <v>34</v>
      </c>
      <c r="E73" s="447" t="s">
        <v>566</v>
      </c>
      <c r="F73" s="448" t="s">
        <v>19</v>
      </c>
      <c r="G73" s="446"/>
      <c r="H73" s="449">
        <f ca="1">SUMIF('2_DATA'!$M$9:$M$672,'3_TIME SUM'!F73,'2_DATA'!$N$9:$N$672)</f>
        <v>1</v>
      </c>
      <c r="I73" s="794"/>
      <c r="J73" s="794"/>
      <c r="K73" s="795"/>
    </row>
    <row r="74" spans="1:11" ht="36.75" customHeight="1">
      <c r="A74" s="840"/>
      <c r="B74" s="435">
        <v>16</v>
      </c>
      <c r="C74" s="450" t="s">
        <v>480</v>
      </c>
      <c r="D74" s="18" t="s">
        <v>34</v>
      </c>
      <c r="E74" s="73" t="s">
        <v>189</v>
      </c>
      <c r="F74" s="19" t="s">
        <v>97</v>
      </c>
      <c r="G74" s="18"/>
      <c r="H74" s="451">
        <f ca="1">SUMIF('2_DATA'!$M$9:$M$672,'3_TIME SUM'!F74,'2_DATA'!$N$9:$N$672)</f>
        <v>0</v>
      </c>
      <c r="I74" s="817" t="s">
        <v>481</v>
      </c>
      <c r="J74" s="817"/>
      <c r="K74" s="818"/>
    </row>
    <row r="75" spans="1:11" ht="15.6">
      <c r="A75" s="840"/>
      <c r="B75" s="823">
        <v>17</v>
      </c>
      <c r="C75" s="821" t="s">
        <v>190</v>
      </c>
      <c r="D75" s="24" t="s">
        <v>34</v>
      </c>
      <c r="E75" s="78" t="s">
        <v>191</v>
      </c>
      <c r="F75" s="23" t="s">
        <v>72</v>
      </c>
      <c r="G75" s="24"/>
      <c r="H75" s="20">
        <f ca="1">SUMIF('2_DATA'!$M$9:$M$672,'3_TIME SUM'!F75,'2_DATA'!$N$9:$N$672)</f>
        <v>0</v>
      </c>
      <c r="I75" s="794" t="s">
        <v>482</v>
      </c>
      <c r="J75" s="794"/>
      <c r="K75" s="795"/>
    </row>
    <row r="76" spans="1:11" ht="15.6">
      <c r="A76" s="840"/>
      <c r="B76" s="799"/>
      <c r="C76" s="806"/>
      <c r="D76" s="18" t="s">
        <v>57</v>
      </c>
      <c r="E76" s="73" t="s">
        <v>193</v>
      </c>
      <c r="F76" s="19" t="s">
        <v>73</v>
      </c>
      <c r="G76" s="18"/>
      <c r="H76" s="20">
        <f ca="1">SUMIF('2_DATA'!$M$9:$M$672,'3_TIME SUM'!F76,'2_DATA'!$N$9:$N$672)</f>
        <v>0</v>
      </c>
      <c r="I76" s="790" t="s">
        <v>482</v>
      </c>
      <c r="J76" s="790"/>
      <c r="K76" s="791"/>
    </row>
    <row r="77" spans="1:11" ht="15.6">
      <c r="A77" s="840"/>
      <c r="B77" s="799"/>
      <c r="C77" s="806"/>
      <c r="D77" s="18" t="s">
        <v>58</v>
      </c>
      <c r="E77" s="73" t="s">
        <v>194</v>
      </c>
      <c r="F77" s="19" t="s">
        <v>192</v>
      </c>
      <c r="G77" s="18"/>
      <c r="H77" s="20">
        <f ca="1">SUMIF('2_DATA'!$M$9:$M$672,'3_TIME SUM'!F77,'2_DATA'!$N$9:$N$672)</f>
        <v>0</v>
      </c>
      <c r="I77" s="790" t="s">
        <v>483</v>
      </c>
      <c r="J77" s="790"/>
      <c r="K77" s="791"/>
    </row>
    <row r="78" spans="1:11" ht="15.6">
      <c r="A78" s="840"/>
      <c r="B78" s="823">
        <v>18</v>
      </c>
      <c r="C78" s="821" t="s">
        <v>68</v>
      </c>
      <c r="D78" s="24" t="s">
        <v>34</v>
      </c>
      <c r="E78" s="78" t="s">
        <v>484</v>
      </c>
      <c r="F78" s="23" t="s">
        <v>197</v>
      </c>
      <c r="G78" s="24"/>
      <c r="H78" s="37">
        <f ca="1">SUMIF('2_DATA'!$M$9:$M$672,'3_TIME SUM'!F78,'2_DATA'!$N$9:$N$672)</f>
        <v>18</v>
      </c>
      <c r="I78" s="794" t="s">
        <v>486</v>
      </c>
      <c r="J78" s="794"/>
      <c r="K78" s="795"/>
    </row>
    <row r="79" spans="1:11" ht="15.6">
      <c r="A79" s="840"/>
      <c r="B79" s="799"/>
      <c r="C79" s="806"/>
      <c r="D79" s="18" t="s">
        <v>57</v>
      </c>
      <c r="E79" s="443" t="s">
        <v>485</v>
      </c>
      <c r="F79" s="48" t="s">
        <v>198</v>
      </c>
      <c r="G79" s="18"/>
      <c r="H79" s="20">
        <f ca="1">SUMIF('2_DATA'!$M$9:$M$672,'3_TIME SUM'!F79,'2_DATA'!$N$9:$N$672)</f>
        <v>0</v>
      </c>
      <c r="I79" s="832" t="s">
        <v>487</v>
      </c>
      <c r="J79" s="832"/>
      <c r="K79" s="833"/>
    </row>
    <row r="80" spans="1:11" ht="15.6">
      <c r="A80" s="840"/>
      <c r="B80" s="435">
        <v>19</v>
      </c>
      <c r="C80" s="436" t="s">
        <v>195</v>
      </c>
      <c r="D80" s="24" t="s">
        <v>34</v>
      </c>
      <c r="E80" s="438" t="s">
        <v>567</v>
      </c>
      <c r="F80" s="452" t="s">
        <v>196</v>
      </c>
      <c r="G80" s="24" t="s">
        <v>53</v>
      </c>
      <c r="H80" s="37">
        <f ca="1">SUMIF('2_DATA'!$M$9:$M$672,'3_TIME SUM'!F80,'2_DATA'!$N$9:$N$672)</f>
        <v>0</v>
      </c>
      <c r="I80" s="794"/>
      <c r="J80" s="794"/>
      <c r="K80" s="795"/>
    </row>
    <row r="81" spans="1:11" ht="15">
      <c r="A81" s="840"/>
      <c r="B81" s="823">
        <v>20</v>
      </c>
      <c r="C81" s="821" t="s">
        <v>489</v>
      </c>
      <c r="D81" s="24" t="s">
        <v>34</v>
      </c>
      <c r="E81" s="78" t="s">
        <v>568</v>
      </c>
      <c r="F81" s="24" t="s">
        <v>69</v>
      </c>
      <c r="G81" s="24"/>
      <c r="H81" s="37">
        <f ca="1">SUMIF('2_DATA'!$M$9:$M$672,'3_TIME SUM'!F81,'2_DATA'!$N$9:$N$672)</f>
        <v>0</v>
      </c>
      <c r="I81" s="794"/>
      <c r="J81" s="794"/>
      <c r="K81" s="795"/>
    </row>
    <row r="82" spans="1:11" ht="15">
      <c r="A82" s="840"/>
      <c r="B82" s="799"/>
      <c r="C82" s="806"/>
      <c r="D82" s="18" t="s">
        <v>57</v>
      </c>
      <c r="E82" s="73" t="s">
        <v>488</v>
      </c>
      <c r="F82" s="18" t="s">
        <v>70</v>
      </c>
      <c r="G82" s="18"/>
      <c r="H82" s="20">
        <f ca="1">SUMIF('2_DATA'!$M$9:$M$672,'3_TIME SUM'!F82,'2_DATA'!$N$9:$N$672)</f>
        <v>0</v>
      </c>
      <c r="I82" s="790"/>
      <c r="J82" s="790"/>
      <c r="K82" s="791"/>
    </row>
    <row r="83" spans="1:11" ht="15">
      <c r="A83" s="840"/>
      <c r="B83" s="799"/>
      <c r="C83" s="806"/>
      <c r="D83" s="47"/>
      <c r="E83" s="80"/>
      <c r="F83" s="47"/>
      <c r="G83" s="47"/>
      <c r="H83" s="31">
        <f ca="1">SUMIF('2_DATA'!$M$9:$M$672,'3_TIME SUM'!F83,'2_DATA'!$N$9:$N$672)</f>
        <v>0</v>
      </c>
      <c r="I83" s="819"/>
      <c r="J83" s="819"/>
      <c r="K83" s="820"/>
    </row>
    <row r="84" spans="1:11" ht="15" customHeight="1">
      <c r="A84" s="840"/>
      <c r="B84" s="845">
        <v>21</v>
      </c>
      <c r="C84" s="842" t="s">
        <v>510</v>
      </c>
      <c r="D84" s="29" t="s">
        <v>34</v>
      </c>
      <c r="E84" s="76" t="s">
        <v>490</v>
      </c>
      <c r="F84" s="29" t="s">
        <v>40</v>
      </c>
      <c r="G84" s="29" t="s">
        <v>53</v>
      </c>
      <c r="H84" s="20">
        <f ca="1">SUMIF('2_DATA'!$M$9:$M$672,'3_TIME SUM'!F84,'2_DATA'!$N$9:$N$672)</f>
        <v>0</v>
      </c>
      <c r="I84" s="808"/>
      <c r="J84" s="808"/>
      <c r="K84" s="809"/>
    </row>
    <row r="85" spans="1:11" ht="15" customHeight="1">
      <c r="A85" s="840"/>
      <c r="B85" s="829"/>
      <c r="C85" s="843"/>
      <c r="D85" s="29" t="s">
        <v>57</v>
      </c>
      <c r="E85" s="76" t="s">
        <v>491</v>
      </c>
      <c r="F85" s="29" t="s">
        <v>3</v>
      </c>
      <c r="G85" s="29" t="s">
        <v>53</v>
      </c>
      <c r="H85" s="20">
        <f ca="1">SUMIF('2_DATA'!$M$9:$M$672,'3_TIME SUM'!F85,'2_DATA'!$N$9:$N$672)</f>
        <v>0</v>
      </c>
      <c r="I85" s="808"/>
      <c r="J85" s="808"/>
      <c r="K85" s="809"/>
    </row>
    <row r="86" spans="1:11" ht="15" customHeight="1">
      <c r="A86" s="840"/>
      <c r="B86" s="829"/>
      <c r="C86" s="843"/>
      <c r="D86" s="29" t="s">
        <v>58</v>
      </c>
      <c r="E86" s="76" t="s">
        <v>492</v>
      </c>
      <c r="F86" s="29" t="s">
        <v>4</v>
      </c>
      <c r="G86" s="29" t="s">
        <v>53</v>
      </c>
      <c r="H86" s="20">
        <f ca="1">SUMIF('2_DATA'!$M$9:$M$672,'3_TIME SUM'!F86,'2_DATA'!$N$9:$N$672)</f>
        <v>0</v>
      </c>
      <c r="I86" s="808"/>
      <c r="J86" s="808"/>
      <c r="K86" s="809"/>
    </row>
    <row r="87" spans="1:11" ht="15" customHeight="1">
      <c r="A87" s="840"/>
      <c r="B87" s="829"/>
      <c r="C87" s="843"/>
      <c r="D87" s="29" t="s">
        <v>59</v>
      </c>
      <c r="E87" s="76" t="s">
        <v>493</v>
      </c>
      <c r="F87" s="29" t="s">
        <v>74</v>
      </c>
      <c r="G87" s="29" t="s">
        <v>53</v>
      </c>
      <c r="H87" s="20">
        <f ca="1">SUMIF('2_DATA'!$M$9:$M$672,'3_TIME SUM'!F87,'2_DATA'!$N$9:$N$672)</f>
        <v>0</v>
      </c>
      <c r="I87" s="808"/>
      <c r="J87" s="808"/>
      <c r="K87" s="809"/>
    </row>
    <row r="88" spans="1:11" ht="15" customHeight="1">
      <c r="A88" s="840"/>
      <c r="B88" s="829"/>
      <c r="C88" s="843"/>
      <c r="D88" s="29" t="s">
        <v>2</v>
      </c>
      <c r="E88" s="76" t="s">
        <v>494</v>
      </c>
      <c r="F88" s="29" t="s">
        <v>5</v>
      </c>
      <c r="G88" s="29" t="s">
        <v>53</v>
      </c>
      <c r="H88" s="20">
        <f ca="1">SUMIF('2_DATA'!$M$9:$M$672,'3_TIME SUM'!F88,'2_DATA'!$N$9:$N$672)</f>
        <v>0</v>
      </c>
      <c r="I88" s="808"/>
      <c r="J88" s="808"/>
      <c r="K88" s="809"/>
    </row>
    <row r="89" spans="1:11" ht="15" customHeight="1">
      <c r="A89" s="840"/>
      <c r="B89" s="829"/>
      <c r="C89" s="843"/>
      <c r="D89" s="29" t="s">
        <v>6</v>
      </c>
      <c r="E89" s="76" t="s">
        <v>495</v>
      </c>
      <c r="F89" s="29" t="s">
        <v>7</v>
      </c>
      <c r="G89" s="29" t="s">
        <v>53</v>
      </c>
      <c r="H89" s="20">
        <f ca="1">SUMIF('2_DATA'!$M$9:$M$672,'3_TIME SUM'!F89,'2_DATA'!$N$9:$N$672)</f>
        <v>0</v>
      </c>
      <c r="I89" s="808"/>
      <c r="J89" s="808"/>
      <c r="K89" s="809"/>
    </row>
    <row r="90" spans="1:11" ht="15" customHeight="1">
      <c r="A90" s="840"/>
      <c r="B90" s="829"/>
      <c r="C90" s="843"/>
      <c r="D90" s="29" t="s">
        <v>8</v>
      </c>
      <c r="E90" s="76" t="s">
        <v>496</v>
      </c>
      <c r="F90" s="29" t="s">
        <v>9</v>
      </c>
      <c r="G90" s="29" t="s">
        <v>53</v>
      </c>
      <c r="H90" s="20">
        <f ca="1">SUMIF('2_DATA'!$M$9:$M$672,'3_TIME SUM'!F90,'2_DATA'!$N$9:$N$672)</f>
        <v>0</v>
      </c>
      <c r="I90" s="808"/>
      <c r="J90" s="808"/>
      <c r="K90" s="809"/>
    </row>
    <row r="91" spans="1:11" ht="15" customHeight="1">
      <c r="A91" s="840"/>
      <c r="B91" s="829"/>
      <c r="C91" s="843"/>
      <c r="D91" s="29" t="s">
        <v>10</v>
      </c>
      <c r="E91" s="76" t="s">
        <v>497</v>
      </c>
      <c r="F91" s="29" t="s">
        <v>11</v>
      </c>
      <c r="G91" s="29" t="s">
        <v>53</v>
      </c>
      <c r="H91" s="20">
        <f ca="1">SUMIF('2_DATA'!$M$9:$M$672,'3_TIME SUM'!F91,'2_DATA'!$N$9:$N$672)</f>
        <v>0</v>
      </c>
      <c r="I91" s="808"/>
      <c r="J91" s="808"/>
      <c r="K91" s="809"/>
    </row>
    <row r="92" spans="1:11" ht="15" customHeight="1">
      <c r="A92" s="840"/>
      <c r="B92" s="829"/>
      <c r="C92" s="843"/>
      <c r="D92" s="29" t="s">
        <v>99</v>
      </c>
      <c r="E92" s="76" t="s">
        <v>498</v>
      </c>
      <c r="F92" s="29" t="s">
        <v>100</v>
      </c>
      <c r="G92" s="29" t="s">
        <v>53</v>
      </c>
      <c r="H92" s="20">
        <f ca="1">SUMIF('2_DATA'!$M$9:$M$672,'3_TIME SUM'!F92,'2_DATA'!$N$9:$N$672)</f>
        <v>0</v>
      </c>
      <c r="I92" s="808"/>
      <c r="J92" s="808"/>
      <c r="K92" s="809"/>
    </row>
    <row r="93" spans="1:11" ht="15" customHeight="1">
      <c r="A93" s="840"/>
      <c r="B93" s="829"/>
      <c r="C93" s="843"/>
      <c r="D93" s="29" t="s">
        <v>118</v>
      </c>
      <c r="E93" s="76" t="s">
        <v>499</v>
      </c>
      <c r="F93" s="29" t="s">
        <v>199</v>
      </c>
      <c r="G93" s="29" t="s">
        <v>53</v>
      </c>
      <c r="H93" s="20">
        <f ca="1">SUMIF('2_DATA'!$M$9:$M$672,'3_TIME SUM'!F93,'2_DATA'!$N$9:$N$672)</f>
        <v>0</v>
      </c>
      <c r="I93" s="808"/>
      <c r="J93" s="808"/>
      <c r="K93" s="809"/>
    </row>
    <row r="94" spans="1:11" ht="15" customHeight="1">
      <c r="A94" s="840"/>
      <c r="B94" s="829"/>
      <c r="C94" s="843"/>
      <c r="D94" s="29" t="s">
        <v>119</v>
      </c>
      <c r="E94" s="76" t="s">
        <v>500</v>
      </c>
      <c r="F94" s="29" t="s">
        <v>200</v>
      </c>
      <c r="G94" s="29" t="s">
        <v>53</v>
      </c>
      <c r="H94" s="20">
        <f ca="1">SUMIF('2_DATA'!$M$9:$M$672,'3_TIME SUM'!F94,'2_DATA'!$N$9:$N$672)</f>
        <v>0</v>
      </c>
      <c r="I94" s="808"/>
      <c r="J94" s="808"/>
      <c r="K94" s="809"/>
    </row>
    <row r="95" spans="1:11" ht="15" customHeight="1">
      <c r="A95" s="840"/>
      <c r="B95" s="829"/>
      <c r="C95" s="843"/>
      <c r="D95" s="29" t="s">
        <v>159</v>
      </c>
      <c r="E95" s="76" t="s">
        <v>501</v>
      </c>
      <c r="F95" s="29" t="s">
        <v>201</v>
      </c>
      <c r="G95" s="29" t="s">
        <v>53</v>
      </c>
      <c r="H95" s="20">
        <f ca="1">SUMIF('2_DATA'!$M$9:$M$672,'3_TIME SUM'!F95,'2_DATA'!$N$9:$N$672)</f>
        <v>0</v>
      </c>
      <c r="I95" s="808"/>
      <c r="J95" s="808"/>
      <c r="K95" s="809"/>
    </row>
    <row r="96" spans="1:11" ht="15" customHeight="1">
      <c r="A96" s="840"/>
      <c r="B96" s="829"/>
      <c r="C96" s="843"/>
      <c r="D96" s="29" t="s">
        <v>18</v>
      </c>
      <c r="E96" s="76" t="s">
        <v>502</v>
      </c>
      <c r="F96" s="29" t="s">
        <v>202</v>
      </c>
      <c r="G96" s="29" t="s">
        <v>53</v>
      </c>
      <c r="H96" s="20">
        <f ca="1">SUMIF('2_DATA'!$M$9:$M$672,'3_TIME SUM'!F96,'2_DATA'!$N$9:$N$672)</f>
        <v>0</v>
      </c>
      <c r="I96" s="808"/>
      <c r="J96" s="808"/>
      <c r="K96" s="809"/>
    </row>
    <row r="97" spans="1:11" ht="15" customHeight="1">
      <c r="A97" s="840"/>
      <c r="B97" s="829"/>
      <c r="C97" s="843"/>
      <c r="D97" s="29" t="s">
        <v>160</v>
      </c>
      <c r="E97" s="76" t="s">
        <v>503</v>
      </c>
      <c r="F97" s="29" t="s">
        <v>203</v>
      </c>
      <c r="G97" s="29" t="s">
        <v>53</v>
      </c>
      <c r="H97" s="20">
        <f ca="1">SUMIF('2_DATA'!$M$9:$M$672,'3_TIME SUM'!F97,'2_DATA'!$N$9:$N$672)</f>
        <v>0</v>
      </c>
      <c r="I97" s="808"/>
      <c r="J97" s="808"/>
      <c r="K97" s="809"/>
    </row>
    <row r="98" spans="1:11" ht="15" customHeight="1">
      <c r="A98" s="840"/>
      <c r="B98" s="829"/>
      <c r="C98" s="843"/>
      <c r="D98" s="29" t="s">
        <v>161</v>
      </c>
      <c r="E98" s="76" t="s">
        <v>504</v>
      </c>
      <c r="F98" s="29" t="s">
        <v>204</v>
      </c>
      <c r="G98" s="29" t="s">
        <v>53</v>
      </c>
      <c r="H98" s="20">
        <f ca="1">SUMIF('2_DATA'!$M$9:$M$672,'3_TIME SUM'!F98,'2_DATA'!$N$9:$N$672)</f>
        <v>0</v>
      </c>
      <c r="I98" s="808"/>
      <c r="J98" s="808"/>
      <c r="K98" s="809"/>
    </row>
    <row r="99" spans="1:11" ht="15" customHeight="1">
      <c r="A99" s="840"/>
      <c r="B99" s="829"/>
      <c r="C99" s="843"/>
      <c r="D99" s="29" t="s">
        <v>162</v>
      </c>
      <c r="E99" s="76" t="s">
        <v>505</v>
      </c>
      <c r="F99" s="29" t="s">
        <v>205</v>
      </c>
      <c r="G99" s="29" t="s">
        <v>53</v>
      </c>
      <c r="H99" s="20">
        <f ca="1">SUMIF('2_DATA'!$M$9:$M$672,'3_TIME SUM'!F99,'2_DATA'!$N$9:$N$672)</f>
        <v>0</v>
      </c>
      <c r="I99" s="808"/>
      <c r="J99" s="808"/>
      <c r="K99" s="809"/>
    </row>
    <row r="100" spans="1:11" ht="15" customHeight="1">
      <c r="A100" s="840"/>
      <c r="B100" s="829"/>
      <c r="C100" s="843"/>
      <c r="D100" s="29" t="s">
        <v>163</v>
      </c>
      <c r="E100" s="76" t="s">
        <v>506</v>
      </c>
      <c r="F100" s="29" t="s">
        <v>206</v>
      </c>
      <c r="G100" s="29" t="s">
        <v>53</v>
      </c>
      <c r="H100" s="20">
        <f ca="1">SUMIF('2_DATA'!$M$9:$M$672,'3_TIME SUM'!F100,'2_DATA'!$N$9:$N$672)</f>
        <v>0</v>
      </c>
      <c r="I100" s="808"/>
      <c r="J100" s="808"/>
      <c r="K100" s="809"/>
    </row>
    <row r="101" spans="1:11" ht="15" customHeight="1">
      <c r="A101" s="840"/>
      <c r="B101" s="829"/>
      <c r="C101" s="843"/>
      <c r="D101" s="29" t="s">
        <v>164</v>
      </c>
      <c r="E101" s="76" t="s">
        <v>507</v>
      </c>
      <c r="F101" s="29" t="s">
        <v>207</v>
      </c>
      <c r="G101" s="29" t="s">
        <v>53</v>
      </c>
      <c r="H101" s="20">
        <f ca="1">SUMIF('2_DATA'!$M$9:$M$672,'3_TIME SUM'!F101,'2_DATA'!$N$9:$N$672)</f>
        <v>0</v>
      </c>
      <c r="I101" s="808"/>
      <c r="J101" s="808"/>
      <c r="K101" s="809"/>
    </row>
    <row r="102" spans="1:11" ht="15" customHeight="1">
      <c r="A102" s="840"/>
      <c r="B102" s="829"/>
      <c r="C102" s="843"/>
      <c r="D102" s="29" t="s">
        <v>165</v>
      </c>
      <c r="E102" s="76" t="s">
        <v>508</v>
      </c>
      <c r="F102" s="29" t="s">
        <v>208</v>
      </c>
      <c r="G102" s="29" t="s">
        <v>53</v>
      </c>
      <c r="H102" s="20">
        <f ca="1">SUMIF('2_DATA'!$M$9:$M$672,'3_TIME SUM'!F102,'2_DATA'!$N$9:$N$672)</f>
        <v>0</v>
      </c>
      <c r="I102" s="808"/>
      <c r="J102" s="808"/>
      <c r="K102" s="809"/>
    </row>
    <row r="103" spans="1:11" ht="15" customHeight="1">
      <c r="A103" s="840"/>
      <c r="B103" s="846"/>
      <c r="C103" s="844"/>
      <c r="D103" s="30" t="s">
        <v>166</v>
      </c>
      <c r="E103" s="77" t="s">
        <v>509</v>
      </c>
      <c r="F103" s="30" t="s">
        <v>209</v>
      </c>
      <c r="G103" s="30" t="s">
        <v>53</v>
      </c>
      <c r="H103" s="20">
        <f ca="1">SUMIF('2_DATA'!$M$9:$M$672,'3_TIME SUM'!F103,'2_DATA'!$N$9:$N$672)</f>
        <v>0</v>
      </c>
      <c r="I103" s="815"/>
      <c r="J103" s="815"/>
      <c r="K103" s="816"/>
    </row>
    <row r="104" spans="1:11" ht="16.5" customHeight="1">
      <c r="A104" s="840"/>
      <c r="B104" s="823">
        <v>22</v>
      </c>
      <c r="C104" s="853" t="s">
        <v>511</v>
      </c>
      <c r="D104" s="453" t="s">
        <v>34</v>
      </c>
      <c r="E104" s="456" t="s">
        <v>512</v>
      </c>
      <c r="F104" s="452" t="s">
        <v>518</v>
      </c>
      <c r="G104" s="29" t="s">
        <v>53</v>
      </c>
      <c r="H104" s="37">
        <f ca="1">SUMIF('2_DATA'!$M$9:$M$672,'3_TIME SUM'!F104,'2_DATA'!$N$9:$N$672)</f>
        <v>0</v>
      </c>
      <c r="I104" s="794"/>
      <c r="J104" s="794"/>
      <c r="K104" s="795"/>
    </row>
    <row r="105" spans="1:11" ht="16.5" customHeight="1">
      <c r="A105" s="840"/>
      <c r="B105" s="799"/>
      <c r="C105" s="854"/>
      <c r="D105" s="454" t="s">
        <v>57</v>
      </c>
      <c r="E105" s="438" t="s">
        <v>513</v>
      </c>
      <c r="F105" s="48" t="s">
        <v>519</v>
      </c>
      <c r="G105" s="29" t="s">
        <v>53</v>
      </c>
      <c r="H105" s="20">
        <f ca="1">SUMIF('2_DATA'!$M$9:$M$672,'3_TIME SUM'!F105,'2_DATA'!$N$9:$N$672)</f>
        <v>0</v>
      </c>
      <c r="I105" s="790"/>
      <c r="J105" s="790"/>
      <c r="K105" s="791"/>
    </row>
    <row r="106" spans="1:11" ht="16.5" customHeight="1">
      <c r="A106" s="840"/>
      <c r="B106" s="799"/>
      <c r="C106" s="854"/>
      <c r="D106" s="454" t="s">
        <v>58</v>
      </c>
      <c r="E106" s="438" t="s">
        <v>514</v>
      </c>
      <c r="F106" s="48" t="s">
        <v>520</v>
      </c>
      <c r="G106" s="29" t="s">
        <v>53</v>
      </c>
      <c r="H106" s="20">
        <f ca="1">SUMIF('2_DATA'!$M$9:$M$672,'3_TIME SUM'!F106,'2_DATA'!$N$9:$N$672)</f>
        <v>0</v>
      </c>
      <c r="I106" s="790"/>
      <c r="J106" s="790"/>
      <c r="K106" s="791"/>
    </row>
    <row r="107" spans="1:11" ht="16.5" customHeight="1">
      <c r="A107" s="840"/>
      <c r="B107" s="799"/>
      <c r="C107" s="854"/>
      <c r="D107" s="454" t="s">
        <v>59</v>
      </c>
      <c r="E107" s="438" t="s">
        <v>515</v>
      </c>
      <c r="F107" s="48" t="s">
        <v>521</v>
      </c>
      <c r="G107" s="29" t="s">
        <v>53</v>
      </c>
      <c r="H107" s="20">
        <f ca="1">SUMIF('2_DATA'!$M$9:$M$672,'3_TIME SUM'!F107,'2_DATA'!$N$9:$N$672)</f>
        <v>0</v>
      </c>
      <c r="I107" s="790"/>
      <c r="J107" s="790"/>
      <c r="K107" s="791"/>
    </row>
    <row r="108" spans="1:11" ht="16.5" customHeight="1">
      <c r="A108" s="840"/>
      <c r="B108" s="799"/>
      <c r="C108" s="854"/>
      <c r="D108" s="454" t="s">
        <v>2</v>
      </c>
      <c r="E108" s="438" t="s">
        <v>516</v>
      </c>
      <c r="F108" s="48" t="s">
        <v>522</v>
      </c>
      <c r="G108" s="29" t="s">
        <v>53</v>
      </c>
      <c r="H108" s="20">
        <f ca="1">SUMIF('2_DATA'!$M$9:$M$672,'3_TIME SUM'!F108,'2_DATA'!$N$9:$N$672)</f>
        <v>0</v>
      </c>
      <c r="I108" s="790"/>
      <c r="J108" s="790"/>
      <c r="K108" s="791"/>
    </row>
    <row r="109" spans="1:11" ht="16.5" customHeight="1">
      <c r="A109" s="840"/>
      <c r="B109" s="799"/>
      <c r="C109" s="854"/>
      <c r="D109" s="454" t="s">
        <v>6</v>
      </c>
      <c r="E109" s="438" t="s">
        <v>517</v>
      </c>
      <c r="F109" s="48" t="s">
        <v>523</v>
      </c>
      <c r="G109" s="29" t="s">
        <v>53</v>
      </c>
      <c r="H109" s="20">
        <f ca="1">SUMIF('2_DATA'!$M$9:$M$672,'3_TIME SUM'!F109,'2_DATA'!$N$9:$N$672)</f>
        <v>0</v>
      </c>
      <c r="I109" s="790"/>
      <c r="J109" s="790"/>
      <c r="K109" s="791"/>
    </row>
    <row r="110" spans="1:11" ht="16.5" customHeight="1">
      <c r="A110" s="840"/>
      <c r="B110" s="800"/>
      <c r="C110" s="855"/>
      <c r="D110" s="455" t="s">
        <v>8</v>
      </c>
      <c r="E110" s="439" t="s">
        <v>211</v>
      </c>
      <c r="F110" s="440" t="s">
        <v>524</v>
      </c>
      <c r="G110" s="29" t="s">
        <v>53</v>
      </c>
      <c r="H110" s="46">
        <f ca="1">SUMIF('2_DATA'!$M$9:$M$672,'3_TIME SUM'!F110,'2_DATA'!$N$9:$N$672)</f>
        <v>0</v>
      </c>
      <c r="I110" s="803"/>
      <c r="J110" s="803"/>
      <c r="K110" s="804"/>
    </row>
    <row r="111" spans="1:11" ht="20.25" customHeight="1">
      <c r="A111" s="840"/>
      <c r="B111" s="823">
        <v>23</v>
      </c>
      <c r="C111" s="856" t="s">
        <v>528</v>
      </c>
      <c r="D111" s="24" t="s">
        <v>34</v>
      </c>
      <c r="E111" s="45" t="s">
        <v>210</v>
      </c>
      <c r="F111" s="23" t="s">
        <v>529</v>
      </c>
      <c r="G111" s="24"/>
      <c r="H111" s="37">
        <f ca="1">SUMIF('2_DATA'!$M$9:$M$672,'3_TIME SUM'!F111,'2_DATA'!$N$9:$N$672)</f>
        <v>5</v>
      </c>
      <c r="I111" s="794"/>
      <c r="J111" s="794"/>
      <c r="K111" s="795"/>
    </row>
    <row r="112" spans="1:11" ht="20.25" customHeight="1">
      <c r="A112" s="840"/>
      <c r="B112" s="799"/>
      <c r="C112" s="857"/>
      <c r="D112" s="18" t="s">
        <v>57</v>
      </c>
      <c r="E112" s="36" t="s">
        <v>525</v>
      </c>
      <c r="F112" s="19" t="s">
        <v>530</v>
      </c>
      <c r="G112" s="18"/>
      <c r="H112" s="20">
        <f ca="1">SUMIF('2_DATA'!$M$9:$M$672,'3_TIME SUM'!F112,'2_DATA'!$N$9:$N$672)</f>
        <v>0</v>
      </c>
      <c r="I112" s="790" t="s">
        <v>527</v>
      </c>
      <c r="J112" s="790"/>
      <c r="K112" s="791"/>
    </row>
    <row r="113" spans="1:13" ht="20.25" customHeight="1">
      <c r="A113" s="841"/>
      <c r="B113" s="824"/>
      <c r="C113" s="858"/>
      <c r="D113" s="18" t="s">
        <v>58</v>
      </c>
      <c r="E113" s="36" t="s">
        <v>526</v>
      </c>
      <c r="F113" s="19" t="s">
        <v>531</v>
      </c>
      <c r="G113" s="18"/>
      <c r="H113" s="20">
        <f ca="1">SUMIF('2_DATA'!$M$9:$M$672,'3_TIME SUM'!F113,'2_DATA'!$N$9:$N$672)</f>
        <v>0</v>
      </c>
      <c r="I113" s="790"/>
      <c r="J113" s="790"/>
      <c r="K113" s="791"/>
    </row>
    <row r="114" spans="1:13" ht="25.5" customHeight="1">
      <c r="A114" s="847" t="s">
        <v>223</v>
      </c>
      <c r="B114" s="431">
        <v>24</v>
      </c>
      <c r="C114" s="433" t="s">
        <v>12</v>
      </c>
      <c r="D114" s="51" t="s">
        <v>34</v>
      </c>
      <c r="E114" s="49" t="s">
        <v>532</v>
      </c>
      <c r="F114" s="50" t="s">
        <v>533</v>
      </c>
      <c r="G114" s="51"/>
      <c r="H114" s="32">
        <f ca="1">SUMIF('2_DATA'!$M$9:$M$672,'3_TIME SUM'!F114,'2_DATA'!$N$9:$N$672)</f>
        <v>0</v>
      </c>
      <c r="I114" s="837" t="s">
        <v>534</v>
      </c>
      <c r="J114" s="837"/>
      <c r="K114" s="838"/>
    </row>
    <row r="115" spans="1:13" ht="18" customHeight="1">
      <c r="A115" s="848"/>
      <c r="B115" s="849">
        <v>25</v>
      </c>
      <c r="C115" s="850" t="s">
        <v>539</v>
      </c>
      <c r="D115" s="51" t="s">
        <v>34</v>
      </c>
      <c r="E115" s="49" t="s">
        <v>535</v>
      </c>
      <c r="F115" s="50" t="s">
        <v>537</v>
      </c>
      <c r="G115" s="51"/>
      <c r="H115" s="32">
        <f ca="1">SUMIF('2_DATA'!$M$9:$M$672,'3_TIME SUM'!F115,'2_DATA'!$N$9:$N$672)</f>
        <v>0</v>
      </c>
      <c r="I115" s="837"/>
      <c r="J115" s="837"/>
      <c r="K115" s="838"/>
    </row>
    <row r="116" spans="1:13" ht="18" customHeight="1">
      <c r="A116" s="848"/>
      <c r="B116" s="799"/>
      <c r="C116" s="806"/>
      <c r="D116" s="18" t="s">
        <v>57</v>
      </c>
      <c r="E116" s="36" t="s">
        <v>536</v>
      </c>
      <c r="F116" s="19" t="s">
        <v>538</v>
      </c>
      <c r="G116" s="18"/>
      <c r="H116" s="20">
        <f ca="1">SUMIF('2_DATA'!$M$9:$M$672,'3_TIME SUM'!F116,'2_DATA'!$N$9:$N$672)</f>
        <v>0</v>
      </c>
      <c r="I116" s="790"/>
      <c r="J116" s="790"/>
      <c r="K116" s="791"/>
    </row>
    <row r="117" spans="1:13" ht="18" customHeight="1">
      <c r="A117" s="848"/>
      <c r="B117" s="849">
        <v>26</v>
      </c>
      <c r="C117" s="850" t="s">
        <v>33</v>
      </c>
      <c r="D117" s="51" t="s">
        <v>34</v>
      </c>
      <c r="E117" s="49" t="s">
        <v>540</v>
      </c>
      <c r="F117" s="50" t="s">
        <v>554</v>
      </c>
      <c r="G117" s="51"/>
      <c r="H117" s="32">
        <f ca="1">SUMIF('2_DATA'!$M$9:$M$672,'3_TIME SUM'!F117,'2_DATA'!$N$9:$N$672)</f>
        <v>24</v>
      </c>
      <c r="I117" s="837"/>
      <c r="J117" s="837"/>
      <c r="K117" s="838"/>
    </row>
    <row r="118" spans="1:13" ht="18.75" customHeight="1">
      <c r="A118" s="848"/>
      <c r="B118" s="799"/>
      <c r="C118" s="806"/>
      <c r="D118" s="18" t="s">
        <v>57</v>
      </c>
      <c r="E118" s="36" t="s">
        <v>215</v>
      </c>
      <c r="F118" s="19" t="s">
        <v>553</v>
      </c>
      <c r="G118" s="18"/>
      <c r="H118" s="20">
        <f ca="1">SUMIF('2_DATA'!$M$9:$M$672,'3_TIME SUM'!F118,'2_DATA'!$N$9:$N$672)</f>
        <v>54</v>
      </c>
      <c r="I118" s="790" t="s">
        <v>542</v>
      </c>
      <c r="J118" s="790"/>
      <c r="K118" s="791"/>
    </row>
    <row r="119" spans="1:13" ht="15" customHeight="1">
      <c r="A119" s="848"/>
      <c r="B119" s="799"/>
      <c r="C119" s="806"/>
      <c r="D119" s="18" t="s">
        <v>58</v>
      </c>
      <c r="E119" s="457" t="s">
        <v>541</v>
      </c>
      <c r="F119" s="444" t="s">
        <v>555</v>
      </c>
      <c r="G119" s="47"/>
      <c r="H119" s="31">
        <f ca="1">SUMIF('2_DATA'!$M$9:$M$672,'3_TIME SUM'!F119,'2_DATA'!$N$9:$N$672)</f>
        <v>20</v>
      </c>
      <c r="I119" s="819"/>
      <c r="J119" s="819"/>
      <c r="K119" s="820"/>
    </row>
    <row r="120" spans="1:13" ht="18" customHeight="1">
      <c r="A120" s="848"/>
      <c r="B120" s="431">
        <v>27</v>
      </c>
      <c r="C120" s="433" t="s">
        <v>543</v>
      </c>
      <c r="D120" s="51" t="s">
        <v>34</v>
      </c>
      <c r="E120" s="36" t="s">
        <v>544</v>
      </c>
      <c r="F120" s="19" t="s">
        <v>545</v>
      </c>
      <c r="G120" s="18"/>
      <c r="H120" s="20">
        <f ca="1">SUMIF('2_DATA'!$M$9:$M$672,'3_TIME SUM'!F120,'2_DATA'!$N$9:$N$672)</f>
        <v>11.5</v>
      </c>
      <c r="I120" s="790"/>
      <c r="J120" s="790"/>
      <c r="K120" s="791"/>
    </row>
    <row r="121" spans="1:13" ht="18" customHeight="1">
      <c r="A121" s="848"/>
      <c r="B121" s="458">
        <v>28</v>
      </c>
      <c r="C121" s="459" t="s">
        <v>222</v>
      </c>
      <c r="D121" s="462" t="s">
        <v>34</v>
      </c>
      <c r="E121" s="460" t="s">
        <v>569</v>
      </c>
      <c r="F121" s="461" t="s">
        <v>546</v>
      </c>
      <c r="G121" s="462"/>
      <c r="H121" s="463">
        <f ca="1">SUMIF('2_DATA'!$M$9:$M$672,'3_TIME SUM'!F121,'2_DATA'!$N$9:$N$672)</f>
        <v>0</v>
      </c>
      <c r="I121" s="851"/>
      <c r="J121" s="851"/>
      <c r="K121" s="852"/>
    </row>
    <row r="122" spans="1:13" ht="18" customHeight="1">
      <c r="A122" s="848"/>
      <c r="B122" s="432">
        <v>29</v>
      </c>
      <c r="C122" s="434" t="s">
        <v>258</v>
      </c>
      <c r="D122" s="18" t="s">
        <v>34</v>
      </c>
      <c r="E122" s="36" t="s">
        <v>547</v>
      </c>
      <c r="F122" s="19" t="s">
        <v>548</v>
      </c>
      <c r="G122" s="18"/>
      <c r="H122" s="20">
        <f ca="1">SUMIF('2_DATA'!$M$9:$M$672,'3_TIME SUM'!F122,'2_DATA'!$N$9:$N$672)</f>
        <v>35</v>
      </c>
      <c r="I122" s="790"/>
      <c r="J122" s="790"/>
      <c r="K122" s="791"/>
    </row>
    <row r="123" spans="1:13" ht="18.75" customHeight="1">
      <c r="A123" s="848"/>
      <c r="B123" s="849">
        <v>30</v>
      </c>
      <c r="C123" s="850" t="s">
        <v>549</v>
      </c>
      <c r="D123" s="51" t="s">
        <v>34</v>
      </c>
      <c r="E123" s="49" t="s">
        <v>550</v>
      </c>
      <c r="F123" s="50" t="s">
        <v>552</v>
      </c>
      <c r="G123" s="51"/>
      <c r="H123" s="32">
        <f ca="1">SUMIF('2_DATA'!$M$9:$M$672,'3_TIME SUM'!F123,'2_DATA'!$N$9:$N$672)</f>
        <v>0</v>
      </c>
      <c r="I123" s="837"/>
      <c r="J123" s="837"/>
      <c r="K123" s="838"/>
    </row>
    <row r="124" spans="1:13" ht="16.5" customHeight="1" thickBot="1">
      <c r="A124" s="848"/>
      <c r="B124" s="799"/>
      <c r="C124" s="806"/>
      <c r="D124" s="18" t="s">
        <v>57</v>
      </c>
      <c r="E124" s="36" t="s">
        <v>551</v>
      </c>
      <c r="F124" s="19" t="s">
        <v>570</v>
      </c>
      <c r="G124" s="18" t="s">
        <v>53</v>
      </c>
      <c r="H124" s="20">
        <f ca="1">SUMIF('2_DATA'!$M$9:$M$672,'3_TIME SUM'!F124,'2_DATA'!$N$9:$N$672)</f>
        <v>0</v>
      </c>
      <c r="I124" s="790"/>
      <c r="J124" s="790"/>
      <c r="K124" s="791"/>
    </row>
    <row r="125" spans="1:13" s="9" customFormat="1" ht="20.25" customHeight="1" thickTop="1" thickBot="1">
      <c r="A125" s="836" t="s">
        <v>14</v>
      </c>
      <c r="B125" s="836"/>
      <c r="C125" s="836"/>
      <c r="D125" s="836"/>
      <c r="E125" s="836"/>
      <c r="F125" s="836"/>
      <c r="G125" s="836"/>
      <c r="H125" s="38">
        <f ca="1">SUM(H7:H124)</f>
        <v>551</v>
      </c>
      <c r="I125" s="835"/>
      <c r="J125" s="835"/>
      <c r="K125" s="835"/>
      <c r="M125"/>
    </row>
    <row r="126" spans="1:13" s="9" customFormat="1" ht="42.75" customHeight="1" thickTop="1" thickBot="1">
      <c r="A126" s="834" t="str">
        <f ca="1">IF(H126=0,"note ALERT : N/A","note : KUMULATIF WAKTU ADA YG BEDA, COBA SESUAIKAN KOLOM ''CODE IADC'' &amp; KOLOM ''HOURS'' PADA INPUT AGAR SESUAI DNG TABEL IADC")</f>
        <v>note ALERT : N/A</v>
      </c>
      <c r="B126" s="834"/>
      <c r="C126" s="834"/>
      <c r="D126" s="834"/>
      <c r="E126" s="834"/>
      <c r="F126" s="834"/>
      <c r="G126" s="834"/>
      <c r="H126" s="39">
        <f ca="1">$H$125-MAX(INDIRECT(ADDRESS(10,20,1,1,"2_DATA")):INDIRECT(ADDRESS(1000,20,1,1,"2_DATA")))*24</f>
        <v>0</v>
      </c>
      <c r="I126" s="835"/>
      <c r="J126" s="835"/>
      <c r="K126" s="835"/>
      <c r="M126"/>
    </row>
    <row r="127" spans="1:13" s="9" customFormat="1" ht="20.25" customHeight="1" thickTop="1">
      <c r="A127" s="11" t="s">
        <v>15</v>
      </c>
      <c r="B127" s="11"/>
      <c r="C127" s="3"/>
      <c r="D127" s="11"/>
      <c r="E127" s="11"/>
      <c r="F127" s="13"/>
      <c r="G127" s="2"/>
      <c r="H127" s="12"/>
      <c r="I127" s="11"/>
      <c r="J127" s="11"/>
      <c r="K127" s="11"/>
    </row>
    <row r="128" spans="1:13" s="9" customFormat="1" ht="20.25" customHeight="1">
      <c r="A128" s="2"/>
      <c r="B128" s="2"/>
      <c r="C128" s="3"/>
      <c r="D128" s="11"/>
      <c r="E128" s="11"/>
      <c r="F128" s="13"/>
      <c r="G128" s="2"/>
      <c r="H128" s="12"/>
      <c r="I128" s="11"/>
      <c r="J128" s="11"/>
      <c r="K128" s="11"/>
    </row>
    <row r="129" spans="7:9" s="9" customFormat="1" ht="18" customHeight="1">
      <c r="G129" s="4"/>
      <c r="H129" s="15"/>
      <c r="I129" s="15"/>
    </row>
    <row r="130" spans="7:9" s="9" customFormat="1" ht="18" customHeight="1">
      <c r="G130" s="4"/>
      <c r="H130" s="15"/>
      <c r="I130" s="16"/>
    </row>
    <row r="131" spans="7:9" s="9" customFormat="1" ht="18" customHeight="1">
      <c r="G131" s="4"/>
      <c r="H131" s="15"/>
      <c r="I131" s="16"/>
    </row>
    <row r="132" spans="7:9" s="9" customFormat="1" ht="18" customHeight="1">
      <c r="G132" s="4"/>
      <c r="H132" s="15"/>
      <c r="I132" s="16"/>
    </row>
    <row r="133" spans="7:9" s="9" customFormat="1" ht="18" customHeight="1">
      <c r="G133" s="4"/>
      <c r="H133" s="15"/>
      <c r="I133" s="16"/>
    </row>
    <row r="134" spans="7:9" s="9" customFormat="1" ht="18" customHeight="1">
      <c r="G134" s="4"/>
      <c r="H134" s="15"/>
      <c r="I134" s="16"/>
    </row>
    <row r="135" spans="7:9" s="9" customFormat="1" ht="18" customHeight="1">
      <c r="G135" s="4"/>
      <c r="H135" s="15"/>
      <c r="I135" s="16"/>
    </row>
    <row r="136" spans="7:9" s="9" customFormat="1" ht="18" customHeight="1">
      <c r="G136" s="4"/>
      <c r="H136" s="15"/>
      <c r="I136" s="16"/>
    </row>
    <row r="137" spans="7:9" ht="18" customHeight="1"/>
  </sheetData>
  <autoFilter ref="A3:K128" xr:uid="{00000000-0009-0000-0000-000004000000}">
    <filterColumn colId="6">
      <customFilters>
        <customFilter operator="notEqual" val=" "/>
      </customFilters>
    </filterColumn>
  </autoFilter>
  <mergeCells count="172">
    <mergeCell ref="C104:C110"/>
    <mergeCell ref="B104:B110"/>
    <mergeCell ref="I111:K111"/>
    <mergeCell ref="I112:K112"/>
    <mergeCell ref="C111:C113"/>
    <mergeCell ref="B111:B113"/>
    <mergeCell ref="I24:K24"/>
    <mergeCell ref="I26:K26"/>
    <mergeCell ref="I25:K25"/>
    <mergeCell ref="I110:K110"/>
    <mergeCell ref="I109:K109"/>
    <mergeCell ref="I108:K108"/>
    <mergeCell ref="I107:K107"/>
    <mergeCell ref="I106:K106"/>
    <mergeCell ref="I105:K105"/>
    <mergeCell ref="B78:B79"/>
    <mergeCell ref="B75:B77"/>
    <mergeCell ref="B69:B72"/>
    <mergeCell ref="B81:B83"/>
    <mergeCell ref="I98:K98"/>
    <mergeCell ref="I99:K99"/>
    <mergeCell ref="I100:K100"/>
    <mergeCell ref="I101:K101"/>
    <mergeCell ref="I102:K102"/>
    <mergeCell ref="A114:A124"/>
    <mergeCell ref="B123:B124"/>
    <mergeCell ref="I124:K124"/>
    <mergeCell ref="I122:K122"/>
    <mergeCell ref="C123:C124"/>
    <mergeCell ref="I123:K123"/>
    <mergeCell ref="I121:K121"/>
    <mergeCell ref="I120:K120"/>
    <mergeCell ref="B115:B116"/>
    <mergeCell ref="C115:C116"/>
    <mergeCell ref="B117:B119"/>
    <mergeCell ref="C117:C119"/>
    <mergeCell ref="I119:K119"/>
    <mergeCell ref="I115:K115"/>
    <mergeCell ref="I116:K116"/>
    <mergeCell ref="I117:K117"/>
    <mergeCell ref="I118:K118"/>
    <mergeCell ref="C78:C79"/>
    <mergeCell ref="I93:K93"/>
    <mergeCell ref="C84:C103"/>
    <mergeCell ref="B84:B103"/>
    <mergeCell ref="C49:C55"/>
    <mergeCell ref="B49:B55"/>
    <mergeCell ref="I51:K51"/>
    <mergeCell ref="I61:K61"/>
    <mergeCell ref="I60:K60"/>
    <mergeCell ref="C62:C67"/>
    <mergeCell ref="B62:B67"/>
    <mergeCell ref="I89:K89"/>
    <mergeCell ref="I90:K90"/>
    <mergeCell ref="I92:K92"/>
    <mergeCell ref="I91:K91"/>
    <mergeCell ref="I68:K68"/>
    <mergeCell ref="I67:K67"/>
    <mergeCell ref="C39:C46"/>
    <mergeCell ref="I48:K48"/>
    <mergeCell ref="C47:C48"/>
    <mergeCell ref="B47:B48"/>
    <mergeCell ref="I64:K64"/>
    <mergeCell ref="I65:K65"/>
    <mergeCell ref="I66:K66"/>
    <mergeCell ref="I52:K52"/>
    <mergeCell ref="I53:K53"/>
    <mergeCell ref="I54:K54"/>
    <mergeCell ref="I55:K55"/>
    <mergeCell ref="C58:C61"/>
    <mergeCell ref="B58:B61"/>
    <mergeCell ref="B39:B46"/>
    <mergeCell ref="I49:K49"/>
    <mergeCell ref="I56:K56"/>
    <mergeCell ref="I58:K58"/>
    <mergeCell ref="I59:K59"/>
    <mergeCell ref="I57:K57"/>
    <mergeCell ref="I62:K62"/>
    <mergeCell ref="I63:K63"/>
    <mergeCell ref="I46:K46"/>
    <mergeCell ref="I47:K47"/>
    <mergeCell ref="I43:K43"/>
    <mergeCell ref="A126:G126"/>
    <mergeCell ref="I126:K126"/>
    <mergeCell ref="A125:G125"/>
    <mergeCell ref="I125:K125"/>
    <mergeCell ref="I114:K114"/>
    <mergeCell ref="I75:K75"/>
    <mergeCell ref="I76:K76"/>
    <mergeCell ref="I80:K80"/>
    <mergeCell ref="I78:K78"/>
    <mergeCell ref="I79:K79"/>
    <mergeCell ref="I113:K113"/>
    <mergeCell ref="I84:K84"/>
    <mergeCell ref="I85:K85"/>
    <mergeCell ref="I86:K86"/>
    <mergeCell ref="I87:K87"/>
    <mergeCell ref="I88:K88"/>
    <mergeCell ref="C81:C83"/>
    <mergeCell ref="I81:K81"/>
    <mergeCell ref="I82:K82"/>
    <mergeCell ref="C75:C77"/>
    <mergeCell ref="A7:A113"/>
    <mergeCell ref="I72:K72"/>
    <mergeCell ref="C69:C72"/>
    <mergeCell ref="I94:K94"/>
    <mergeCell ref="C36:C38"/>
    <mergeCell ref="B36:B38"/>
    <mergeCell ref="I22:K22"/>
    <mergeCell ref="I23:K23"/>
    <mergeCell ref="I27:K27"/>
    <mergeCell ref="C18:C27"/>
    <mergeCell ref="I29:K29"/>
    <mergeCell ref="B18:B27"/>
    <mergeCell ref="I21:K21"/>
    <mergeCell ref="I20:K20"/>
    <mergeCell ref="C28:C30"/>
    <mergeCell ref="I33:K33"/>
    <mergeCell ref="I34:K34"/>
    <mergeCell ref="C31:C35"/>
    <mergeCell ref="B28:B30"/>
    <mergeCell ref="B31:B35"/>
    <mergeCell ref="I28:K28"/>
    <mergeCell ref="I30:K30"/>
    <mergeCell ref="I31:K31"/>
    <mergeCell ref="I32:K32"/>
    <mergeCell ref="I36:K36"/>
    <mergeCell ref="I37:K37"/>
    <mergeCell ref="I104:K104"/>
    <mergeCell ref="I103:K103"/>
    <mergeCell ref="I69:K69"/>
    <mergeCell ref="I70:K70"/>
    <mergeCell ref="I71:K71"/>
    <mergeCell ref="I97:K97"/>
    <mergeCell ref="I74:K74"/>
    <mergeCell ref="I95:K95"/>
    <mergeCell ref="I96:K96"/>
    <mergeCell ref="I77:K77"/>
    <mergeCell ref="I83:K83"/>
    <mergeCell ref="I73:K73"/>
    <mergeCell ref="I44:K44"/>
    <mergeCell ref="I45:K45"/>
    <mergeCell ref="I50:K50"/>
    <mergeCell ref="I39:K39"/>
    <mergeCell ref="I40:K40"/>
    <mergeCell ref="I41:K41"/>
    <mergeCell ref="I42:K42"/>
    <mergeCell ref="I35:K35"/>
    <mergeCell ref="I38:K38"/>
    <mergeCell ref="A1:B2"/>
    <mergeCell ref="C1:J1"/>
    <mergeCell ref="K1:K2"/>
    <mergeCell ref="C2:I2"/>
    <mergeCell ref="I7:K7"/>
    <mergeCell ref="I8:K8"/>
    <mergeCell ref="A6:B6"/>
    <mergeCell ref="I18:K18"/>
    <mergeCell ref="I19:K19"/>
    <mergeCell ref="I9:K9"/>
    <mergeCell ref="I10:K10"/>
    <mergeCell ref="I11:K11"/>
    <mergeCell ref="I12:K12"/>
    <mergeCell ref="I6:K6"/>
    <mergeCell ref="B7:B17"/>
    <mergeCell ref="A4:B4"/>
    <mergeCell ref="A5:B5"/>
    <mergeCell ref="I13:K13"/>
    <mergeCell ref="I14:K14"/>
    <mergeCell ref="I15:K15"/>
    <mergeCell ref="I16:K16"/>
    <mergeCell ref="I17:K17"/>
    <mergeCell ref="C7:C17"/>
  </mergeCells>
  <phoneticPr fontId="30" type="noConversion"/>
  <conditionalFormatting sqref="A126:G126">
    <cfRule type="expression" dxfId="7" priority="2" stopIfTrue="1">
      <formula>$H$126&gt;0</formula>
    </cfRule>
    <cfRule type="expression" dxfId="6" priority="3" stopIfTrue="1">
      <formula>$H$126&lt;0</formula>
    </cfRule>
  </conditionalFormatting>
  <conditionalFormatting sqref="C1:J2">
    <cfRule type="expression" dxfId="5" priority="1">
      <formula>$H$126&lt;0</formula>
    </cfRule>
  </conditionalFormatting>
  <printOptions horizontalCentered="1"/>
  <pageMargins left="0.39370078740157483" right="0.35433070866141736" top="0.27559055118110237" bottom="0.27559055118110237" header="0.51181102362204722" footer="0.15748031496062992"/>
  <pageSetup paperSize="9" scale="35" firstPageNumber="0" orientation="portrait" r:id="rId1"/>
  <headerFooter alignWithMargins="0">
    <oddFooter>&amp;L&amp;"Arial Narrow,Regular"&amp;8&amp;F</oddFooter>
  </headerFooter>
  <rowBreaks count="1" manualBreakCount="1">
    <brk id="79" max="10"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CFFFF"/>
  </sheetPr>
  <dimension ref="A1:KO400"/>
  <sheetViews>
    <sheetView view="pageBreakPreview" topLeftCell="U1" zoomScaleNormal="40" zoomScaleSheetLayoutView="100" workbookViewId="0">
      <selection activeCell="W41" sqref="W41"/>
    </sheetView>
  </sheetViews>
  <sheetFormatPr defaultColWidth="0" defaultRowHeight="13.2"/>
  <cols>
    <col min="1" max="1" width="25.6640625" style="41" hidden="1" customWidth="1"/>
    <col min="2" max="2" width="11.33203125" style="41" hidden="1" customWidth="1"/>
    <col min="3" max="3" width="2.6640625" style="41" hidden="1" customWidth="1"/>
    <col min="4" max="4" width="30" style="41" hidden="1" customWidth="1"/>
    <col min="5" max="5" width="16.6640625" style="41" hidden="1" customWidth="1"/>
    <col min="6" max="10" width="9.109375" style="41" hidden="1" customWidth="1"/>
    <col min="11" max="11" width="20.5546875" hidden="1" customWidth="1"/>
    <col min="12" max="17" width="9.109375" style="41" hidden="1" customWidth="1"/>
    <col min="18" max="18" width="35.88671875" style="41" hidden="1" customWidth="1"/>
    <col min="19" max="20" width="9.109375" style="41" hidden="1" customWidth="1"/>
    <col min="21" max="21" width="1.44140625" style="41" customWidth="1"/>
    <col min="22" max="22" width="11.5546875" style="41" customWidth="1"/>
    <col min="23" max="23" width="45.33203125" style="41" customWidth="1"/>
    <col min="24" max="24" width="4.6640625" style="41" customWidth="1"/>
    <col min="25" max="25" width="11.6640625" style="41" customWidth="1"/>
    <col min="26" max="26" width="10.33203125" style="41" customWidth="1"/>
    <col min="27" max="27" width="11.5546875" style="41" customWidth="1"/>
    <col min="28" max="28" width="11.6640625" style="41" customWidth="1"/>
    <col min="29" max="29" width="1.44140625" style="41" customWidth="1"/>
    <col min="30" max="35" width="0" style="41" hidden="1" customWidth="1"/>
    <col min="36" max="256" width="0" style="41" hidden="1"/>
    <col min="257" max="276" width="0" style="41" hidden="1" customWidth="1"/>
    <col min="277" max="283" width="8.5546875" style="41" customWidth="1"/>
    <col min="284" max="300" width="1.5546875" style="411" customWidth="1"/>
    <col min="301" max="301" width="8.5546875" style="411" customWidth="1"/>
    <col min="302" max="794" width="8.5546875" style="41" customWidth="1"/>
    <col min="795" max="795" width="11.5546875" style="41" customWidth="1"/>
    <col min="796" max="796" width="11.6640625" style="41" customWidth="1"/>
    <col min="797" max="797" width="1.44140625" style="41" customWidth="1"/>
    <col min="798" max="803" width="0" style="41" hidden="1" customWidth="1"/>
    <col min="804" max="1024" width="0" style="41" hidden="1"/>
    <col min="1025" max="1044" width="0" style="41" hidden="1" customWidth="1"/>
    <col min="1045" max="1045" width="1.44140625" style="41" customWidth="1"/>
    <col min="1046" max="1046" width="11.5546875" style="41" customWidth="1"/>
    <col min="1047" max="1047" width="45.33203125" style="41" customWidth="1"/>
    <col min="1048" max="1048" width="4.6640625" style="41" customWidth="1"/>
    <col min="1049" max="1049" width="11.6640625" style="41" customWidth="1"/>
    <col min="1050" max="1050" width="10.33203125" style="41" customWidth="1"/>
    <col min="1051" max="1051" width="11.5546875" style="41" customWidth="1"/>
    <col min="1052" max="1052" width="11.6640625" style="41" customWidth="1"/>
    <col min="1053" max="1053" width="1.44140625" style="41" customWidth="1"/>
    <col min="1054" max="1059" width="0" style="41" hidden="1" customWidth="1"/>
    <col min="1060" max="1280" width="0" style="41" hidden="1"/>
    <col min="1281" max="1300" width="0" style="41" hidden="1" customWidth="1"/>
    <col min="1301" max="1301" width="1.44140625" style="41" customWidth="1"/>
    <col min="1302" max="1302" width="11.5546875" style="41" customWidth="1"/>
    <col min="1303" max="1303" width="45.33203125" style="41" customWidth="1"/>
    <col min="1304" max="1304" width="4.6640625" style="41" customWidth="1"/>
    <col min="1305" max="1305" width="11.6640625" style="41" customWidth="1"/>
    <col min="1306" max="1306" width="10.33203125" style="41" customWidth="1"/>
    <col min="1307" max="1307" width="11.5546875" style="41" customWidth="1"/>
    <col min="1308" max="1308" width="11.6640625" style="41" customWidth="1"/>
    <col min="1309" max="1309" width="1.44140625" style="41" customWidth="1"/>
    <col min="1310" max="1315" width="0" style="41" hidden="1" customWidth="1"/>
    <col min="1316" max="1536" width="0" style="41" hidden="1"/>
    <col min="1537" max="1556" width="0" style="41" hidden="1" customWidth="1"/>
    <col min="1557" max="1557" width="1.44140625" style="41" customWidth="1"/>
    <col min="1558" max="1558" width="11.5546875" style="41" customWidth="1"/>
    <col min="1559" max="1559" width="45.33203125" style="41" customWidth="1"/>
    <col min="1560" max="1560" width="4.6640625" style="41" customWidth="1"/>
    <col min="1561" max="1561" width="11.6640625" style="41" customWidth="1"/>
    <col min="1562" max="1562" width="10.33203125" style="41" customWidth="1"/>
    <col min="1563" max="1563" width="11.5546875" style="41" customWidth="1"/>
    <col min="1564" max="1564" width="11.6640625" style="41" customWidth="1"/>
    <col min="1565" max="1565" width="1.44140625" style="41" customWidth="1"/>
    <col min="1566" max="1571" width="0" style="41" hidden="1" customWidth="1"/>
    <col min="1572" max="1792" width="0" style="41" hidden="1"/>
    <col min="1793" max="1812" width="0" style="41" hidden="1" customWidth="1"/>
    <col min="1813" max="1813" width="1.44140625" style="41" customWidth="1"/>
    <col min="1814" max="1814" width="11.5546875" style="41" customWidth="1"/>
    <col min="1815" max="1815" width="45.33203125" style="41" customWidth="1"/>
    <col min="1816" max="1816" width="4.6640625" style="41" customWidth="1"/>
    <col min="1817" max="1817" width="11.6640625" style="41" customWidth="1"/>
    <col min="1818" max="1818" width="10.33203125" style="41" customWidth="1"/>
    <col min="1819" max="1819" width="11.5546875" style="41" customWidth="1"/>
    <col min="1820" max="1820" width="11.6640625" style="41" customWidth="1"/>
    <col min="1821" max="1821" width="1.44140625" style="41" customWidth="1"/>
    <col min="1822" max="1827" width="0" style="41" hidden="1" customWidth="1"/>
    <col min="1828" max="2048" width="0" style="41" hidden="1"/>
    <col min="2049" max="2068" width="0" style="41" hidden="1" customWidth="1"/>
    <col min="2069" max="2069" width="1.44140625" style="41" customWidth="1"/>
    <col min="2070" max="2070" width="11.5546875" style="41" customWidth="1"/>
    <col min="2071" max="2071" width="45.33203125" style="41" customWidth="1"/>
    <col min="2072" max="2072" width="4.6640625" style="41" customWidth="1"/>
    <col min="2073" max="2073" width="11.6640625" style="41" customWidth="1"/>
    <col min="2074" max="2074" width="10.33203125" style="41" customWidth="1"/>
    <col min="2075" max="2075" width="11.5546875" style="41" customWidth="1"/>
    <col min="2076" max="2076" width="11.6640625" style="41" customWidth="1"/>
    <col min="2077" max="2077" width="1.44140625" style="41" customWidth="1"/>
    <col min="2078" max="2083" width="0" style="41" hidden="1" customWidth="1"/>
    <col min="2084" max="2304" width="0" style="41" hidden="1"/>
    <col min="2305" max="2324" width="0" style="41" hidden="1" customWidth="1"/>
    <col min="2325" max="2325" width="1.44140625" style="41" customWidth="1"/>
    <col min="2326" max="2326" width="11.5546875" style="41" customWidth="1"/>
    <col min="2327" max="2327" width="45.33203125" style="41" customWidth="1"/>
    <col min="2328" max="2328" width="4.6640625" style="41" customWidth="1"/>
    <col min="2329" max="2329" width="11.6640625" style="41" customWidth="1"/>
    <col min="2330" max="2330" width="10.33203125" style="41" customWidth="1"/>
    <col min="2331" max="2331" width="11.5546875" style="41" customWidth="1"/>
    <col min="2332" max="2332" width="11.6640625" style="41" customWidth="1"/>
    <col min="2333" max="2333" width="1.44140625" style="41" customWidth="1"/>
    <col min="2334" max="2339" width="0" style="41" hidden="1" customWidth="1"/>
    <col min="2340" max="2560" width="0" style="41" hidden="1"/>
    <col min="2561" max="2580" width="0" style="41" hidden="1" customWidth="1"/>
    <col min="2581" max="2581" width="1.44140625" style="41" customWidth="1"/>
    <col min="2582" max="2582" width="11.5546875" style="41" customWidth="1"/>
    <col min="2583" max="2583" width="45.33203125" style="41" customWidth="1"/>
    <col min="2584" max="2584" width="4.6640625" style="41" customWidth="1"/>
    <col min="2585" max="2585" width="11.6640625" style="41" customWidth="1"/>
    <col min="2586" max="2586" width="10.33203125" style="41" customWidth="1"/>
    <col min="2587" max="2587" width="11.5546875" style="41" customWidth="1"/>
    <col min="2588" max="2588" width="11.6640625" style="41" customWidth="1"/>
    <col min="2589" max="2589" width="1.44140625" style="41" customWidth="1"/>
    <col min="2590" max="2595" width="0" style="41" hidden="1" customWidth="1"/>
    <col min="2596" max="2816" width="0" style="41" hidden="1"/>
    <col min="2817" max="2836" width="0" style="41" hidden="1" customWidth="1"/>
    <col min="2837" max="2837" width="1.44140625" style="41" customWidth="1"/>
    <col min="2838" max="2838" width="11.5546875" style="41" customWidth="1"/>
    <col min="2839" max="2839" width="45.33203125" style="41" customWidth="1"/>
    <col min="2840" max="2840" width="4.6640625" style="41" customWidth="1"/>
    <col min="2841" max="2841" width="11.6640625" style="41" customWidth="1"/>
    <col min="2842" max="2842" width="10.33203125" style="41" customWidth="1"/>
    <col min="2843" max="2843" width="11.5546875" style="41" customWidth="1"/>
    <col min="2844" max="2844" width="11.6640625" style="41" customWidth="1"/>
    <col min="2845" max="2845" width="1.44140625" style="41" customWidth="1"/>
    <col min="2846" max="2851" width="0" style="41" hidden="1" customWidth="1"/>
    <col min="2852" max="3072" width="0" style="41" hidden="1"/>
    <col min="3073" max="3092" width="0" style="41" hidden="1" customWidth="1"/>
    <col min="3093" max="3093" width="1.44140625" style="41" customWidth="1"/>
    <col min="3094" max="3094" width="11.5546875" style="41" customWidth="1"/>
    <col min="3095" max="3095" width="45.33203125" style="41" customWidth="1"/>
    <col min="3096" max="3096" width="4.6640625" style="41" customWidth="1"/>
    <col min="3097" max="3097" width="11.6640625" style="41" customWidth="1"/>
    <col min="3098" max="3098" width="10.33203125" style="41" customWidth="1"/>
    <col min="3099" max="3099" width="11.5546875" style="41" customWidth="1"/>
    <col min="3100" max="3100" width="11.6640625" style="41" customWidth="1"/>
    <col min="3101" max="3101" width="1.44140625" style="41" customWidth="1"/>
    <col min="3102" max="3107" width="0" style="41" hidden="1" customWidth="1"/>
    <col min="3108" max="3328" width="0" style="41" hidden="1"/>
    <col min="3329" max="3348" width="0" style="41" hidden="1" customWidth="1"/>
    <col min="3349" max="3349" width="1.44140625" style="41" customWidth="1"/>
    <col min="3350" max="3350" width="11.5546875" style="41" customWidth="1"/>
    <col min="3351" max="3351" width="45.33203125" style="41" customWidth="1"/>
    <col min="3352" max="3352" width="4.6640625" style="41" customWidth="1"/>
    <col min="3353" max="3353" width="11.6640625" style="41" customWidth="1"/>
    <col min="3354" max="3354" width="10.33203125" style="41" customWidth="1"/>
    <col min="3355" max="3355" width="11.5546875" style="41" customWidth="1"/>
    <col min="3356" max="3356" width="11.6640625" style="41" customWidth="1"/>
    <col min="3357" max="3357" width="1.44140625" style="41" customWidth="1"/>
    <col min="3358" max="3363" width="0" style="41" hidden="1" customWidth="1"/>
    <col min="3364" max="3584" width="0" style="41" hidden="1"/>
    <col min="3585" max="3604" width="0" style="41" hidden="1" customWidth="1"/>
    <col min="3605" max="3605" width="1.44140625" style="41" customWidth="1"/>
    <col min="3606" max="3606" width="11.5546875" style="41" customWidth="1"/>
    <col min="3607" max="3607" width="45.33203125" style="41" customWidth="1"/>
    <col min="3608" max="3608" width="4.6640625" style="41" customWidth="1"/>
    <col min="3609" max="3609" width="11.6640625" style="41" customWidth="1"/>
    <col min="3610" max="3610" width="10.33203125" style="41" customWidth="1"/>
    <col min="3611" max="3611" width="11.5546875" style="41" customWidth="1"/>
    <col min="3612" max="3612" width="11.6640625" style="41" customWidth="1"/>
    <col min="3613" max="3613" width="1.44140625" style="41" customWidth="1"/>
    <col min="3614" max="3619" width="0" style="41" hidden="1" customWidth="1"/>
    <col min="3620" max="3840" width="0" style="41" hidden="1"/>
    <col min="3841" max="3860" width="0" style="41" hidden="1" customWidth="1"/>
    <col min="3861" max="3861" width="1.44140625" style="41" customWidth="1"/>
    <col min="3862" max="3862" width="11.5546875" style="41" customWidth="1"/>
    <col min="3863" max="3863" width="45.33203125" style="41" customWidth="1"/>
    <col min="3864" max="3864" width="4.6640625" style="41" customWidth="1"/>
    <col min="3865" max="3865" width="11.6640625" style="41" customWidth="1"/>
    <col min="3866" max="3866" width="10.33203125" style="41" customWidth="1"/>
    <col min="3867" max="3867" width="11.5546875" style="41" customWidth="1"/>
    <col min="3868" max="3868" width="11.6640625" style="41" customWidth="1"/>
    <col min="3869" max="3869" width="1.44140625" style="41" customWidth="1"/>
    <col min="3870" max="3875" width="0" style="41" hidden="1" customWidth="1"/>
    <col min="3876" max="4096" width="0" style="41" hidden="1"/>
    <col min="4097" max="4116" width="0" style="41" hidden="1" customWidth="1"/>
    <col min="4117" max="4117" width="1.44140625" style="41" customWidth="1"/>
    <col min="4118" max="4118" width="11.5546875" style="41" customWidth="1"/>
    <col min="4119" max="4119" width="45.33203125" style="41" customWidth="1"/>
    <col min="4120" max="4120" width="4.6640625" style="41" customWidth="1"/>
    <col min="4121" max="4121" width="11.6640625" style="41" customWidth="1"/>
    <col min="4122" max="4122" width="10.33203125" style="41" customWidth="1"/>
    <col min="4123" max="4123" width="11.5546875" style="41" customWidth="1"/>
    <col min="4124" max="4124" width="11.6640625" style="41" customWidth="1"/>
    <col min="4125" max="4125" width="1.44140625" style="41" customWidth="1"/>
    <col min="4126" max="4131" width="0" style="41" hidden="1" customWidth="1"/>
    <col min="4132" max="4352" width="0" style="41" hidden="1"/>
    <col min="4353" max="4372" width="0" style="41" hidden="1" customWidth="1"/>
    <col min="4373" max="4373" width="1.44140625" style="41" customWidth="1"/>
    <col min="4374" max="4374" width="11.5546875" style="41" customWidth="1"/>
    <col min="4375" max="4375" width="45.33203125" style="41" customWidth="1"/>
    <col min="4376" max="4376" width="4.6640625" style="41" customWidth="1"/>
    <col min="4377" max="4377" width="11.6640625" style="41" customWidth="1"/>
    <col min="4378" max="4378" width="10.33203125" style="41" customWidth="1"/>
    <col min="4379" max="4379" width="11.5546875" style="41" customWidth="1"/>
    <col min="4380" max="4380" width="11.6640625" style="41" customWidth="1"/>
    <col min="4381" max="4381" width="1.44140625" style="41" customWidth="1"/>
    <col min="4382" max="4387" width="0" style="41" hidden="1" customWidth="1"/>
    <col min="4388" max="4608" width="0" style="41" hidden="1"/>
    <col min="4609" max="4628" width="0" style="41" hidden="1" customWidth="1"/>
    <col min="4629" max="4629" width="1.44140625" style="41" customWidth="1"/>
    <col min="4630" max="4630" width="11.5546875" style="41" customWidth="1"/>
    <col min="4631" max="4631" width="45.33203125" style="41" customWidth="1"/>
    <col min="4632" max="4632" width="4.6640625" style="41" customWidth="1"/>
    <col min="4633" max="4633" width="11.6640625" style="41" customWidth="1"/>
    <col min="4634" max="4634" width="10.33203125" style="41" customWidth="1"/>
    <col min="4635" max="4635" width="11.5546875" style="41" customWidth="1"/>
    <col min="4636" max="4636" width="11.6640625" style="41" customWidth="1"/>
    <col min="4637" max="4637" width="1.44140625" style="41" customWidth="1"/>
    <col min="4638" max="4643" width="0" style="41" hidden="1" customWidth="1"/>
    <col min="4644" max="4864" width="0" style="41" hidden="1"/>
    <col min="4865" max="4884" width="0" style="41" hidden="1" customWidth="1"/>
    <col min="4885" max="4885" width="1.44140625" style="41" customWidth="1"/>
    <col min="4886" max="4886" width="11.5546875" style="41" customWidth="1"/>
    <col min="4887" max="4887" width="45.33203125" style="41" customWidth="1"/>
    <col min="4888" max="4888" width="4.6640625" style="41" customWidth="1"/>
    <col min="4889" max="4889" width="11.6640625" style="41" customWidth="1"/>
    <col min="4890" max="4890" width="10.33203125" style="41" customWidth="1"/>
    <col min="4891" max="4891" width="11.5546875" style="41" customWidth="1"/>
    <col min="4892" max="4892" width="11.6640625" style="41" customWidth="1"/>
    <col min="4893" max="4893" width="1.44140625" style="41" customWidth="1"/>
    <col min="4894" max="4899" width="0" style="41" hidden="1" customWidth="1"/>
    <col min="4900" max="5120" width="0" style="41" hidden="1"/>
    <col min="5121" max="5140" width="0" style="41" hidden="1" customWidth="1"/>
    <col min="5141" max="5141" width="1.44140625" style="41" customWidth="1"/>
    <col min="5142" max="5142" width="11.5546875" style="41" customWidth="1"/>
    <col min="5143" max="5143" width="45.33203125" style="41" customWidth="1"/>
    <col min="5144" max="5144" width="4.6640625" style="41" customWidth="1"/>
    <col min="5145" max="5145" width="11.6640625" style="41" customWidth="1"/>
    <col min="5146" max="5146" width="10.33203125" style="41" customWidth="1"/>
    <col min="5147" max="5147" width="11.5546875" style="41" customWidth="1"/>
    <col min="5148" max="5148" width="11.6640625" style="41" customWidth="1"/>
    <col min="5149" max="5149" width="1.44140625" style="41" customWidth="1"/>
    <col min="5150" max="5155" width="0" style="41" hidden="1" customWidth="1"/>
    <col min="5156" max="5376" width="0" style="41" hidden="1"/>
    <col min="5377" max="5396" width="0" style="41" hidden="1" customWidth="1"/>
    <col min="5397" max="5397" width="1.44140625" style="41" customWidth="1"/>
    <col min="5398" max="5398" width="11.5546875" style="41" customWidth="1"/>
    <col min="5399" max="5399" width="45.33203125" style="41" customWidth="1"/>
    <col min="5400" max="5400" width="4.6640625" style="41" customWidth="1"/>
    <col min="5401" max="5401" width="11.6640625" style="41" customWidth="1"/>
    <col min="5402" max="5402" width="10.33203125" style="41" customWidth="1"/>
    <col min="5403" max="5403" width="11.5546875" style="41" customWidth="1"/>
    <col min="5404" max="5404" width="11.6640625" style="41" customWidth="1"/>
    <col min="5405" max="5405" width="1.44140625" style="41" customWidth="1"/>
    <col min="5406" max="5411" width="0" style="41" hidden="1" customWidth="1"/>
    <col min="5412" max="5632" width="0" style="41" hidden="1"/>
    <col min="5633" max="5652" width="0" style="41" hidden="1" customWidth="1"/>
    <col min="5653" max="5653" width="1.44140625" style="41" customWidth="1"/>
    <col min="5654" max="5654" width="11.5546875" style="41" customWidth="1"/>
    <col min="5655" max="5655" width="45.33203125" style="41" customWidth="1"/>
    <col min="5656" max="5656" width="4.6640625" style="41" customWidth="1"/>
    <col min="5657" max="5657" width="11.6640625" style="41" customWidth="1"/>
    <col min="5658" max="5658" width="10.33203125" style="41" customWidth="1"/>
    <col min="5659" max="5659" width="11.5546875" style="41" customWidth="1"/>
    <col min="5660" max="5660" width="11.6640625" style="41" customWidth="1"/>
    <col min="5661" max="5661" width="1.44140625" style="41" customWidth="1"/>
    <col min="5662" max="5667" width="0" style="41" hidden="1" customWidth="1"/>
    <col min="5668" max="5888" width="0" style="41" hidden="1"/>
    <col min="5889" max="5908" width="0" style="41" hidden="1" customWidth="1"/>
    <col min="5909" max="5909" width="1.44140625" style="41" customWidth="1"/>
    <col min="5910" max="5910" width="11.5546875" style="41" customWidth="1"/>
    <col min="5911" max="5911" width="45.33203125" style="41" customWidth="1"/>
    <col min="5912" max="5912" width="4.6640625" style="41" customWidth="1"/>
    <col min="5913" max="5913" width="11.6640625" style="41" customWidth="1"/>
    <col min="5914" max="5914" width="10.33203125" style="41" customWidth="1"/>
    <col min="5915" max="5915" width="11.5546875" style="41" customWidth="1"/>
    <col min="5916" max="5916" width="11.6640625" style="41" customWidth="1"/>
    <col min="5917" max="5917" width="1.44140625" style="41" customWidth="1"/>
    <col min="5918" max="5923" width="0" style="41" hidden="1" customWidth="1"/>
    <col min="5924" max="6144" width="0" style="41" hidden="1"/>
    <col min="6145" max="6164" width="0" style="41" hidden="1" customWidth="1"/>
    <col min="6165" max="6165" width="1.44140625" style="41" customWidth="1"/>
    <col min="6166" max="6166" width="11.5546875" style="41" customWidth="1"/>
    <col min="6167" max="6167" width="45.33203125" style="41" customWidth="1"/>
    <col min="6168" max="6168" width="4.6640625" style="41" customWidth="1"/>
    <col min="6169" max="6169" width="11.6640625" style="41" customWidth="1"/>
    <col min="6170" max="6170" width="10.33203125" style="41" customWidth="1"/>
    <col min="6171" max="6171" width="11.5546875" style="41" customWidth="1"/>
    <col min="6172" max="6172" width="11.6640625" style="41" customWidth="1"/>
    <col min="6173" max="6173" width="1.44140625" style="41" customWidth="1"/>
    <col min="6174" max="6179" width="0" style="41" hidden="1" customWidth="1"/>
    <col min="6180" max="6400" width="0" style="41" hidden="1"/>
    <col min="6401" max="6420" width="0" style="41" hidden="1" customWidth="1"/>
    <col min="6421" max="6421" width="1.44140625" style="41" customWidth="1"/>
    <col min="6422" max="6422" width="11.5546875" style="41" customWidth="1"/>
    <col min="6423" max="6423" width="45.33203125" style="41" customWidth="1"/>
    <col min="6424" max="6424" width="4.6640625" style="41" customWidth="1"/>
    <col min="6425" max="6425" width="11.6640625" style="41" customWidth="1"/>
    <col min="6426" max="6426" width="10.33203125" style="41" customWidth="1"/>
    <col min="6427" max="6427" width="11.5546875" style="41" customWidth="1"/>
    <col min="6428" max="6428" width="11.6640625" style="41" customWidth="1"/>
    <col min="6429" max="6429" width="1.44140625" style="41" customWidth="1"/>
    <col min="6430" max="6435" width="0" style="41" hidden="1" customWidth="1"/>
    <col min="6436" max="6656" width="0" style="41" hidden="1"/>
    <col min="6657" max="6676" width="0" style="41" hidden="1" customWidth="1"/>
    <col min="6677" max="6677" width="1.44140625" style="41" customWidth="1"/>
    <col min="6678" max="6678" width="11.5546875" style="41" customWidth="1"/>
    <col min="6679" max="6679" width="45.33203125" style="41" customWidth="1"/>
    <col min="6680" max="6680" width="4.6640625" style="41" customWidth="1"/>
    <col min="6681" max="6681" width="11.6640625" style="41" customWidth="1"/>
    <col min="6682" max="6682" width="10.33203125" style="41" customWidth="1"/>
    <col min="6683" max="6683" width="11.5546875" style="41" customWidth="1"/>
    <col min="6684" max="6684" width="11.6640625" style="41" customWidth="1"/>
    <col min="6685" max="6685" width="1.44140625" style="41" customWidth="1"/>
    <col min="6686" max="6691" width="0" style="41" hidden="1" customWidth="1"/>
    <col min="6692" max="6912" width="0" style="41" hidden="1"/>
    <col min="6913" max="6932" width="0" style="41" hidden="1" customWidth="1"/>
    <col min="6933" max="6933" width="1.44140625" style="41" customWidth="1"/>
    <col min="6934" max="6934" width="11.5546875" style="41" customWidth="1"/>
    <col min="6935" max="6935" width="45.33203125" style="41" customWidth="1"/>
    <col min="6936" max="6936" width="4.6640625" style="41" customWidth="1"/>
    <col min="6937" max="6937" width="11.6640625" style="41" customWidth="1"/>
    <col min="6938" max="6938" width="10.33203125" style="41" customWidth="1"/>
    <col min="6939" max="6939" width="11.5546875" style="41" customWidth="1"/>
    <col min="6940" max="6940" width="11.6640625" style="41" customWidth="1"/>
    <col min="6941" max="6941" width="1.44140625" style="41" customWidth="1"/>
    <col min="6942" max="6947" width="0" style="41" hidden="1" customWidth="1"/>
    <col min="6948" max="7168" width="0" style="41" hidden="1"/>
    <col min="7169" max="7188" width="0" style="41" hidden="1" customWidth="1"/>
    <col min="7189" max="7189" width="1.44140625" style="41" customWidth="1"/>
    <col min="7190" max="7190" width="11.5546875" style="41" customWidth="1"/>
    <col min="7191" max="7191" width="45.33203125" style="41" customWidth="1"/>
    <col min="7192" max="7192" width="4.6640625" style="41" customWidth="1"/>
    <col min="7193" max="7193" width="11.6640625" style="41" customWidth="1"/>
    <col min="7194" max="7194" width="10.33203125" style="41" customWidth="1"/>
    <col min="7195" max="7195" width="11.5546875" style="41" customWidth="1"/>
    <col min="7196" max="7196" width="11.6640625" style="41" customWidth="1"/>
    <col min="7197" max="7197" width="1.44140625" style="41" customWidth="1"/>
    <col min="7198" max="7203" width="0" style="41" hidden="1" customWidth="1"/>
    <col min="7204" max="7424" width="0" style="41" hidden="1"/>
    <col min="7425" max="7444" width="0" style="41" hidden="1" customWidth="1"/>
    <col min="7445" max="7445" width="1.44140625" style="41" customWidth="1"/>
    <col min="7446" max="7446" width="11.5546875" style="41" customWidth="1"/>
    <col min="7447" max="7447" width="45.33203125" style="41" customWidth="1"/>
    <col min="7448" max="7448" width="4.6640625" style="41" customWidth="1"/>
    <col min="7449" max="7449" width="11.6640625" style="41" customWidth="1"/>
    <col min="7450" max="7450" width="10.33203125" style="41" customWidth="1"/>
    <col min="7451" max="7451" width="11.5546875" style="41" customWidth="1"/>
    <col min="7452" max="7452" width="11.6640625" style="41" customWidth="1"/>
    <col min="7453" max="7453" width="1.44140625" style="41" customWidth="1"/>
    <col min="7454" max="7459" width="0" style="41" hidden="1" customWidth="1"/>
    <col min="7460" max="7680" width="0" style="41" hidden="1"/>
    <col min="7681" max="7700" width="0" style="41" hidden="1" customWidth="1"/>
    <col min="7701" max="7701" width="1.44140625" style="41" customWidth="1"/>
    <col min="7702" max="7702" width="11.5546875" style="41" customWidth="1"/>
    <col min="7703" max="7703" width="45.33203125" style="41" customWidth="1"/>
    <col min="7704" max="7704" width="4.6640625" style="41" customWidth="1"/>
    <col min="7705" max="7705" width="11.6640625" style="41" customWidth="1"/>
    <col min="7706" max="7706" width="10.33203125" style="41" customWidth="1"/>
    <col min="7707" max="7707" width="11.5546875" style="41" customWidth="1"/>
    <col min="7708" max="7708" width="11.6640625" style="41" customWidth="1"/>
    <col min="7709" max="7709" width="1.44140625" style="41" customWidth="1"/>
    <col min="7710" max="7715" width="0" style="41" hidden="1" customWidth="1"/>
    <col min="7716" max="7936" width="0" style="41" hidden="1"/>
    <col min="7937" max="7956" width="0" style="41" hidden="1" customWidth="1"/>
    <col min="7957" max="7957" width="1.44140625" style="41" customWidth="1"/>
    <col min="7958" max="7958" width="11.5546875" style="41" customWidth="1"/>
    <col min="7959" max="7959" width="45.33203125" style="41" customWidth="1"/>
    <col min="7960" max="7960" width="4.6640625" style="41" customWidth="1"/>
    <col min="7961" max="7961" width="11.6640625" style="41" customWidth="1"/>
    <col min="7962" max="7962" width="10.33203125" style="41" customWidth="1"/>
    <col min="7963" max="7963" width="11.5546875" style="41" customWidth="1"/>
    <col min="7964" max="7964" width="11.6640625" style="41" customWidth="1"/>
    <col min="7965" max="7965" width="1.44140625" style="41" customWidth="1"/>
    <col min="7966" max="7971" width="0" style="41" hidden="1" customWidth="1"/>
    <col min="7972" max="8192" width="0" style="41" hidden="1"/>
    <col min="8193" max="8212" width="0" style="41" hidden="1" customWidth="1"/>
    <col min="8213" max="8213" width="1.44140625" style="41" customWidth="1"/>
    <col min="8214" max="8214" width="11.5546875" style="41" customWidth="1"/>
    <col min="8215" max="8215" width="45.33203125" style="41" customWidth="1"/>
    <col min="8216" max="8216" width="4.6640625" style="41" customWidth="1"/>
    <col min="8217" max="8217" width="11.6640625" style="41" customWidth="1"/>
    <col min="8218" max="8218" width="10.33203125" style="41" customWidth="1"/>
    <col min="8219" max="8219" width="11.5546875" style="41" customWidth="1"/>
    <col min="8220" max="8220" width="11.6640625" style="41" customWidth="1"/>
    <col min="8221" max="8221" width="1.44140625" style="41" customWidth="1"/>
    <col min="8222" max="8227" width="0" style="41" hidden="1" customWidth="1"/>
    <col min="8228" max="8448" width="0" style="41" hidden="1"/>
    <col min="8449" max="8468" width="0" style="41" hidden="1" customWidth="1"/>
    <col min="8469" max="8469" width="1.44140625" style="41" customWidth="1"/>
    <col min="8470" max="8470" width="11.5546875" style="41" customWidth="1"/>
    <col min="8471" max="8471" width="45.33203125" style="41" customWidth="1"/>
    <col min="8472" max="8472" width="4.6640625" style="41" customWidth="1"/>
    <col min="8473" max="8473" width="11.6640625" style="41" customWidth="1"/>
    <col min="8474" max="8474" width="10.33203125" style="41" customWidth="1"/>
    <col min="8475" max="8475" width="11.5546875" style="41" customWidth="1"/>
    <col min="8476" max="8476" width="11.6640625" style="41" customWidth="1"/>
    <col min="8477" max="8477" width="1.44140625" style="41" customWidth="1"/>
    <col min="8478" max="8483" width="0" style="41" hidden="1" customWidth="1"/>
    <col min="8484" max="8704" width="0" style="41" hidden="1"/>
    <col min="8705" max="8724" width="0" style="41" hidden="1" customWidth="1"/>
    <col min="8725" max="8725" width="1.44140625" style="41" customWidth="1"/>
    <col min="8726" max="8726" width="11.5546875" style="41" customWidth="1"/>
    <col min="8727" max="8727" width="45.33203125" style="41" customWidth="1"/>
    <col min="8728" max="8728" width="4.6640625" style="41" customWidth="1"/>
    <col min="8729" max="8729" width="11.6640625" style="41" customWidth="1"/>
    <col min="8730" max="8730" width="10.33203125" style="41" customWidth="1"/>
    <col min="8731" max="8731" width="11.5546875" style="41" customWidth="1"/>
    <col min="8732" max="8732" width="11.6640625" style="41" customWidth="1"/>
    <col min="8733" max="8733" width="1.44140625" style="41" customWidth="1"/>
    <col min="8734" max="8739" width="0" style="41" hidden="1" customWidth="1"/>
    <col min="8740" max="8960" width="0" style="41" hidden="1"/>
    <col min="8961" max="8980" width="0" style="41" hidden="1" customWidth="1"/>
    <col min="8981" max="8981" width="1.44140625" style="41" customWidth="1"/>
    <col min="8982" max="8982" width="11.5546875" style="41" customWidth="1"/>
    <col min="8983" max="8983" width="45.33203125" style="41" customWidth="1"/>
    <col min="8984" max="8984" width="4.6640625" style="41" customWidth="1"/>
    <col min="8985" max="8985" width="11.6640625" style="41" customWidth="1"/>
    <col min="8986" max="8986" width="10.33203125" style="41" customWidth="1"/>
    <col min="8987" max="8987" width="11.5546875" style="41" customWidth="1"/>
    <col min="8988" max="8988" width="11.6640625" style="41" customWidth="1"/>
    <col min="8989" max="8989" width="1.44140625" style="41" customWidth="1"/>
    <col min="8990" max="8995" width="0" style="41" hidden="1" customWidth="1"/>
    <col min="8996" max="9216" width="0" style="41" hidden="1"/>
    <col min="9217" max="9236" width="0" style="41" hidden="1" customWidth="1"/>
    <col min="9237" max="9237" width="1.44140625" style="41" customWidth="1"/>
    <col min="9238" max="9238" width="11.5546875" style="41" customWidth="1"/>
    <col min="9239" max="9239" width="45.33203125" style="41" customWidth="1"/>
    <col min="9240" max="9240" width="4.6640625" style="41" customWidth="1"/>
    <col min="9241" max="9241" width="11.6640625" style="41" customWidth="1"/>
    <col min="9242" max="9242" width="10.33203125" style="41" customWidth="1"/>
    <col min="9243" max="9243" width="11.5546875" style="41" customWidth="1"/>
    <col min="9244" max="9244" width="11.6640625" style="41" customWidth="1"/>
    <col min="9245" max="9245" width="1.44140625" style="41" customWidth="1"/>
    <col min="9246" max="9251" width="0" style="41" hidden="1" customWidth="1"/>
    <col min="9252" max="9472" width="0" style="41" hidden="1"/>
    <col min="9473" max="9492" width="0" style="41" hidden="1" customWidth="1"/>
    <col min="9493" max="9493" width="1.44140625" style="41" customWidth="1"/>
    <col min="9494" max="9494" width="11.5546875" style="41" customWidth="1"/>
    <col min="9495" max="9495" width="45.33203125" style="41" customWidth="1"/>
    <col min="9496" max="9496" width="4.6640625" style="41" customWidth="1"/>
    <col min="9497" max="9497" width="11.6640625" style="41" customWidth="1"/>
    <col min="9498" max="9498" width="10.33203125" style="41" customWidth="1"/>
    <col min="9499" max="9499" width="11.5546875" style="41" customWidth="1"/>
    <col min="9500" max="9500" width="11.6640625" style="41" customWidth="1"/>
    <col min="9501" max="9501" width="1.44140625" style="41" customWidth="1"/>
    <col min="9502" max="9507" width="0" style="41" hidden="1" customWidth="1"/>
    <col min="9508" max="9728" width="0" style="41" hidden="1"/>
    <col min="9729" max="9748" width="0" style="41" hidden="1" customWidth="1"/>
    <col min="9749" max="9749" width="1.44140625" style="41" customWidth="1"/>
    <col min="9750" max="9750" width="11.5546875" style="41" customWidth="1"/>
    <col min="9751" max="9751" width="45.33203125" style="41" customWidth="1"/>
    <col min="9752" max="9752" width="4.6640625" style="41" customWidth="1"/>
    <col min="9753" max="9753" width="11.6640625" style="41" customWidth="1"/>
    <col min="9754" max="9754" width="10.33203125" style="41" customWidth="1"/>
    <col min="9755" max="9755" width="11.5546875" style="41" customWidth="1"/>
    <col min="9756" max="9756" width="11.6640625" style="41" customWidth="1"/>
    <col min="9757" max="9757" width="1.44140625" style="41" customWidth="1"/>
    <col min="9758" max="9763" width="0" style="41" hidden="1" customWidth="1"/>
    <col min="9764" max="9984" width="0" style="41" hidden="1"/>
    <col min="9985" max="10004" width="0" style="41" hidden="1" customWidth="1"/>
    <col min="10005" max="10005" width="1.44140625" style="41" customWidth="1"/>
    <col min="10006" max="10006" width="11.5546875" style="41" customWidth="1"/>
    <col min="10007" max="10007" width="45.33203125" style="41" customWidth="1"/>
    <col min="10008" max="10008" width="4.6640625" style="41" customWidth="1"/>
    <col min="10009" max="10009" width="11.6640625" style="41" customWidth="1"/>
    <col min="10010" max="10010" width="10.33203125" style="41" customWidth="1"/>
    <col min="10011" max="10011" width="11.5546875" style="41" customWidth="1"/>
    <col min="10012" max="10012" width="11.6640625" style="41" customWidth="1"/>
    <col min="10013" max="10013" width="1.44140625" style="41" customWidth="1"/>
    <col min="10014" max="10019" width="0" style="41" hidden="1" customWidth="1"/>
    <col min="10020" max="10240" width="0" style="41" hidden="1"/>
    <col min="10241" max="10260" width="0" style="41" hidden="1" customWidth="1"/>
    <col min="10261" max="10261" width="1.44140625" style="41" customWidth="1"/>
    <col min="10262" max="10262" width="11.5546875" style="41" customWidth="1"/>
    <col min="10263" max="10263" width="45.33203125" style="41" customWidth="1"/>
    <col min="10264" max="10264" width="4.6640625" style="41" customWidth="1"/>
    <col min="10265" max="10265" width="11.6640625" style="41" customWidth="1"/>
    <col min="10266" max="10266" width="10.33203125" style="41" customWidth="1"/>
    <col min="10267" max="10267" width="11.5546875" style="41" customWidth="1"/>
    <col min="10268" max="10268" width="11.6640625" style="41" customWidth="1"/>
    <col min="10269" max="10269" width="1.44140625" style="41" customWidth="1"/>
    <col min="10270" max="10275" width="0" style="41" hidden="1" customWidth="1"/>
    <col min="10276" max="10496" width="0" style="41" hidden="1"/>
    <col min="10497" max="10516" width="0" style="41" hidden="1" customWidth="1"/>
    <col min="10517" max="10517" width="1.44140625" style="41" customWidth="1"/>
    <col min="10518" max="10518" width="11.5546875" style="41" customWidth="1"/>
    <col min="10519" max="10519" width="45.33203125" style="41" customWidth="1"/>
    <col min="10520" max="10520" width="4.6640625" style="41" customWidth="1"/>
    <col min="10521" max="10521" width="11.6640625" style="41" customWidth="1"/>
    <col min="10522" max="10522" width="10.33203125" style="41" customWidth="1"/>
    <col min="10523" max="10523" width="11.5546875" style="41" customWidth="1"/>
    <col min="10524" max="10524" width="11.6640625" style="41" customWidth="1"/>
    <col min="10525" max="10525" width="1.44140625" style="41" customWidth="1"/>
    <col min="10526" max="10531" width="0" style="41" hidden="1" customWidth="1"/>
    <col min="10532" max="10752" width="0" style="41" hidden="1"/>
    <col min="10753" max="10772" width="0" style="41" hidden="1" customWidth="1"/>
    <col min="10773" max="10773" width="1.44140625" style="41" customWidth="1"/>
    <col min="10774" max="10774" width="11.5546875" style="41" customWidth="1"/>
    <col min="10775" max="10775" width="45.33203125" style="41" customWidth="1"/>
    <col min="10776" max="10776" width="4.6640625" style="41" customWidth="1"/>
    <col min="10777" max="10777" width="11.6640625" style="41" customWidth="1"/>
    <col min="10778" max="10778" width="10.33203125" style="41" customWidth="1"/>
    <col min="10779" max="10779" width="11.5546875" style="41" customWidth="1"/>
    <col min="10780" max="10780" width="11.6640625" style="41" customWidth="1"/>
    <col min="10781" max="10781" width="1.44140625" style="41" customWidth="1"/>
    <col min="10782" max="10787" width="0" style="41" hidden="1" customWidth="1"/>
    <col min="10788" max="11008" width="0" style="41" hidden="1"/>
    <col min="11009" max="11028" width="0" style="41" hidden="1" customWidth="1"/>
    <col min="11029" max="11029" width="1.44140625" style="41" customWidth="1"/>
    <col min="11030" max="11030" width="11.5546875" style="41" customWidth="1"/>
    <col min="11031" max="11031" width="45.33203125" style="41" customWidth="1"/>
    <col min="11032" max="11032" width="4.6640625" style="41" customWidth="1"/>
    <col min="11033" max="11033" width="11.6640625" style="41" customWidth="1"/>
    <col min="11034" max="11034" width="10.33203125" style="41" customWidth="1"/>
    <col min="11035" max="11035" width="11.5546875" style="41" customWidth="1"/>
    <col min="11036" max="11036" width="11.6640625" style="41" customWidth="1"/>
    <col min="11037" max="11037" width="1.44140625" style="41" customWidth="1"/>
    <col min="11038" max="11043" width="0" style="41" hidden="1" customWidth="1"/>
    <col min="11044" max="11264" width="0" style="41" hidden="1"/>
    <col min="11265" max="11284" width="0" style="41" hidden="1" customWidth="1"/>
    <col min="11285" max="11285" width="1.44140625" style="41" customWidth="1"/>
    <col min="11286" max="11286" width="11.5546875" style="41" customWidth="1"/>
    <col min="11287" max="11287" width="45.33203125" style="41" customWidth="1"/>
    <col min="11288" max="11288" width="4.6640625" style="41" customWidth="1"/>
    <col min="11289" max="11289" width="11.6640625" style="41" customWidth="1"/>
    <col min="11290" max="11290" width="10.33203125" style="41" customWidth="1"/>
    <col min="11291" max="11291" width="11.5546875" style="41" customWidth="1"/>
    <col min="11292" max="11292" width="11.6640625" style="41" customWidth="1"/>
    <col min="11293" max="11293" width="1.44140625" style="41" customWidth="1"/>
    <col min="11294" max="11299" width="0" style="41" hidden="1" customWidth="1"/>
    <col min="11300" max="11520" width="0" style="41" hidden="1"/>
    <col min="11521" max="11540" width="0" style="41" hidden="1" customWidth="1"/>
    <col min="11541" max="11541" width="1.44140625" style="41" customWidth="1"/>
    <col min="11542" max="11542" width="11.5546875" style="41" customWidth="1"/>
    <col min="11543" max="11543" width="45.33203125" style="41" customWidth="1"/>
    <col min="11544" max="11544" width="4.6640625" style="41" customWidth="1"/>
    <col min="11545" max="11545" width="11.6640625" style="41" customWidth="1"/>
    <col min="11546" max="11546" width="10.33203125" style="41" customWidth="1"/>
    <col min="11547" max="11547" width="11.5546875" style="41" customWidth="1"/>
    <col min="11548" max="11548" width="11.6640625" style="41" customWidth="1"/>
    <col min="11549" max="11549" width="1.44140625" style="41" customWidth="1"/>
    <col min="11550" max="11555" width="0" style="41" hidden="1" customWidth="1"/>
    <col min="11556" max="11776" width="0" style="41" hidden="1"/>
    <col min="11777" max="11796" width="0" style="41" hidden="1" customWidth="1"/>
    <col min="11797" max="11797" width="1.44140625" style="41" customWidth="1"/>
    <col min="11798" max="11798" width="11.5546875" style="41" customWidth="1"/>
    <col min="11799" max="11799" width="45.33203125" style="41" customWidth="1"/>
    <col min="11800" max="11800" width="4.6640625" style="41" customWidth="1"/>
    <col min="11801" max="11801" width="11.6640625" style="41" customWidth="1"/>
    <col min="11802" max="11802" width="10.33203125" style="41" customWidth="1"/>
    <col min="11803" max="11803" width="11.5546875" style="41" customWidth="1"/>
    <col min="11804" max="11804" width="11.6640625" style="41" customWidth="1"/>
    <col min="11805" max="11805" width="1.44140625" style="41" customWidth="1"/>
    <col min="11806" max="11811" width="0" style="41" hidden="1" customWidth="1"/>
    <col min="11812" max="12032" width="0" style="41" hidden="1"/>
    <col min="12033" max="12052" width="0" style="41" hidden="1" customWidth="1"/>
    <col min="12053" max="12053" width="1.44140625" style="41" customWidth="1"/>
    <col min="12054" max="12054" width="11.5546875" style="41" customWidth="1"/>
    <col min="12055" max="12055" width="45.33203125" style="41" customWidth="1"/>
    <col min="12056" max="12056" width="4.6640625" style="41" customWidth="1"/>
    <col min="12057" max="12057" width="11.6640625" style="41" customWidth="1"/>
    <col min="12058" max="12058" width="10.33203125" style="41" customWidth="1"/>
    <col min="12059" max="12059" width="11.5546875" style="41" customWidth="1"/>
    <col min="12060" max="12060" width="11.6640625" style="41" customWidth="1"/>
    <col min="12061" max="12061" width="1.44140625" style="41" customWidth="1"/>
    <col min="12062" max="12067" width="0" style="41" hidden="1" customWidth="1"/>
    <col min="12068" max="12288" width="0" style="41" hidden="1"/>
    <col min="12289" max="12308" width="0" style="41" hidden="1" customWidth="1"/>
    <col min="12309" max="12309" width="1.44140625" style="41" customWidth="1"/>
    <col min="12310" max="12310" width="11.5546875" style="41" customWidth="1"/>
    <col min="12311" max="12311" width="45.33203125" style="41" customWidth="1"/>
    <col min="12312" max="12312" width="4.6640625" style="41" customWidth="1"/>
    <col min="12313" max="12313" width="11.6640625" style="41" customWidth="1"/>
    <col min="12314" max="12314" width="10.33203125" style="41" customWidth="1"/>
    <col min="12315" max="12315" width="11.5546875" style="41" customWidth="1"/>
    <col min="12316" max="12316" width="11.6640625" style="41" customWidth="1"/>
    <col min="12317" max="12317" width="1.44140625" style="41" customWidth="1"/>
    <col min="12318" max="12323" width="0" style="41" hidden="1" customWidth="1"/>
    <col min="12324" max="12544" width="0" style="41" hidden="1"/>
    <col min="12545" max="12564" width="0" style="41" hidden="1" customWidth="1"/>
    <col min="12565" max="12565" width="1.44140625" style="41" customWidth="1"/>
    <col min="12566" max="12566" width="11.5546875" style="41" customWidth="1"/>
    <col min="12567" max="12567" width="45.33203125" style="41" customWidth="1"/>
    <col min="12568" max="12568" width="4.6640625" style="41" customWidth="1"/>
    <col min="12569" max="12569" width="11.6640625" style="41" customWidth="1"/>
    <col min="12570" max="12570" width="10.33203125" style="41" customWidth="1"/>
    <col min="12571" max="12571" width="11.5546875" style="41" customWidth="1"/>
    <col min="12572" max="12572" width="11.6640625" style="41" customWidth="1"/>
    <col min="12573" max="12573" width="1.44140625" style="41" customWidth="1"/>
    <col min="12574" max="12579" width="0" style="41" hidden="1" customWidth="1"/>
    <col min="12580" max="12800" width="0" style="41" hidden="1"/>
    <col min="12801" max="12820" width="0" style="41" hidden="1" customWidth="1"/>
    <col min="12821" max="12821" width="1.44140625" style="41" customWidth="1"/>
    <col min="12822" max="12822" width="11.5546875" style="41" customWidth="1"/>
    <col min="12823" max="12823" width="45.33203125" style="41" customWidth="1"/>
    <col min="12824" max="12824" width="4.6640625" style="41" customWidth="1"/>
    <col min="12825" max="12825" width="11.6640625" style="41" customWidth="1"/>
    <col min="12826" max="12826" width="10.33203125" style="41" customWidth="1"/>
    <col min="12827" max="12827" width="11.5546875" style="41" customWidth="1"/>
    <col min="12828" max="12828" width="11.6640625" style="41" customWidth="1"/>
    <col min="12829" max="12829" width="1.44140625" style="41" customWidth="1"/>
    <col min="12830" max="12835" width="0" style="41" hidden="1" customWidth="1"/>
    <col min="12836" max="13056" width="0" style="41" hidden="1"/>
    <col min="13057" max="13076" width="0" style="41" hidden="1" customWidth="1"/>
    <col min="13077" max="13077" width="1.44140625" style="41" customWidth="1"/>
    <col min="13078" max="13078" width="11.5546875" style="41" customWidth="1"/>
    <col min="13079" max="13079" width="45.33203125" style="41" customWidth="1"/>
    <col min="13080" max="13080" width="4.6640625" style="41" customWidth="1"/>
    <col min="13081" max="13081" width="11.6640625" style="41" customWidth="1"/>
    <col min="13082" max="13082" width="10.33203125" style="41" customWidth="1"/>
    <col min="13083" max="13083" width="11.5546875" style="41" customWidth="1"/>
    <col min="13084" max="13084" width="11.6640625" style="41" customWidth="1"/>
    <col min="13085" max="13085" width="1.44140625" style="41" customWidth="1"/>
    <col min="13086" max="13091" width="0" style="41" hidden="1" customWidth="1"/>
    <col min="13092" max="13312" width="0" style="41" hidden="1"/>
    <col min="13313" max="13332" width="0" style="41" hidden="1" customWidth="1"/>
    <col min="13333" max="13333" width="1.44140625" style="41" customWidth="1"/>
    <col min="13334" max="13334" width="11.5546875" style="41" customWidth="1"/>
    <col min="13335" max="13335" width="45.33203125" style="41" customWidth="1"/>
    <col min="13336" max="13336" width="4.6640625" style="41" customWidth="1"/>
    <col min="13337" max="13337" width="11.6640625" style="41" customWidth="1"/>
    <col min="13338" max="13338" width="10.33203125" style="41" customWidth="1"/>
    <col min="13339" max="13339" width="11.5546875" style="41" customWidth="1"/>
    <col min="13340" max="13340" width="11.6640625" style="41" customWidth="1"/>
    <col min="13341" max="13341" width="1.44140625" style="41" customWidth="1"/>
    <col min="13342" max="13347" width="0" style="41" hidden="1" customWidth="1"/>
    <col min="13348" max="13568" width="0" style="41" hidden="1"/>
    <col min="13569" max="13588" width="0" style="41" hidden="1" customWidth="1"/>
    <col min="13589" max="13589" width="1.44140625" style="41" customWidth="1"/>
    <col min="13590" max="13590" width="11.5546875" style="41" customWidth="1"/>
    <col min="13591" max="13591" width="45.33203125" style="41" customWidth="1"/>
    <col min="13592" max="13592" width="4.6640625" style="41" customWidth="1"/>
    <col min="13593" max="13593" width="11.6640625" style="41" customWidth="1"/>
    <col min="13594" max="13594" width="10.33203125" style="41" customWidth="1"/>
    <col min="13595" max="13595" width="11.5546875" style="41" customWidth="1"/>
    <col min="13596" max="13596" width="11.6640625" style="41" customWidth="1"/>
    <col min="13597" max="13597" width="1.44140625" style="41" customWidth="1"/>
    <col min="13598" max="13603" width="0" style="41" hidden="1" customWidth="1"/>
    <col min="13604" max="13824" width="0" style="41" hidden="1"/>
    <col min="13825" max="13844" width="0" style="41" hidden="1" customWidth="1"/>
    <col min="13845" max="13845" width="1.44140625" style="41" customWidth="1"/>
    <col min="13846" max="13846" width="11.5546875" style="41" customWidth="1"/>
    <col min="13847" max="13847" width="45.33203125" style="41" customWidth="1"/>
    <col min="13848" max="13848" width="4.6640625" style="41" customWidth="1"/>
    <col min="13849" max="13849" width="11.6640625" style="41" customWidth="1"/>
    <col min="13850" max="13850" width="10.33203125" style="41" customWidth="1"/>
    <col min="13851" max="13851" width="11.5546875" style="41" customWidth="1"/>
    <col min="13852" max="13852" width="11.6640625" style="41" customWidth="1"/>
    <col min="13853" max="13853" width="1.44140625" style="41" customWidth="1"/>
    <col min="13854" max="13859" width="0" style="41" hidden="1" customWidth="1"/>
    <col min="13860" max="14080" width="0" style="41" hidden="1"/>
    <col min="14081" max="14100" width="0" style="41" hidden="1" customWidth="1"/>
    <col min="14101" max="14101" width="1.44140625" style="41" customWidth="1"/>
    <col min="14102" max="14102" width="11.5546875" style="41" customWidth="1"/>
    <col min="14103" max="14103" width="45.33203125" style="41" customWidth="1"/>
    <col min="14104" max="14104" width="4.6640625" style="41" customWidth="1"/>
    <col min="14105" max="14105" width="11.6640625" style="41" customWidth="1"/>
    <col min="14106" max="14106" width="10.33203125" style="41" customWidth="1"/>
    <col min="14107" max="14107" width="11.5546875" style="41" customWidth="1"/>
    <col min="14108" max="14108" width="11.6640625" style="41" customWidth="1"/>
    <col min="14109" max="14109" width="1.44140625" style="41" customWidth="1"/>
    <col min="14110" max="14115" width="0" style="41" hidden="1" customWidth="1"/>
    <col min="14116" max="14336" width="0" style="41" hidden="1"/>
    <col min="14337" max="14356" width="0" style="41" hidden="1" customWidth="1"/>
    <col min="14357" max="14357" width="1.44140625" style="41" customWidth="1"/>
    <col min="14358" max="14358" width="11.5546875" style="41" customWidth="1"/>
    <col min="14359" max="14359" width="45.33203125" style="41" customWidth="1"/>
    <col min="14360" max="14360" width="4.6640625" style="41" customWidth="1"/>
    <col min="14361" max="14361" width="11.6640625" style="41" customWidth="1"/>
    <col min="14362" max="14362" width="10.33203125" style="41" customWidth="1"/>
    <col min="14363" max="14363" width="11.5546875" style="41" customWidth="1"/>
    <col min="14364" max="14364" width="11.6640625" style="41" customWidth="1"/>
    <col min="14365" max="14365" width="1.44140625" style="41" customWidth="1"/>
    <col min="14366" max="14371" width="0" style="41" hidden="1" customWidth="1"/>
    <col min="14372" max="14592" width="0" style="41" hidden="1"/>
    <col min="14593" max="14612" width="0" style="41" hidden="1" customWidth="1"/>
    <col min="14613" max="14613" width="1.44140625" style="41" customWidth="1"/>
    <col min="14614" max="14614" width="11.5546875" style="41" customWidth="1"/>
    <col min="14615" max="14615" width="45.33203125" style="41" customWidth="1"/>
    <col min="14616" max="14616" width="4.6640625" style="41" customWidth="1"/>
    <col min="14617" max="14617" width="11.6640625" style="41" customWidth="1"/>
    <col min="14618" max="14618" width="10.33203125" style="41" customWidth="1"/>
    <col min="14619" max="14619" width="11.5546875" style="41" customWidth="1"/>
    <col min="14620" max="14620" width="11.6640625" style="41" customWidth="1"/>
    <col min="14621" max="14621" width="1.44140625" style="41" customWidth="1"/>
    <col min="14622" max="14627" width="0" style="41" hidden="1" customWidth="1"/>
    <col min="14628" max="14848" width="0" style="41" hidden="1"/>
    <col min="14849" max="14868" width="0" style="41" hidden="1" customWidth="1"/>
    <col min="14869" max="14869" width="1.44140625" style="41" customWidth="1"/>
    <col min="14870" max="14870" width="11.5546875" style="41" customWidth="1"/>
    <col min="14871" max="14871" width="45.33203125" style="41" customWidth="1"/>
    <col min="14872" max="14872" width="4.6640625" style="41" customWidth="1"/>
    <col min="14873" max="14873" width="11.6640625" style="41" customWidth="1"/>
    <col min="14874" max="14874" width="10.33203125" style="41" customWidth="1"/>
    <col min="14875" max="14875" width="11.5546875" style="41" customWidth="1"/>
    <col min="14876" max="14876" width="11.6640625" style="41" customWidth="1"/>
    <col min="14877" max="14877" width="1.44140625" style="41" customWidth="1"/>
    <col min="14878" max="14883" width="0" style="41" hidden="1" customWidth="1"/>
    <col min="14884" max="15104" width="0" style="41" hidden="1"/>
    <col min="15105" max="15124" width="0" style="41" hidden="1" customWidth="1"/>
    <col min="15125" max="15125" width="1.44140625" style="41" customWidth="1"/>
    <col min="15126" max="15126" width="11.5546875" style="41" customWidth="1"/>
    <col min="15127" max="15127" width="45.33203125" style="41" customWidth="1"/>
    <col min="15128" max="15128" width="4.6640625" style="41" customWidth="1"/>
    <col min="15129" max="15129" width="11.6640625" style="41" customWidth="1"/>
    <col min="15130" max="15130" width="10.33203125" style="41" customWidth="1"/>
    <col min="15131" max="15131" width="11.5546875" style="41" customWidth="1"/>
    <col min="15132" max="15132" width="11.6640625" style="41" customWidth="1"/>
    <col min="15133" max="15133" width="1.44140625" style="41" customWidth="1"/>
    <col min="15134" max="15139" width="0" style="41" hidden="1" customWidth="1"/>
    <col min="15140" max="15360" width="0" style="41" hidden="1"/>
    <col min="15361" max="15380" width="0" style="41" hidden="1" customWidth="1"/>
    <col min="15381" max="15381" width="1.44140625" style="41" customWidth="1"/>
    <col min="15382" max="15382" width="11.5546875" style="41" customWidth="1"/>
    <col min="15383" max="15383" width="45.33203125" style="41" customWidth="1"/>
    <col min="15384" max="15384" width="4.6640625" style="41" customWidth="1"/>
    <col min="15385" max="15385" width="11.6640625" style="41" customWidth="1"/>
    <col min="15386" max="15386" width="10.33203125" style="41" customWidth="1"/>
    <col min="15387" max="15387" width="11.5546875" style="41" customWidth="1"/>
    <col min="15388" max="15388" width="11.6640625" style="41" customWidth="1"/>
    <col min="15389" max="15389" width="1.44140625" style="41" customWidth="1"/>
    <col min="15390" max="15395" width="0" style="41" hidden="1" customWidth="1"/>
    <col min="15396" max="15616" width="0" style="41" hidden="1"/>
    <col min="15617" max="15636" width="0" style="41" hidden="1" customWidth="1"/>
    <col min="15637" max="15637" width="1.44140625" style="41" customWidth="1"/>
    <col min="15638" max="15638" width="11.5546875" style="41" customWidth="1"/>
    <col min="15639" max="15639" width="45.33203125" style="41" customWidth="1"/>
    <col min="15640" max="15640" width="4.6640625" style="41" customWidth="1"/>
    <col min="15641" max="15641" width="11.6640625" style="41" customWidth="1"/>
    <col min="15642" max="15642" width="10.33203125" style="41" customWidth="1"/>
    <col min="15643" max="15643" width="11.5546875" style="41" customWidth="1"/>
    <col min="15644" max="15644" width="11.6640625" style="41" customWidth="1"/>
    <col min="15645" max="15645" width="1.44140625" style="41" customWidth="1"/>
    <col min="15646" max="15651" width="0" style="41" hidden="1" customWidth="1"/>
    <col min="15652" max="15872" width="0" style="41" hidden="1"/>
    <col min="15873" max="15892" width="0" style="41" hidden="1" customWidth="1"/>
    <col min="15893" max="15893" width="1.44140625" style="41" customWidth="1"/>
    <col min="15894" max="15894" width="11.5546875" style="41" customWidth="1"/>
    <col min="15895" max="15895" width="45.33203125" style="41" customWidth="1"/>
    <col min="15896" max="15896" width="4.6640625" style="41" customWidth="1"/>
    <col min="15897" max="15897" width="11.6640625" style="41" customWidth="1"/>
    <col min="15898" max="15898" width="10.33203125" style="41" customWidth="1"/>
    <col min="15899" max="15899" width="11.5546875" style="41" customWidth="1"/>
    <col min="15900" max="15900" width="11.6640625" style="41" customWidth="1"/>
    <col min="15901" max="15901" width="1.44140625" style="41" customWidth="1"/>
    <col min="15902" max="15907" width="0" style="41" hidden="1" customWidth="1"/>
    <col min="15908" max="16128" width="0" style="41" hidden="1"/>
    <col min="16129" max="16148" width="0" style="41" hidden="1" customWidth="1"/>
    <col min="16149" max="16149" width="1.44140625" style="41" customWidth="1"/>
    <col min="16150" max="16150" width="11.5546875" style="41" customWidth="1"/>
    <col min="16151" max="16151" width="45.33203125" style="41" customWidth="1"/>
    <col min="16152" max="16152" width="4.6640625" style="41" customWidth="1"/>
    <col min="16153" max="16153" width="11.6640625" style="41" customWidth="1"/>
    <col min="16154" max="16154" width="10.33203125" style="41" customWidth="1"/>
    <col min="16155" max="16155" width="11.5546875" style="41" customWidth="1"/>
    <col min="16156" max="16156" width="11.6640625" style="41" customWidth="1"/>
    <col min="16157" max="16157" width="1.44140625" style="41" customWidth="1"/>
    <col min="16158" max="16163" width="0" style="41" hidden="1" customWidth="1"/>
    <col min="16164" max="16384" width="0" style="41" hidden="1"/>
  </cols>
  <sheetData>
    <row r="1" spans="1:301" s="42" customFormat="1" ht="15" customHeight="1">
      <c r="A1" s="52" t="s">
        <v>224</v>
      </c>
      <c r="B1" s="52" t="s">
        <v>224</v>
      </c>
      <c r="C1" s="52" t="s">
        <v>224</v>
      </c>
      <c r="D1" s="52" t="s">
        <v>224</v>
      </c>
      <c r="E1" s="52" t="s">
        <v>224</v>
      </c>
      <c r="F1" s="52" t="s">
        <v>224</v>
      </c>
      <c r="G1" s="52" t="s">
        <v>224</v>
      </c>
      <c r="H1" s="52" t="s">
        <v>224</v>
      </c>
      <c r="I1" s="52" t="s">
        <v>224</v>
      </c>
      <c r="J1" s="52" t="s">
        <v>224</v>
      </c>
      <c r="K1" s="52" t="s">
        <v>224</v>
      </c>
      <c r="L1" s="52" t="s">
        <v>224</v>
      </c>
      <c r="M1" s="52" t="s">
        <v>224</v>
      </c>
      <c r="N1" s="52" t="s">
        <v>224</v>
      </c>
      <c r="O1" s="52" t="s">
        <v>224</v>
      </c>
      <c r="P1" s="52" t="s">
        <v>224</v>
      </c>
      <c r="Q1" s="52" t="s">
        <v>224</v>
      </c>
      <c r="R1" s="52" t="s">
        <v>224</v>
      </c>
      <c r="S1" s="52" t="s">
        <v>224</v>
      </c>
      <c r="T1" s="52" t="s">
        <v>224</v>
      </c>
      <c r="U1" s="9"/>
      <c r="V1" s="9"/>
      <c r="W1" s="872" t="s">
        <v>225</v>
      </c>
      <c r="X1" s="872"/>
      <c r="Y1" s="872"/>
      <c r="Z1" s="872"/>
      <c r="AA1" s="872"/>
      <c r="AB1" s="9"/>
      <c r="AC1" s="306"/>
      <c r="AD1" s="306"/>
      <c r="AE1" s="306"/>
      <c r="AF1" s="306"/>
      <c r="AG1" s="306"/>
      <c r="AH1" s="306"/>
      <c r="AI1" s="306"/>
      <c r="AJ1" s="306"/>
      <c r="AK1" s="306"/>
      <c r="AL1" s="306"/>
      <c r="AM1" s="306"/>
      <c r="AN1" s="306"/>
      <c r="AO1" s="306"/>
      <c r="AP1" s="306"/>
      <c r="AQ1" s="306"/>
      <c r="AR1" s="306"/>
      <c r="AS1" s="306"/>
      <c r="AT1" s="306"/>
      <c r="AU1" s="306"/>
      <c r="AV1" s="306"/>
      <c r="AW1" s="306"/>
      <c r="AX1" s="306"/>
      <c r="AY1" s="306"/>
      <c r="AZ1" s="306"/>
      <c r="BA1" s="306"/>
      <c r="BB1" s="306"/>
      <c r="BC1" s="306"/>
      <c r="BD1" s="306"/>
      <c r="BE1" s="306"/>
      <c r="BF1" s="306"/>
      <c r="BG1" s="306"/>
      <c r="BH1" s="306"/>
      <c r="BI1" s="306"/>
      <c r="BJ1" s="306"/>
      <c r="BK1" s="306"/>
      <c r="BL1" s="306"/>
      <c r="BM1" s="306"/>
      <c r="BN1" s="306"/>
      <c r="BO1" s="306"/>
      <c r="BP1" s="306"/>
      <c r="BQ1" s="306"/>
      <c r="BR1" s="306"/>
      <c r="BS1" s="306"/>
      <c r="BT1" s="306"/>
      <c r="BU1" s="306"/>
      <c r="BV1" s="306"/>
      <c r="BW1" s="306"/>
      <c r="BX1" s="306"/>
      <c r="BY1" s="306"/>
      <c r="BZ1" s="306"/>
      <c r="CA1" s="306"/>
      <c r="CB1" s="306"/>
      <c r="CC1" s="306"/>
      <c r="CD1" s="306"/>
      <c r="CE1" s="306"/>
      <c r="CF1" s="306"/>
      <c r="CG1" s="306"/>
      <c r="CH1" s="306"/>
      <c r="CI1" s="306"/>
      <c r="CJ1" s="306"/>
      <c r="CK1" s="306"/>
      <c r="CL1" s="306"/>
      <c r="CM1" s="306"/>
      <c r="CN1" s="306"/>
      <c r="CO1" s="306"/>
      <c r="CP1" s="306"/>
      <c r="CQ1" s="306"/>
      <c r="CR1" s="306"/>
      <c r="CS1" s="306"/>
      <c r="CT1" s="306"/>
      <c r="CU1" s="306"/>
      <c r="CV1" s="306"/>
      <c r="CW1" s="306"/>
      <c r="CX1" s="306"/>
      <c r="CY1" s="306"/>
      <c r="CZ1" s="306"/>
      <c r="DA1" s="306"/>
      <c r="DB1" s="306"/>
      <c r="DC1" s="306"/>
      <c r="DD1" s="306"/>
      <c r="DE1" s="306"/>
      <c r="DF1" s="306"/>
      <c r="DG1" s="306"/>
      <c r="DH1" s="306"/>
      <c r="DI1" s="306"/>
      <c r="DJ1" s="306"/>
      <c r="DK1" s="306"/>
      <c r="DL1" s="306"/>
      <c r="DM1" s="306"/>
      <c r="DN1" s="306"/>
      <c r="DO1" s="306"/>
      <c r="DP1" s="306"/>
      <c r="DQ1" s="306"/>
      <c r="DR1" s="306"/>
      <c r="DS1" s="306"/>
      <c r="DT1" s="306"/>
      <c r="DU1" s="306"/>
      <c r="DV1" s="306"/>
      <c r="DW1" s="306"/>
      <c r="DX1" s="306"/>
      <c r="DY1" s="306"/>
      <c r="DZ1" s="306"/>
      <c r="EA1" s="306"/>
      <c r="EB1" s="306"/>
      <c r="EC1" s="306"/>
      <c r="ED1" s="306"/>
      <c r="EE1" s="306"/>
      <c r="EF1" s="306"/>
      <c r="EG1" s="306"/>
      <c r="EH1" s="306"/>
      <c r="EI1" s="306"/>
      <c r="EJ1" s="306"/>
      <c r="EK1" s="306"/>
      <c r="EL1" s="306"/>
      <c r="EM1" s="306"/>
      <c r="EN1" s="306"/>
      <c r="EO1" s="306"/>
      <c r="EP1" s="306"/>
      <c r="EQ1" s="306"/>
      <c r="ER1" s="306"/>
      <c r="ES1" s="306"/>
      <c r="ET1" s="306"/>
      <c r="EU1" s="306"/>
      <c r="EV1" s="306"/>
      <c r="EW1" s="306"/>
      <c r="EX1" s="306"/>
      <c r="EY1" s="306"/>
      <c r="EZ1" s="306"/>
      <c r="FA1" s="306"/>
      <c r="FB1" s="306"/>
      <c r="FC1" s="306"/>
      <c r="FD1" s="306"/>
      <c r="FE1" s="306"/>
      <c r="FF1" s="306"/>
      <c r="FG1" s="306"/>
      <c r="FH1" s="306"/>
      <c r="FI1" s="306"/>
      <c r="FJ1" s="306"/>
      <c r="FK1" s="306"/>
      <c r="FL1" s="306"/>
      <c r="FM1" s="306"/>
      <c r="FN1" s="306"/>
      <c r="FO1" s="306"/>
      <c r="FP1" s="306"/>
      <c r="FQ1" s="306"/>
      <c r="FR1" s="306"/>
      <c r="FS1" s="306"/>
      <c r="FT1" s="306"/>
      <c r="FU1" s="306"/>
      <c r="FV1" s="306"/>
      <c r="FW1" s="306"/>
      <c r="FX1" s="306"/>
      <c r="FY1" s="306"/>
      <c r="FZ1" s="306"/>
      <c r="GA1" s="306"/>
      <c r="GB1" s="306"/>
      <c r="GC1" s="306"/>
      <c r="GD1" s="306"/>
      <c r="GE1" s="306"/>
      <c r="GF1" s="306"/>
      <c r="GG1" s="306"/>
      <c r="GH1" s="306"/>
      <c r="GI1" s="306"/>
      <c r="GJ1" s="306"/>
      <c r="GK1" s="306"/>
      <c r="GL1" s="306"/>
      <c r="GM1" s="306"/>
      <c r="GN1" s="306"/>
      <c r="GO1" s="306"/>
      <c r="GP1" s="306"/>
      <c r="GQ1" s="306"/>
      <c r="GR1" s="306"/>
      <c r="GS1" s="306"/>
      <c r="GT1" s="306"/>
      <c r="GU1" s="306"/>
      <c r="GV1" s="306"/>
      <c r="GW1" s="306"/>
      <c r="GX1" s="306"/>
      <c r="GY1" s="306"/>
      <c r="GZ1" s="306"/>
      <c r="HA1" s="306"/>
      <c r="HB1" s="306"/>
      <c r="HC1" s="306"/>
      <c r="HD1" s="306"/>
      <c r="HE1" s="306"/>
      <c r="HF1" s="306"/>
      <c r="HG1" s="306"/>
      <c r="HH1" s="306"/>
      <c r="HI1" s="306"/>
      <c r="HJ1" s="306"/>
      <c r="HK1" s="306"/>
      <c r="HL1" s="306"/>
      <c r="HM1" s="306"/>
      <c r="HN1" s="306"/>
      <c r="HO1" s="306"/>
      <c r="HP1" s="306"/>
      <c r="HQ1" s="306"/>
      <c r="HR1" s="306"/>
      <c r="HS1" s="306"/>
      <c r="HT1" s="306"/>
      <c r="HU1" s="306"/>
      <c r="HV1" s="306"/>
      <c r="HW1" s="306"/>
      <c r="HX1" s="306"/>
      <c r="HY1" s="306"/>
      <c r="HZ1" s="306"/>
      <c r="IA1" s="306"/>
      <c r="IB1" s="306"/>
      <c r="IC1" s="306"/>
      <c r="ID1" s="306"/>
      <c r="IE1" s="306"/>
      <c r="IF1" s="306"/>
      <c r="IG1" s="306"/>
      <c r="IH1" s="306"/>
      <c r="II1" s="306"/>
      <c r="IJ1" s="306"/>
      <c r="IK1" s="306"/>
      <c r="IL1" s="306"/>
      <c r="IM1" s="306"/>
      <c r="IN1" s="306"/>
      <c r="IO1" s="306"/>
      <c r="IP1" s="306"/>
      <c r="IQ1" s="306"/>
      <c r="IR1" s="306"/>
      <c r="IS1" s="306"/>
      <c r="IT1" s="306"/>
      <c r="IU1" s="306"/>
      <c r="IV1" s="306"/>
      <c r="IW1" s="306"/>
      <c r="IX1" s="306"/>
      <c r="IY1" s="306"/>
      <c r="IZ1" s="306"/>
      <c r="JA1" s="306"/>
      <c r="JB1" s="306"/>
      <c r="JC1" s="306"/>
      <c r="JD1" s="306"/>
      <c r="JE1" s="306"/>
      <c r="JF1" s="306"/>
      <c r="JG1" s="306"/>
      <c r="JH1" s="306"/>
      <c r="JI1" s="306"/>
      <c r="JJ1" s="306"/>
      <c r="JK1" s="306"/>
      <c r="JL1" s="306"/>
      <c r="JM1" s="306"/>
      <c r="JN1" s="306"/>
      <c r="JO1" s="306"/>
      <c r="JP1" s="306"/>
      <c r="JQ1" s="411"/>
      <c r="JR1" s="411"/>
      <c r="JS1" s="411"/>
      <c r="JT1" s="411"/>
      <c r="JU1" s="411"/>
      <c r="JV1" s="411"/>
      <c r="JW1" s="411"/>
      <c r="JX1" s="411"/>
      <c r="JY1" s="411"/>
      <c r="JZ1" s="411"/>
      <c r="KA1" s="411"/>
      <c r="KB1" s="411"/>
      <c r="KC1" s="411"/>
      <c r="KD1" s="411"/>
      <c r="KE1" s="411"/>
      <c r="KF1" s="411"/>
      <c r="KG1" s="411"/>
      <c r="KH1" s="408"/>
      <c r="KI1" s="408"/>
      <c r="KJ1" s="408"/>
      <c r="KK1" s="408"/>
      <c r="KL1" s="408"/>
      <c r="KM1" s="408"/>
      <c r="KN1" s="408"/>
      <c r="KO1" s="408"/>
    </row>
    <row r="2" spans="1:301" ht="37.5" customHeight="1">
      <c r="A2" s="53"/>
      <c r="D2" s="859" t="str">
        <f>W2</f>
        <v>WORKOVER SECTION</v>
      </c>
      <c r="E2" s="860"/>
      <c r="F2" s="860"/>
      <c r="G2" s="860"/>
      <c r="H2" s="861"/>
      <c r="I2" s="862"/>
      <c r="J2" s="863"/>
      <c r="L2" s="53"/>
      <c r="T2" s="44" t="e">
        <f ca="1">OFFSET($V$2,,,$T$3+2,7)</f>
        <v>#VALUE!</v>
      </c>
      <c r="U2" t="e">
        <f ca="1">OFFSET($V$2,,,$T$3+1,7)</f>
        <v>#VALUE!</v>
      </c>
      <c r="V2" s="787"/>
      <c r="W2" s="864" t="s">
        <v>447</v>
      </c>
      <c r="X2" s="865"/>
      <c r="Y2" s="865"/>
      <c r="Z2" s="865"/>
      <c r="AA2" s="866"/>
      <c r="AB2" s="867"/>
      <c r="AC2" s="236"/>
      <c r="AD2" s="236"/>
      <c r="AE2" s="236"/>
      <c r="AF2" s="236"/>
      <c r="AG2" s="236"/>
      <c r="AH2" s="236"/>
      <c r="AI2" s="236"/>
      <c r="AJ2" s="236"/>
      <c r="AK2" s="236"/>
      <c r="AL2" s="236"/>
      <c r="AM2" s="236"/>
      <c r="AN2" s="236"/>
      <c r="AO2" s="236"/>
      <c r="AP2" s="236"/>
      <c r="AQ2" s="236"/>
      <c r="AR2" s="236"/>
      <c r="AS2" s="236"/>
      <c r="AT2" s="236"/>
      <c r="AU2" s="236"/>
      <c r="AV2" s="236"/>
      <c r="AW2" s="236"/>
      <c r="AX2" s="236"/>
      <c r="AY2" s="236"/>
      <c r="AZ2" s="236"/>
      <c r="BA2" s="236"/>
      <c r="BB2" s="236"/>
      <c r="BC2" s="236"/>
      <c r="BD2" s="236"/>
      <c r="BE2" s="236"/>
      <c r="BF2" s="236"/>
      <c r="BG2" s="236"/>
      <c r="BH2" s="236"/>
      <c r="BI2" s="236"/>
      <c r="BJ2" s="236"/>
      <c r="BK2" s="236"/>
      <c r="BL2" s="236"/>
      <c r="BM2" s="236"/>
      <c r="BN2" s="236"/>
      <c r="BO2" s="236"/>
      <c r="BP2" s="236"/>
      <c r="BQ2" s="236"/>
      <c r="BR2" s="236"/>
      <c r="BS2" s="236"/>
      <c r="BT2" s="236"/>
      <c r="BU2" s="236"/>
      <c r="BV2" s="236"/>
      <c r="BW2" s="236"/>
      <c r="BX2" s="236"/>
      <c r="BY2" s="236"/>
      <c r="BZ2" s="236"/>
      <c r="CA2" s="236"/>
      <c r="CB2" s="236"/>
      <c r="CC2" s="236"/>
      <c r="CD2" s="236"/>
      <c r="CE2" s="236"/>
      <c r="CF2" s="236"/>
      <c r="CG2" s="236"/>
      <c r="CH2" s="236"/>
      <c r="CI2" s="236"/>
      <c r="CJ2" s="236"/>
      <c r="CK2" s="236"/>
      <c r="CL2" s="236"/>
      <c r="CM2" s="236"/>
      <c r="CN2" s="236"/>
      <c r="CO2" s="236"/>
      <c r="CP2" s="236"/>
      <c r="CQ2" s="236"/>
      <c r="CR2" s="236"/>
      <c r="CS2" s="236"/>
      <c r="CT2" s="236"/>
      <c r="CU2" s="236"/>
      <c r="CV2" s="236"/>
      <c r="CW2" s="236"/>
      <c r="CX2" s="236"/>
      <c r="CY2" s="236"/>
      <c r="CZ2" s="236"/>
      <c r="DA2" s="236"/>
      <c r="DB2" s="236"/>
      <c r="DC2" s="236"/>
      <c r="DD2" s="236"/>
      <c r="DE2" s="236"/>
      <c r="DF2" s="236"/>
      <c r="DG2" s="236"/>
      <c r="DH2" s="236"/>
      <c r="DI2" s="236"/>
      <c r="DJ2" s="236"/>
      <c r="DK2" s="236"/>
      <c r="DL2" s="236"/>
      <c r="DM2" s="236"/>
      <c r="DN2" s="236"/>
      <c r="DO2" s="236"/>
      <c r="DP2" s="236"/>
      <c r="DQ2" s="236"/>
      <c r="DR2" s="236"/>
      <c r="DS2" s="236"/>
      <c r="DT2" s="236"/>
      <c r="DU2" s="236"/>
      <c r="DV2" s="236"/>
      <c r="DW2" s="236"/>
      <c r="DX2" s="236"/>
      <c r="DY2" s="236"/>
      <c r="DZ2" s="236"/>
      <c r="EA2" s="236"/>
      <c r="EB2" s="236"/>
      <c r="EC2" s="236"/>
      <c r="ED2" s="236"/>
      <c r="EE2" s="236"/>
      <c r="EF2" s="236"/>
      <c r="EG2" s="236"/>
      <c r="EH2" s="236"/>
      <c r="EI2" s="236"/>
      <c r="EJ2" s="236"/>
      <c r="EK2" s="236"/>
      <c r="EL2" s="236"/>
      <c r="EM2" s="236"/>
      <c r="EN2" s="236"/>
      <c r="EO2" s="236"/>
      <c r="EP2" s="236"/>
      <c r="EQ2" s="236"/>
      <c r="ER2" s="236"/>
      <c r="ES2" s="236"/>
      <c r="ET2" s="236"/>
      <c r="EU2" s="236"/>
      <c r="EV2" s="236"/>
      <c r="EW2" s="236"/>
      <c r="EX2" s="236"/>
      <c r="EY2" s="236"/>
      <c r="EZ2" s="236"/>
      <c r="FA2" s="236"/>
      <c r="FB2" s="236"/>
      <c r="FC2" s="236"/>
      <c r="FD2" s="236"/>
      <c r="FE2" s="236"/>
      <c r="FF2" s="236"/>
      <c r="FG2" s="236"/>
      <c r="FH2" s="236"/>
      <c r="FI2" s="236"/>
      <c r="FJ2" s="236"/>
      <c r="FK2" s="236"/>
      <c r="FL2" s="236"/>
      <c r="FM2" s="236"/>
      <c r="FN2" s="236"/>
      <c r="FO2" s="236"/>
      <c r="FP2" s="236"/>
      <c r="FQ2" s="236"/>
      <c r="FR2" s="236"/>
      <c r="FS2" s="236"/>
      <c r="FT2" s="236"/>
      <c r="FU2" s="236"/>
      <c r="FV2" s="236"/>
      <c r="FW2" s="236"/>
      <c r="FX2" s="236"/>
      <c r="FY2" s="236"/>
      <c r="FZ2" s="236"/>
      <c r="GA2" s="236"/>
      <c r="GB2" s="236"/>
      <c r="GC2" s="236"/>
      <c r="GD2" s="236"/>
      <c r="GE2" s="236"/>
      <c r="GF2" s="236"/>
      <c r="GG2" s="236"/>
      <c r="GH2" s="236"/>
      <c r="GI2" s="236"/>
      <c r="GJ2" s="236"/>
      <c r="GK2" s="236"/>
      <c r="GL2" s="236"/>
      <c r="GM2" s="236"/>
      <c r="GN2" s="236"/>
      <c r="GO2" s="236"/>
      <c r="GP2" s="236"/>
      <c r="GQ2" s="236"/>
      <c r="GR2" s="236"/>
      <c r="GS2" s="236"/>
      <c r="GT2" s="236"/>
      <c r="GU2" s="236"/>
      <c r="GV2" s="236"/>
      <c r="GW2" s="236"/>
      <c r="GX2" s="236"/>
      <c r="GY2" s="236"/>
      <c r="GZ2" s="236"/>
      <c r="HA2" s="236"/>
      <c r="HB2" s="236"/>
      <c r="HC2" s="236"/>
      <c r="HD2" s="236"/>
      <c r="HE2" s="236"/>
      <c r="HF2" s="236"/>
      <c r="HG2" s="236"/>
      <c r="HH2" s="236"/>
      <c r="HI2" s="236"/>
      <c r="HJ2" s="236"/>
      <c r="HK2" s="236"/>
      <c r="HL2" s="236"/>
      <c r="HM2" s="236"/>
      <c r="HN2" s="236"/>
      <c r="HO2" s="236"/>
      <c r="HP2" s="236"/>
      <c r="HQ2" s="236"/>
      <c r="HR2" s="236"/>
      <c r="HS2" s="236"/>
      <c r="HT2" s="236"/>
      <c r="HU2" s="236"/>
      <c r="HV2" s="236"/>
      <c r="HW2" s="236"/>
      <c r="HX2" s="236"/>
      <c r="HY2" s="236"/>
      <c r="HZ2" s="236"/>
      <c r="IA2" s="236"/>
      <c r="IB2" s="236"/>
      <c r="IC2" s="236"/>
      <c r="ID2" s="236"/>
      <c r="IE2" s="236"/>
      <c r="IF2" s="236"/>
      <c r="IG2" s="236"/>
      <c r="IH2" s="236"/>
      <c r="II2" s="236"/>
      <c r="IJ2" s="236"/>
      <c r="IK2" s="236"/>
      <c r="IL2" s="236"/>
      <c r="IM2" s="236"/>
      <c r="IN2" s="236"/>
      <c r="IO2" s="236"/>
      <c r="IP2" s="236"/>
      <c r="IQ2" s="236"/>
      <c r="IR2" s="236"/>
      <c r="IS2" s="236"/>
      <c r="IT2" s="236"/>
      <c r="IU2" s="236"/>
      <c r="IV2" s="236"/>
      <c r="IW2" s="236"/>
      <c r="IX2" s="236"/>
      <c r="IY2" s="236"/>
      <c r="IZ2" s="236"/>
      <c r="JA2" s="236"/>
      <c r="JB2" s="236"/>
      <c r="JC2" s="236"/>
      <c r="JD2" s="236"/>
      <c r="JE2" s="236"/>
      <c r="JF2" s="236"/>
      <c r="JG2" s="236"/>
      <c r="JH2" s="236"/>
      <c r="JI2" s="236"/>
      <c r="JJ2" s="236"/>
      <c r="JK2" s="236"/>
      <c r="JL2" s="236"/>
      <c r="JM2" s="236"/>
      <c r="JN2" s="236"/>
      <c r="JO2" s="236"/>
      <c r="JP2" s="236"/>
      <c r="JQ2" s="41" t="s">
        <v>449</v>
      </c>
      <c r="JR2" s="411"/>
      <c r="JS2" s="411"/>
      <c r="JT2" s="411"/>
      <c r="JU2" s="411"/>
      <c r="JV2" s="411"/>
      <c r="JW2" s="411"/>
      <c r="KH2" s="411" t="s">
        <v>272</v>
      </c>
    </row>
    <row r="3" spans="1:301" ht="21" customHeight="1">
      <c r="A3" s="54" t="s">
        <v>381</v>
      </c>
      <c r="B3" s="55" t="s">
        <v>380</v>
      </c>
      <c r="D3" s="55">
        <v>5</v>
      </c>
      <c r="E3" s="55">
        <v>3</v>
      </c>
      <c r="F3" s="55"/>
      <c r="H3" s="55" t="s">
        <v>226</v>
      </c>
      <c r="I3" s="55" t="s">
        <v>227</v>
      </c>
      <c r="J3" s="55" t="s">
        <v>228</v>
      </c>
      <c r="L3" s="54"/>
      <c r="M3" s="54"/>
      <c r="N3" s="54"/>
      <c r="O3" s="54"/>
      <c r="P3" s="54"/>
      <c r="Q3" s="54"/>
      <c r="R3" s="54"/>
      <c r="S3" s="55"/>
      <c r="T3" s="44">
        <f ca="1">COUNTIF($Q$4:$Q$226,"&gt;0")+10</f>
        <v>38</v>
      </c>
      <c r="U3"/>
      <c r="V3" s="787"/>
      <c r="W3" s="868"/>
      <c r="X3" s="868"/>
      <c r="Y3" s="869" t="s">
        <v>433</v>
      </c>
      <c r="Z3" s="869"/>
      <c r="AA3" s="869"/>
      <c r="AB3" s="867"/>
      <c r="AC3" s="236"/>
      <c r="AD3" s="236"/>
      <c r="AE3" s="236"/>
      <c r="AF3" s="236"/>
      <c r="AG3" s="236"/>
      <c r="AH3" s="236"/>
      <c r="AI3" s="236"/>
      <c r="AJ3" s="236"/>
      <c r="AK3" s="236"/>
      <c r="AL3" s="236"/>
      <c r="AM3" s="236"/>
      <c r="AN3" s="236"/>
      <c r="AO3" s="236"/>
      <c r="AP3" s="236"/>
      <c r="AQ3" s="236"/>
      <c r="AR3" s="236"/>
      <c r="AS3" s="236"/>
      <c r="AT3" s="236"/>
      <c r="AU3" s="236"/>
      <c r="AV3" s="236"/>
      <c r="AW3" s="236"/>
      <c r="AX3" s="236"/>
      <c r="AY3" s="236"/>
      <c r="AZ3" s="236"/>
      <c r="BA3" s="236"/>
      <c r="BB3" s="236"/>
      <c r="BC3" s="236"/>
      <c r="BD3" s="236"/>
      <c r="BE3" s="236"/>
      <c r="BF3" s="236"/>
      <c r="BG3" s="236"/>
      <c r="BH3" s="236"/>
      <c r="BI3" s="236"/>
      <c r="BJ3" s="236"/>
      <c r="BK3" s="236"/>
      <c r="BL3" s="236"/>
      <c r="BM3" s="236"/>
      <c r="BN3" s="236"/>
      <c r="BO3" s="236"/>
      <c r="BP3" s="236"/>
      <c r="BQ3" s="236"/>
      <c r="BR3" s="236"/>
      <c r="BS3" s="236"/>
      <c r="BT3" s="236"/>
      <c r="BU3" s="236"/>
      <c r="BV3" s="236"/>
      <c r="BW3" s="236"/>
      <c r="BX3" s="236"/>
      <c r="BY3" s="236"/>
      <c r="BZ3" s="236"/>
      <c r="CA3" s="236"/>
      <c r="CB3" s="236"/>
      <c r="CC3" s="236"/>
      <c r="CD3" s="236"/>
      <c r="CE3" s="236"/>
      <c r="CF3" s="236"/>
      <c r="CG3" s="236"/>
      <c r="CH3" s="236"/>
      <c r="CI3" s="236"/>
      <c r="CJ3" s="236"/>
      <c r="CK3" s="236"/>
      <c r="CL3" s="236"/>
      <c r="CM3" s="236"/>
      <c r="CN3" s="236"/>
      <c r="CO3" s="236"/>
      <c r="CP3" s="236"/>
      <c r="CQ3" s="236"/>
      <c r="CR3" s="236"/>
      <c r="CS3" s="236"/>
      <c r="CT3" s="236"/>
      <c r="CU3" s="236"/>
      <c r="CV3" s="236"/>
      <c r="CW3" s="236"/>
      <c r="CX3" s="236"/>
      <c r="CY3" s="236"/>
      <c r="CZ3" s="236"/>
      <c r="DA3" s="236"/>
      <c r="DB3" s="236"/>
      <c r="DC3" s="236"/>
      <c r="DD3" s="236"/>
      <c r="DE3" s="236"/>
      <c r="DF3" s="236"/>
      <c r="DG3" s="236"/>
      <c r="DH3" s="236"/>
      <c r="DI3" s="236"/>
      <c r="DJ3" s="236"/>
      <c r="DK3" s="236"/>
      <c r="DL3" s="236"/>
      <c r="DM3" s="236"/>
      <c r="DN3" s="236"/>
      <c r="DO3" s="236"/>
      <c r="DP3" s="236"/>
      <c r="DQ3" s="236"/>
      <c r="DR3" s="236"/>
      <c r="DS3" s="236"/>
      <c r="DT3" s="236"/>
      <c r="DU3" s="236"/>
      <c r="DV3" s="236"/>
      <c r="DW3" s="236"/>
      <c r="DX3" s="236"/>
      <c r="DY3" s="236"/>
      <c r="DZ3" s="236"/>
      <c r="EA3" s="236"/>
      <c r="EB3" s="236"/>
      <c r="EC3" s="236"/>
      <c r="ED3" s="236"/>
      <c r="EE3" s="236"/>
      <c r="EF3" s="236"/>
      <c r="EG3" s="236"/>
      <c r="EH3" s="236"/>
      <c r="EI3" s="236"/>
      <c r="EJ3" s="236"/>
      <c r="EK3" s="236"/>
      <c r="EL3" s="236"/>
      <c r="EM3" s="236"/>
      <c r="EN3" s="236"/>
      <c r="EO3" s="236"/>
      <c r="EP3" s="236"/>
      <c r="EQ3" s="236"/>
      <c r="ER3" s="236"/>
      <c r="ES3" s="236"/>
      <c r="ET3" s="236"/>
      <c r="EU3" s="236"/>
      <c r="EV3" s="236"/>
      <c r="EW3" s="236"/>
      <c r="EX3" s="236"/>
      <c r="EY3" s="236"/>
      <c r="EZ3" s="236"/>
      <c r="FA3" s="236"/>
      <c r="FB3" s="236"/>
      <c r="FC3" s="236"/>
      <c r="FD3" s="236"/>
      <c r="FE3" s="236"/>
      <c r="FF3" s="236"/>
      <c r="FG3" s="236"/>
      <c r="FH3" s="236"/>
      <c r="FI3" s="236"/>
      <c r="FJ3" s="236"/>
      <c r="FK3" s="236"/>
      <c r="FL3" s="236"/>
      <c r="FM3" s="236"/>
      <c r="FN3" s="236"/>
      <c r="FO3" s="236"/>
      <c r="FP3" s="236"/>
      <c r="FQ3" s="236"/>
      <c r="FR3" s="236"/>
      <c r="FS3" s="236"/>
      <c r="FT3" s="236"/>
      <c r="FU3" s="236"/>
      <c r="FV3" s="236"/>
      <c r="FW3" s="236"/>
      <c r="FX3" s="236"/>
      <c r="FY3" s="236"/>
      <c r="FZ3" s="236"/>
      <c r="GA3" s="236"/>
      <c r="GB3" s="236"/>
      <c r="GC3" s="236"/>
      <c r="GD3" s="236"/>
      <c r="GE3" s="236"/>
      <c r="GF3" s="236"/>
      <c r="GG3" s="236"/>
      <c r="GH3" s="236"/>
      <c r="GI3" s="236"/>
      <c r="GJ3" s="236"/>
      <c r="GK3" s="236"/>
      <c r="GL3" s="236"/>
      <c r="GM3" s="236"/>
      <c r="GN3" s="236"/>
      <c r="GO3" s="236"/>
      <c r="GP3" s="236"/>
      <c r="GQ3" s="236"/>
      <c r="GR3" s="236"/>
      <c r="GS3" s="236"/>
      <c r="GT3" s="236"/>
      <c r="GU3" s="236"/>
      <c r="GV3" s="236"/>
      <c r="GW3" s="236"/>
      <c r="GX3" s="236"/>
      <c r="GY3" s="236"/>
      <c r="GZ3" s="236"/>
      <c r="HA3" s="236"/>
      <c r="HB3" s="236"/>
      <c r="HC3" s="236"/>
      <c r="HD3" s="236"/>
      <c r="HE3" s="236"/>
      <c r="HF3" s="236"/>
      <c r="HG3" s="236"/>
      <c r="HH3" s="236"/>
      <c r="HI3" s="236"/>
      <c r="HJ3" s="236"/>
      <c r="HK3" s="236"/>
      <c r="HL3" s="236"/>
      <c r="HM3" s="236"/>
      <c r="HN3" s="236"/>
      <c r="HO3" s="236"/>
      <c r="HP3" s="236"/>
      <c r="HQ3" s="236"/>
      <c r="HR3" s="236"/>
      <c r="HS3" s="236"/>
      <c r="HT3" s="236"/>
      <c r="HU3" s="236"/>
      <c r="HV3" s="236"/>
      <c r="HW3" s="236"/>
      <c r="HX3" s="236"/>
      <c r="HY3" s="236"/>
      <c r="HZ3" s="236"/>
      <c r="IA3" s="236"/>
      <c r="IB3" s="236"/>
      <c r="IC3" s="236"/>
      <c r="ID3" s="236"/>
      <c r="IE3" s="236"/>
      <c r="IF3" s="236"/>
      <c r="IG3" s="236"/>
      <c r="IH3" s="236"/>
      <c r="II3" s="236"/>
      <c r="IJ3" s="236"/>
      <c r="IK3" s="236"/>
      <c r="IL3" s="236"/>
      <c r="IM3" s="236"/>
      <c r="IN3" s="236"/>
      <c r="IO3" s="236"/>
      <c r="IP3" s="236"/>
      <c r="IQ3" s="236"/>
      <c r="IR3" s="236"/>
      <c r="IS3" s="236"/>
      <c r="IT3" s="236"/>
      <c r="IU3" s="236"/>
      <c r="IV3" s="236"/>
      <c r="IW3" s="236"/>
      <c r="IX3" s="236"/>
      <c r="IY3" s="236"/>
      <c r="IZ3" s="236"/>
      <c r="JA3" s="236"/>
      <c r="JB3" s="236"/>
      <c r="JC3" s="236"/>
      <c r="JD3" s="236"/>
      <c r="JE3" s="236"/>
      <c r="JF3" s="236"/>
      <c r="JG3" s="236"/>
      <c r="JH3" s="236"/>
      <c r="JI3" s="236"/>
      <c r="JJ3" s="236"/>
      <c r="JK3" s="236"/>
      <c r="JL3" s="236"/>
      <c r="JM3" s="236"/>
      <c r="JN3" s="236"/>
      <c r="JO3" s="236"/>
      <c r="JP3" s="236"/>
      <c r="JQ3" s="411"/>
      <c r="JR3" s="411"/>
      <c r="JS3" s="411"/>
      <c r="JT3" s="411"/>
      <c r="JU3" s="411"/>
      <c r="JV3" s="411"/>
      <c r="JW3" s="411"/>
      <c r="KH3" s="411" t="str">
        <f>""&amp;W2&amp;""&amp;'1_INPUT'!$E$14&amp;""</f>
        <v>WORKOVER SECTIONSPA-034</v>
      </c>
    </row>
    <row r="4" spans="1:301" ht="12.9" customHeight="1">
      <c r="A4" s="214" t="s">
        <v>229</v>
      </c>
      <c r="B4" s="55">
        <v>9</v>
      </c>
      <c r="C4"/>
      <c r="D4" s="57" t="str">
        <f ca="1">INDIRECT(ADDRESS(ROWS($D$3:D3)+6,D$3,1,1,"3_TIME SUM"))</f>
        <v>R/U</v>
      </c>
      <c r="E4" s="82" t="str">
        <f ca="1">INDIRECT(ADDRESS(ROWS($E$3:E3)+6,E$3,1,1,"3_TIME SUM"))</f>
        <v>Rig Up and Tear Down</v>
      </c>
      <c r="F4" s="57" t="str">
        <f ca="1">IF(D4="","",""&amp;E4&amp;" : "&amp;D4&amp;"")</f>
        <v>Rig Up and Tear Down : R/U</v>
      </c>
      <c r="G4" s="58" t="str">
        <f ca="1">VLOOKUP($D4,INDIRECT(ADDRESS(7,5,1,1,"3_TIME SUM")):INDIRECT(ADDRESS(200,7,1,1,"3_TIME SUM")),2,FALSE)</f>
        <v>1a</v>
      </c>
      <c r="H4" s="58" t="str">
        <f ca="1">IF(VLOOKUP($D4,INDIRECT(ADDRESS(7,5,1,1,"3_TIME SUM")):INDIRECT(ADDRESS(200,7,1,1,"3_TIME SUM")),3,FALSE)="","PT",VLOOKUP($D4,INDIRECT(ADDRESS(7,5,1,1,"3_TIME SUM")):INDIRECT(ADDRESS(200,7,1,1,"3_TIME SUM")),3,FALSE))</f>
        <v>PT</v>
      </c>
      <c r="I4" s="59">
        <f ca="1">IFERROR(IF(AND($D$2="NON PRODUCTIVE TIME",$H4="NPT"),SUMIF(INDIRECT(ADDRESS(8,COLUMN('2_DATA'!$M$9),1,1,"2_DATA")):INDIRECT(ADDRESS(3000,COLUMN('2_DATA'!$M$9),1,1,"2_DATA")),$G4,INDIRECT(ADDRESS(8,COLUMN('2_DATA'!$N$9),1,1,"2_DATA")):INDIRECT(ADDRESS(3000,COLUMN('2_DATA'!$N$9),1,1,"2_DATA"))),IF($D$2="ALL ACTIVITY",SUMIF(INDIRECT(ADDRESS(9,COLUMN('2_DATA'!$M$9),1,1,"2_DATA")):INDIRECT(ADDRESS(3000,COLUMN('2_DATA'!$M$9),1,1,"2_DATA")),$G4,INDIRECT(ADDRESS(9,COLUMN('2_DATA'!$N$9),1,1,"2_DATA")):INDIRECT(ADDRESS(3000,COLUMN('2_DATA'!$N$9),1,1,"2_DATA"))),SUMIF(INDIRECT(ADDRESS(OFFSET($A$3,MATCH($D$2,$A$4:$A$16,0)-1,1,,)+1,COLUMN('2_DATA'!$M$9),1,1,"2_DATA")):INDIRECT(ADDRESS(VLOOKUP($D$2,$A$4:$B$16,2,FALSE)-1,COLUMN('2_DATA'!$M$9),1,1,"2_DATA")),$G4,INDIRECT(ADDRESS(OFFSET($A$3,MATCH($D$2,$A$4:$A$16,0)-1,1,,)+1,COLUMN('2_DATA'!$N$9),1,1,"2_DATA")):INDIRECT(ADDRESS(VLOOKUP($D$2,$A$4:$B$16,2,FALSE)-1,COLUMN('2_DATA'!$N$9),1,1,"2_DATA"))))),0)</f>
        <v>0</v>
      </c>
      <c r="J4" s="58" t="str">
        <f ca="1">IF(I4=0,"",MAX($J$3:J3)+1)</f>
        <v/>
      </c>
      <c r="L4" s="55">
        <f t="shared" ref="L4:L67" ca="1" si="0">IF(ISNUMBER((LEFT($G4,1))/1),1000,IF(ISTEXT((LEFT($G4,1))),2000,""))</f>
        <v>1000</v>
      </c>
      <c r="M4" s="55" t="str">
        <f ca="1">IFERROR(L4+J4,"")</f>
        <v/>
      </c>
      <c r="N4" s="60" t="s">
        <v>230</v>
      </c>
      <c r="O4" s="61">
        <v>1000</v>
      </c>
      <c r="P4" s="55">
        <f t="shared" ref="P4:P67" ca="1" si="1">COUNTIF($O$4:$O$226,"&lt;="&amp;O4)</f>
        <v>1</v>
      </c>
      <c r="Q4" s="55">
        <f ca="1">IFERROR(INDEX($O$4:$P$226,MATCH(ROWS($Q$3:Q3),$P$4:$P$226,0),1),"-")</f>
        <v>1000</v>
      </c>
      <c r="R4" s="62" t="str">
        <f t="shared" ref="R4:R67" ca="1" si="2">IFERROR(IF(ISNA(INDEX($N$4:$O$5,MATCH(Q4,$O$4:$O$5,0),1)),INDEX($F$4:$M$226,MATCH(Q4,$M$4:$M$226,0),1),INDEX($N$4:$O$5,MATCH(Q4,$O$4:$O$5,0),1)),"")</f>
        <v>DRY HOLE BASE</v>
      </c>
      <c r="S4" s="55">
        <f ca="1">IFERROR(Q4-ROUND(Q4/1000,0)*1000,"")</f>
        <v>0</v>
      </c>
      <c r="U4"/>
      <c r="V4" s="216"/>
      <c r="W4" s="217"/>
      <c r="X4" s="217"/>
      <c r="Y4" s="217"/>
      <c r="Z4" s="217"/>
      <c r="AA4" s="217"/>
      <c r="AB4" s="218"/>
      <c r="AC4" s="236"/>
      <c r="AD4" s="236"/>
      <c r="AE4" s="236"/>
      <c r="AF4" s="236"/>
      <c r="AG4" s="236"/>
      <c r="AH4" s="236"/>
      <c r="AI4" s="236"/>
      <c r="AJ4" s="236"/>
      <c r="AK4" s="236"/>
      <c r="AL4" s="236"/>
      <c r="AM4" s="236"/>
      <c r="AN4" s="236"/>
      <c r="AO4" s="236"/>
      <c r="AP4" s="236"/>
      <c r="AQ4" s="236"/>
      <c r="AR4" s="236"/>
      <c r="AS4" s="236"/>
      <c r="AT4" s="236"/>
      <c r="AU4" s="236"/>
      <c r="AV4" s="236"/>
      <c r="AW4" s="236"/>
      <c r="AX4" s="236"/>
      <c r="AY4" s="236"/>
      <c r="AZ4" s="236"/>
      <c r="BA4" s="236"/>
      <c r="BB4" s="236"/>
      <c r="BC4" s="236"/>
      <c r="BD4" s="236"/>
      <c r="BE4" s="236"/>
      <c r="BF4" s="236"/>
      <c r="BG4" s="236"/>
      <c r="BH4" s="236"/>
      <c r="BI4" s="236"/>
      <c r="BJ4" s="236"/>
      <c r="BK4" s="236"/>
      <c r="BL4" s="236"/>
      <c r="BM4" s="236"/>
      <c r="BN4" s="236"/>
      <c r="BO4" s="236"/>
      <c r="BP4" s="236"/>
      <c r="BQ4" s="236"/>
      <c r="BR4" s="236"/>
      <c r="BS4" s="236"/>
      <c r="BT4" s="236"/>
      <c r="BU4" s="236"/>
      <c r="BV4" s="236"/>
      <c r="BW4" s="236"/>
      <c r="BX4" s="236"/>
      <c r="BY4" s="236"/>
      <c r="BZ4" s="236"/>
      <c r="CA4" s="236"/>
      <c r="CB4" s="236"/>
      <c r="CC4" s="236"/>
      <c r="CD4" s="236"/>
      <c r="CE4" s="236"/>
      <c r="CF4" s="236"/>
      <c r="CG4" s="236"/>
      <c r="CH4" s="236"/>
      <c r="CI4" s="236"/>
      <c r="CJ4" s="236"/>
      <c r="CK4" s="236"/>
      <c r="CL4" s="236"/>
      <c r="CM4" s="236"/>
      <c r="CN4" s="236"/>
      <c r="CO4" s="236"/>
      <c r="CP4" s="236"/>
      <c r="CQ4" s="236"/>
      <c r="CR4" s="236"/>
      <c r="CS4" s="236"/>
      <c r="CT4" s="236"/>
      <c r="CU4" s="236"/>
      <c r="CV4" s="236"/>
      <c r="CW4" s="236"/>
      <c r="CX4" s="236"/>
      <c r="CY4" s="236"/>
      <c r="CZ4" s="236"/>
      <c r="DA4" s="236"/>
      <c r="DB4" s="236"/>
      <c r="DC4" s="236"/>
      <c r="DD4" s="236"/>
      <c r="DE4" s="236"/>
      <c r="DF4" s="236"/>
      <c r="DG4" s="236"/>
      <c r="DH4" s="236"/>
      <c r="DI4" s="236"/>
      <c r="DJ4" s="236"/>
      <c r="DK4" s="236"/>
      <c r="DL4" s="236"/>
      <c r="DM4" s="236"/>
      <c r="DN4" s="236"/>
      <c r="DO4" s="236"/>
      <c r="DP4" s="236"/>
      <c r="DQ4" s="236"/>
      <c r="DR4" s="236"/>
      <c r="DS4" s="236"/>
      <c r="DT4" s="236"/>
      <c r="DU4" s="236"/>
      <c r="DV4" s="236"/>
      <c r="DW4" s="236"/>
      <c r="DX4" s="236"/>
      <c r="DY4" s="236"/>
      <c r="DZ4" s="236"/>
      <c r="EA4" s="236"/>
      <c r="EB4" s="236"/>
      <c r="EC4" s="236"/>
      <c r="ED4" s="236"/>
      <c r="EE4" s="236"/>
      <c r="EF4" s="236"/>
      <c r="EG4" s="236"/>
      <c r="EH4" s="236"/>
      <c r="EI4" s="236"/>
      <c r="EJ4" s="236"/>
      <c r="EK4" s="236"/>
      <c r="EL4" s="236"/>
      <c r="EM4" s="236"/>
      <c r="EN4" s="236"/>
      <c r="EO4" s="236"/>
      <c r="EP4" s="236"/>
      <c r="EQ4" s="236"/>
      <c r="ER4" s="236"/>
      <c r="ES4" s="236"/>
      <c r="ET4" s="236"/>
      <c r="EU4" s="236"/>
      <c r="EV4" s="236"/>
      <c r="EW4" s="236"/>
      <c r="EX4" s="236"/>
      <c r="EY4" s="236"/>
      <c r="EZ4" s="236"/>
      <c r="FA4" s="236"/>
      <c r="FB4" s="236"/>
      <c r="FC4" s="236"/>
      <c r="FD4" s="236"/>
      <c r="FE4" s="236"/>
      <c r="FF4" s="236"/>
      <c r="FG4" s="236"/>
      <c r="FH4" s="236"/>
      <c r="FI4" s="236"/>
      <c r="FJ4" s="236"/>
      <c r="FK4" s="236"/>
      <c r="FL4" s="236"/>
      <c r="FM4" s="236"/>
      <c r="FN4" s="236"/>
      <c r="FO4" s="236"/>
      <c r="FP4" s="236"/>
      <c r="FQ4" s="236"/>
      <c r="FR4" s="236"/>
      <c r="FS4" s="236"/>
      <c r="FT4" s="236"/>
      <c r="FU4" s="236"/>
      <c r="FV4" s="236"/>
      <c r="FW4" s="236"/>
      <c r="FX4" s="236"/>
      <c r="FY4" s="236"/>
      <c r="FZ4" s="236"/>
      <c r="GA4" s="236"/>
      <c r="GB4" s="236"/>
      <c r="GC4" s="236"/>
      <c r="GD4" s="236"/>
      <c r="GE4" s="236"/>
      <c r="GF4" s="236"/>
      <c r="GG4" s="236"/>
      <c r="GH4" s="236"/>
      <c r="GI4" s="236"/>
      <c r="GJ4" s="236"/>
      <c r="GK4" s="236"/>
      <c r="GL4" s="236"/>
      <c r="GM4" s="236"/>
      <c r="GN4" s="236"/>
      <c r="GO4" s="236"/>
      <c r="GP4" s="236"/>
      <c r="GQ4" s="236"/>
      <c r="GR4" s="236"/>
      <c r="GS4" s="236"/>
      <c r="GT4" s="236"/>
      <c r="GU4" s="236"/>
      <c r="GV4" s="236"/>
      <c r="GW4" s="236"/>
      <c r="GX4" s="236"/>
      <c r="GY4" s="236"/>
      <c r="GZ4" s="236"/>
      <c r="HA4" s="236"/>
      <c r="HB4" s="236"/>
      <c r="HC4" s="236"/>
      <c r="HD4" s="236"/>
      <c r="HE4" s="236"/>
      <c r="HF4" s="236"/>
      <c r="HG4" s="236"/>
      <c r="HH4" s="236"/>
      <c r="HI4" s="236"/>
      <c r="HJ4" s="236"/>
      <c r="HK4" s="236"/>
      <c r="HL4" s="236"/>
      <c r="HM4" s="236"/>
      <c r="HN4" s="236"/>
      <c r="HO4" s="236"/>
      <c r="HP4" s="236"/>
      <c r="HQ4" s="236"/>
      <c r="HR4" s="236"/>
      <c r="HS4" s="236"/>
      <c r="HT4" s="236"/>
      <c r="HU4" s="236"/>
      <c r="HV4" s="236"/>
      <c r="HW4" s="236"/>
      <c r="HX4" s="236"/>
      <c r="HY4" s="236"/>
      <c r="HZ4" s="236"/>
      <c r="IA4" s="236"/>
      <c r="IB4" s="236"/>
      <c r="IC4" s="236"/>
      <c r="ID4" s="236"/>
      <c r="IE4" s="236"/>
      <c r="IF4" s="236"/>
      <c r="IG4" s="236"/>
      <c r="IH4" s="236"/>
      <c r="II4" s="236"/>
      <c r="IJ4" s="236"/>
      <c r="IK4" s="236"/>
      <c r="IL4" s="236"/>
      <c r="IM4" s="236"/>
      <c r="IN4" s="236"/>
      <c r="IO4" s="236"/>
      <c r="IP4" s="236"/>
      <c r="IQ4" s="236"/>
      <c r="IR4" s="236"/>
      <c r="IS4" s="236"/>
      <c r="IT4" s="236"/>
      <c r="IU4" s="236"/>
      <c r="IV4" s="236"/>
      <c r="IW4" s="236"/>
      <c r="IX4" s="236"/>
      <c r="IY4" s="236"/>
      <c r="IZ4" s="236"/>
      <c r="JA4" s="236"/>
      <c r="JB4" s="236"/>
      <c r="JC4" s="236"/>
      <c r="JD4" s="236"/>
      <c r="JE4" s="236"/>
      <c r="JF4" s="236"/>
      <c r="JG4" s="236"/>
      <c r="JH4" s="236"/>
      <c r="JI4" s="236"/>
      <c r="JJ4" s="236"/>
      <c r="JK4" s="236"/>
      <c r="JL4" s="236"/>
      <c r="JM4" s="236"/>
      <c r="JN4" s="236"/>
      <c r="JO4" s="236"/>
      <c r="JP4" s="236"/>
      <c r="JQ4" s="411"/>
      <c r="JR4" s="411"/>
      <c r="JS4" s="411"/>
      <c r="JT4" s="411"/>
      <c r="JU4" s="411"/>
      <c r="JV4" s="411"/>
      <c r="JW4" s="411"/>
      <c r="KH4" s="412">
        <v>1</v>
      </c>
      <c r="KI4" s="413">
        <f ca="1">IFERROR(INDEX($Q$4:$S$226,MATCH($KH4,$S$4:$S$226,0),1),"")</f>
        <v>1001</v>
      </c>
      <c r="KJ4" s="413" t="str">
        <f ca="1">IFERROR(IF(KI4="","",IF(ISNA(INDEX($N$4:$O$5,MATCH(KI4,$O$4:$O$5,0),1)),INDEX($F$4:$M$226,MATCH(KI4,$M$4:$M$226,0),1),INDEX($N$4:$O$5,MATCH(KI4,$O$4:$O$5,0),1))),"")</f>
        <v>Drilling Actual : Coiled Tubing - Drilling</v>
      </c>
      <c r="KK4" s="414">
        <f ca="1">IFERROR(IF($KI4="","",IF(ISNA(INDEX($N$4:$O$5,MATCH($KI4,$O$4:$O$5,0),1)),INDEX($I$4:$M$226,MATCH($KI4,$M$4:$M$226,0),1),INDEX($N$4:$O$5,MATCH($KI4,$O$4:$O$5,0),1))/24),"")</f>
        <v>2.0833333333333335</v>
      </c>
    </row>
    <row r="5" spans="1:301" ht="12.9" customHeight="1">
      <c r="A5" s="56" t="str">
        <f ca="1">'1_INPUT'!$C125</f>
        <v>WORKOVER SECTION</v>
      </c>
      <c r="B5" s="55">
        <f ca="1">IFERROR(MATCH(A5,INDIRECT(ADDRESS(1,3,1,1,"2_DATA")):INDIRECT(ADDRESS(1500,3,1,1,"2_DATA")),0),"")</f>
        <v>192</v>
      </c>
      <c r="C5"/>
      <c r="D5" s="57" t="str">
        <f ca="1">INDIRECT(ADDRESS(ROWS($D$3:D4)+6,D$3,1,1,"3_TIME SUM"))</f>
        <v>R/D</v>
      </c>
      <c r="E5" s="81" t="str">
        <f ca="1">IF(INDIRECT(ADDRESS(ROWS($E$3:E4)+6,E$3,1,1,"3_TIME SUM"))=0,E4,INDIRECT(ADDRESS(ROWS($E$3:E4)+6,E$3,1,1,"3_TIME SUM")))</f>
        <v>Rig Up and Tear Down</v>
      </c>
      <c r="F5" s="57" t="str">
        <f t="shared" ref="F5:F68" ca="1" si="3">IF(D5="","",""&amp;E5&amp;" : "&amp;D5&amp;"")</f>
        <v>Rig Up and Tear Down : R/D</v>
      </c>
      <c r="G5" s="58" t="str">
        <f ca="1">VLOOKUP($D5,INDIRECT(ADDRESS(7,5,1,1,"3_TIME SUM")):INDIRECT(ADDRESS(200,7,1,1,"3_TIME SUM")),2,FALSE)</f>
        <v>1b</v>
      </c>
      <c r="H5" s="58" t="str">
        <f ca="1">IF(VLOOKUP($D5,INDIRECT(ADDRESS(7,5,1,1,"3_TIME SUM")):INDIRECT(ADDRESS(200,7,1,1,"3_TIME SUM")),3,FALSE)="","PT",VLOOKUP($D5,INDIRECT(ADDRESS(7,5,1,1,"3_TIME SUM")):INDIRECT(ADDRESS(200,7,1,1,"3_TIME SUM")),3,FALSE))</f>
        <v>PT</v>
      </c>
      <c r="I5" s="59">
        <f ca="1">IFERROR(IF(AND($D$2="NON PRODUCTIVE TIME",$H5="NPT"),SUMIF(INDIRECT(ADDRESS(8,COLUMN('2_DATA'!$M$9),1,1,"2_DATA")):INDIRECT(ADDRESS(3000,COLUMN('2_DATA'!$M$9),1,1,"2_DATA")),$G5,INDIRECT(ADDRESS(8,COLUMN('2_DATA'!$N$9),1,1,"2_DATA")):INDIRECT(ADDRESS(3000,COLUMN('2_DATA'!$N$9),1,1,"2_DATA"))),IF($D$2="ALL ACTIVITY",SUMIF(INDIRECT(ADDRESS(9,COLUMN('2_DATA'!$M$9),1,1,"2_DATA")):INDIRECT(ADDRESS(3000,COLUMN('2_DATA'!$M$9),1,1,"2_DATA")),$G5,INDIRECT(ADDRESS(9,COLUMN('2_DATA'!$N$9),1,1,"2_DATA")):INDIRECT(ADDRESS(3000,COLUMN('2_DATA'!$N$9),1,1,"2_DATA"))),SUMIF(INDIRECT(ADDRESS(OFFSET($A$3,MATCH($D$2,$A$4:$A$16,0)-1,1,,)+1,COLUMN('2_DATA'!$M$9),1,1,"2_DATA")):INDIRECT(ADDRESS(VLOOKUP($D$2,$A$4:$B$16,2,FALSE)-1,COLUMN('2_DATA'!$M$9),1,1,"2_DATA")),$G5,INDIRECT(ADDRESS(OFFSET($A$3,MATCH($D$2,$A$4:$A$16,0)-1,1,,)+1,COLUMN('2_DATA'!$N$9),1,1,"2_DATA")):INDIRECT(ADDRESS(VLOOKUP($D$2,$A$4:$B$16,2,FALSE)-1,COLUMN('2_DATA'!$N$9),1,1,"2_DATA"))))),0)</f>
        <v>0</v>
      </c>
      <c r="J5" s="58" t="str">
        <f ca="1">IF(I5=0,"",MAX($J$3:J4)+1)</f>
        <v/>
      </c>
      <c r="L5" s="55">
        <f t="shared" ca="1" si="0"/>
        <v>1000</v>
      </c>
      <c r="M5" s="55" t="str">
        <f t="shared" ref="M5:M68" ca="1" si="4">IFERROR(L5+J5,"")</f>
        <v/>
      </c>
      <c r="N5" s="60" t="s">
        <v>232</v>
      </c>
      <c r="O5" s="63" t="str">
        <f ca="1">IF(ROUND(MAX($M$4:$M$500)/1000,0)=2,2000,"")</f>
        <v/>
      </c>
      <c r="P5" s="55">
        <f t="shared" ca="1" si="1"/>
        <v>0</v>
      </c>
      <c r="Q5" s="55">
        <f ca="1">IFERROR(INDEX($O$4:$P$226,MATCH(ROWS($Q$3:Q4),$P$4:$P$226,0),1),"-")</f>
        <v>1001</v>
      </c>
      <c r="R5" s="62" t="str">
        <f ca="1">IFERROR(IF(ISNA(INDEX($N$4:$O$5,MATCH(Q5,$O$4:$O$5,0),1)),INDEX($F$4:$M$226,MATCH(Q5,$M$4:$M$226,0),1),INDEX($N$4:$O$5,MATCH(Q5,$O$4:$O$5,0),1)),"")</f>
        <v>Drilling Actual : Coiled Tubing - Drilling</v>
      </c>
      <c r="S5" s="55">
        <f t="shared" ref="S5:S68" ca="1" si="5">IFERROR(Q5-ROUND(Q5/1000,0)*1000,"")</f>
        <v>1</v>
      </c>
      <c r="U5"/>
      <c r="V5" s="219" t="s">
        <v>60</v>
      </c>
      <c r="W5" s="220" t="str">
        <f>": "&amp;'1_INPUT'!$E$14&amp;""</f>
        <v>: SPA-034</v>
      </c>
      <c r="X5" s="132"/>
      <c r="Y5" s="132"/>
      <c r="Z5" s="132"/>
      <c r="AA5" s="132"/>
      <c r="AB5" s="221"/>
      <c r="AC5" s="236"/>
      <c r="AD5" s="236"/>
      <c r="AE5" s="236"/>
      <c r="AF5" s="236"/>
      <c r="AG5" s="236"/>
      <c r="AH5" s="236"/>
      <c r="AI5" s="236"/>
      <c r="AJ5" s="236"/>
      <c r="AK5" s="236"/>
      <c r="AL5" s="236"/>
      <c r="AM5" s="236"/>
      <c r="AN5" s="236"/>
      <c r="AO5" s="236"/>
      <c r="AP5" s="236"/>
      <c r="AQ5" s="236"/>
      <c r="AR5" s="236"/>
      <c r="AS5" s="236"/>
      <c r="AT5" s="236"/>
      <c r="AU5" s="236"/>
      <c r="AV5" s="236"/>
      <c r="AW5" s="236"/>
      <c r="AX5" s="236"/>
      <c r="AY5" s="236"/>
      <c r="AZ5" s="236"/>
      <c r="BA5" s="236"/>
      <c r="BB5" s="236"/>
      <c r="BC5" s="236"/>
      <c r="BD5" s="236"/>
      <c r="BE5" s="236"/>
      <c r="BF5" s="236"/>
      <c r="BG5" s="236"/>
      <c r="BH5" s="236"/>
      <c r="BI5" s="236"/>
      <c r="BJ5" s="236"/>
      <c r="BK5" s="236"/>
      <c r="BL5" s="236"/>
      <c r="BM5" s="236"/>
      <c r="BN5" s="236"/>
      <c r="BO5" s="236"/>
      <c r="BP5" s="236"/>
      <c r="BQ5" s="236"/>
      <c r="BR5" s="236"/>
      <c r="BS5" s="236"/>
      <c r="BT5" s="236"/>
      <c r="BU5" s="236"/>
      <c r="BV5" s="236"/>
      <c r="BW5" s="236"/>
      <c r="BX5" s="236"/>
      <c r="BY5" s="236"/>
      <c r="BZ5" s="236"/>
      <c r="CA5" s="236"/>
      <c r="CB5" s="236"/>
      <c r="CC5" s="236"/>
      <c r="CD5" s="236"/>
      <c r="CE5" s="236"/>
      <c r="CF5" s="236"/>
      <c r="CG5" s="236"/>
      <c r="CH5" s="236"/>
      <c r="CI5" s="236"/>
      <c r="CJ5" s="236"/>
      <c r="CK5" s="236"/>
      <c r="CL5" s="236"/>
      <c r="CM5" s="236"/>
      <c r="CN5" s="236"/>
      <c r="CO5" s="236"/>
      <c r="CP5" s="236"/>
      <c r="CQ5" s="236"/>
      <c r="CR5" s="236"/>
      <c r="CS5" s="236"/>
      <c r="CT5" s="236"/>
      <c r="CU5" s="236"/>
      <c r="CV5" s="236"/>
      <c r="CW5" s="236"/>
      <c r="CX5" s="236"/>
      <c r="CY5" s="236"/>
      <c r="CZ5" s="236"/>
      <c r="DA5" s="236"/>
      <c r="DB5" s="236"/>
      <c r="DC5" s="236"/>
      <c r="DD5" s="236"/>
      <c r="DE5" s="236"/>
      <c r="DF5" s="236"/>
      <c r="DG5" s="236"/>
      <c r="DH5" s="236"/>
      <c r="DI5" s="236"/>
      <c r="DJ5" s="236"/>
      <c r="DK5" s="236"/>
      <c r="DL5" s="236"/>
      <c r="DM5" s="236"/>
      <c r="DN5" s="236"/>
      <c r="DO5" s="236"/>
      <c r="DP5" s="236"/>
      <c r="DQ5" s="236"/>
      <c r="DR5" s="236"/>
      <c r="DS5" s="236"/>
      <c r="DT5" s="236"/>
      <c r="DU5" s="236"/>
      <c r="DV5" s="236"/>
      <c r="DW5" s="236"/>
      <c r="DX5" s="236"/>
      <c r="DY5" s="236"/>
      <c r="DZ5" s="236"/>
      <c r="EA5" s="236"/>
      <c r="EB5" s="236"/>
      <c r="EC5" s="236"/>
      <c r="ED5" s="236"/>
      <c r="EE5" s="236"/>
      <c r="EF5" s="236"/>
      <c r="EG5" s="236"/>
      <c r="EH5" s="236"/>
      <c r="EI5" s="236"/>
      <c r="EJ5" s="236"/>
      <c r="EK5" s="236"/>
      <c r="EL5" s="236"/>
      <c r="EM5" s="236"/>
      <c r="EN5" s="236"/>
      <c r="EO5" s="236"/>
      <c r="EP5" s="236"/>
      <c r="EQ5" s="236"/>
      <c r="ER5" s="236"/>
      <c r="ES5" s="236"/>
      <c r="ET5" s="236"/>
      <c r="EU5" s="236"/>
      <c r="EV5" s="236"/>
      <c r="EW5" s="236"/>
      <c r="EX5" s="236"/>
      <c r="EY5" s="236"/>
      <c r="EZ5" s="236"/>
      <c r="FA5" s="236"/>
      <c r="FB5" s="236"/>
      <c r="FC5" s="236"/>
      <c r="FD5" s="236"/>
      <c r="FE5" s="236"/>
      <c r="FF5" s="236"/>
      <c r="FG5" s="236"/>
      <c r="FH5" s="236"/>
      <c r="FI5" s="236"/>
      <c r="FJ5" s="236"/>
      <c r="FK5" s="236"/>
      <c r="FL5" s="236"/>
      <c r="FM5" s="236"/>
      <c r="FN5" s="236"/>
      <c r="FO5" s="236"/>
      <c r="FP5" s="236"/>
      <c r="FQ5" s="236"/>
      <c r="FR5" s="236"/>
      <c r="FS5" s="236"/>
      <c r="FT5" s="236"/>
      <c r="FU5" s="236"/>
      <c r="FV5" s="236"/>
      <c r="FW5" s="236"/>
      <c r="FX5" s="236"/>
      <c r="FY5" s="236"/>
      <c r="FZ5" s="236"/>
      <c r="GA5" s="236"/>
      <c r="GB5" s="236"/>
      <c r="GC5" s="236"/>
      <c r="GD5" s="236"/>
      <c r="GE5" s="236"/>
      <c r="GF5" s="236"/>
      <c r="GG5" s="236"/>
      <c r="GH5" s="236"/>
      <c r="GI5" s="236"/>
      <c r="GJ5" s="236"/>
      <c r="GK5" s="236"/>
      <c r="GL5" s="236"/>
      <c r="GM5" s="236"/>
      <c r="GN5" s="236"/>
      <c r="GO5" s="236"/>
      <c r="GP5" s="236"/>
      <c r="GQ5" s="236"/>
      <c r="GR5" s="236"/>
      <c r="GS5" s="236"/>
      <c r="GT5" s="236"/>
      <c r="GU5" s="236"/>
      <c r="GV5" s="236"/>
      <c r="GW5" s="236"/>
      <c r="GX5" s="236"/>
      <c r="GY5" s="236"/>
      <c r="GZ5" s="236"/>
      <c r="HA5" s="236"/>
      <c r="HB5" s="236"/>
      <c r="HC5" s="236"/>
      <c r="HD5" s="236"/>
      <c r="HE5" s="236"/>
      <c r="HF5" s="236"/>
      <c r="HG5" s="236"/>
      <c r="HH5" s="236"/>
      <c r="HI5" s="236"/>
      <c r="HJ5" s="236"/>
      <c r="HK5" s="236"/>
      <c r="HL5" s="236"/>
      <c r="HM5" s="236"/>
      <c r="HN5" s="236"/>
      <c r="HO5" s="236"/>
      <c r="HP5" s="236"/>
      <c r="HQ5" s="236"/>
      <c r="HR5" s="236"/>
      <c r="HS5" s="236"/>
      <c r="HT5" s="236"/>
      <c r="HU5" s="236"/>
      <c r="HV5" s="236"/>
      <c r="HW5" s="236"/>
      <c r="HX5" s="236"/>
      <c r="HY5" s="236"/>
      <c r="HZ5" s="236"/>
      <c r="IA5" s="236"/>
      <c r="IB5" s="236"/>
      <c r="IC5" s="236"/>
      <c r="ID5" s="236"/>
      <c r="IE5" s="236"/>
      <c r="IF5" s="236"/>
      <c r="IG5" s="236"/>
      <c r="IH5" s="236"/>
      <c r="II5" s="236"/>
      <c r="IJ5" s="236"/>
      <c r="IK5" s="236"/>
      <c r="IL5" s="236"/>
      <c r="IM5" s="236"/>
      <c r="IN5" s="236"/>
      <c r="IO5" s="236"/>
      <c r="IP5" s="236"/>
      <c r="IQ5" s="236"/>
      <c r="IR5" s="236"/>
      <c r="IS5" s="236"/>
      <c r="IT5" s="236"/>
      <c r="IU5" s="236"/>
      <c r="IV5" s="236"/>
      <c r="IW5" s="236"/>
      <c r="IX5" s="236"/>
      <c r="IY5" s="236"/>
      <c r="IZ5" s="236"/>
      <c r="JA5" s="236"/>
      <c r="JB5" s="236"/>
      <c r="JC5" s="236"/>
      <c r="JD5" s="236"/>
      <c r="JE5" s="236"/>
      <c r="JF5" s="236"/>
      <c r="JG5" s="236"/>
      <c r="JH5" s="236"/>
      <c r="JI5" s="236"/>
      <c r="JJ5" s="236"/>
      <c r="JK5" s="236"/>
      <c r="JL5" s="236"/>
      <c r="JM5" s="236"/>
      <c r="JN5" s="236"/>
      <c r="JO5" s="236"/>
      <c r="JP5" s="236"/>
      <c r="JQ5" s="411"/>
      <c r="JR5" s="411"/>
      <c r="JS5" s="411"/>
      <c r="JT5" s="411"/>
      <c r="JU5" s="411"/>
      <c r="JV5" s="411"/>
      <c r="JW5" s="411"/>
      <c r="KH5" s="412">
        <f>KH4+1</f>
        <v>2</v>
      </c>
      <c r="KI5" s="413">
        <f t="shared" ref="KI5:KI68" ca="1" si="6">IFERROR(INDEX($Q$4:$S$226,MATCH($KH5,$S$4:$S$226,0),1),"")</f>
        <v>1002</v>
      </c>
      <c r="KJ5" s="413" t="str">
        <f t="shared" ref="KJ5:KJ21" ca="1" si="7">IFERROR(IF(KI5="","",IF(ISNA(INDEX($N$4:$O$5,MATCH(KI5,$O$4:$O$5,0),1)),INDEX($F$4:$M$226,MATCH(KI5,$M$4:$M$226,0),1),INDEX($N$4:$O$5,MATCH(KI5,$O$4:$O$5,0),1))),"")</f>
        <v>Drilling Actual : Flow Check / Monitor Well While Drilling</v>
      </c>
      <c r="KK5" s="414">
        <f t="shared" ref="KK5:KK68" ca="1" si="8">IFERROR(IF($KI5="","",IF(ISNA(INDEX($N$4:$O$5,MATCH($KI5,$O$4:$O$5,0),1)),INDEX($I$4:$M$226,MATCH($KI5,$M$4:$M$226,0),1),INDEX($N$4:$O$5,MATCH($KI5,$O$4:$O$5,0),1))/24),"")</f>
        <v>2.0833333333333332E-2</v>
      </c>
    </row>
    <row r="6" spans="1:301" ht="12.9" customHeight="1">
      <c r="A6" s="56" t="str">
        <f ca="1">'1_INPUT'!$C126</f>
        <v>RELEASE</v>
      </c>
      <c r="B6" s="55">
        <f ca="1">IFERROR(MATCH(A6,INDIRECT(ADDRESS(1,3,1,1,"2_DATA")):INDIRECT(ADDRESS(1500,3,1,1,"2_DATA")),0),"")</f>
        <v>194</v>
      </c>
      <c r="C6"/>
      <c r="D6" s="57" t="str">
        <f ca="1">INDIRECT(ADDRESS(ROWS($D$3:D5)+6,D$3,1,1,"3_TIME SUM"))</f>
        <v>Prepare Rig Mob/Demob</v>
      </c>
      <c r="E6" s="81" t="str">
        <f ca="1">IF(INDIRECT(ADDRESS(ROWS($E$3:E5)+6,E$3,1,1,"3_TIME SUM"))=0,E5,INDIRECT(ADDRESS(ROWS($E$3:E5)+6,E$3,1,1,"3_TIME SUM")))</f>
        <v>Rig Up and Tear Down</v>
      </c>
      <c r="F6" s="57" t="str">
        <f t="shared" ca="1" si="3"/>
        <v>Rig Up and Tear Down : Prepare Rig Mob/Demob</v>
      </c>
      <c r="G6" s="58" t="str">
        <f ca="1">VLOOKUP($D6,INDIRECT(ADDRESS(7,5,1,1,"3_TIME SUM")):INDIRECT(ADDRESS(200,7,1,1,"3_TIME SUM")),2,FALSE)</f>
        <v>1c</v>
      </c>
      <c r="H6" s="58" t="str">
        <f ca="1">IF(VLOOKUP($D6,INDIRECT(ADDRESS(7,5,1,1,"3_TIME SUM")):INDIRECT(ADDRESS(200,7,1,1,"3_TIME SUM")),3,FALSE)="","PT",VLOOKUP($D6,INDIRECT(ADDRESS(7,5,1,1,"3_TIME SUM")):INDIRECT(ADDRESS(200,7,1,1,"3_TIME SUM")),3,FALSE))</f>
        <v>PT</v>
      </c>
      <c r="I6" s="59">
        <f ca="1">IFERROR(IF(AND($D$2="NON PRODUCTIVE TIME",$H6="NPT"),SUMIF(INDIRECT(ADDRESS(8,COLUMN('2_DATA'!$M$9),1,1,"2_DATA")):INDIRECT(ADDRESS(3000,COLUMN('2_DATA'!$M$9),1,1,"2_DATA")),$G6,INDIRECT(ADDRESS(8,COLUMN('2_DATA'!$N$9),1,1,"2_DATA")):INDIRECT(ADDRESS(3000,COLUMN('2_DATA'!$N$9),1,1,"2_DATA"))),IF($D$2="ALL ACTIVITY",SUMIF(INDIRECT(ADDRESS(9,COLUMN('2_DATA'!$M$9),1,1,"2_DATA")):INDIRECT(ADDRESS(3000,COLUMN('2_DATA'!$M$9),1,1,"2_DATA")),$G6,INDIRECT(ADDRESS(9,COLUMN('2_DATA'!$N$9),1,1,"2_DATA")):INDIRECT(ADDRESS(3000,COLUMN('2_DATA'!$N$9),1,1,"2_DATA"))),SUMIF(INDIRECT(ADDRESS(OFFSET($A$3,MATCH($D$2,$A$4:$A$16,0)-1,1,,)+1,COLUMN('2_DATA'!$M$9),1,1,"2_DATA")):INDIRECT(ADDRESS(VLOOKUP($D$2,$A$4:$B$16,2,FALSE)-1,COLUMN('2_DATA'!$M$9),1,1,"2_DATA")),$G6,INDIRECT(ADDRESS(OFFSET($A$3,MATCH($D$2,$A$4:$A$16,0)-1,1,,)+1,COLUMN('2_DATA'!$N$9),1,1,"2_DATA")):INDIRECT(ADDRESS(VLOOKUP($D$2,$A$4:$B$16,2,FALSE)-1,COLUMN('2_DATA'!$N$9),1,1,"2_DATA"))))),0)</f>
        <v>0</v>
      </c>
      <c r="J6" s="58" t="str">
        <f ca="1">IF(I6=0,"",MAX($J$3:J5)+1)</f>
        <v/>
      </c>
      <c r="L6" s="55">
        <f t="shared" ca="1" si="0"/>
        <v>1000</v>
      </c>
      <c r="M6" s="55" t="str">
        <f t="shared" ca="1" si="4"/>
        <v/>
      </c>
      <c r="N6" s="61"/>
      <c r="O6" s="61"/>
      <c r="P6" s="55">
        <f t="shared" ca="1" si="1"/>
        <v>0</v>
      </c>
      <c r="Q6" s="55">
        <f ca="1">IFERROR(INDEX($O$4:$P$226,MATCH(ROWS($Q$3:Q5),$P$4:$P$226,0),1),"-")</f>
        <v>1002</v>
      </c>
      <c r="R6" s="62" t="str">
        <f t="shared" ca="1" si="2"/>
        <v>Drilling Actual : Flow Check / Monitor Well While Drilling</v>
      </c>
      <c r="S6" s="55">
        <f t="shared" ca="1" si="5"/>
        <v>2</v>
      </c>
      <c r="U6"/>
      <c r="V6" s="219" t="s">
        <v>61</v>
      </c>
      <c r="W6" s="220" t="str">
        <f>": "&amp;'1_INPUT'!$E$15&amp;""</f>
        <v>: SOPA</v>
      </c>
      <c r="X6" s="132"/>
      <c r="Y6" s="132"/>
      <c r="Z6" s="132"/>
      <c r="AA6" s="132"/>
      <c r="AB6" s="221"/>
      <c r="AC6" s="236"/>
      <c r="AD6" s="236"/>
      <c r="AE6" s="236"/>
      <c r="AF6" s="236"/>
      <c r="AG6" s="236"/>
      <c r="AH6" s="236"/>
      <c r="AI6" s="236"/>
      <c r="AJ6" s="236"/>
      <c r="AK6" s="236"/>
      <c r="AL6" s="236"/>
      <c r="AM6" s="236"/>
      <c r="AN6" s="236"/>
      <c r="AO6" s="236"/>
      <c r="AP6" s="236"/>
      <c r="AQ6" s="236"/>
      <c r="AR6" s="236"/>
      <c r="AS6" s="236"/>
      <c r="AT6" s="236"/>
      <c r="AU6" s="236"/>
      <c r="AV6" s="236"/>
      <c r="AW6" s="236"/>
      <c r="AX6" s="236"/>
      <c r="AY6" s="236"/>
      <c r="AZ6" s="236"/>
      <c r="BA6" s="236"/>
      <c r="BB6" s="236"/>
      <c r="BC6" s="236"/>
      <c r="BD6" s="236"/>
      <c r="BE6" s="236"/>
      <c r="BF6" s="236"/>
      <c r="BG6" s="236"/>
      <c r="BH6" s="236"/>
      <c r="BI6" s="236"/>
      <c r="BJ6" s="236"/>
      <c r="BK6" s="236"/>
      <c r="BL6" s="236"/>
      <c r="BM6" s="236"/>
      <c r="BN6" s="236"/>
      <c r="BO6" s="236"/>
      <c r="BP6" s="236"/>
      <c r="BQ6" s="236"/>
      <c r="BR6" s="236"/>
      <c r="BS6" s="236"/>
      <c r="BT6" s="236"/>
      <c r="BU6" s="236"/>
      <c r="BV6" s="236"/>
      <c r="BW6" s="236"/>
      <c r="BX6" s="236"/>
      <c r="BY6" s="236"/>
      <c r="BZ6" s="236"/>
      <c r="CA6" s="236"/>
      <c r="CB6" s="236"/>
      <c r="CC6" s="236"/>
      <c r="CD6" s="236"/>
      <c r="CE6" s="236"/>
      <c r="CF6" s="236"/>
      <c r="CG6" s="236"/>
      <c r="CH6" s="236"/>
      <c r="CI6" s="236"/>
      <c r="CJ6" s="236"/>
      <c r="CK6" s="236"/>
      <c r="CL6" s="236"/>
      <c r="CM6" s="236"/>
      <c r="CN6" s="236"/>
      <c r="CO6" s="236"/>
      <c r="CP6" s="236"/>
      <c r="CQ6" s="236"/>
      <c r="CR6" s="236"/>
      <c r="CS6" s="236"/>
      <c r="CT6" s="236"/>
      <c r="CU6" s="236"/>
      <c r="CV6" s="236"/>
      <c r="CW6" s="236"/>
      <c r="CX6" s="236"/>
      <c r="CY6" s="236"/>
      <c r="CZ6" s="236"/>
      <c r="DA6" s="236"/>
      <c r="DB6" s="236"/>
      <c r="DC6" s="236"/>
      <c r="DD6" s="236"/>
      <c r="DE6" s="236"/>
      <c r="DF6" s="236"/>
      <c r="DG6" s="236"/>
      <c r="DH6" s="236"/>
      <c r="DI6" s="236"/>
      <c r="DJ6" s="236"/>
      <c r="DK6" s="236"/>
      <c r="DL6" s="236"/>
      <c r="DM6" s="236"/>
      <c r="DN6" s="236"/>
      <c r="DO6" s="236"/>
      <c r="DP6" s="236"/>
      <c r="DQ6" s="236"/>
      <c r="DR6" s="236"/>
      <c r="DS6" s="236"/>
      <c r="DT6" s="236"/>
      <c r="DU6" s="236"/>
      <c r="DV6" s="236"/>
      <c r="DW6" s="236"/>
      <c r="DX6" s="236"/>
      <c r="DY6" s="236"/>
      <c r="DZ6" s="236"/>
      <c r="EA6" s="236"/>
      <c r="EB6" s="236"/>
      <c r="EC6" s="236"/>
      <c r="ED6" s="236"/>
      <c r="EE6" s="236"/>
      <c r="EF6" s="236"/>
      <c r="EG6" s="236"/>
      <c r="EH6" s="236"/>
      <c r="EI6" s="236"/>
      <c r="EJ6" s="236"/>
      <c r="EK6" s="236"/>
      <c r="EL6" s="236"/>
      <c r="EM6" s="236"/>
      <c r="EN6" s="236"/>
      <c r="EO6" s="236"/>
      <c r="EP6" s="236"/>
      <c r="EQ6" s="236"/>
      <c r="ER6" s="236"/>
      <c r="ES6" s="236"/>
      <c r="ET6" s="236"/>
      <c r="EU6" s="236"/>
      <c r="EV6" s="236"/>
      <c r="EW6" s="236"/>
      <c r="EX6" s="236"/>
      <c r="EY6" s="236"/>
      <c r="EZ6" s="236"/>
      <c r="FA6" s="236"/>
      <c r="FB6" s="236"/>
      <c r="FC6" s="236"/>
      <c r="FD6" s="236"/>
      <c r="FE6" s="236"/>
      <c r="FF6" s="236"/>
      <c r="FG6" s="236"/>
      <c r="FH6" s="236"/>
      <c r="FI6" s="236"/>
      <c r="FJ6" s="236"/>
      <c r="FK6" s="236"/>
      <c r="FL6" s="236"/>
      <c r="FM6" s="236"/>
      <c r="FN6" s="236"/>
      <c r="FO6" s="236"/>
      <c r="FP6" s="236"/>
      <c r="FQ6" s="236"/>
      <c r="FR6" s="236"/>
      <c r="FS6" s="236"/>
      <c r="FT6" s="236"/>
      <c r="FU6" s="236"/>
      <c r="FV6" s="236"/>
      <c r="FW6" s="236"/>
      <c r="FX6" s="236"/>
      <c r="FY6" s="236"/>
      <c r="FZ6" s="236"/>
      <c r="GA6" s="236"/>
      <c r="GB6" s="236"/>
      <c r="GC6" s="236"/>
      <c r="GD6" s="236"/>
      <c r="GE6" s="236"/>
      <c r="GF6" s="236"/>
      <c r="GG6" s="236"/>
      <c r="GH6" s="236"/>
      <c r="GI6" s="236"/>
      <c r="GJ6" s="236"/>
      <c r="GK6" s="236"/>
      <c r="GL6" s="236"/>
      <c r="GM6" s="236"/>
      <c r="GN6" s="236"/>
      <c r="GO6" s="236"/>
      <c r="GP6" s="236"/>
      <c r="GQ6" s="236"/>
      <c r="GR6" s="236"/>
      <c r="GS6" s="236"/>
      <c r="GT6" s="236"/>
      <c r="GU6" s="236"/>
      <c r="GV6" s="236"/>
      <c r="GW6" s="236"/>
      <c r="GX6" s="236"/>
      <c r="GY6" s="236"/>
      <c r="GZ6" s="236"/>
      <c r="HA6" s="236"/>
      <c r="HB6" s="236"/>
      <c r="HC6" s="236"/>
      <c r="HD6" s="236"/>
      <c r="HE6" s="236"/>
      <c r="HF6" s="236"/>
      <c r="HG6" s="236"/>
      <c r="HH6" s="236"/>
      <c r="HI6" s="236"/>
      <c r="HJ6" s="236"/>
      <c r="HK6" s="236"/>
      <c r="HL6" s="236"/>
      <c r="HM6" s="236"/>
      <c r="HN6" s="236"/>
      <c r="HO6" s="236"/>
      <c r="HP6" s="236"/>
      <c r="HQ6" s="236"/>
      <c r="HR6" s="236"/>
      <c r="HS6" s="236"/>
      <c r="HT6" s="236"/>
      <c r="HU6" s="236"/>
      <c r="HV6" s="236"/>
      <c r="HW6" s="236"/>
      <c r="HX6" s="236"/>
      <c r="HY6" s="236"/>
      <c r="HZ6" s="236"/>
      <c r="IA6" s="236"/>
      <c r="IB6" s="236"/>
      <c r="IC6" s="236"/>
      <c r="ID6" s="236"/>
      <c r="IE6" s="236"/>
      <c r="IF6" s="236"/>
      <c r="IG6" s="236"/>
      <c r="IH6" s="236"/>
      <c r="II6" s="236"/>
      <c r="IJ6" s="236"/>
      <c r="IK6" s="236"/>
      <c r="IL6" s="236"/>
      <c r="IM6" s="236"/>
      <c r="IN6" s="236"/>
      <c r="IO6" s="236"/>
      <c r="IP6" s="236"/>
      <c r="IQ6" s="236"/>
      <c r="IR6" s="236"/>
      <c r="IS6" s="236"/>
      <c r="IT6" s="236"/>
      <c r="IU6" s="236"/>
      <c r="IV6" s="236"/>
      <c r="IW6" s="236"/>
      <c r="IX6" s="236"/>
      <c r="IY6" s="236"/>
      <c r="IZ6" s="236"/>
      <c r="JA6" s="236"/>
      <c r="JB6" s="236"/>
      <c r="JC6" s="236"/>
      <c r="JD6" s="236"/>
      <c r="JE6" s="236"/>
      <c r="JF6" s="236"/>
      <c r="JG6" s="236"/>
      <c r="JH6" s="236"/>
      <c r="JI6" s="236"/>
      <c r="JJ6" s="236"/>
      <c r="JK6" s="236"/>
      <c r="JL6" s="236"/>
      <c r="JM6" s="236"/>
      <c r="JN6" s="236"/>
      <c r="JO6" s="236"/>
      <c r="JP6" s="236"/>
      <c r="JQ6" s="411"/>
      <c r="JR6" s="411"/>
      <c r="JS6" s="411"/>
      <c r="JT6" s="411"/>
      <c r="JU6" s="411"/>
      <c r="JV6" s="411"/>
      <c r="JW6" s="411"/>
      <c r="KH6" s="412">
        <f t="shared" ref="KH6:KH21" si="9">KH5+1</f>
        <v>3</v>
      </c>
      <c r="KI6" s="413">
        <f t="shared" ca="1" si="6"/>
        <v>1003</v>
      </c>
      <c r="KJ6" s="413" t="str">
        <f t="shared" ca="1" si="7"/>
        <v>Drilling Actual : Other Drilling Activities</v>
      </c>
      <c r="KK6" s="414">
        <f t="shared" ca="1" si="8"/>
        <v>8.3333333333333329E-2</v>
      </c>
    </row>
    <row r="7" spans="1:301" ht="12.9" customHeight="1">
      <c r="A7" s="56" t="str">
        <f ca="1">'1_INPUT'!$C127</f>
        <v/>
      </c>
      <c r="B7" s="55">
        <f ca="1">IFERROR(MATCH(A7,INDIRECT(ADDRESS(1,3,1,1,"2_DATA")):INDIRECT(ADDRESS(1500,3,1,1,"2_DATA")),0),"")</f>
        <v>13</v>
      </c>
      <c r="C7"/>
      <c r="D7" s="57" t="str">
        <f ca="1">INDIRECT(ADDRESS(ROWS($D$3:D6)+6,D$3,1,1,"3_TIME SUM"))</f>
        <v>Under Tow / Mobilization</v>
      </c>
      <c r="E7" s="81" t="str">
        <f ca="1">IF(INDIRECT(ADDRESS(ROWS($E$3:E6)+6,E$3,1,1,"3_TIME SUM"))=0,E6,INDIRECT(ADDRESS(ROWS($E$3:E6)+6,E$3,1,1,"3_TIME SUM")))</f>
        <v>Rig Up and Tear Down</v>
      </c>
      <c r="F7" s="57" t="str">
        <f t="shared" ca="1" si="3"/>
        <v>Rig Up and Tear Down : Under Tow / Mobilization</v>
      </c>
      <c r="G7" s="58" t="str">
        <f ca="1">VLOOKUP($D7,INDIRECT(ADDRESS(7,5,1,1,"3_TIME SUM")):INDIRECT(ADDRESS(200,7,1,1,"3_TIME SUM")),2,FALSE)</f>
        <v>1d</v>
      </c>
      <c r="H7" s="58" t="str">
        <f ca="1">IF(VLOOKUP($D7,INDIRECT(ADDRESS(7,5,1,1,"3_TIME SUM")):INDIRECT(ADDRESS(200,7,1,1,"3_TIME SUM")),3,FALSE)="","PT",VLOOKUP($D7,INDIRECT(ADDRESS(7,5,1,1,"3_TIME SUM")):INDIRECT(ADDRESS(200,7,1,1,"3_TIME SUM")),3,FALSE))</f>
        <v>PT</v>
      </c>
      <c r="I7" s="59">
        <f ca="1">IFERROR(IF(AND($D$2="NON PRODUCTIVE TIME",$H7="NPT"),SUMIF(INDIRECT(ADDRESS(8,COLUMN('2_DATA'!$M$9),1,1,"2_DATA")):INDIRECT(ADDRESS(3000,COLUMN('2_DATA'!$M$9),1,1,"2_DATA")),$G7,INDIRECT(ADDRESS(8,COLUMN('2_DATA'!$N$9),1,1,"2_DATA")):INDIRECT(ADDRESS(3000,COLUMN('2_DATA'!$N$9),1,1,"2_DATA"))),IF($D$2="ALL ACTIVITY",SUMIF(INDIRECT(ADDRESS(9,COLUMN('2_DATA'!$M$9),1,1,"2_DATA")):INDIRECT(ADDRESS(3000,COLUMN('2_DATA'!$M$9),1,1,"2_DATA")),$G7,INDIRECT(ADDRESS(9,COLUMN('2_DATA'!$N$9),1,1,"2_DATA")):INDIRECT(ADDRESS(3000,COLUMN('2_DATA'!$N$9),1,1,"2_DATA"))),SUMIF(INDIRECT(ADDRESS(OFFSET($A$3,MATCH($D$2,$A$4:$A$16,0)-1,1,,)+1,COLUMN('2_DATA'!$M$9),1,1,"2_DATA")):INDIRECT(ADDRESS(VLOOKUP($D$2,$A$4:$B$16,2,FALSE)-1,COLUMN('2_DATA'!$M$9),1,1,"2_DATA")),$G7,INDIRECT(ADDRESS(OFFSET($A$3,MATCH($D$2,$A$4:$A$16,0)-1,1,,)+1,COLUMN('2_DATA'!$N$9),1,1,"2_DATA")):INDIRECT(ADDRESS(VLOOKUP($D$2,$A$4:$B$16,2,FALSE)-1,COLUMN('2_DATA'!$N$9),1,1,"2_DATA"))))),0)</f>
        <v>0</v>
      </c>
      <c r="J7" s="58" t="str">
        <f ca="1">IF(I7=0,"",MAX($J$3:J6)+1)</f>
        <v/>
      </c>
      <c r="L7" s="55">
        <f t="shared" ca="1" si="0"/>
        <v>1000</v>
      </c>
      <c r="M7" s="55" t="str">
        <f t="shared" ca="1" si="4"/>
        <v/>
      </c>
      <c r="N7" s="55"/>
      <c r="O7" s="55" t="str">
        <f ca="1">+M4</f>
        <v/>
      </c>
      <c r="P7" s="55">
        <f t="shared" ca="1" si="1"/>
        <v>0</v>
      </c>
      <c r="Q7" s="55">
        <f ca="1">IFERROR(INDEX($O$4:$P$226,MATCH(ROWS($Q$3:Q6),$P$4:$P$226,0),1),"-")</f>
        <v>1003</v>
      </c>
      <c r="R7" s="62" t="str">
        <f t="shared" ca="1" si="2"/>
        <v>Drilling Actual : Other Drilling Activities</v>
      </c>
      <c r="S7" s="55">
        <f t="shared" ca="1" si="5"/>
        <v>3</v>
      </c>
      <c r="U7"/>
      <c r="V7" s="222"/>
      <c r="W7" s="90"/>
      <c r="X7" s="223"/>
      <c r="Y7" s="90"/>
      <c r="Z7" s="90"/>
      <c r="AA7" s="90"/>
      <c r="AB7" s="224"/>
      <c r="AC7" s="307"/>
      <c r="AD7" s="308"/>
      <c r="AE7" s="236"/>
      <c r="AF7" s="236"/>
      <c r="AG7" s="236"/>
      <c r="AH7" s="236"/>
      <c r="AI7" s="236"/>
      <c r="AJ7" s="236"/>
      <c r="AK7" s="236"/>
      <c r="AL7" s="236"/>
      <c r="AM7" s="236"/>
      <c r="AN7" s="236"/>
      <c r="AO7" s="236"/>
      <c r="AP7" s="236"/>
      <c r="AQ7" s="236"/>
      <c r="AR7" s="236"/>
      <c r="AS7" s="236"/>
      <c r="AT7" s="236"/>
      <c r="AU7" s="236"/>
      <c r="AV7" s="236"/>
      <c r="AW7" s="236"/>
      <c r="AX7" s="236"/>
      <c r="AY7" s="236"/>
      <c r="AZ7" s="236"/>
      <c r="BA7" s="236"/>
      <c r="BB7" s="236"/>
      <c r="BC7" s="236"/>
      <c r="BD7" s="236"/>
      <c r="BE7" s="236"/>
      <c r="BF7" s="236"/>
      <c r="BG7" s="236"/>
      <c r="BH7" s="236"/>
      <c r="BI7" s="236"/>
      <c r="BJ7" s="236"/>
      <c r="BK7" s="236"/>
      <c r="BL7" s="236"/>
      <c r="BM7" s="236"/>
      <c r="BN7" s="236"/>
      <c r="BO7" s="236"/>
      <c r="BP7" s="236"/>
      <c r="BQ7" s="236"/>
      <c r="BR7" s="236"/>
      <c r="BS7" s="236"/>
      <c r="BT7" s="236"/>
      <c r="BU7" s="236"/>
      <c r="BV7" s="236"/>
      <c r="BW7" s="236"/>
      <c r="BX7" s="236"/>
      <c r="BY7" s="236"/>
      <c r="BZ7" s="236"/>
      <c r="CA7" s="236"/>
      <c r="CB7" s="236"/>
      <c r="CC7" s="236"/>
      <c r="CD7" s="236"/>
      <c r="CE7" s="236"/>
      <c r="CF7" s="236"/>
      <c r="CG7" s="236"/>
      <c r="CH7" s="236"/>
      <c r="CI7" s="236"/>
      <c r="CJ7" s="236"/>
      <c r="CK7" s="236"/>
      <c r="CL7" s="236"/>
      <c r="CM7" s="236"/>
      <c r="CN7" s="236"/>
      <c r="CO7" s="236"/>
      <c r="CP7" s="236"/>
      <c r="CQ7" s="236"/>
      <c r="CR7" s="236"/>
      <c r="CS7" s="236"/>
      <c r="CT7" s="236"/>
      <c r="CU7" s="236"/>
      <c r="CV7" s="236"/>
      <c r="CW7" s="236"/>
      <c r="CX7" s="236"/>
      <c r="CY7" s="236"/>
      <c r="CZ7" s="236"/>
      <c r="DA7" s="236"/>
      <c r="DB7" s="236"/>
      <c r="DC7" s="236"/>
      <c r="DD7" s="236"/>
      <c r="DE7" s="236"/>
      <c r="DF7" s="236"/>
      <c r="DG7" s="236"/>
      <c r="DH7" s="236"/>
      <c r="DI7" s="236"/>
      <c r="DJ7" s="236"/>
      <c r="DK7" s="236"/>
      <c r="DL7" s="236"/>
      <c r="DM7" s="236"/>
      <c r="DN7" s="236"/>
      <c r="DO7" s="236"/>
      <c r="DP7" s="236"/>
      <c r="DQ7" s="236"/>
      <c r="DR7" s="236"/>
      <c r="DS7" s="236"/>
      <c r="DT7" s="236"/>
      <c r="DU7" s="236"/>
      <c r="DV7" s="236"/>
      <c r="DW7" s="236"/>
      <c r="DX7" s="236"/>
      <c r="DY7" s="236"/>
      <c r="DZ7" s="236"/>
      <c r="EA7" s="236"/>
      <c r="EB7" s="236"/>
      <c r="EC7" s="236"/>
      <c r="ED7" s="236"/>
      <c r="EE7" s="236"/>
      <c r="EF7" s="236"/>
      <c r="EG7" s="236"/>
      <c r="EH7" s="236"/>
      <c r="EI7" s="236"/>
      <c r="EJ7" s="236"/>
      <c r="EK7" s="236"/>
      <c r="EL7" s="236"/>
      <c r="EM7" s="236"/>
      <c r="EN7" s="236"/>
      <c r="EO7" s="236"/>
      <c r="EP7" s="236"/>
      <c r="EQ7" s="236"/>
      <c r="ER7" s="236"/>
      <c r="ES7" s="236"/>
      <c r="ET7" s="236"/>
      <c r="EU7" s="236"/>
      <c r="EV7" s="236"/>
      <c r="EW7" s="236"/>
      <c r="EX7" s="236"/>
      <c r="EY7" s="236"/>
      <c r="EZ7" s="236"/>
      <c r="FA7" s="236"/>
      <c r="FB7" s="236"/>
      <c r="FC7" s="236"/>
      <c r="FD7" s="236"/>
      <c r="FE7" s="236"/>
      <c r="FF7" s="236"/>
      <c r="FG7" s="236"/>
      <c r="FH7" s="236"/>
      <c r="FI7" s="236"/>
      <c r="FJ7" s="236"/>
      <c r="FK7" s="236"/>
      <c r="FL7" s="236"/>
      <c r="FM7" s="236"/>
      <c r="FN7" s="236"/>
      <c r="FO7" s="236"/>
      <c r="FP7" s="236"/>
      <c r="FQ7" s="236"/>
      <c r="FR7" s="236"/>
      <c r="FS7" s="236"/>
      <c r="FT7" s="236"/>
      <c r="FU7" s="236"/>
      <c r="FV7" s="236"/>
      <c r="FW7" s="236"/>
      <c r="FX7" s="236"/>
      <c r="FY7" s="236"/>
      <c r="FZ7" s="236"/>
      <c r="GA7" s="236"/>
      <c r="GB7" s="236"/>
      <c r="GC7" s="236"/>
      <c r="GD7" s="236"/>
      <c r="GE7" s="236"/>
      <c r="GF7" s="236"/>
      <c r="GG7" s="236"/>
      <c r="GH7" s="236"/>
      <c r="GI7" s="236"/>
      <c r="GJ7" s="236"/>
      <c r="GK7" s="236"/>
      <c r="GL7" s="236"/>
      <c r="GM7" s="236"/>
      <c r="GN7" s="236"/>
      <c r="GO7" s="236"/>
      <c r="GP7" s="236"/>
      <c r="GQ7" s="236"/>
      <c r="GR7" s="236"/>
      <c r="GS7" s="236"/>
      <c r="GT7" s="236"/>
      <c r="GU7" s="236"/>
      <c r="GV7" s="236"/>
      <c r="GW7" s="236"/>
      <c r="GX7" s="236"/>
      <c r="GY7" s="236"/>
      <c r="GZ7" s="236"/>
      <c r="HA7" s="236"/>
      <c r="HB7" s="236"/>
      <c r="HC7" s="236"/>
      <c r="HD7" s="236"/>
      <c r="HE7" s="236"/>
      <c r="HF7" s="236"/>
      <c r="HG7" s="236"/>
      <c r="HH7" s="236"/>
      <c r="HI7" s="236"/>
      <c r="HJ7" s="236"/>
      <c r="HK7" s="236"/>
      <c r="HL7" s="236"/>
      <c r="HM7" s="236"/>
      <c r="HN7" s="236"/>
      <c r="HO7" s="236"/>
      <c r="HP7" s="236"/>
      <c r="HQ7" s="236"/>
      <c r="HR7" s="236"/>
      <c r="HS7" s="236"/>
      <c r="HT7" s="236"/>
      <c r="HU7" s="236"/>
      <c r="HV7" s="236"/>
      <c r="HW7" s="236"/>
      <c r="HX7" s="236"/>
      <c r="HY7" s="236"/>
      <c r="HZ7" s="236"/>
      <c r="IA7" s="236"/>
      <c r="IB7" s="236"/>
      <c r="IC7" s="236"/>
      <c r="ID7" s="236"/>
      <c r="IE7" s="236"/>
      <c r="IF7" s="236"/>
      <c r="IG7" s="236"/>
      <c r="IH7" s="236"/>
      <c r="II7" s="236"/>
      <c r="IJ7" s="236"/>
      <c r="IK7" s="236"/>
      <c r="IL7" s="236"/>
      <c r="IM7" s="236"/>
      <c r="IN7" s="236"/>
      <c r="IO7" s="236"/>
      <c r="IP7" s="236"/>
      <c r="IQ7" s="236"/>
      <c r="IR7" s="236"/>
      <c r="IS7" s="236"/>
      <c r="IT7" s="236"/>
      <c r="IU7" s="236"/>
      <c r="IV7" s="236"/>
      <c r="IW7" s="236"/>
      <c r="IX7" s="236"/>
      <c r="IY7" s="236"/>
      <c r="IZ7" s="236"/>
      <c r="JA7" s="236"/>
      <c r="JB7" s="236"/>
      <c r="JC7" s="236"/>
      <c r="JD7" s="236"/>
      <c r="JE7" s="236"/>
      <c r="JF7" s="236"/>
      <c r="JG7" s="236"/>
      <c r="JH7" s="236"/>
      <c r="JI7" s="236"/>
      <c r="JJ7" s="236"/>
      <c r="JK7" s="236"/>
      <c r="JL7" s="236"/>
      <c r="JM7" s="236"/>
      <c r="JN7" s="236"/>
      <c r="JO7" s="236"/>
      <c r="JP7" s="236"/>
      <c r="JQ7" s="411"/>
      <c r="JR7" s="411"/>
      <c r="JS7" s="411"/>
      <c r="JT7" s="411"/>
      <c r="JU7" s="411"/>
      <c r="JV7" s="411"/>
      <c r="JW7" s="411"/>
      <c r="KH7" s="412">
        <f t="shared" si="9"/>
        <v>4</v>
      </c>
      <c r="KI7" s="413">
        <f t="shared" ca="1" si="6"/>
        <v>1004</v>
      </c>
      <c r="KJ7" s="413" t="str">
        <f t="shared" ca="1" si="7"/>
        <v>Drilling Actual : Test casing / Leak Off Test / Formation Integrity Test</v>
      </c>
      <c r="KK7" s="414">
        <f t="shared" ca="1" si="8"/>
        <v>0.16666666666666666</v>
      </c>
    </row>
    <row r="8" spans="1:301" s="42" customFormat="1" ht="12.9" customHeight="1">
      <c r="A8" s="56" t="str">
        <f ca="1">'1_INPUT'!$C128</f>
        <v/>
      </c>
      <c r="B8" s="55">
        <f ca="1">IFERROR(MATCH(A8,INDIRECT(ADDRESS(1,3,1,1,"2_DATA")):INDIRECT(ADDRESS(1500,3,1,1,"2_DATA")),0),"")</f>
        <v>13</v>
      </c>
      <c r="C8"/>
      <c r="D8" s="57" t="str">
        <f ca="1">INDIRECT(ADDRESS(ROWS($D$3:D7)+6,D$3,1,1,"3_TIME SUM"))</f>
        <v>Anchoring Operations</v>
      </c>
      <c r="E8" s="81" t="str">
        <f ca="1">IF(INDIRECT(ADDRESS(ROWS($E$3:E7)+6,E$3,1,1,"3_TIME SUM"))=0,E7,INDIRECT(ADDRESS(ROWS($E$3:E7)+6,E$3,1,1,"3_TIME SUM")))</f>
        <v>Rig Up and Tear Down</v>
      </c>
      <c r="F8" s="57" t="str">
        <f t="shared" ca="1" si="3"/>
        <v>Rig Up and Tear Down : Anchoring Operations</v>
      </c>
      <c r="G8" s="58" t="str">
        <f ca="1">VLOOKUP($D8,INDIRECT(ADDRESS(7,5,1,1,"3_TIME SUM")):INDIRECT(ADDRESS(200,7,1,1,"3_TIME SUM")),2,FALSE)</f>
        <v>1e</v>
      </c>
      <c r="H8" s="58" t="str">
        <f ca="1">IF(VLOOKUP($D8,INDIRECT(ADDRESS(7,5,1,1,"3_TIME SUM")):INDIRECT(ADDRESS(200,7,1,1,"3_TIME SUM")),3,FALSE)="","PT",VLOOKUP($D8,INDIRECT(ADDRESS(7,5,1,1,"3_TIME SUM")):INDIRECT(ADDRESS(200,7,1,1,"3_TIME SUM")),3,FALSE))</f>
        <v>PT</v>
      </c>
      <c r="I8" s="59">
        <f ca="1">IFERROR(IF(AND($D$2="NON PRODUCTIVE TIME",$H8="NPT"),SUMIF(INDIRECT(ADDRESS(8,COLUMN('2_DATA'!$M$9),1,1,"2_DATA")):INDIRECT(ADDRESS(3000,COLUMN('2_DATA'!$M$9),1,1,"2_DATA")),$G8,INDIRECT(ADDRESS(8,COLUMN('2_DATA'!$N$9),1,1,"2_DATA")):INDIRECT(ADDRESS(3000,COLUMN('2_DATA'!$N$9),1,1,"2_DATA"))),IF($D$2="ALL ACTIVITY",SUMIF(INDIRECT(ADDRESS(9,COLUMN('2_DATA'!$M$9),1,1,"2_DATA")):INDIRECT(ADDRESS(3000,COLUMN('2_DATA'!$M$9),1,1,"2_DATA")),$G8,INDIRECT(ADDRESS(9,COLUMN('2_DATA'!$N$9),1,1,"2_DATA")):INDIRECT(ADDRESS(3000,COLUMN('2_DATA'!$N$9),1,1,"2_DATA"))),SUMIF(INDIRECT(ADDRESS(OFFSET($A$3,MATCH($D$2,$A$4:$A$16,0)-1,1,,)+1,COLUMN('2_DATA'!$M$9),1,1,"2_DATA")):INDIRECT(ADDRESS(VLOOKUP($D$2,$A$4:$B$16,2,FALSE)-1,COLUMN('2_DATA'!$M$9),1,1,"2_DATA")),$G8,INDIRECT(ADDRESS(OFFSET($A$3,MATCH($D$2,$A$4:$A$16,0)-1,1,,)+1,COLUMN('2_DATA'!$N$9),1,1,"2_DATA")):INDIRECT(ADDRESS(VLOOKUP($D$2,$A$4:$B$16,2,FALSE)-1,COLUMN('2_DATA'!$N$9),1,1,"2_DATA"))))),0)</f>
        <v>0</v>
      </c>
      <c r="J8" s="58" t="str">
        <f ca="1">IF(I8=0,"",MAX($J$3:J7)+1)</f>
        <v/>
      </c>
      <c r="K8"/>
      <c r="L8" s="55">
        <f t="shared" ca="1" si="0"/>
        <v>1000</v>
      </c>
      <c r="M8" s="55" t="str">
        <f t="shared" ca="1" si="4"/>
        <v/>
      </c>
      <c r="N8" s="55"/>
      <c r="O8" s="55" t="str">
        <f t="shared" ref="O8:O71" ca="1" si="10">+M5</f>
        <v/>
      </c>
      <c r="P8" s="55">
        <f t="shared" ca="1" si="1"/>
        <v>0</v>
      </c>
      <c r="Q8" s="55">
        <f ca="1">IFERROR(INDEX($O$4:$P$226,MATCH(ROWS($Q$3:Q7),$P$4:$P$226,0),1),"-")</f>
        <v>1004</v>
      </c>
      <c r="R8" s="62" t="str">
        <f t="shared" ca="1" si="2"/>
        <v>Drilling Actual : Test casing / Leak Off Test / Formation Integrity Test</v>
      </c>
      <c r="S8" s="55">
        <f t="shared" ca="1" si="5"/>
        <v>4</v>
      </c>
      <c r="U8" s="9"/>
      <c r="V8" s="225" t="s">
        <v>384</v>
      </c>
      <c r="W8" s="226" t="str">
        <f ca="1">": "&amp;TEXT(IFERROR(SUM(INDIRECT(ADDRESS(OFFSET($A$3,MATCH($D$2,$A$4:$A$12,0)-1,1,,)+1,6,1,1,"2_DATA")):INDIRECT(ADDRESS(VLOOKUP($D$2,$A$4:$B$12,2,FALSE)-1,6,1,1,"2_DATA")))/24,MAX(INDIRECT(ADDRESS(10,9,1,1,"2_DATA")):INDIRECT(ADDRESS(1000,9,1,1,"2_DATA")))),"0,0")&amp;" days"</f>
        <v>: 19 days</v>
      </c>
      <c r="X8" s="227"/>
      <c r="Y8" s="228" t="s">
        <v>230</v>
      </c>
      <c r="Z8" s="229"/>
      <c r="AA8" s="230" t="str">
        <f ca="1">": "&amp;TEXT(IFERROR(SUM(OFFSET($W$13,MATCH($Y$8,$W$13:$W$377,0),5,COUNTIF($M$4:$M$300,"&lt;2000"),)),"0,0 days"),"0,0")&amp;" days"</f>
        <v>: 23 days</v>
      </c>
      <c r="AB8" s="231"/>
      <c r="AC8" s="309"/>
      <c r="AD8" s="309"/>
      <c r="AE8" s="310"/>
      <c r="AF8" s="310"/>
      <c r="AG8" s="310"/>
      <c r="AH8" s="310"/>
      <c r="AI8" s="310"/>
      <c r="AJ8" s="310"/>
      <c r="AK8" s="310"/>
      <c r="AL8" s="310"/>
      <c r="AM8" s="310"/>
      <c r="AN8" s="310"/>
      <c r="AO8" s="310"/>
      <c r="AP8" s="310"/>
      <c r="AQ8" s="310"/>
      <c r="AR8" s="310"/>
      <c r="AS8" s="310"/>
      <c r="AT8" s="310"/>
      <c r="AU8" s="310"/>
      <c r="AV8" s="310"/>
      <c r="AW8" s="310"/>
      <c r="AX8" s="310"/>
      <c r="AY8" s="310"/>
      <c r="AZ8" s="310"/>
      <c r="BA8" s="310"/>
      <c r="BB8" s="310"/>
      <c r="BC8" s="310"/>
      <c r="BD8" s="310"/>
      <c r="BE8" s="310"/>
      <c r="BF8" s="310"/>
      <c r="BG8" s="310"/>
      <c r="BH8" s="310"/>
      <c r="BI8" s="310"/>
      <c r="BJ8" s="310"/>
      <c r="BK8" s="310"/>
      <c r="BL8" s="310"/>
      <c r="BM8" s="310"/>
      <c r="BN8" s="310"/>
      <c r="BO8" s="310"/>
      <c r="BP8" s="310"/>
      <c r="BQ8" s="310"/>
      <c r="BR8" s="310"/>
      <c r="BS8" s="310"/>
      <c r="BT8" s="310"/>
      <c r="BU8" s="310"/>
      <c r="BV8" s="310"/>
      <c r="BW8" s="310"/>
      <c r="BX8" s="310"/>
      <c r="BY8" s="310"/>
      <c r="BZ8" s="310"/>
      <c r="CA8" s="310"/>
      <c r="CB8" s="310"/>
      <c r="CC8" s="310"/>
      <c r="CD8" s="310"/>
      <c r="CE8" s="310"/>
      <c r="CF8" s="310"/>
      <c r="CG8" s="310"/>
      <c r="CH8" s="310"/>
      <c r="CI8" s="310"/>
      <c r="CJ8" s="310"/>
      <c r="CK8" s="310"/>
      <c r="CL8" s="310"/>
      <c r="CM8" s="310"/>
      <c r="CN8" s="310"/>
      <c r="CO8" s="310"/>
      <c r="CP8" s="310"/>
      <c r="CQ8" s="310"/>
      <c r="CR8" s="310"/>
      <c r="CS8" s="310"/>
      <c r="CT8" s="310"/>
      <c r="CU8" s="310"/>
      <c r="CV8" s="310"/>
      <c r="CW8" s="310"/>
      <c r="CX8" s="310"/>
      <c r="CY8" s="310"/>
      <c r="CZ8" s="310"/>
      <c r="DA8" s="310"/>
      <c r="DB8" s="310"/>
      <c r="DC8" s="310"/>
      <c r="DD8" s="310"/>
      <c r="DE8" s="310"/>
      <c r="DF8" s="310"/>
      <c r="DG8" s="310"/>
      <c r="DH8" s="310"/>
      <c r="DI8" s="310"/>
      <c r="DJ8" s="310"/>
      <c r="DK8" s="310"/>
      <c r="DL8" s="310"/>
      <c r="DM8" s="310"/>
      <c r="DN8" s="310"/>
      <c r="DO8" s="310"/>
      <c r="DP8" s="310"/>
      <c r="DQ8" s="310"/>
      <c r="DR8" s="310"/>
      <c r="DS8" s="310"/>
      <c r="DT8" s="310"/>
      <c r="DU8" s="310"/>
      <c r="DV8" s="310"/>
      <c r="DW8" s="310"/>
      <c r="DX8" s="310"/>
      <c r="DY8" s="310"/>
      <c r="DZ8" s="310"/>
      <c r="EA8" s="310"/>
      <c r="EB8" s="310"/>
      <c r="EC8" s="310"/>
      <c r="ED8" s="310"/>
      <c r="EE8" s="310"/>
      <c r="EF8" s="310"/>
      <c r="EG8" s="310"/>
      <c r="EH8" s="310"/>
      <c r="EI8" s="310"/>
      <c r="EJ8" s="310"/>
      <c r="EK8" s="310"/>
      <c r="EL8" s="310"/>
      <c r="EM8" s="310"/>
      <c r="EN8" s="310"/>
      <c r="EO8" s="310"/>
      <c r="EP8" s="310"/>
      <c r="EQ8" s="310"/>
      <c r="ER8" s="310"/>
      <c r="ES8" s="310"/>
      <c r="ET8" s="310"/>
      <c r="EU8" s="310"/>
      <c r="EV8" s="310"/>
      <c r="EW8" s="310"/>
      <c r="EX8" s="310"/>
      <c r="EY8" s="310"/>
      <c r="EZ8" s="310"/>
      <c r="FA8" s="310"/>
      <c r="FB8" s="310"/>
      <c r="FC8" s="310"/>
      <c r="FD8" s="310"/>
      <c r="FE8" s="310"/>
      <c r="FF8" s="310"/>
      <c r="FG8" s="310"/>
      <c r="FH8" s="310"/>
      <c r="FI8" s="310"/>
      <c r="FJ8" s="310"/>
      <c r="FK8" s="310"/>
      <c r="FL8" s="310"/>
      <c r="FM8" s="310"/>
      <c r="FN8" s="310"/>
      <c r="FO8" s="310"/>
      <c r="FP8" s="310"/>
      <c r="FQ8" s="310"/>
      <c r="FR8" s="310"/>
      <c r="FS8" s="310"/>
      <c r="FT8" s="310"/>
      <c r="FU8" s="310"/>
      <c r="FV8" s="310"/>
      <c r="FW8" s="310"/>
      <c r="FX8" s="310"/>
      <c r="FY8" s="310"/>
      <c r="FZ8" s="310"/>
      <c r="GA8" s="310"/>
      <c r="GB8" s="310"/>
      <c r="GC8" s="310"/>
      <c r="GD8" s="310"/>
      <c r="GE8" s="310"/>
      <c r="GF8" s="310"/>
      <c r="GG8" s="310"/>
      <c r="GH8" s="310"/>
      <c r="GI8" s="310"/>
      <c r="GJ8" s="310"/>
      <c r="GK8" s="310"/>
      <c r="GL8" s="310"/>
      <c r="GM8" s="310"/>
      <c r="GN8" s="310"/>
      <c r="GO8" s="310"/>
      <c r="GP8" s="310"/>
      <c r="GQ8" s="310"/>
      <c r="GR8" s="310"/>
      <c r="GS8" s="310"/>
      <c r="GT8" s="310"/>
      <c r="GU8" s="310"/>
      <c r="GV8" s="310"/>
      <c r="GW8" s="310"/>
      <c r="GX8" s="310"/>
      <c r="GY8" s="310"/>
      <c r="GZ8" s="310"/>
      <c r="HA8" s="310"/>
      <c r="HB8" s="310"/>
      <c r="HC8" s="310"/>
      <c r="HD8" s="310"/>
      <c r="HE8" s="310"/>
      <c r="HF8" s="310"/>
      <c r="HG8" s="310"/>
      <c r="HH8" s="310"/>
      <c r="HI8" s="310"/>
      <c r="HJ8" s="310"/>
      <c r="HK8" s="310"/>
      <c r="HL8" s="310"/>
      <c r="HM8" s="310"/>
      <c r="HN8" s="310"/>
      <c r="HO8" s="310"/>
      <c r="HP8" s="310"/>
      <c r="HQ8" s="310"/>
      <c r="HR8" s="310"/>
      <c r="HS8" s="310"/>
      <c r="HT8" s="310"/>
      <c r="HU8" s="310"/>
      <c r="HV8" s="310"/>
      <c r="HW8" s="310"/>
      <c r="HX8" s="310"/>
      <c r="HY8" s="310"/>
      <c r="HZ8" s="310"/>
      <c r="IA8" s="310"/>
      <c r="IB8" s="310"/>
      <c r="IC8" s="310"/>
      <c r="ID8" s="310"/>
      <c r="IE8" s="310"/>
      <c r="IF8" s="310"/>
      <c r="IG8" s="310"/>
      <c r="IH8" s="310"/>
      <c r="II8" s="310"/>
      <c r="IJ8" s="310"/>
      <c r="IK8" s="310"/>
      <c r="IL8" s="310"/>
      <c r="IM8" s="310"/>
      <c r="IN8" s="310"/>
      <c r="IO8" s="310"/>
      <c r="IP8" s="310"/>
      <c r="IQ8" s="310"/>
      <c r="IR8" s="310"/>
      <c r="IS8" s="310"/>
      <c r="IT8" s="310"/>
      <c r="IU8" s="310"/>
      <c r="IV8" s="310"/>
      <c r="IW8" s="310"/>
      <c r="IX8" s="310"/>
      <c r="IY8" s="310"/>
      <c r="IZ8" s="310"/>
      <c r="JA8" s="310"/>
      <c r="JB8" s="310"/>
      <c r="JC8" s="310"/>
      <c r="JD8" s="310"/>
      <c r="JE8" s="310"/>
      <c r="JF8" s="310"/>
      <c r="JG8" s="310"/>
      <c r="JH8" s="310"/>
      <c r="JI8" s="310"/>
      <c r="JJ8" s="310"/>
      <c r="JK8" s="310"/>
      <c r="JL8" s="310"/>
      <c r="JM8" s="310"/>
      <c r="JN8" s="310"/>
      <c r="JO8" s="310"/>
      <c r="JP8" s="310"/>
      <c r="JQ8" s="411"/>
      <c r="JR8" s="411"/>
      <c r="JS8" s="411"/>
      <c r="JT8" s="411"/>
      <c r="JU8" s="411"/>
      <c r="JV8" s="411"/>
      <c r="JW8" s="411"/>
      <c r="JX8" s="411"/>
      <c r="JY8" s="411"/>
      <c r="JZ8" s="411"/>
      <c r="KA8" s="411"/>
      <c r="KB8" s="411"/>
      <c r="KC8" s="411"/>
      <c r="KD8" s="411"/>
      <c r="KE8" s="411"/>
      <c r="KF8" s="411"/>
      <c r="KG8" s="411"/>
      <c r="KH8" s="412">
        <f t="shared" si="9"/>
        <v>5</v>
      </c>
      <c r="KI8" s="413">
        <f t="shared" ca="1" si="6"/>
        <v>1005</v>
      </c>
      <c r="KJ8" s="413" t="str">
        <f t="shared" ca="1" si="7"/>
        <v xml:space="preserve">Reaming : Wash / Reaming / Backreaming </v>
      </c>
      <c r="KK8" s="414">
        <f t="shared" ca="1" si="8"/>
        <v>0.45833333333333331</v>
      </c>
      <c r="KL8" s="408"/>
      <c r="KM8" s="408"/>
      <c r="KN8" s="408"/>
      <c r="KO8" s="408"/>
    </row>
    <row r="9" spans="1:301" s="42" customFormat="1" ht="12.9" customHeight="1">
      <c r="A9" s="56" t="str">
        <f ca="1">'1_INPUT'!$C129</f>
        <v/>
      </c>
      <c r="B9" s="55">
        <f ca="1">IFERROR(MATCH(A9,INDIRECT(ADDRESS(1,3,1,1,"2_DATA")):INDIRECT(ADDRESS(1500,3,1,1,"2_DATA")),0),"")</f>
        <v>13</v>
      </c>
      <c r="C9"/>
      <c r="D9" s="57" t="str">
        <f ca="1">INDIRECT(ADDRESS(ROWS($D$3:D8)+6,D$3,1,1,"3_TIME SUM"))</f>
        <v>Jack Up / Jack Down</v>
      </c>
      <c r="E9" s="81" t="str">
        <f ca="1">IF(INDIRECT(ADDRESS(ROWS($E$3:E8)+6,E$3,1,1,"3_TIME SUM"))=0,E8,INDIRECT(ADDRESS(ROWS($E$3:E8)+6,E$3,1,1,"3_TIME SUM")))</f>
        <v>Rig Up and Tear Down</v>
      </c>
      <c r="F9" s="57" t="str">
        <f t="shared" ca="1" si="3"/>
        <v>Rig Up and Tear Down : Jack Up / Jack Down</v>
      </c>
      <c r="G9" s="58" t="str">
        <f ca="1">VLOOKUP($D9,INDIRECT(ADDRESS(7,5,1,1,"3_TIME SUM")):INDIRECT(ADDRESS(200,7,1,1,"3_TIME SUM")),2,FALSE)</f>
        <v>1f</v>
      </c>
      <c r="H9" s="58" t="str">
        <f ca="1">IF(VLOOKUP($D9,INDIRECT(ADDRESS(7,5,1,1,"3_TIME SUM")):INDIRECT(ADDRESS(200,7,1,1,"3_TIME SUM")),3,FALSE)="","PT",VLOOKUP($D9,INDIRECT(ADDRESS(7,5,1,1,"3_TIME SUM")):INDIRECT(ADDRESS(200,7,1,1,"3_TIME SUM")),3,FALSE))</f>
        <v>PT</v>
      </c>
      <c r="I9" s="59">
        <f ca="1">IFERROR(IF(AND($D$2="NON PRODUCTIVE TIME",$H9="NPT"),SUMIF(INDIRECT(ADDRESS(8,COLUMN('2_DATA'!$M$9),1,1,"2_DATA")):INDIRECT(ADDRESS(3000,COLUMN('2_DATA'!$M$9),1,1,"2_DATA")),$G9,INDIRECT(ADDRESS(8,COLUMN('2_DATA'!$N$9),1,1,"2_DATA")):INDIRECT(ADDRESS(3000,COLUMN('2_DATA'!$N$9),1,1,"2_DATA"))),IF($D$2="ALL ACTIVITY",SUMIF(INDIRECT(ADDRESS(9,COLUMN('2_DATA'!$M$9),1,1,"2_DATA")):INDIRECT(ADDRESS(3000,COLUMN('2_DATA'!$M$9),1,1,"2_DATA")),$G9,INDIRECT(ADDRESS(9,COLUMN('2_DATA'!$N$9),1,1,"2_DATA")):INDIRECT(ADDRESS(3000,COLUMN('2_DATA'!$N$9),1,1,"2_DATA"))),SUMIF(INDIRECT(ADDRESS(OFFSET($A$3,MATCH($D$2,$A$4:$A$16,0)-1,1,,)+1,COLUMN('2_DATA'!$M$9),1,1,"2_DATA")):INDIRECT(ADDRESS(VLOOKUP($D$2,$A$4:$B$16,2,FALSE)-1,COLUMN('2_DATA'!$M$9),1,1,"2_DATA")),$G9,INDIRECT(ADDRESS(OFFSET($A$3,MATCH($D$2,$A$4:$A$16,0)-1,1,,)+1,COLUMN('2_DATA'!$N$9),1,1,"2_DATA")):INDIRECT(ADDRESS(VLOOKUP($D$2,$A$4:$B$16,2,FALSE)-1,COLUMN('2_DATA'!$N$9),1,1,"2_DATA"))))),0)</f>
        <v>0</v>
      </c>
      <c r="J9" s="58" t="str">
        <f ca="1">IF(I9=0,"",MAX($J$3:J8)+1)</f>
        <v/>
      </c>
      <c r="K9"/>
      <c r="L9" s="55">
        <f t="shared" ca="1" si="0"/>
        <v>1000</v>
      </c>
      <c r="M9" s="55" t="str">
        <f t="shared" ca="1" si="4"/>
        <v/>
      </c>
      <c r="N9" s="55"/>
      <c r="O9" s="55" t="str">
        <f t="shared" ca="1" si="10"/>
        <v/>
      </c>
      <c r="P9" s="55">
        <f t="shared" ca="1" si="1"/>
        <v>0</v>
      </c>
      <c r="Q9" s="55">
        <f ca="1">IFERROR(INDEX($O$4:$P$226,MATCH(ROWS($Q$3:Q8),$P$4:$P$226,0),1),"-")</f>
        <v>1005</v>
      </c>
      <c r="R9" s="62" t="str">
        <f t="shared" ca="1" si="2"/>
        <v xml:space="preserve">Reaming : Wash / Reaming / Backreaming </v>
      </c>
      <c r="S9" s="55">
        <f t="shared" ca="1" si="5"/>
        <v>5</v>
      </c>
      <c r="U9" s="9"/>
      <c r="V9" s="225" t="s">
        <v>48</v>
      </c>
      <c r="W9" s="226" t="str">
        <f ca="1">": "&amp;TEXT(IFERROR(SUM(INDIRECT(ADDRESS(OFFSET($A$3,MATCH($D$2,$A$4:$A$12,0)-1,1,,)+1,16,1,1,"2_DATA")):INDIRECT(ADDRESS(VLOOKUP($D$2,$A$4:$B$12,2,FALSE)-1,16,1,1,"2_DATA")))/24,MAX(INDIRECT(ADDRESS(10,22,1,1,"2_DATA")):INDIRECT(ADDRESS(1000,22,1,1,"2_DATA")))),"0,0")&amp;" days"</f>
        <v>: 16,864 days</v>
      </c>
      <c r="X9" s="227"/>
      <c r="Y9" s="228" t="s">
        <v>232</v>
      </c>
      <c r="Z9" s="229"/>
      <c r="AA9" s="227" t="str">
        <f ca="1">": "&amp;TEXT(IFERROR(SUM(OFFSET($W$13,MATCH($Y$9,$W$13:$W$377,0),5,100,)),"0,0"),"0,0")&amp;" days"</f>
        <v>: 0,0 days</v>
      </c>
      <c r="AB9" s="231"/>
      <c r="AC9" s="309"/>
      <c r="AD9" s="309"/>
      <c r="AE9" s="310"/>
      <c r="AF9" s="310"/>
      <c r="AG9" s="310"/>
      <c r="AH9" s="310"/>
      <c r="AI9" s="310"/>
      <c r="AJ9" s="310"/>
      <c r="AK9" s="310"/>
      <c r="AL9" s="310"/>
      <c r="AM9" s="310"/>
      <c r="AN9" s="310"/>
      <c r="AO9" s="310"/>
      <c r="AP9" s="310"/>
      <c r="AQ9" s="310"/>
      <c r="AR9" s="310"/>
      <c r="AS9" s="310"/>
      <c r="AT9" s="310"/>
      <c r="AU9" s="310"/>
      <c r="AV9" s="310"/>
      <c r="AW9" s="310"/>
      <c r="AX9" s="310"/>
      <c r="AY9" s="310"/>
      <c r="AZ9" s="310"/>
      <c r="BA9" s="310"/>
      <c r="BB9" s="310"/>
      <c r="BC9" s="310"/>
      <c r="BD9" s="310"/>
      <c r="BE9" s="310"/>
      <c r="BF9" s="310"/>
      <c r="BG9" s="310"/>
      <c r="BH9" s="310"/>
      <c r="BI9" s="310"/>
      <c r="BJ9" s="310"/>
      <c r="BK9" s="310"/>
      <c r="BL9" s="310"/>
      <c r="BM9" s="310"/>
      <c r="BN9" s="310"/>
      <c r="BO9" s="310"/>
      <c r="BP9" s="310"/>
      <c r="BQ9" s="310"/>
      <c r="BR9" s="310"/>
      <c r="BS9" s="310"/>
      <c r="BT9" s="310"/>
      <c r="BU9" s="310"/>
      <c r="BV9" s="310"/>
      <c r="BW9" s="310"/>
      <c r="BX9" s="310"/>
      <c r="BY9" s="310"/>
      <c r="BZ9" s="310"/>
      <c r="CA9" s="310"/>
      <c r="CB9" s="310"/>
      <c r="CC9" s="310"/>
      <c r="CD9" s="310"/>
      <c r="CE9" s="310"/>
      <c r="CF9" s="310"/>
      <c r="CG9" s="310"/>
      <c r="CH9" s="310"/>
      <c r="CI9" s="310"/>
      <c r="CJ9" s="310"/>
      <c r="CK9" s="310"/>
      <c r="CL9" s="310"/>
      <c r="CM9" s="310"/>
      <c r="CN9" s="310"/>
      <c r="CO9" s="310"/>
      <c r="CP9" s="310"/>
      <c r="CQ9" s="310"/>
      <c r="CR9" s="310"/>
      <c r="CS9" s="310"/>
      <c r="CT9" s="310"/>
      <c r="CU9" s="310"/>
      <c r="CV9" s="310"/>
      <c r="CW9" s="310"/>
      <c r="CX9" s="310"/>
      <c r="CY9" s="310"/>
      <c r="CZ9" s="310"/>
      <c r="DA9" s="310"/>
      <c r="DB9" s="310"/>
      <c r="DC9" s="310"/>
      <c r="DD9" s="310"/>
      <c r="DE9" s="310"/>
      <c r="DF9" s="310"/>
      <c r="DG9" s="310"/>
      <c r="DH9" s="310"/>
      <c r="DI9" s="310"/>
      <c r="DJ9" s="310"/>
      <c r="DK9" s="310"/>
      <c r="DL9" s="310"/>
      <c r="DM9" s="310"/>
      <c r="DN9" s="310"/>
      <c r="DO9" s="310"/>
      <c r="DP9" s="310"/>
      <c r="DQ9" s="310"/>
      <c r="DR9" s="310"/>
      <c r="DS9" s="310"/>
      <c r="DT9" s="310"/>
      <c r="DU9" s="310"/>
      <c r="DV9" s="310"/>
      <c r="DW9" s="310"/>
      <c r="DX9" s="310"/>
      <c r="DY9" s="310"/>
      <c r="DZ9" s="310"/>
      <c r="EA9" s="310"/>
      <c r="EB9" s="310"/>
      <c r="EC9" s="310"/>
      <c r="ED9" s="310"/>
      <c r="EE9" s="310"/>
      <c r="EF9" s="310"/>
      <c r="EG9" s="310"/>
      <c r="EH9" s="310"/>
      <c r="EI9" s="310"/>
      <c r="EJ9" s="310"/>
      <c r="EK9" s="310"/>
      <c r="EL9" s="310"/>
      <c r="EM9" s="310"/>
      <c r="EN9" s="310"/>
      <c r="EO9" s="310"/>
      <c r="EP9" s="310"/>
      <c r="EQ9" s="310"/>
      <c r="ER9" s="310"/>
      <c r="ES9" s="310"/>
      <c r="ET9" s="310"/>
      <c r="EU9" s="310"/>
      <c r="EV9" s="310"/>
      <c r="EW9" s="310"/>
      <c r="EX9" s="310"/>
      <c r="EY9" s="310"/>
      <c r="EZ9" s="310"/>
      <c r="FA9" s="310"/>
      <c r="FB9" s="310"/>
      <c r="FC9" s="310"/>
      <c r="FD9" s="310"/>
      <c r="FE9" s="310"/>
      <c r="FF9" s="310"/>
      <c r="FG9" s="310"/>
      <c r="FH9" s="310"/>
      <c r="FI9" s="310"/>
      <c r="FJ9" s="310"/>
      <c r="FK9" s="310"/>
      <c r="FL9" s="310"/>
      <c r="FM9" s="310"/>
      <c r="FN9" s="310"/>
      <c r="FO9" s="310"/>
      <c r="FP9" s="310"/>
      <c r="FQ9" s="310"/>
      <c r="FR9" s="310"/>
      <c r="FS9" s="310"/>
      <c r="FT9" s="310"/>
      <c r="FU9" s="310"/>
      <c r="FV9" s="310"/>
      <c r="FW9" s="310"/>
      <c r="FX9" s="310"/>
      <c r="FY9" s="310"/>
      <c r="FZ9" s="310"/>
      <c r="GA9" s="310"/>
      <c r="GB9" s="310"/>
      <c r="GC9" s="310"/>
      <c r="GD9" s="310"/>
      <c r="GE9" s="310"/>
      <c r="GF9" s="310"/>
      <c r="GG9" s="310"/>
      <c r="GH9" s="310"/>
      <c r="GI9" s="310"/>
      <c r="GJ9" s="310"/>
      <c r="GK9" s="310"/>
      <c r="GL9" s="310"/>
      <c r="GM9" s="310"/>
      <c r="GN9" s="310"/>
      <c r="GO9" s="310"/>
      <c r="GP9" s="310"/>
      <c r="GQ9" s="310"/>
      <c r="GR9" s="310"/>
      <c r="GS9" s="310"/>
      <c r="GT9" s="310"/>
      <c r="GU9" s="310"/>
      <c r="GV9" s="310"/>
      <c r="GW9" s="310"/>
      <c r="GX9" s="310"/>
      <c r="GY9" s="310"/>
      <c r="GZ9" s="310"/>
      <c r="HA9" s="310"/>
      <c r="HB9" s="310"/>
      <c r="HC9" s="310"/>
      <c r="HD9" s="310"/>
      <c r="HE9" s="310"/>
      <c r="HF9" s="310"/>
      <c r="HG9" s="310"/>
      <c r="HH9" s="310"/>
      <c r="HI9" s="310"/>
      <c r="HJ9" s="310"/>
      <c r="HK9" s="310"/>
      <c r="HL9" s="310"/>
      <c r="HM9" s="310"/>
      <c r="HN9" s="310"/>
      <c r="HO9" s="310"/>
      <c r="HP9" s="310"/>
      <c r="HQ9" s="310"/>
      <c r="HR9" s="310"/>
      <c r="HS9" s="310"/>
      <c r="HT9" s="310"/>
      <c r="HU9" s="310"/>
      <c r="HV9" s="310"/>
      <c r="HW9" s="310"/>
      <c r="HX9" s="310"/>
      <c r="HY9" s="310"/>
      <c r="HZ9" s="310"/>
      <c r="IA9" s="310"/>
      <c r="IB9" s="310"/>
      <c r="IC9" s="310"/>
      <c r="ID9" s="310"/>
      <c r="IE9" s="310"/>
      <c r="IF9" s="310"/>
      <c r="IG9" s="310"/>
      <c r="IH9" s="310"/>
      <c r="II9" s="310"/>
      <c r="IJ9" s="310"/>
      <c r="IK9" s="310"/>
      <c r="IL9" s="310"/>
      <c r="IM9" s="310"/>
      <c r="IN9" s="310"/>
      <c r="IO9" s="310"/>
      <c r="IP9" s="310"/>
      <c r="IQ9" s="310"/>
      <c r="IR9" s="310"/>
      <c r="IS9" s="310"/>
      <c r="IT9" s="310"/>
      <c r="IU9" s="310"/>
      <c r="IV9" s="310"/>
      <c r="IW9" s="310"/>
      <c r="IX9" s="310"/>
      <c r="IY9" s="310"/>
      <c r="IZ9" s="310"/>
      <c r="JA9" s="310"/>
      <c r="JB9" s="310"/>
      <c r="JC9" s="310"/>
      <c r="JD9" s="310"/>
      <c r="JE9" s="310"/>
      <c r="JF9" s="310"/>
      <c r="JG9" s="310"/>
      <c r="JH9" s="310"/>
      <c r="JI9" s="310"/>
      <c r="JJ9" s="310"/>
      <c r="JK9" s="310"/>
      <c r="JL9" s="310"/>
      <c r="JM9" s="310"/>
      <c r="JN9" s="310"/>
      <c r="JO9" s="310"/>
      <c r="JP9" s="310"/>
      <c r="JQ9" s="411"/>
      <c r="JR9" s="411"/>
      <c r="JS9" s="411"/>
      <c r="JT9" s="411"/>
      <c r="JU9" s="411"/>
      <c r="JV9" s="411"/>
      <c r="JW9" s="411"/>
      <c r="JX9" s="411"/>
      <c r="JY9" s="411"/>
      <c r="JZ9" s="411"/>
      <c r="KA9" s="411"/>
      <c r="KB9" s="411"/>
      <c r="KC9" s="411"/>
      <c r="KD9" s="411"/>
      <c r="KE9" s="411"/>
      <c r="KF9" s="411"/>
      <c r="KG9" s="411"/>
      <c r="KH9" s="412">
        <f t="shared" si="9"/>
        <v>6</v>
      </c>
      <c r="KI9" s="413">
        <f t="shared" ca="1" si="6"/>
        <v>1006</v>
      </c>
      <c r="KJ9" s="413" t="str">
        <f t="shared" ca="1" si="7"/>
        <v>Condition Mud &amp; Circulate : Circulate / Condition Mud</v>
      </c>
      <c r="KK9" s="414">
        <f t="shared" ca="1" si="8"/>
        <v>0.77083333333333337</v>
      </c>
      <c r="KL9" s="408"/>
      <c r="KM9" s="408"/>
      <c r="KN9" s="408"/>
      <c r="KO9" s="408"/>
    </row>
    <row r="10" spans="1:301" s="42" customFormat="1" ht="12.9" customHeight="1">
      <c r="A10" s="56" t="str">
        <f ca="1">'1_INPUT'!$C130</f>
        <v/>
      </c>
      <c r="B10" s="55">
        <f ca="1">IFERROR(MATCH(A10,INDIRECT(ADDRESS(1,3,1,1,"2_DATA")):INDIRECT(ADDRESS(1500,3,1,1,"2_DATA")),0),"")</f>
        <v>13</v>
      </c>
      <c r="C10"/>
      <c r="D10" s="57" t="str">
        <f ca="1">INDIRECT(ADDRESS(ROWS($D$3:D9)+6,D$3,1,1,"3_TIME SUM"))</f>
        <v>Preload</v>
      </c>
      <c r="E10" s="81" t="str">
        <f ca="1">IF(INDIRECT(ADDRESS(ROWS($E$3:E9)+6,E$3,1,1,"3_TIME SUM"))=0,E9,INDIRECT(ADDRESS(ROWS($E$3:E9)+6,E$3,1,1,"3_TIME SUM")))</f>
        <v>Rig Up and Tear Down</v>
      </c>
      <c r="F10" s="57" t="str">
        <f t="shared" ca="1" si="3"/>
        <v>Rig Up and Tear Down : Preload</v>
      </c>
      <c r="G10" s="58" t="str">
        <f ca="1">VLOOKUP($D10,INDIRECT(ADDRESS(7,5,1,1,"3_TIME SUM")):INDIRECT(ADDRESS(200,7,1,1,"3_TIME SUM")),2,FALSE)</f>
        <v>1g</v>
      </c>
      <c r="H10" s="58" t="str">
        <f ca="1">IF(VLOOKUP($D10,INDIRECT(ADDRESS(7,5,1,1,"3_TIME SUM")):INDIRECT(ADDRESS(200,7,1,1,"3_TIME SUM")),3,FALSE)="","PT",VLOOKUP($D10,INDIRECT(ADDRESS(7,5,1,1,"3_TIME SUM")):INDIRECT(ADDRESS(200,7,1,1,"3_TIME SUM")),3,FALSE))</f>
        <v>PT</v>
      </c>
      <c r="I10" s="59">
        <f ca="1">IFERROR(IF(AND($D$2="NON PRODUCTIVE TIME",$H10="NPT"),SUMIF(INDIRECT(ADDRESS(8,COLUMN('2_DATA'!$M$9),1,1,"2_DATA")):INDIRECT(ADDRESS(3000,COLUMN('2_DATA'!$M$9),1,1,"2_DATA")),$G10,INDIRECT(ADDRESS(8,COLUMN('2_DATA'!$N$9),1,1,"2_DATA")):INDIRECT(ADDRESS(3000,COLUMN('2_DATA'!$N$9),1,1,"2_DATA"))),IF($D$2="ALL ACTIVITY",SUMIF(INDIRECT(ADDRESS(9,COLUMN('2_DATA'!$M$9),1,1,"2_DATA")):INDIRECT(ADDRESS(3000,COLUMN('2_DATA'!$M$9),1,1,"2_DATA")),$G10,INDIRECT(ADDRESS(9,COLUMN('2_DATA'!$N$9),1,1,"2_DATA")):INDIRECT(ADDRESS(3000,COLUMN('2_DATA'!$N$9),1,1,"2_DATA"))),SUMIF(INDIRECT(ADDRESS(OFFSET($A$3,MATCH($D$2,$A$4:$A$16,0)-1,1,,)+1,COLUMN('2_DATA'!$M$9),1,1,"2_DATA")):INDIRECT(ADDRESS(VLOOKUP($D$2,$A$4:$B$16,2,FALSE)-1,COLUMN('2_DATA'!$M$9),1,1,"2_DATA")),$G10,INDIRECT(ADDRESS(OFFSET($A$3,MATCH($D$2,$A$4:$A$16,0)-1,1,,)+1,COLUMN('2_DATA'!$N$9),1,1,"2_DATA")):INDIRECT(ADDRESS(VLOOKUP($D$2,$A$4:$B$16,2,FALSE)-1,COLUMN('2_DATA'!$N$9),1,1,"2_DATA"))))),0)</f>
        <v>0</v>
      </c>
      <c r="J10" s="58" t="str">
        <f ca="1">IF(I10=0,"",MAX($J$3:J9)+1)</f>
        <v/>
      </c>
      <c r="K10"/>
      <c r="L10" s="55">
        <f t="shared" ca="1" si="0"/>
        <v>1000</v>
      </c>
      <c r="M10" s="55" t="str">
        <f t="shared" ca="1" si="4"/>
        <v/>
      </c>
      <c r="N10" s="55"/>
      <c r="O10" s="55" t="str">
        <f t="shared" ca="1" si="10"/>
        <v/>
      </c>
      <c r="P10" s="55">
        <f t="shared" ca="1" si="1"/>
        <v>0</v>
      </c>
      <c r="Q10" s="55">
        <f ca="1">IFERROR(INDEX($O$4:$P$226,MATCH(ROWS($Q$3:Q9),$P$4:$P$226,0),1),"-")</f>
        <v>1006</v>
      </c>
      <c r="R10" s="62" t="str">
        <f t="shared" ca="1" si="2"/>
        <v>Condition Mud &amp; Circulate : Circulate / Condition Mud</v>
      </c>
      <c r="S10" s="55">
        <f t="shared" ca="1" si="5"/>
        <v>6</v>
      </c>
      <c r="U10" s="9"/>
      <c r="V10" s="232"/>
      <c r="W10" s="233"/>
      <c r="X10" s="229"/>
      <c r="Y10" s="234"/>
      <c r="Z10" s="229"/>
      <c r="AA10" s="235"/>
      <c r="AB10" s="231"/>
      <c r="AC10" s="309"/>
      <c r="AD10" s="309"/>
      <c r="AE10" s="310"/>
      <c r="AF10" s="310"/>
      <c r="AG10" s="310"/>
      <c r="AH10" s="310"/>
      <c r="AI10" s="310"/>
      <c r="AJ10" s="310"/>
      <c r="AK10" s="310"/>
      <c r="AL10" s="310"/>
      <c r="AM10" s="310"/>
      <c r="AN10" s="310"/>
      <c r="AO10" s="310"/>
      <c r="AP10" s="310"/>
      <c r="AQ10" s="310"/>
      <c r="AR10" s="310"/>
      <c r="AS10" s="310"/>
      <c r="AT10" s="310"/>
      <c r="AU10" s="310"/>
      <c r="AV10" s="310"/>
      <c r="AW10" s="310"/>
      <c r="AX10" s="310"/>
      <c r="AY10" s="310"/>
      <c r="AZ10" s="310"/>
      <c r="BA10" s="310"/>
      <c r="BB10" s="310"/>
      <c r="BC10" s="310"/>
      <c r="BD10" s="310"/>
      <c r="BE10" s="310"/>
      <c r="BF10" s="310"/>
      <c r="BG10" s="310"/>
      <c r="BH10" s="310"/>
      <c r="BI10" s="310"/>
      <c r="BJ10" s="310"/>
      <c r="BK10" s="310"/>
      <c r="BL10" s="310"/>
      <c r="BM10" s="310"/>
      <c r="BN10" s="310"/>
      <c r="BO10" s="310"/>
      <c r="BP10" s="310"/>
      <c r="BQ10" s="310"/>
      <c r="BR10" s="310"/>
      <c r="BS10" s="310"/>
      <c r="BT10" s="310"/>
      <c r="BU10" s="310"/>
      <c r="BV10" s="310"/>
      <c r="BW10" s="310"/>
      <c r="BX10" s="310"/>
      <c r="BY10" s="310"/>
      <c r="BZ10" s="310"/>
      <c r="CA10" s="310"/>
      <c r="CB10" s="310"/>
      <c r="CC10" s="310"/>
      <c r="CD10" s="310"/>
      <c r="CE10" s="310"/>
      <c r="CF10" s="310"/>
      <c r="CG10" s="310"/>
      <c r="CH10" s="310"/>
      <c r="CI10" s="310"/>
      <c r="CJ10" s="310"/>
      <c r="CK10" s="310"/>
      <c r="CL10" s="310"/>
      <c r="CM10" s="310"/>
      <c r="CN10" s="310"/>
      <c r="CO10" s="310"/>
      <c r="CP10" s="310"/>
      <c r="CQ10" s="310"/>
      <c r="CR10" s="310"/>
      <c r="CS10" s="310"/>
      <c r="CT10" s="310"/>
      <c r="CU10" s="310"/>
      <c r="CV10" s="310"/>
      <c r="CW10" s="310"/>
      <c r="CX10" s="310"/>
      <c r="CY10" s="310"/>
      <c r="CZ10" s="310"/>
      <c r="DA10" s="310"/>
      <c r="DB10" s="310"/>
      <c r="DC10" s="310"/>
      <c r="DD10" s="310"/>
      <c r="DE10" s="310"/>
      <c r="DF10" s="310"/>
      <c r="DG10" s="310"/>
      <c r="DH10" s="310"/>
      <c r="DI10" s="310"/>
      <c r="DJ10" s="310"/>
      <c r="DK10" s="310"/>
      <c r="DL10" s="310"/>
      <c r="DM10" s="310"/>
      <c r="DN10" s="310"/>
      <c r="DO10" s="310"/>
      <c r="DP10" s="310"/>
      <c r="DQ10" s="310"/>
      <c r="DR10" s="310"/>
      <c r="DS10" s="310"/>
      <c r="DT10" s="310"/>
      <c r="DU10" s="310"/>
      <c r="DV10" s="310"/>
      <c r="DW10" s="310"/>
      <c r="DX10" s="310"/>
      <c r="DY10" s="310"/>
      <c r="DZ10" s="310"/>
      <c r="EA10" s="310"/>
      <c r="EB10" s="310"/>
      <c r="EC10" s="310"/>
      <c r="ED10" s="310"/>
      <c r="EE10" s="310"/>
      <c r="EF10" s="310"/>
      <c r="EG10" s="310"/>
      <c r="EH10" s="310"/>
      <c r="EI10" s="310"/>
      <c r="EJ10" s="310"/>
      <c r="EK10" s="310"/>
      <c r="EL10" s="310"/>
      <c r="EM10" s="310"/>
      <c r="EN10" s="310"/>
      <c r="EO10" s="310"/>
      <c r="EP10" s="310"/>
      <c r="EQ10" s="310"/>
      <c r="ER10" s="310"/>
      <c r="ES10" s="310"/>
      <c r="ET10" s="310"/>
      <c r="EU10" s="310"/>
      <c r="EV10" s="310"/>
      <c r="EW10" s="310"/>
      <c r="EX10" s="310"/>
      <c r="EY10" s="310"/>
      <c r="EZ10" s="310"/>
      <c r="FA10" s="310"/>
      <c r="FB10" s="310"/>
      <c r="FC10" s="310"/>
      <c r="FD10" s="310"/>
      <c r="FE10" s="310"/>
      <c r="FF10" s="310"/>
      <c r="FG10" s="310"/>
      <c r="FH10" s="310"/>
      <c r="FI10" s="310"/>
      <c r="FJ10" s="310"/>
      <c r="FK10" s="310"/>
      <c r="FL10" s="310"/>
      <c r="FM10" s="310"/>
      <c r="FN10" s="310"/>
      <c r="FO10" s="310"/>
      <c r="FP10" s="310"/>
      <c r="FQ10" s="310"/>
      <c r="FR10" s="310"/>
      <c r="FS10" s="310"/>
      <c r="FT10" s="310"/>
      <c r="FU10" s="310"/>
      <c r="FV10" s="310"/>
      <c r="FW10" s="310"/>
      <c r="FX10" s="310"/>
      <c r="FY10" s="310"/>
      <c r="FZ10" s="310"/>
      <c r="GA10" s="310"/>
      <c r="GB10" s="310"/>
      <c r="GC10" s="310"/>
      <c r="GD10" s="310"/>
      <c r="GE10" s="310"/>
      <c r="GF10" s="310"/>
      <c r="GG10" s="310"/>
      <c r="GH10" s="310"/>
      <c r="GI10" s="310"/>
      <c r="GJ10" s="310"/>
      <c r="GK10" s="310"/>
      <c r="GL10" s="310"/>
      <c r="GM10" s="310"/>
      <c r="GN10" s="310"/>
      <c r="GO10" s="310"/>
      <c r="GP10" s="310"/>
      <c r="GQ10" s="310"/>
      <c r="GR10" s="310"/>
      <c r="GS10" s="310"/>
      <c r="GT10" s="310"/>
      <c r="GU10" s="310"/>
      <c r="GV10" s="310"/>
      <c r="GW10" s="310"/>
      <c r="GX10" s="310"/>
      <c r="GY10" s="310"/>
      <c r="GZ10" s="310"/>
      <c r="HA10" s="310"/>
      <c r="HB10" s="310"/>
      <c r="HC10" s="310"/>
      <c r="HD10" s="310"/>
      <c r="HE10" s="310"/>
      <c r="HF10" s="310"/>
      <c r="HG10" s="310"/>
      <c r="HH10" s="310"/>
      <c r="HI10" s="310"/>
      <c r="HJ10" s="310"/>
      <c r="HK10" s="310"/>
      <c r="HL10" s="310"/>
      <c r="HM10" s="310"/>
      <c r="HN10" s="310"/>
      <c r="HO10" s="310"/>
      <c r="HP10" s="310"/>
      <c r="HQ10" s="310"/>
      <c r="HR10" s="310"/>
      <c r="HS10" s="310"/>
      <c r="HT10" s="310"/>
      <c r="HU10" s="310"/>
      <c r="HV10" s="310"/>
      <c r="HW10" s="310"/>
      <c r="HX10" s="310"/>
      <c r="HY10" s="310"/>
      <c r="HZ10" s="310"/>
      <c r="IA10" s="310"/>
      <c r="IB10" s="310"/>
      <c r="IC10" s="310"/>
      <c r="ID10" s="310"/>
      <c r="IE10" s="310"/>
      <c r="IF10" s="310"/>
      <c r="IG10" s="310"/>
      <c r="IH10" s="310"/>
      <c r="II10" s="310"/>
      <c r="IJ10" s="310"/>
      <c r="IK10" s="310"/>
      <c r="IL10" s="310"/>
      <c r="IM10" s="310"/>
      <c r="IN10" s="310"/>
      <c r="IO10" s="310"/>
      <c r="IP10" s="310"/>
      <c r="IQ10" s="310"/>
      <c r="IR10" s="310"/>
      <c r="IS10" s="310"/>
      <c r="IT10" s="310"/>
      <c r="IU10" s="310"/>
      <c r="IV10" s="310"/>
      <c r="IW10" s="310"/>
      <c r="IX10" s="310"/>
      <c r="IY10" s="310"/>
      <c r="IZ10" s="310"/>
      <c r="JA10" s="310"/>
      <c r="JB10" s="310"/>
      <c r="JC10" s="310"/>
      <c r="JD10" s="310"/>
      <c r="JE10" s="310"/>
      <c r="JF10" s="310"/>
      <c r="JG10" s="310"/>
      <c r="JH10" s="310"/>
      <c r="JI10" s="310"/>
      <c r="JJ10" s="310"/>
      <c r="JK10" s="310"/>
      <c r="JL10" s="310"/>
      <c r="JM10" s="310"/>
      <c r="JN10" s="310"/>
      <c r="JO10" s="310"/>
      <c r="JP10" s="310"/>
      <c r="JQ10" s="411"/>
      <c r="JR10" s="411"/>
      <c r="JS10" s="411"/>
      <c r="JT10" s="411"/>
      <c r="JU10" s="411"/>
      <c r="JV10" s="411"/>
      <c r="JW10" s="411"/>
      <c r="JX10" s="411"/>
      <c r="JY10" s="411"/>
      <c r="JZ10" s="411"/>
      <c r="KA10" s="411"/>
      <c r="KB10" s="411"/>
      <c r="KC10" s="411"/>
      <c r="KD10" s="411"/>
      <c r="KE10" s="411"/>
      <c r="KF10" s="411"/>
      <c r="KG10" s="411"/>
      <c r="KH10" s="412">
        <f t="shared" si="9"/>
        <v>7</v>
      </c>
      <c r="KI10" s="413">
        <f t="shared" ca="1" si="6"/>
        <v>1007</v>
      </c>
      <c r="KJ10" s="413" t="str">
        <f t="shared" ca="1" si="7"/>
        <v>Trips : Stand Up or L/D Drill Pipe</v>
      </c>
      <c r="KK10" s="414">
        <f t="shared" ca="1" si="8"/>
        <v>6.25E-2</v>
      </c>
      <c r="KL10" s="408"/>
      <c r="KM10" s="408"/>
      <c r="KN10" s="408"/>
      <c r="KO10" s="408"/>
    </row>
    <row r="11" spans="1:301" s="43" customFormat="1" ht="15.6">
      <c r="A11" s="56" t="str">
        <f ca="1">'1_INPUT'!$C131</f>
        <v/>
      </c>
      <c r="B11" s="55">
        <f ca="1">IFERROR(MATCH(A11,INDIRECT(ADDRESS(1,3,1,1,"2_DATA")):INDIRECT(ADDRESS(1500,3,1,1,"2_DATA")),0),"")</f>
        <v>13</v>
      </c>
      <c r="C11"/>
      <c r="D11" s="57" t="str">
        <f ca="1">INDIRECT(ADDRESS(ROWS($D$3:D10)+6,D$3,1,1,"3_TIME SUM"))</f>
        <v>Skid Out / Skid In</v>
      </c>
      <c r="E11" s="81" t="str">
        <f ca="1">IF(INDIRECT(ADDRESS(ROWS($E$3:E10)+6,E$3,1,1,"3_TIME SUM"))=0,E10,INDIRECT(ADDRESS(ROWS($E$3:E10)+6,E$3,1,1,"3_TIME SUM")))</f>
        <v>Rig Up and Tear Down</v>
      </c>
      <c r="F11" s="57" t="str">
        <f t="shared" ca="1" si="3"/>
        <v>Rig Up and Tear Down : Skid Out / Skid In</v>
      </c>
      <c r="G11" s="58" t="str">
        <f ca="1">VLOOKUP($D11,INDIRECT(ADDRESS(7,5,1,1,"3_TIME SUM")):INDIRECT(ADDRESS(200,7,1,1,"3_TIME SUM")),2,FALSE)</f>
        <v>1h</v>
      </c>
      <c r="H11" s="58" t="str">
        <f ca="1">IF(VLOOKUP($D11,INDIRECT(ADDRESS(7,5,1,1,"3_TIME SUM")):INDIRECT(ADDRESS(200,7,1,1,"3_TIME SUM")),3,FALSE)="","PT",VLOOKUP($D11,INDIRECT(ADDRESS(7,5,1,1,"3_TIME SUM")):INDIRECT(ADDRESS(200,7,1,1,"3_TIME SUM")),3,FALSE))</f>
        <v>PT</v>
      </c>
      <c r="I11" s="59">
        <f ca="1">IFERROR(IF(AND($D$2="NON PRODUCTIVE TIME",$H11="NPT"),SUMIF(INDIRECT(ADDRESS(8,COLUMN('2_DATA'!$M$9),1,1,"2_DATA")):INDIRECT(ADDRESS(3000,COLUMN('2_DATA'!$M$9),1,1,"2_DATA")),$G11,INDIRECT(ADDRESS(8,COLUMN('2_DATA'!$N$9),1,1,"2_DATA")):INDIRECT(ADDRESS(3000,COLUMN('2_DATA'!$N$9),1,1,"2_DATA"))),IF($D$2="ALL ACTIVITY",SUMIF(INDIRECT(ADDRESS(9,COLUMN('2_DATA'!$M$9),1,1,"2_DATA")):INDIRECT(ADDRESS(3000,COLUMN('2_DATA'!$M$9),1,1,"2_DATA")),$G11,INDIRECT(ADDRESS(9,COLUMN('2_DATA'!$N$9),1,1,"2_DATA")):INDIRECT(ADDRESS(3000,COLUMN('2_DATA'!$N$9),1,1,"2_DATA"))),SUMIF(INDIRECT(ADDRESS(OFFSET($A$3,MATCH($D$2,$A$4:$A$16,0)-1,1,,)+1,COLUMN('2_DATA'!$M$9),1,1,"2_DATA")):INDIRECT(ADDRESS(VLOOKUP($D$2,$A$4:$B$16,2,FALSE)-1,COLUMN('2_DATA'!$M$9),1,1,"2_DATA")),$G11,INDIRECT(ADDRESS(OFFSET($A$3,MATCH($D$2,$A$4:$A$16,0)-1,1,,)+1,COLUMN('2_DATA'!$N$9),1,1,"2_DATA")):INDIRECT(ADDRESS(VLOOKUP($D$2,$A$4:$B$16,2,FALSE)-1,COLUMN('2_DATA'!$N$9),1,1,"2_DATA"))))),0)</f>
        <v>0</v>
      </c>
      <c r="J11" s="58" t="str">
        <f ca="1">IF(I11=0,"",MAX($J$3:J10)+1)</f>
        <v/>
      </c>
      <c r="K11"/>
      <c r="L11" s="55">
        <f t="shared" ca="1" si="0"/>
        <v>1000</v>
      </c>
      <c r="M11" s="55" t="str">
        <f t="shared" ca="1" si="4"/>
        <v/>
      </c>
      <c r="N11" s="55"/>
      <c r="O11" s="55" t="str">
        <f t="shared" ca="1" si="10"/>
        <v/>
      </c>
      <c r="P11" s="55">
        <f t="shared" ca="1" si="1"/>
        <v>0</v>
      </c>
      <c r="Q11" s="55">
        <f ca="1">IFERROR(INDEX($O$4:$P$226,MATCH(ROWS($Q$3:Q10),$P$4:$P$226,0),1),"-")</f>
        <v>1007</v>
      </c>
      <c r="R11" s="62" t="str">
        <f t="shared" ca="1" si="2"/>
        <v>Trips : Stand Up or L/D Drill Pipe</v>
      </c>
      <c r="S11" s="55">
        <f t="shared" ca="1" si="5"/>
        <v>7</v>
      </c>
      <c r="U11" s="17"/>
      <c r="V11" s="237"/>
      <c r="W11" s="238"/>
      <c r="X11" s="238"/>
      <c r="Y11" s="238"/>
      <c r="Z11" s="238"/>
      <c r="AA11" s="238"/>
      <c r="AB11" s="239"/>
      <c r="AC11" s="311"/>
      <c r="AD11" s="311"/>
      <c r="AE11" s="311"/>
      <c r="AF11" s="312"/>
      <c r="AG11" s="311"/>
      <c r="AH11" s="312"/>
      <c r="AI11" s="311"/>
      <c r="AJ11" s="311"/>
      <c r="AK11" s="311"/>
      <c r="AL11" s="311"/>
      <c r="AM11" s="311"/>
      <c r="AN11" s="311"/>
      <c r="AO11" s="311"/>
      <c r="AP11" s="311"/>
      <c r="AQ11" s="311"/>
      <c r="AR11" s="311"/>
      <c r="AS11" s="311"/>
      <c r="AT11" s="311"/>
      <c r="AU11" s="311"/>
      <c r="AV11" s="311"/>
      <c r="AW11" s="311"/>
      <c r="AX11" s="311"/>
      <c r="AY11" s="311"/>
      <c r="AZ11" s="311"/>
      <c r="BA11" s="311"/>
      <c r="BB11" s="311"/>
      <c r="BC11" s="311"/>
      <c r="BD11" s="311"/>
      <c r="BE11" s="311"/>
      <c r="BF11" s="311"/>
      <c r="BG11" s="311"/>
      <c r="BH11" s="311"/>
      <c r="BI11" s="311"/>
      <c r="BJ11" s="311"/>
      <c r="BK11" s="311"/>
      <c r="BL11" s="311"/>
      <c r="BM11" s="311"/>
      <c r="BN11" s="311"/>
      <c r="BO11" s="311"/>
      <c r="BP11" s="311"/>
      <c r="BQ11" s="311"/>
      <c r="BR11" s="311"/>
      <c r="BS11" s="311"/>
      <c r="BT11" s="311"/>
      <c r="BU11" s="311"/>
      <c r="BV11" s="311"/>
      <c r="BW11" s="311"/>
      <c r="BX11" s="311"/>
      <c r="BY11" s="311"/>
      <c r="BZ11" s="311"/>
      <c r="CA11" s="311"/>
      <c r="CB11" s="311"/>
      <c r="CC11" s="311"/>
      <c r="CD11" s="311"/>
      <c r="CE11" s="311"/>
      <c r="CF11" s="311"/>
      <c r="CG11" s="311"/>
      <c r="CH11" s="311"/>
      <c r="CI11" s="311"/>
      <c r="CJ11" s="311"/>
      <c r="CK11" s="311"/>
      <c r="CL11" s="311"/>
      <c r="CM11" s="311"/>
      <c r="CN11" s="311"/>
      <c r="CO11" s="311"/>
      <c r="CP11" s="311"/>
      <c r="CQ11" s="311"/>
      <c r="CR11" s="311"/>
      <c r="CS11" s="311"/>
      <c r="CT11" s="311"/>
      <c r="CU11" s="311"/>
      <c r="CV11" s="311"/>
      <c r="CW11" s="311"/>
      <c r="CX11" s="311"/>
      <c r="CY11" s="311"/>
      <c r="CZ11" s="311"/>
      <c r="DA11" s="311"/>
      <c r="DB11" s="311"/>
      <c r="DC11" s="311"/>
      <c r="DD11" s="311"/>
      <c r="DE11" s="311"/>
      <c r="DF11" s="311"/>
      <c r="DG11" s="311"/>
      <c r="DH11" s="311"/>
      <c r="DI11" s="311"/>
      <c r="DJ11" s="311"/>
      <c r="DK11" s="311"/>
      <c r="DL11" s="311"/>
      <c r="DM11" s="311"/>
      <c r="DN11" s="311"/>
      <c r="DO11" s="311"/>
      <c r="DP11" s="311"/>
      <c r="DQ11" s="311"/>
      <c r="DR11" s="311"/>
      <c r="DS11" s="311"/>
      <c r="DT11" s="311"/>
      <c r="DU11" s="311"/>
      <c r="DV11" s="311"/>
      <c r="DW11" s="311"/>
      <c r="DX11" s="311"/>
      <c r="DY11" s="311"/>
      <c r="DZ11" s="311"/>
      <c r="EA11" s="311"/>
      <c r="EB11" s="311"/>
      <c r="EC11" s="311"/>
      <c r="ED11" s="311"/>
      <c r="EE11" s="311"/>
      <c r="EF11" s="311"/>
      <c r="EG11" s="311"/>
      <c r="EH11" s="311"/>
      <c r="EI11" s="311"/>
      <c r="EJ11" s="311"/>
      <c r="EK11" s="311"/>
      <c r="EL11" s="311"/>
      <c r="EM11" s="311"/>
      <c r="EN11" s="311"/>
      <c r="EO11" s="311"/>
      <c r="EP11" s="311"/>
      <c r="EQ11" s="311"/>
      <c r="ER11" s="311"/>
      <c r="ES11" s="311"/>
      <c r="ET11" s="311"/>
      <c r="EU11" s="311"/>
      <c r="EV11" s="311"/>
      <c r="EW11" s="311"/>
      <c r="EX11" s="311"/>
      <c r="EY11" s="311"/>
      <c r="EZ11" s="311"/>
      <c r="FA11" s="311"/>
      <c r="FB11" s="311"/>
      <c r="FC11" s="311"/>
      <c r="FD11" s="311"/>
      <c r="FE11" s="311"/>
      <c r="FF11" s="311"/>
      <c r="FG11" s="311"/>
      <c r="FH11" s="311"/>
      <c r="FI11" s="311"/>
      <c r="FJ11" s="311"/>
      <c r="FK11" s="311"/>
      <c r="FL11" s="311"/>
      <c r="FM11" s="311"/>
      <c r="FN11" s="311"/>
      <c r="FO11" s="311"/>
      <c r="FP11" s="311"/>
      <c r="FQ11" s="311"/>
      <c r="FR11" s="311"/>
      <c r="FS11" s="311"/>
      <c r="FT11" s="311"/>
      <c r="FU11" s="311"/>
      <c r="FV11" s="311"/>
      <c r="FW11" s="311"/>
      <c r="FX11" s="311"/>
      <c r="FY11" s="311"/>
      <c r="FZ11" s="311"/>
      <c r="GA11" s="311"/>
      <c r="GB11" s="311"/>
      <c r="GC11" s="311"/>
      <c r="GD11" s="311"/>
      <c r="GE11" s="311"/>
      <c r="GF11" s="311"/>
      <c r="GG11" s="311"/>
      <c r="GH11" s="311"/>
      <c r="GI11" s="311"/>
      <c r="GJ11" s="311"/>
      <c r="GK11" s="311"/>
      <c r="GL11" s="311"/>
      <c r="GM11" s="311"/>
      <c r="GN11" s="311"/>
      <c r="GO11" s="311"/>
      <c r="GP11" s="311"/>
      <c r="GQ11" s="311"/>
      <c r="GR11" s="311"/>
      <c r="GS11" s="311"/>
      <c r="GT11" s="311"/>
      <c r="GU11" s="311"/>
      <c r="GV11" s="311"/>
      <c r="GW11" s="311"/>
      <c r="GX11" s="311"/>
      <c r="GY11" s="311"/>
      <c r="GZ11" s="311"/>
      <c r="HA11" s="311"/>
      <c r="HB11" s="311"/>
      <c r="HC11" s="311"/>
      <c r="HD11" s="311"/>
      <c r="HE11" s="311"/>
      <c r="HF11" s="311"/>
      <c r="HG11" s="311"/>
      <c r="HH11" s="311"/>
      <c r="HI11" s="311"/>
      <c r="HJ11" s="311"/>
      <c r="HK11" s="311"/>
      <c r="HL11" s="311"/>
      <c r="HM11" s="311"/>
      <c r="HN11" s="311"/>
      <c r="HO11" s="311"/>
      <c r="HP11" s="311"/>
      <c r="HQ11" s="311"/>
      <c r="HR11" s="311"/>
      <c r="HS11" s="311"/>
      <c r="HT11" s="311"/>
      <c r="HU11" s="311"/>
      <c r="HV11" s="311"/>
      <c r="HW11" s="311"/>
      <c r="HX11" s="311"/>
      <c r="HY11" s="311"/>
      <c r="HZ11" s="311"/>
      <c r="IA11" s="311"/>
      <c r="IB11" s="311"/>
      <c r="IC11" s="311"/>
      <c r="ID11" s="311"/>
      <c r="IE11" s="311"/>
      <c r="IF11" s="311"/>
      <c r="IG11" s="311"/>
      <c r="IH11" s="311"/>
      <c r="II11" s="311"/>
      <c r="IJ11" s="311"/>
      <c r="IK11" s="311"/>
      <c r="IL11" s="311"/>
      <c r="IM11" s="311"/>
      <c r="IN11" s="311"/>
      <c r="IO11" s="311"/>
      <c r="IP11" s="311"/>
      <c r="IQ11" s="311"/>
      <c r="IR11" s="311"/>
      <c r="IS11" s="311"/>
      <c r="IT11" s="311"/>
      <c r="IU11" s="311"/>
      <c r="IV11" s="311"/>
      <c r="IW11" s="311"/>
      <c r="IX11" s="311"/>
      <c r="IY11" s="311"/>
      <c r="IZ11" s="311"/>
      <c r="JA11" s="311"/>
      <c r="JB11" s="311"/>
      <c r="JC11" s="311"/>
      <c r="JD11" s="311"/>
      <c r="JE11" s="311"/>
      <c r="JF11" s="311"/>
      <c r="JG11" s="311"/>
      <c r="JH11" s="311"/>
      <c r="JI11" s="311"/>
      <c r="JJ11" s="311"/>
      <c r="JK11" s="311"/>
      <c r="JL11" s="311"/>
      <c r="JM11" s="311"/>
      <c r="JN11" s="311"/>
      <c r="JO11" s="311"/>
      <c r="JP11" s="311"/>
      <c r="JQ11" s="411"/>
      <c r="JR11" s="411"/>
      <c r="JS11" s="411"/>
      <c r="JT11" s="411"/>
      <c r="JU11" s="411"/>
      <c r="JV11" s="411"/>
      <c r="JW11" s="411"/>
      <c r="JX11" s="411"/>
      <c r="JY11" s="411"/>
      <c r="JZ11" s="411"/>
      <c r="KA11" s="411"/>
      <c r="KB11" s="411"/>
      <c r="KC11" s="411"/>
      <c r="KD11" s="411"/>
      <c r="KE11" s="411"/>
      <c r="KF11" s="411"/>
      <c r="KG11" s="411"/>
      <c r="KH11" s="412">
        <f t="shared" si="9"/>
        <v>8</v>
      </c>
      <c r="KI11" s="413">
        <f t="shared" ca="1" si="6"/>
        <v>1008</v>
      </c>
      <c r="KJ11" s="413" t="str">
        <f t="shared" ca="1" si="7"/>
        <v>Trips : Trip in / out Drilling BHA</v>
      </c>
      <c r="KK11" s="414">
        <f t="shared" ca="1" si="8"/>
        <v>3.375</v>
      </c>
      <c r="KL11" s="415"/>
      <c r="KM11" s="415"/>
      <c r="KN11" s="415"/>
      <c r="KO11" s="415"/>
    </row>
    <row r="12" spans="1:301" ht="24" customHeight="1">
      <c r="A12" s="56">
        <f>'1_INPUT'!$C136</f>
        <v>0</v>
      </c>
      <c r="B12" s="55" t="str">
        <f ca="1">IFERROR(MATCH(A12,INDIRECT(ADDRESS(1,3,1,1,"2_DATA")):INDIRECT(ADDRESS(1500,3,1,1,"2_DATA")),0),"")</f>
        <v/>
      </c>
      <c r="C12"/>
      <c r="D12" s="57" t="str">
        <f ca="1">INDIRECT(ADDRESS(ROWS($D$3:D11)+6,D$3,1,1,"3_TIME SUM"))</f>
        <v>Pull Leg</v>
      </c>
      <c r="E12" s="81" t="str">
        <f ca="1">IF(INDIRECT(ADDRESS(ROWS($E$3:E11)+6,E$3,1,1,"3_TIME SUM"))=0,E11,INDIRECT(ADDRESS(ROWS($E$3:E11)+6,E$3,1,1,"3_TIME SUM")))</f>
        <v>Rig Up and Tear Down</v>
      </c>
      <c r="F12" s="57" t="str">
        <f t="shared" ca="1" si="3"/>
        <v>Rig Up and Tear Down : Pull Leg</v>
      </c>
      <c r="G12" s="58" t="str">
        <f ca="1">VLOOKUP($D12,INDIRECT(ADDRESS(7,5,1,1,"3_TIME SUM")):INDIRECT(ADDRESS(200,7,1,1,"3_TIME SUM")),2,FALSE)</f>
        <v>1i</v>
      </c>
      <c r="H12" s="58" t="str">
        <f ca="1">IF(VLOOKUP($D12,INDIRECT(ADDRESS(7,5,1,1,"3_TIME SUM")):INDIRECT(ADDRESS(200,7,1,1,"3_TIME SUM")),3,FALSE)="","PT",VLOOKUP($D12,INDIRECT(ADDRESS(7,5,1,1,"3_TIME SUM")):INDIRECT(ADDRESS(200,7,1,1,"3_TIME SUM")),3,FALSE))</f>
        <v>PT</v>
      </c>
      <c r="I12" s="59">
        <f ca="1">IFERROR(IF(AND($D$2="NON PRODUCTIVE TIME",$H12="NPT"),SUMIF(INDIRECT(ADDRESS(8,COLUMN('2_DATA'!$M$9),1,1,"2_DATA")):INDIRECT(ADDRESS(3000,COLUMN('2_DATA'!$M$9),1,1,"2_DATA")),$G12,INDIRECT(ADDRESS(8,COLUMN('2_DATA'!$N$9),1,1,"2_DATA")):INDIRECT(ADDRESS(3000,COLUMN('2_DATA'!$N$9),1,1,"2_DATA"))),IF($D$2="ALL ACTIVITY",SUMIF(INDIRECT(ADDRESS(9,COLUMN('2_DATA'!$M$9),1,1,"2_DATA")):INDIRECT(ADDRESS(3000,COLUMN('2_DATA'!$M$9),1,1,"2_DATA")),$G12,INDIRECT(ADDRESS(9,COLUMN('2_DATA'!$N$9),1,1,"2_DATA")):INDIRECT(ADDRESS(3000,COLUMN('2_DATA'!$N$9),1,1,"2_DATA"))),SUMIF(INDIRECT(ADDRESS(OFFSET($A$3,MATCH($D$2,$A$4:$A$16,0)-1,1,,)+1,COLUMN('2_DATA'!$M$9),1,1,"2_DATA")):INDIRECT(ADDRESS(VLOOKUP($D$2,$A$4:$B$16,2,FALSE)-1,COLUMN('2_DATA'!$M$9),1,1,"2_DATA")),$G12,INDIRECT(ADDRESS(OFFSET($A$3,MATCH($D$2,$A$4:$A$16,0)-1,1,,)+1,COLUMN('2_DATA'!$N$9),1,1,"2_DATA")):INDIRECT(ADDRESS(VLOOKUP($D$2,$A$4:$B$16,2,FALSE)-1,COLUMN('2_DATA'!$N$9),1,1,"2_DATA"))))),0)</f>
        <v>0</v>
      </c>
      <c r="J12" s="58" t="str">
        <f ca="1">IF(I12=0,"",MAX($J$3:J11)+1)</f>
        <v/>
      </c>
      <c r="L12" s="55">
        <f t="shared" ca="1" si="0"/>
        <v>1000</v>
      </c>
      <c r="M12" s="55" t="str">
        <f t="shared" ca="1" si="4"/>
        <v/>
      </c>
      <c r="N12" s="55"/>
      <c r="O12" s="55" t="str">
        <f t="shared" ca="1" si="10"/>
        <v/>
      </c>
      <c r="P12" s="55">
        <f t="shared" ca="1" si="1"/>
        <v>0</v>
      </c>
      <c r="Q12" s="55">
        <f ca="1">IFERROR(INDEX($O$4:$P$226,MATCH(ROWS($Q$3:Q11),$P$4:$P$226,0),1),"-")</f>
        <v>1008</v>
      </c>
      <c r="R12" s="62" t="str">
        <f t="shared" ca="1" si="2"/>
        <v>Trips : Trip in / out Drilling BHA</v>
      </c>
      <c r="S12" s="55">
        <f t="shared" ca="1" si="5"/>
        <v>8</v>
      </c>
      <c r="T12" s="64"/>
      <c r="U12"/>
      <c r="V12" s="66" t="s">
        <v>45</v>
      </c>
      <c r="W12" s="870" t="s">
        <v>234</v>
      </c>
      <c r="X12" s="871"/>
      <c r="Y12" s="66" t="s">
        <v>235</v>
      </c>
      <c r="Z12" s="66" t="s">
        <v>75</v>
      </c>
      <c r="AA12" s="66" t="s">
        <v>49</v>
      </c>
      <c r="AB12" s="241" t="s">
        <v>50</v>
      </c>
      <c r="AC12" s="236"/>
      <c r="AD12" s="313"/>
      <c r="AE12" s="236"/>
      <c r="AF12" s="314"/>
      <c r="AG12" s="236"/>
      <c r="AH12" s="314"/>
      <c r="AI12" s="236"/>
      <c r="AJ12" s="236"/>
      <c r="AK12" s="236"/>
      <c r="AL12" s="236"/>
      <c r="AM12" s="236"/>
      <c r="AN12" s="236"/>
      <c r="AO12" s="236"/>
      <c r="AP12" s="236"/>
      <c r="AQ12" s="236"/>
      <c r="AR12" s="236"/>
      <c r="AS12" s="236"/>
      <c r="AT12" s="236"/>
      <c r="AU12" s="236"/>
      <c r="AV12" s="236"/>
      <c r="AW12" s="236"/>
      <c r="AX12" s="236"/>
      <c r="AY12" s="236"/>
      <c r="AZ12" s="236"/>
      <c r="BA12" s="236"/>
      <c r="BB12" s="236"/>
      <c r="BC12" s="236"/>
      <c r="BD12" s="236"/>
      <c r="BE12" s="236"/>
      <c r="BF12" s="236"/>
      <c r="BG12" s="236"/>
      <c r="BH12" s="236"/>
      <c r="BI12" s="236"/>
      <c r="BJ12" s="236"/>
      <c r="BK12" s="236"/>
      <c r="BL12" s="236"/>
      <c r="BM12" s="236"/>
      <c r="BN12" s="236"/>
      <c r="BO12" s="236"/>
      <c r="BP12" s="236"/>
      <c r="BQ12" s="236"/>
      <c r="BR12" s="236"/>
      <c r="BS12" s="236"/>
      <c r="BT12" s="236"/>
      <c r="BU12" s="236"/>
      <c r="BV12" s="236"/>
      <c r="BW12" s="236"/>
      <c r="BX12" s="236"/>
      <c r="BY12" s="236"/>
      <c r="BZ12" s="236"/>
      <c r="CA12" s="236"/>
      <c r="CB12" s="236"/>
      <c r="CC12" s="236"/>
      <c r="CD12" s="236"/>
      <c r="CE12" s="236"/>
      <c r="CF12" s="236"/>
      <c r="CG12" s="236"/>
      <c r="CH12" s="236"/>
      <c r="CI12" s="236"/>
      <c r="CJ12" s="236"/>
      <c r="CK12" s="236"/>
      <c r="CL12" s="236"/>
      <c r="CM12" s="236"/>
      <c r="CN12" s="236"/>
      <c r="CO12" s="236"/>
      <c r="CP12" s="236"/>
      <c r="CQ12" s="236"/>
      <c r="CR12" s="236"/>
      <c r="CS12" s="236"/>
      <c r="CT12" s="236"/>
      <c r="CU12" s="236"/>
      <c r="CV12" s="236"/>
      <c r="CW12" s="236"/>
      <c r="CX12" s="236"/>
      <c r="CY12" s="236"/>
      <c r="CZ12" s="236"/>
      <c r="DA12" s="236"/>
      <c r="DB12" s="236"/>
      <c r="DC12" s="236"/>
      <c r="DD12" s="236"/>
      <c r="DE12" s="236"/>
      <c r="DF12" s="236"/>
      <c r="DG12" s="236"/>
      <c r="DH12" s="236"/>
      <c r="DI12" s="236"/>
      <c r="DJ12" s="236"/>
      <c r="DK12" s="236"/>
      <c r="DL12" s="236"/>
      <c r="DM12" s="236"/>
      <c r="DN12" s="236"/>
      <c r="DO12" s="236"/>
      <c r="DP12" s="236"/>
      <c r="DQ12" s="236"/>
      <c r="DR12" s="236"/>
      <c r="DS12" s="236"/>
      <c r="DT12" s="236"/>
      <c r="DU12" s="236"/>
      <c r="DV12" s="236"/>
      <c r="DW12" s="236"/>
      <c r="DX12" s="236"/>
      <c r="DY12" s="236"/>
      <c r="DZ12" s="236"/>
      <c r="EA12" s="236"/>
      <c r="EB12" s="236"/>
      <c r="EC12" s="236"/>
      <c r="ED12" s="236"/>
      <c r="EE12" s="236"/>
      <c r="EF12" s="236"/>
      <c r="EG12" s="236"/>
      <c r="EH12" s="236"/>
      <c r="EI12" s="236"/>
      <c r="EJ12" s="236"/>
      <c r="EK12" s="236"/>
      <c r="EL12" s="236"/>
      <c r="EM12" s="236"/>
      <c r="EN12" s="236"/>
      <c r="EO12" s="236"/>
      <c r="EP12" s="236"/>
      <c r="EQ12" s="236"/>
      <c r="ER12" s="236"/>
      <c r="ES12" s="236"/>
      <c r="ET12" s="236"/>
      <c r="EU12" s="236"/>
      <c r="EV12" s="236"/>
      <c r="EW12" s="236"/>
      <c r="EX12" s="236"/>
      <c r="EY12" s="236"/>
      <c r="EZ12" s="236"/>
      <c r="FA12" s="236"/>
      <c r="FB12" s="236"/>
      <c r="FC12" s="236"/>
      <c r="FD12" s="236"/>
      <c r="FE12" s="236"/>
      <c r="FF12" s="236"/>
      <c r="FG12" s="236"/>
      <c r="FH12" s="236"/>
      <c r="FI12" s="236"/>
      <c r="FJ12" s="236"/>
      <c r="FK12" s="236"/>
      <c r="FL12" s="236"/>
      <c r="FM12" s="236"/>
      <c r="FN12" s="236"/>
      <c r="FO12" s="236"/>
      <c r="FP12" s="236"/>
      <c r="FQ12" s="236"/>
      <c r="FR12" s="236"/>
      <c r="FS12" s="236"/>
      <c r="FT12" s="236"/>
      <c r="FU12" s="236"/>
      <c r="FV12" s="236"/>
      <c r="FW12" s="236"/>
      <c r="FX12" s="236"/>
      <c r="FY12" s="236"/>
      <c r="FZ12" s="236"/>
      <c r="GA12" s="236"/>
      <c r="GB12" s="236"/>
      <c r="GC12" s="236"/>
      <c r="GD12" s="236"/>
      <c r="GE12" s="236"/>
      <c r="GF12" s="236"/>
      <c r="GG12" s="236"/>
      <c r="GH12" s="236"/>
      <c r="GI12" s="236"/>
      <c r="GJ12" s="236"/>
      <c r="GK12" s="236"/>
      <c r="GL12" s="236"/>
      <c r="GM12" s="236"/>
      <c r="GN12" s="236"/>
      <c r="GO12" s="236"/>
      <c r="GP12" s="236"/>
      <c r="GQ12" s="236"/>
      <c r="GR12" s="236"/>
      <c r="GS12" s="236"/>
      <c r="GT12" s="236"/>
      <c r="GU12" s="236"/>
      <c r="GV12" s="236"/>
      <c r="GW12" s="236"/>
      <c r="GX12" s="236"/>
      <c r="GY12" s="236"/>
      <c r="GZ12" s="236"/>
      <c r="HA12" s="236"/>
      <c r="HB12" s="236"/>
      <c r="HC12" s="236"/>
      <c r="HD12" s="236"/>
      <c r="HE12" s="236"/>
      <c r="HF12" s="236"/>
      <c r="HG12" s="236"/>
      <c r="HH12" s="236"/>
      <c r="HI12" s="236"/>
      <c r="HJ12" s="236"/>
      <c r="HK12" s="236"/>
      <c r="HL12" s="236"/>
      <c r="HM12" s="236"/>
      <c r="HN12" s="236"/>
      <c r="HO12" s="236"/>
      <c r="HP12" s="236"/>
      <c r="HQ12" s="236"/>
      <c r="HR12" s="236"/>
      <c r="HS12" s="236"/>
      <c r="HT12" s="236"/>
      <c r="HU12" s="236"/>
      <c r="HV12" s="236"/>
      <c r="HW12" s="236"/>
      <c r="HX12" s="236"/>
      <c r="HY12" s="236"/>
      <c r="HZ12" s="236"/>
      <c r="IA12" s="236"/>
      <c r="IB12" s="236"/>
      <c r="IC12" s="236"/>
      <c r="ID12" s="236"/>
      <c r="IE12" s="236"/>
      <c r="IF12" s="236"/>
      <c r="IG12" s="236"/>
      <c r="IH12" s="236"/>
      <c r="II12" s="236"/>
      <c r="IJ12" s="236"/>
      <c r="IK12" s="236"/>
      <c r="IL12" s="236"/>
      <c r="IM12" s="236"/>
      <c r="IN12" s="236"/>
      <c r="IO12" s="236"/>
      <c r="IP12" s="236"/>
      <c r="IQ12" s="236"/>
      <c r="IR12" s="236"/>
      <c r="IS12" s="236"/>
      <c r="IT12" s="236"/>
      <c r="IU12" s="236"/>
      <c r="IV12" s="236"/>
      <c r="IW12" s="236"/>
      <c r="IX12" s="236"/>
      <c r="IY12" s="236"/>
      <c r="IZ12" s="236"/>
      <c r="JA12" s="236"/>
      <c r="JB12" s="236"/>
      <c r="JC12" s="236"/>
      <c r="JD12" s="236"/>
      <c r="JE12" s="236"/>
      <c r="JF12" s="236"/>
      <c r="JG12" s="236"/>
      <c r="JH12" s="236"/>
      <c r="JI12" s="236"/>
      <c r="JJ12" s="236"/>
      <c r="JK12" s="236"/>
      <c r="JL12" s="236"/>
      <c r="JM12" s="236"/>
      <c r="JN12" s="236"/>
      <c r="JO12" s="236"/>
      <c r="JP12" s="236"/>
      <c r="JQ12" s="411"/>
      <c r="JR12" s="411"/>
      <c r="JS12" s="411"/>
      <c r="JT12" s="411"/>
      <c r="JU12" s="411"/>
      <c r="JV12" s="411"/>
      <c r="JW12" s="411"/>
      <c r="KH12" s="412">
        <f t="shared" si="9"/>
        <v>9</v>
      </c>
      <c r="KI12" s="413">
        <f t="shared" ca="1" si="6"/>
        <v>1009</v>
      </c>
      <c r="KJ12" s="413" t="str">
        <f t="shared" ca="1" si="7"/>
        <v>Trips : Wiper / Conditioner Trip</v>
      </c>
      <c r="KK12" s="414">
        <f t="shared" ca="1" si="8"/>
        <v>5</v>
      </c>
    </row>
    <row r="13" spans="1:301" ht="24" customHeight="1">
      <c r="A13" s="214" t="s">
        <v>250</v>
      </c>
      <c r="B13" s="65">
        <f ca="1">+MAX(B4:B12)</f>
        <v>194</v>
      </c>
      <c r="C13"/>
      <c r="D13" s="57" t="str">
        <f ca="1">INDIRECT(ADDRESS(ROWS($D$3:D12)+6,D$3,1,1,"3_TIME SUM"))</f>
        <v>Others</v>
      </c>
      <c r="E13" s="81" t="str">
        <f ca="1">IF(INDIRECT(ADDRESS(ROWS($E$3:E12)+6,E$3,1,1,"3_TIME SUM"))=0,E12,INDIRECT(ADDRESS(ROWS($E$3:E12)+6,E$3,1,1,"3_TIME SUM")))</f>
        <v>Rig Up and Tear Down</v>
      </c>
      <c r="F13" s="57" t="str">
        <f t="shared" ca="1" si="3"/>
        <v>Rig Up and Tear Down : Others</v>
      </c>
      <c r="G13" s="58" t="str">
        <f ca="1">VLOOKUP($D13,INDIRECT(ADDRESS(7,5,1,1,"3_TIME SUM")):INDIRECT(ADDRESS(200,7,1,1,"3_TIME SUM")),2,FALSE)</f>
        <v>1j</v>
      </c>
      <c r="H13" s="58" t="str">
        <f ca="1">IF(VLOOKUP($D13,INDIRECT(ADDRESS(7,5,1,1,"3_TIME SUM")):INDIRECT(ADDRESS(200,7,1,1,"3_TIME SUM")),3,FALSE)="","PT",VLOOKUP($D13,INDIRECT(ADDRESS(7,5,1,1,"3_TIME SUM")):INDIRECT(ADDRESS(200,7,1,1,"3_TIME SUM")),3,FALSE))</f>
        <v>PT</v>
      </c>
      <c r="I13" s="59">
        <f ca="1">IFERROR(IF(AND($D$2="NON PRODUCTIVE TIME",$H13="NPT"),SUMIF(INDIRECT(ADDRESS(8,COLUMN('2_DATA'!$M$9),1,1,"2_DATA")):INDIRECT(ADDRESS(3000,COLUMN('2_DATA'!$M$9),1,1,"2_DATA")),$G13,INDIRECT(ADDRESS(8,COLUMN('2_DATA'!$N$9),1,1,"2_DATA")):INDIRECT(ADDRESS(3000,COLUMN('2_DATA'!$N$9),1,1,"2_DATA"))),IF($D$2="ALL ACTIVITY",SUMIF(INDIRECT(ADDRESS(9,COLUMN('2_DATA'!$M$9),1,1,"2_DATA")):INDIRECT(ADDRESS(3000,COLUMN('2_DATA'!$M$9),1,1,"2_DATA")),$G13,INDIRECT(ADDRESS(9,COLUMN('2_DATA'!$N$9),1,1,"2_DATA")):INDIRECT(ADDRESS(3000,COLUMN('2_DATA'!$N$9),1,1,"2_DATA"))),SUMIF(INDIRECT(ADDRESS(OFFSET($A$3,MATCH($D$2,$A$4:$A$16,0)-1,1,,)+1,COLUMN('2_DATA'!$M$9),1,1,"2_DATA")):INDIRECT(ADDRESS(VLOOKUP($D$2,$A$4:$B$16,2,FALSE)-1,COLUMN('2_DATA'!$M$9),1,1,"2_DATA")),$G13,INDIRECT(ADDRESS(OFFSET($A$3,MATCH($D$2,$A$4:$A$16,0)-1,1,,)+1,COLUMN('2_DATA'!$N$9),1,1,"2_DATA")):INDIRECT(ADDRESS(VLOOKUP($D$2,$A$4:$B$16,2,FALSE)-1,COLUMN('2_DATA'!$N$9),1,1,"2_DATA"))))),0)</f>
        <v>0</v>
      </c>
      <c r="J13" s="58" t="str">
        <f ca="1">IF(I13=0,"",MAX($J$3:J12)+1)</f>
        <v/>
      </c>
      <c r="L13" s="55">
        <f t="shared" ca="1" si="0"/>
        <v>1000</v>
      </c>
      <c r="M13" s="55" t="str">
        <f t="shared" ca="1" si="4"/>
        <v/>
      </c>
      <c r="N13" s="55"/>
      <c r="O13" s="55" t="str">
        <f t="shared" ca="1" si="10"/>
        <v/>
      </c>
      <c r="P13" s="55">
        <f t="shared" ca="1" si="1"/>
        <v>0</v>
      </c>
      <c r="Q13" s="55">
        <f ca="1">IFERROR(INDEX($O$4:$P$226,MATCH(ROWS($Q$3:Q12),$P$4:$P$226,0),1),"-")</f>
        <v>1009</v>
      </c>
      <c r="R13" s="62" t="str">
        <f t="shared" ca="1" si="2"/>
        <v>Trips : Wiper / Conditioner Trip</v>
      </c>
      <c r="S13" s="55">
        <f t="shared" ca="1" si="5"/>
        <v>9</v>
      </c>
      <c r="T13" s="64"/>
      <c r="U13"/>
      <c r="V13" s="68" t="str">
        <f t="shared" ref="V13:V76" ca="1" si="11">IFERROR(IF($S4=0,"",$S4),"")</f>
        <v/>
      </c>
      <c r="W13" s="69" t="str">
        <f t="shared" ref="W13:W76" ca="1" si="12">IFERROR(IF($S4=0,$R4,$R4),"")</f>
        <v>DRY HOLE BASE</v>
      </c>
      <c r="X13" s="70" t="s">
        <v>84</v>
      </c>
      <c r="Y13" s="68" t="str">
        <f ca="1">IFERROR(VLOOKUP($W13,$F$4:$J$300,3,FALSE),"")</f>
        <v/>
      </c>
      <c r="Z13" s="71" t="str">
        <f ca="1">IFERROR(VLOOKUP($W13,$F$4:$J$300,2,FALSE),"")</f>
        <v/>
      </c>
      <c r="AA13" s="72" t="str">
        <f ca="1">IFERROR(VLOOKUP($W13,$F$4:$J$300,4,FALSE),"")</f>
        <v/>
      </c>
      <c r="AB13" s="305" t="str">
        <f ca="1">IFERROR(AA13/24,"")</f>
        <v/>
      </c>
      <c r="AC13" s="236"/>
      <c r="AD13" s="313"/>
      <c r="AE13" s="236"/>
      <c r="AF13" s="314"/>
      <c r="AG13" s="236"/>
      <c r="AH13" s="314"/>
      <c r="AI13" s="236"/>
      <c r="AJ13" s="236"/>
      <c r="AK13" s="236"/>
      <c r="AL13" s="236"/>
      <c r="AM13" s="236"/>
      <c r="AN13" s="236"/>
      <c r="AO13" s="236"/>
      <c r="AP13" s="236"/>
      <c r="AQ13" s="236"/>
      <c r="AR13" s="236"/>
      <c r="AS13" s="236"/>
      <c r="AT13" s="236"/>
      <c r="AU13" s="236"/>
      <c r="AV13" s="236"/>
      <c r="AW13" s="236"/>
      <c r="AX13" s="236"/>
      <c r="AY13" s="236"/>
      <c r="AZ13" s="236"/>
      <c r="BA13" s="236"/>
      <c r="BB13" s="236"/>
      <c r="BC13" s="236"/>
      <c r="BD13" s="236"/>
      <c r="BE13" s="236"/>
      <c r="BF13" s="236"/>
      <c r="BG13" s="236"/>
      <c r="BH13" s="236"/>
      <c r="BI13" s="236"/>
      <c r="BJ13" s="236"/>
      <c r="BK13" s="236"/>
      <c r="BL13" s="236"/>
      <c r="BM13" s="236"/>
      <c r="BN13" s="236"/>
      <c r="BO13" s="236"/>
      <c r="BP13" s="236"/>
      <c r="BQ13" s="236"/>
      <c r="BR13" s="236"/>
      <c r="BS13" s="236"/>
      <c r="BT13" s="236"/>
      <c r="BU13" s="236"/>
      <c r="BV13" s="236"/>
      <c r="BW13" s="236"/>
      <c r="BX13" s="236"/>
      <c r="BY13" s="236"/>
      <c r="BZ13" s="236"/>
      <c r="CA13" s="236"/>
      <c r="CB13" s="236"/>
      <c r="CC13" s="236"/>
      <c r="CD13" s="236"/>
      <c r="CE13" s="236"/>
      <c r="CF13" s="236"/>
      <c r="CG13" s="236"/>
      <c r="CH13" s="236"/>
      <c r="CI13" s="236"/>
      <c r="CJ13" s="236"/>
      <c r="CK13" s="236"/>
      <c r="CL13" s="236"/>
      <c r="CM13" s="236"/>
      <c r="CN13" s="236"/>
      <c r="CO13" s="236"/>
      <c r="CP13" s="236"/>
      <c r="CQ13" s="236"/>
      <c r="CR13" s="236"/>
      <c r="CS13" s="236"/>
      <c r="CT13" s="236"/>
      <c r="CU13" s="236"/>
      <c r="CV13" s="236"/>
      <c r="CW13" s="236"/>
      <c r="CX13" s="236"/>
      <c r="CY13" s="236"/>
      <c r="CZ13" s="236"/>
      <c r="DA13" s="236"/>
      <c r="DB13" s="236"/>
      <c r="DC13" s="236"/>
      <c r="DD13" s="236"/>
      <c r="DE13" s="236"/>
      <c r="DF13" s="236"/>
      <c r="DG13" s="236"/>
      <c r="DH13" s="236"/>
      <c r="DI13" s="236"/>
      <c r="DJ13" s="236"/>
      <c r="DK13" s="236"/>
      <c r="DL13" s="236"/>
      <c r="DM13" s="236"/>
      <c r="DN13" s="236"/>
      <c r="DO13" s="236"/>
      <c r="DP13" s="236"/>
      <c r="DQ13" s="236"/>
      <c r="DR13" s="236"/>
      <c r="DS13" s="236"/>
      <c r="DT13" s="236"/>
      <c r="DU13" s="236"/>
      <c r="DV13" s="236"/>
      <c r="DW13" s="236"/>
      <c r="DX13" s="236"/>
      <c r="DY13" s="236"/>
      <c r="DZ13" s="236"/>
      <c r="EA13" s="236"/>
      <c r="EB13" s="236"/>
      <c r="EC13" s="236"/>
      <c r="ED13" s="236"/>
      <c r="EE13" s="236"/>
      <c r="EF13" s="236"/>
      <c r="EG13" s="236"/>
      <c r="EH13" s="236"/>
      <c r="EI13" s="236"/>
      <c r="EJ13" s="236"/>
      <c r="EK13" s="236"/>
      <c r="EL13" s="236"/>
      <c r="EM13" s="236"/>
      <c r="EN13" s="236"/>
      <c r="EO13" s="236"/>
      <c r="EP13" s="236"/>
      <c r="EQ13" s="236"/>
      <c r="ER13" s="236"/>
      <c r="ES13" s="236"/>
      <c r="ET13" s="236"/>
      <c r="EU13" s="236"/>
      <c r="EV13" s="236"/>
      <c r="EW13" s="236"/>
      <c r="EX13" s="236"/>
      <c r="EY13" s="236"/>
      <c r="EZ13" s="236"/>
      <c r="FA13" s="236"/>
      <c r="FB13" s="236"/>
      <c r="FC13" s="236"/>
      <c r="FD13" s="236"/>
      <c r="FE13" s="236"/>
      <c r="FF13" s="236"/>
      <c r="FG13" s="236"/>
      <c r="FH13" s="236"/>
      <c r="FI13" s="236"/>
      <c r="FJ13" s="236"/>
      <c r="FK13" s="236"/>
      <c r="FL13" s="236"/>
      <c r="FM13" s="236"/>
      <c r="FN13" s="236"/>
      <c r="FO13" s="236"/>
      <c r="FP13" s="236"/>
      <c r="FQ13" s="236"/>
      <c r="FR13" s="236"/>
      <c r="FS13" s="236"/>
      <c r="FT13" s="236"/>
      <c r="FU13" s="236"/>
      <c r="FV13" s="236"/>
      <c r="FW13" s="236"/>
      <c r="FX13" s="236"/>
      <c r="FY13" s="236"/>
      <c r="FZ13" s="236"/>
      <c r="GA13" s="236"/>
      <c r="GB13" s="236"/>
      <c r="GC13" s="236"/>
      <c r="GD13" s="236"/>
      <c r="GE13" s="236"/>
      <c r="GF13" s="236"/>
      <c r="GG13" s="236"/>
      <c r="GH13" s="236"/>
      <c r="GI13" s="236"/>
      <c r="GJ13" s="236"/>
      <c r="GK13" s="236"/>
      <c r="GL13" s="236"/>
      <c r="GM13" s="236"/>
      <c r="GN13" s="236"/>
      <c r="GO13" s="236"/>
      <c r="GP13" s="236"/>
      <c r="GQ13" s="236"/>
      <c r="GR13" s="236"/>
      <c r="GS13" s="236"/>
      <c r="GT13" s="236"/>
      <c r="GU13" s="236"/>
      <c r="GV13" s="236"/>
      <c r="GW13" s="236"/>
      <c r="GX13" s="236"/>
      <c r="GY13" s="236"/>
      <c r="GZ13" s="236"/>
      <c r="HA13" s="236"/>
      <c r="HB13" s="236"/>
      <c r="HC13" s="236"/>
      <c r="HD13" s="236"/>
      <c r="HE13" s="236"/>
      <c r="HF13" s="236"/>
      <c r="HG13" s="236"/>
      <c r="HH13" s="236"/>
      <c r="HI13" s="236"/>
      <c r="HJ13" s="236"/>
      <c r="HK13" s="236"/>
      <c r="HL13" s="236"/>
      <c r="HM13" s="236"/>
      <c r="HN13" s="236"/>
      <c r="HO13" s="236"/>
      <c r="HP13" s="236"/>
      <c r="HQ13" s="236"/>
      <c r="HR13" s="236"/>
      <c r="HS13" s="236"/>
      <c r="HT13" s="236"/>
      <c r="HU13" s="236"/>
      <c r="HV13" s="236"/>
      <c r="HW13" s="236"/>
      <c r="HX13" s="236"/>
      <c r="HY13" s="236"/>
      <c r="HZ13" s="236"/>
      <c r="IA13" s="236"/>
      <c r="IB13" s="236"/>
      <c r="IC13" s="236"/>
      <c r="ID13" s="236"/>
      <c r="IE13" s="236"/>
      <c r="IF13" s="236"/>
      <c r="IG13" s="236"/>
      <c r="IH13" s="236"/>
      <c r="II13" s="236"/>
      <c r="IJ13" s="236"/>
      <c r="IK13" s="236"/>
      <c r="IL13" s="236"/>
      <c r="IM13" s="236"/>
      <c r="IN13" s="236"/>
      <c r="IO13" s="236"/>
      <c r="IP13" s="236"/>
      <c r="IQ13" s="236"/>
      <c r="IR13" s="236"/>
      <c r="IS13" s="236"/>
      <c r="IT13" s="236"/>
      <c r="IU13" s="236"/>
      <c r="IV13" s="236"/>
      <c r="IW13" s="236"/>
      <c r="IX13" s="236"/>
      <c r="IY13" s="236"/>
      <c r="IZ13" s="236"/>
      <c r="JA13" s="236"/>
      <c r="JB13" s="236"/>
      <c r="JC13" s="236"/>
      <c r="JD13" s="236"/>
      <c r="JE13" s="236"/>
      <c r="JF13" s="236"/>
      <c r="JG13" s="236"/>
      <c r="JH13" s="236"/>
      <c r="JI13" s="236"/>
      <c r="JJ13" s="236"/>
      <c r="JK13" s="236"/>
      <c r="JL13" s="236"/>
      <c r="JM13" s="236"/>
      <c r="JN13" s="236"/>
      <c r="JO13" s="236"/>
      <c r="JP13" s="236"/>
      <c r="JQ13" s="411"/>
      <c r="JR13" s="411"/>
      <c r="JS13" s="411"/>
      <c r="JT13" s="411"/>
      <c r="JU13" s="411"/>
      <c r="JV13" s="411"/>
      <c r="JW13" s="411"/>
      <c r="KH13" s="412">
        <f t="shared" si="9"/>
        <v>10</v>
      </c>
      <c r="KI13" s="413">
        <f t="shared" ca="1" si="6"/>
        <v>1010</v>
      </c>
      <c r="KJ13" s="413" t="str">
        <f t="shared" ca="1" si="7"/>
        <v xml:space="preserve">Trips : Flow Check / Monitor Well </v>
      </c>
      <c r="KK13" s="414">
        <f t="shared" ca="1" si="8"/>
        <v>4.1666666666666664E-2</v>
      </c>
    </row>
    <row r="14" spans="1:301" ht="24" customHeight="1">
      <c r="A14" s="214" t="s">
        <v>233</v>
      </c>
      <c r="B14" s="55"/>
      <c r="C14"/>
      <c r="D14" s="57">
        <f ca="1">INDIRECT(ADDRESS(ROWS($D$3:D13)+6,D$3,1,1,"3_TIME SUM"))</f>
        <v>0</v>
      </c>
      <c r="E14" s="81" t="str">
        <f ca="1">IF(INDIRECT(ADDRESS(ROWS($E$3:E13)+6,E$3,1,1,"3_TIME SUM"))=0,E13,INDIRECT(ADDRESS(ROWS($E$3:E13)+6,E$3,1,1,"3_TIME SUM")))</f>
        <v>Rig Up and Tear Down</v>
      </c>
      <c r="F14" s="57" t="str">
        <f t="shared" ca="1" si="3"/>
        <v>Rig Up and Tear Down : 0</v>
      </c>
      <c r="G14" s="58" t="e">
        <f ca="1">VLOOKUP($D14,INDIRECT(ADDRESS(7,5,1,1,"3_TIME SUM")):INDIRECT(ADDRESS(200,7,1,1,"3_TIME SUM")),2,FALSE)</f>
        <v>#N/A</v>
      </c>
      <c r="H14" s="58" t="e">
        <f ca="1">IF(VLOOKUP($D14,INDIRECT(ADDRESS(7,5,1,1,"3_TIME SUM")):INDIRECT(ADDRESS(200,7,1,1,"3_TIME SUM")),3,FALSE)="","PT",VLOOKUP($D14,INDIRECT(ADDRESS(7,5,1,1,"3_TIME SUM")):INDIRECT(ADDRESS(200,7,1,1,"3_TIME SUM")),3,FALSE))</f>
        <v>#N/A</v>
      </c>
      <c r="I14" s="59">
        <f ca="1">IFERROR(IF(AND($D$2="NON PRODUCTIVE TIME",$H14="NPT"),SUMIF(INDIRECT(ADDRESS(8,COLUMN('2_DATA'!$M$9),1,1,"2_DATA")):INDIRECT(ADDRESS(3000,COLUMN('2_DATA'!$M$9),1,1,"2_DATA")),$G14,INDIRECT(ADDRESS(8,COLUMN('2_DATA'!$N$9),1,1,"2_DATA")):INDIRECT(ADDRESS(3000,COLUMN('2_DATA'!$N$9),1,1,"2_DATA"))),IF($D$2="ALL ACTIVITY",SUMIF(INDIRECT(ADDRESS(9,COLUMN('2_DATA'!$M$9),1,1,"2_DATA")):INDIRECT(ADDRESS(3000,COLUMN('2_DATA'!$M$9),1,1,"2_DATA")),$G14,INDIRECT(ADDRESS(9,COLUMN('2_DATA'!$N$9),1,1,"2_DATA")):INDIRECT(ADDRESS(3000,COLUMN('2_DATA'!$N$9),1,1,"2_DATA"))),SUMIF(INDIRECT(ADDRESS(OFFSET($A$3,MATCH($D$2,$A$4:$A$16,0)-1,1,,)+1,COLUMN('2_DATA'!$M$9),1,1,"2_DATA")):INDIRECT(ADDRESS(VLOOKUP($D$2,$A$4:$B$16,2,FALSE)-1,COLUMN('2_DATA'!$M$9),1,1,"2_DATA")),$G14,INDIRECT(ADDRESS(OFFSET($A$3,MATCH($D$2,$A$4:$A$16,0)-1,1,,)+1,COLUMN('2_DATA'!$N$9),1,1,"2_DATA")):INDIRECT(ADDRESS(VLOOKUP($D$2,$A$4:$B$16,2,FALSE)-1,COLUMN('2_DATA'!$N$9),1,1,"2_DATA"))))),0)</f>
        <v>0</v>
      </c>
      <c r="J14" s="58" t="str">
        <f ca="1">IF(I14=0,"",MAX($J$3:J13)+1)</f>
        <v/>
      </c>
      <c r="L14" s="55" t="str">
        <f t="shared" ca="1" si="0"/>
        <v/>
      </c>
      <c r="M14" s="55" t="str">
        <f t="shared" ca="1" si="4"/>
        <v/>
      </c>
      <c r="N14" s="55"/>
      <c r="O14" s="55" t="str">
        <f t="shared" ca="1" si="10"/>
        <v/>
      </c>
      <c r="P14" s="55">
        <f t="shared" ca="1" si="1"/>
        <v>0</v>
      </c>
      <c r="Q14" s="55">
        <f ca="1">IFERROR(INDEX($O$4:$P$226,MATCH(ROWS($Q$3:Q13),$P$4:$P$226,0),1),"-")</f>
        <v>1010</v>
      </c>
      <c r="R14" s="62" t="str">
        <f t="shared" ca="1" si="2"/>
        <v xml:space="preserve">Trips : Flow Check / Monitor Well </v>
      </c>
      <c r="S14" s="55">
        <f t="shared" ca="1" si="5"/>
        <v>10</v>
      </c>
      <c r="T14" s="64"/>
      <c r="U14"/>
      <c r="V14" s="68">
        <f t="shared" ca="1" si="11"/>
        <v>1</v>
      </c>
      <c r="W14" s="69" t="str">
        <f t="shared" ca="1" si="12"/>
        <v>Drilling Actual : Coiled Tubing - Drilling</v>
      </c>
      <c r="X14" s="70" t="s">
        <v>84</v>
      </c>
      <c r="Y14" s="68" t="str">
        <f ca="1">IFERROR(VLOOKUP($W14,$F$4:$J$300,3,FALSE),"")</f>
        <v>PT</v>
      </c>
      <c r="Z14" s="71" t="str">
        <f t="shared" ref="Z14:Z77" ca="1" si="13">IFERROR(VLOOKUP($W14,$F$4:$J$300,2,FALSE),"")</f>
        <v>2c</v>
      </c>
      <c r="AA14" s="72">
        <f t="shared" ref="AA14:AA77" ca="1" si="14">IFERROR(VLOOKUP($W14,$F$4:$J$300,4,FALSE),"")</f>
        <v>50</v>
      </c>
      <c r="AB14" s="305">
        <f ca="1">IFERROR(AA14/24,"")</f>
        <v>2.0833333333333335</v>
      </c>
      <c r="AC14" s="236"/>
      <c r="AD14" s="313"/>
      <c r="AE14" s="236"/>
      <c r="AF14" s="314"/>
      <c r="AG14" s="236"/>
      <c r="AH14" s="314"/>
      <c r="AI14" s="236"/>
      <c r="AJ14" s="236"/>
      <c r="AK14" s="236"/>
      <c r="AL14" s="236"/>
      <c r="AM14" s="236"/>
      <c r="AN14" s="236"/>
      <c r="AO14" s="236"/>
      <c r="AP14" s="236"/>
      <c r="AQ14" s="236"/>
      <c r="AR14" s="236"/>
      <c r="AS14" s="236"/>
      <c r="AT14" s="236"/>
      <c r="AU14" s="236"/>
      <c r="AV14" s="236"/>
      <c r="AW14" s="236"/>
      <c r="AX14" s="236"/>
      <c r="AY14" s="236"/>
      <c r="AZ14" s="236"/>
      <c r="BA14" s="236"/>
      <c r="BB14" s="236"/>
      <c r="BC14" s="236"/>
      <c r="BD14" s="236"/>
      <c r="BE14" s="236"/>
      <c r="BF14" s="236"/>
      <c r="BG14" s="236"/>
      <c r="BH14" s="236"/>
      <c r="BI14" s="236"/>
      <c r="BJ14" s="236"/>
      <c r="BK14" s="236"/>
      <c r="BL14" s="236"/>
      <c r="BM14" s="236"/>
      <c r="BN14" s="236"/>
      <c r="BO14" s="236"/>
      <c r="BP14" s="236"/>
      <c r="BQ14" s="236"/>
      <c r="BR14" s="236"/>
      <c r="BS14" s="236"/>
      <c r="BT14" s="236"/>
      <c r="BU14" s="236"/>
      <c r="BV14" s="236"/>
      <c r="BW14" s="236"/>
      <c r="BX14" s="236"/>
      <c r="BY14" s="236"/>
      <c r="BZ14" s="236"/>
      <c r="CA14" s="236"/>
      <c r="CB14" s="236"/>
      <c r="CC14" s="236"/>
      <c r="CD14" s="236"/>
      <c r="CE14" s="236"/>
      <c r="CF14" s="236"/>
      <c r="CG14" s="236"/>
      <c r="CH14" s="236"/>
      <c r="CI14" s="236"/>
      <c r="CJ14" s="236"/>
      <c r="CK14" s="236"/>
      <c r="CL14" s="236"/>
      <c r="CM14" s="236"/>
      <c r="CN14" s="236"/>
      <c r="CO14" s="236"/>
      <c r="CP14" s="236"/>
      <c r="CQ14" s="236"/>
      <c r="CR14" s="236"/>
      <c r="CS14" s="236"/>
      <c r="CT14" s="236"/>
      <c r="CU14" s="236"/>
      <c r="CV14" s="236"/>
      <c r="CW14" s="236"/>
      <c r="CX14" s="236"/>
      <c r="CY14" s="236"/>
      <c r="CZ14" s="236"/>
      <c r="DA14" s="236"/>
      <c r="DB14" s="236"/>
      <c r="DC14" s="236"/>
      <c r="DD14" s="236"/>
      <c r="DE14" s="236"/>
      <c r="DF14" s="236"/>
      <c r="DG14" s="236"/>
      <c r="DH14" s="236"/>
      <c r="DI14" s="236"/>
      <c r="DJ14" s="236"/>
      <c r="DK14" s="236"/>
      <c r="DL14" s="236"/>
      <c r="DM14" s="236"/>
      <c r="DN14" s="236"/>
      <c r="DO14" s="236"/>
      <c r="DP14" s="236"/>
      <c r="DQ14" s="236"/>
      <c r="DR14" s="236"/>
      <c r="DS14" s="236"/>
      <c r="DT14" s="236"/>
      <c r="DU14" s="236"/>
      <c r="DV14" s="236"/>
      <c r="DW14" s="236"/>
      <c r="DX14" s="236"/>
      <c r="DY14" s="236"/>
      <c r="DZ14" s="236"/>
      <c r="EA14" s="236"/>
      <c r="EB14" s="236"/>
      <c r="EC14" s="236"/>
      <c r="ED14" s="236"/>
      <c r="EE14" s="236"/>
      <c r="EF14" s="236"/>
      <c r="EG14" s="236"/>
      <c r="EH14" s="236"/>
      <c r="EI14" s="236"/>
      <c r="EJ14" s="236"/>
      <c r="EK14" s="236"/>
      <c r="EL14" s="236"/>
      <c r="EM14" s="236"/>
      <c r="EN14" s="236"/>
      <c r="EO14" s="236"/>
      <c r="EP14" s="236"/>
      <c r="EQ14" s="236"/>
      <c r="ER14" s="236"/>
      <c r="ES14" s="236"/>
      <c r="ET14" s="236"/>
      <c r="EU14" s="236"/>
      <c r="EV14" s="236"/>
      <c r="EW14" s="236"/>
      <c r="EX14" s="236"/>
      <c r="EY14" s="236"/>
      <c r="EZ14" s="236"/>
      <c r="FA14" s="236"/>
      <c r="FB14" s="236"/>
      <c r="FC14" s="236"/>
      <c r="FD14" s="236"/>
      <c r="FE14" s="236"/>
      <c r="FF14" s="236"/>
      <c r="FG14" s="236"/>
      <c r="FH14" s="236"/>
      <c r="FI14" s="236"/>
      <c r="FJ14" s="236"/>
      <c r="FK14" s="236"/>
      <c r="FL14" s="236"/>
      <c r="FM14" s="236"/>
      <c r="FN14" s="236"/>
      <c r="FO14" s="236"/>
      <c r="FP14" s="236"/>
      <c r="FQ14" s="236"/>
      <c r="FR14" s="236"/>
      <c r="FS14" s="236"/>
      <c r="FT14" s="236"/>
      <c r="FU14" s="236"/>
      <c r="FV14" s="236"/>
      <c r="FW14" s="236"/>
      <c r="FX14" s="236"/>
      <c r="FY14" s="236"/>
      <c r="FZ14" s="236"/>
      <c r="GA14" s="236"/>
      <c r="GB14" s="236"/>
      <c r="GC14" s="236"/>
      <c r="GD14" s="236"/>
      <c r="GE14" s="236"/>
      <c r="GF14" s="236"/>
      <c r="GG14" s="236"/>
      <c r="GH14" s="236"/>
      <c r="GI14" s="236"/>
      <c r="GJ14" s="236"/>
      <c r="GK14" s="236"/>
      <c r="GL14" s="236"/>
      <c r="GM14" s="236"/>
      <c r="GN14" s="236"/>
      <c r="GO14" s="236"/>
      <c r="GP14" s="236"/>
      <c r="GQ14" s="236"/>
      <c r="GR14" s="236"/>
      <c r="GS14" s="236"/>
      <c r="GT14" s="236"/>
      <c r="GU14" s="236"/>
      <c r="GV14" s="236"/>
      <c r="GW14" s="236"/>
      <c r="GX14" s="236"/>
      <c r="GY14" s="236"/>
      <c r="GZ14" s="236"/>
      <c r="HA14" s="236"/>
      <c r="HB14" s="236"/>
      <c r="HC14" s="236"/>
      <c r="HD14" s="236"/>
      <c r="HE14" s="236"/>
      <c r="HF14" s="236"/>
      <c r="HG14" s="236"/>
      <c r="HH14" s="236"/>
      <c r="HI14" s="236"/>
      <c r="HJ14" s="236"/>
      <c r="HK14" s="236"/>
      <c r="HL14" s="236"/>
      <c r="HM14" s="236"/>
      <c r="HN14" s="236"/>
      <c r="HO14" s="236"/>
      <c r="HP14" s="236"/>
      <c r="HQ14" s="236"/>
      <c r="HR14" s="236"/>
      <c r="HS14" s="236"/>
      <c r="HT14" s="236"/>
      <c r="HU14" s="236"/>
      <c r="HV14" s="236"/>
      <c r="HW14" s="236"/>
      <c r="HX14" s="236"/>
      <c r="HY14" s="236"/>
      <c r="HZ14" s="236"/>
      <c r="IA14" s="236"/>
      <c r="IB14" s="236"/>
      <c r="IC14" s="236"/>
      <c r="ID14" s="236"/>
      <c r="IE14" s="236"/>
      <c r="IF14" s="236"/>
      <c r="IG14" s="236"/>
      <c r="IH14" s="236"/>
      <c r="II14" s="236"/>
      <c r="IJ14" s="236"/>
      <c r="IK14" s="236"/>
      <c r="IL14" s="236"/>
      <c r="IM14" s="236"/>
      <c r="IN14" s="236"/>
      <c r="IO14" s="236"/>
      <c r="IP14" s="236"/>
      <c r="IQ14" s="236"/>
      <c r="IR14" s="236"/>
      <c r="IS14" s="236"/>
      <c r="IT14" s="236"/>
      <c r="IU14" s="236"/>
      <c r="IV14" s="236"/>
      <c r="IW14" s="236"/>
      <c r="IX14" s="236"/>
      <c r="IY14" s="236"/>
      <c r="IZ14" s="236"/>
      <c r="JA14" s="236"/>
      <c r="JB14" s="236"/>
      <c r="JC14" s="236"/>
      <c r="JD14" s="236"/>
      <c r="JE14" s="236"/>
      <c r="JF14" s="236"/>
      <c r="JG14" s="236"/>
      <c r="JH14" s="236"/>
      <c r="JI14" s="236"/>
      <c r="JJ14" s="236"/>
      <c r="JK14" s="236"/>
      <c r="JL14" s="236"/>
      <c r="JM14" s="236"/>
      <c r="JN14" s="236"/>
      <c r="JO14" s="236"/>
      <c r="JP14" s="236"/>
      <c r="JQ14" s="411"/>
      <c r="JR14" s="411"/>
      <c r="JS14" s="411"/>
      <c r="JT14" s="411"/>
      <c r="JU14" s="411"/>
      <c r="JV14" s="411"/>
      <c r="JW14" s="411"/>
      <c r="KH14" s="412">
        <f t="shared" si="9"/>
        <v>11</v>
      </c>
      <c r="KI14" s="413">
        <f t="shared" ca="1" si="6"/>
        <v>1011</v>
      </c>
      <c r="KJ14" s="413" t="str">
        <f t="shared" ca="1" si="7"/>
        <v>Repair Rig : Repair Rotating System (NPT)</v>
      </c>
      <c r="KK14" s="414">
        <f t="shared" ca="1" si="8"/>
        <v>0.14583333333333334</v>
      </c>
    </row>
    <row r="15" spans="1:301" ht="24" customHeight="1">
      <c r="A15" s="214"/>
      <c r="B15" s="55"/>
      <c r="C15"/>
      <c r="D15" s="57" t="str">
        <f ca="1">INDIRECT(ADDRESS(ROWS($D$3:D14)+6,D$3,1,1,"3_TIME SUM"))</f>
        <v>Drilling - Rotating</v>
      </c>
      <c r="E15" s="81" t="str">
        <f ca="1">IF(INDIRECT(ADDRESS(ROWS($E$3:E14)+6,E$3,1,1,"3_TIME SUM"))=0,E14,INDIRECT(ADDRESS(ROWS($E$3:E14)+6,E$3,1,1,"3_TIME SUM")))</f>
        <v>Drilling Actual</v>
      </c>
      <c r="F15" s="57" t="str">
        <f t="shared" ca="1" si="3"/>
        <v>Drilling Actual : Drilling - Rotating</v>
      </c>
      <c r="G15" s="58" t="str">
        <f ca="1">VLOOKUP($D15,INDIRECT(ADDRESS(7,5,1,1,"3_TIME SUM")):INDIRECT(ADDRESS(200,7,1,1,"3_TIME SUM")),2,FALSE)</f>
        <v>2a</v>
      </c>
      <c r="H15" s="58" t="str">
        <f ca="1">IF(VLOOKUP($D15,INDIRECT(ADDRESS(7,5,1,1,"3_TIME SUM")):INDIRECT(ADDRESS(200,7,1,1,"3_TIME SUM")),3,FALSE)="","PT",VLOOKUP($D15,INDIRECT(ADDRESS(7,5,1,1,"3_TIME SUM")):INDIRECT(ADDRESS(200,7,1,1,"3_TIME SUM")),3,FALSE))</f>
        <v>PT</v>
      </c>
      <c r="I15" s="59">
        <f ca="1">IFERROR(IF(AND($D$2="NON PRODUCTIVE TIME",$H15="NPT"),SUMIF(INDIRECT(ADDRESS(8,COLUMN('2_DATA'!$M$9),1,1,"2_DATA")):INDIRECT(ADDRESS(3000,COLUMN('2_DATA'!$M$9),1,1,"2_DATA")),$G15,INDIRECT(ADDRESS(8,COLUMN('2_DATA'!$N$9),1,1,"2_DATA")):INDIRECT(ADDRESS(3000,COLUMN('2_DATA'!$N$9),1,1,"2_DATA"))),IF($D$2="ALL ACTIVITY",SUMIF(INDIRECT(ADDRESS(9,COLUMN('2_DATA'!$M$9),1,1,"2_DATA")):INDIRECT(ADDRESS(3000,COLUMN('2_DATA'!$M$9),1,1,"2_DATA")),$G15,INDIRECT(ADDRESS(9,COLUMN('2_DATA'!$N$9),1,1,"2_DATA")):INDIRECT(ADDRESS(3000,COLUMN('2_DATA'!$N$9),1,1,"2_DATA"))),SUMIF(INDIRECT(ADDRESS(OFFSET($A$3,MATCH($D$2,$A$4:$A$16,0)-1,1,,)+1,COLUMN('2_DATA'!$M$9),1,1,"2_DATA")):INDIRECT(ADDRESS(VLOOKUP($D$2,$A$4:$B$16,2,FALSE)-1,COLUMN('2_DATA'!$M$9),1,1,"2_DATA")),$G15,INDIRECT(ADDRESS(OFFSET($A$3,MATCH($D$2,$A$4:$A$16,0)-1,1,,)+1,COLUMN('2_DATA'!$N$9),1,1,"2_DATA")):INDIRECT(ADDRESS(VLOOKUP($D$2,$A$4:$B$16,2,FALSE)-1,COLUMN('2_DATA'!$N$9),1,1,"2_DATA"))))),0)</f>
        <v>0</v>
      </c>
      <c r="J15" s="58" t="str">
        <f ca="1">IF(I15=0,"",MAX($J$3:J14)+1)</f>
        <v/>
      </c>
      <c r="K15" s="215"/>
      <c r="L15" s="55">
        <f t="shared" ca="1" si="0"/>
        <v>1000</v>
      </c>
      <c r="M15" s="55" t="str">
        <f t="shared" ca="1" si="4"/>
        <v/>
      </c>
      <c r="N15" s="55"/>
      <c r="O15" s="55" t="str">
        <f t="shared" ca="1" si="10"/>
        <v/>
      </c>
      <c r="P15" s="55">
        <f t="shared" ca="1" si="1"/>
        <v>0</v>
      </c>
      <c r="Q15" s="55">
        <f ca="1">IFERROR(INDEX($O$4:$P$226,MATCH(ROWS($Q$3:Q14),$P$4:$P$226,0),1),"-")</f>
        <v>1011</v>
      </c>
      <c r="R15" s="62" t="str">
        <f t="shared" ca="1" si="2"/>
        <v>Repair Rig : Repair Rotating System (NPT)</v>
      </c>
      <c r="S15" s="55">
        <f ca="1">IFERROR(Q15-ROUND(Q15/1000,0)*1000,"")</f>
        <v>11</v>
      </c>
      <c r="T15" s="64"/>
      <c r="U15"/>
      <c r="V15" s="68">
        <f t="shared" ca="1" si="11"/>
        <v>2</v>
      </c>
      <c r="W15" s="69" t="str">
        <f t="shared" ca="1" si="12"/>
        <v>Drilling Actual : Flow Check / Monitor Well While Drilling</v>
      </c>
      <c r="X15" s="70" t="s">
        <v>84</v>
      </c>
      <c r="Y15" s="68" t="str">
        <f ca="1">IFERROR(VLOOKUP($W15,$F$4:$J$300,3,FALSE),"")</f>
        <v>PT</v>
      </c>
      <c r="Z15" s="71" t="str">
        <f t="shared" ca="1" si="13"/>
        <v>2d</v>
      </c>
      <c r="AA15" s="72">
        <f t="shared" ca="1" si="14"/>
        <v>0.5</v>
      </c>
      <c r="AB15" s="305">
        <f t="shared" ref="AB15:AB77" ca="1" si="15">IFERROR(AA15/24,"")</f>
        <v>2.0833333333333332E-2</v>
      </c>
      <c r="AC15" s="236"/>
      <c r="AD15" s="313"/>
      <c r="AE15" s="236"/>
      <c r="AF15" s="314"/>
      <c r="AG15" s="236"/>
      <c r="AH15" s="314"/>
      <c r="AI15" s="236"/>
      <c r="AJ15" s="236"/>
      <c r="AK15" s="236"/>
      <c r="AL15" s="236"/>
      <c r="AM15" s="236"/>
      <c r="AN15" s="236"/>
      <c r="AO15" s="236"/>
      <c r="AP15" s="236"/>
      <c r="AQ15" s="236"/>
      <c r="AR15" s="236"/>
      <c r="AS15" s="236"/>
      <c r="AT15" s="236"/>
      <c r="AU15" s="236"/>
      <c r="AV15" s="236"/>
      <c r="AW15" s="236"/>
      <c r="AX15" s="236"/>
      <c r="AY15" s="236"/>
      <c r="AZ15" s="236"/>
      <c r="BA15" s="236"/>
      <c r="BB15" s="236"/>
      <c r="BC15" s="236"/>
      <c r="BD15" s="236"/>
      <c r="BE15" s="236"/>
      <c r="BF15" s="236"/>
      <c r="BG15" s="236"/>
      <c r="BH15" s="236"/>
      <c r="BI15" s="236"/>
      <c r="BJ15" s="236"/>
      <c r="BK15" s="236"/>
      <c r="BL15" s="236"/>
      <c r="BM15" s="236"/>
      <c r="BN15" s="236"/>
      <c r="BO15" s="236"/>
      <c r="BP15" s="236"/>
      <c r="BQ15" s="236"/>
      <c r="BR15" s="236"/>
      <c r="BS15" s="236"/>
      <c r="BT15" s="236"/>
      <c r="BU15" s="236"/>
      <c r="BV15" s="236"/>
      <c r="BW15" s="236"/>
      <c r="BX15" s="236"/>
      <c r="BY15" s="236"/>
      <c r="BZ15" s="236"/>
      <c r="CA15" s="236"/>
      <c r="CB15" s="236"/>
      <c r="CC15" s="236"/>
      <c r="CD15" s="236"/>
      <c r="CE15" s="236"/>
      <c r="CF15" s="236"/>
      <c r="CG15" s="236"/>
      <c r="CH15" s="236"/>
      <c r="CI15" s="236"/>
      <c r="CJ15" s="236"/>
      <c r="CK15" s="236"/>
      <c r="CL15" s="236"/>
      <c r="CM15" s="236"/>
      <c r="CN15" s="236"/>
      <c r="CO15" s="236"/>
      <c r="CP15" s="236"/>
      <c r="CQ15" s="236"/>
      <c r="CR15" s="236"/>
      <c r="CS15" s="236"/>
      <c r="CT15" s="236"/>
      <c r="CU15" s="236"/>
      <c r="CV15" s="236"/>
      <c r="CW15" s="236"/>
      <c r="CX15" s="236"/>
      <c r="CY15" s="236"/>
      <c r="CZ15" s="236"/>
      <c r="DA15" s="236"/>
      <c r="DB15" s="236"/>
      <c r="DC15" s="236"/>
      <c r="DD15" s="236"/>
      <c r="DE15" s="236"/>
      <c r="DF15" s="236"/>
      <c r="DG15" s="236"/>
      <c r="DH15" s="236"/>
      <c r="DI15" s="236"/>
      <c r="DJ15" s="236"/>
      <c r="DK15" s="236"/>
      <c r="DL15" s="236"/>
      <c r="DM15" s="236"/>
      <c r="DN15" s="236"/>
      <c r="DO15" s="236"/>
      <c r="DP15" s="236"/>
      <c r="DQ15" s="236"/>
      <c r="DR15" s="236"/>
      <c r="DS15" s="236"/>
      <c r="DT15" s="236"/>
      <c r="DU15" s="236"/>
      <c r="DV15" s="236"/>
      <c r="DW15" s="236"/>
      <c r="DX15" s="236"/>
      <c r="DY15" s="236"/>
      <c r="DZ15" s="236"/>
      <c r="EA15" s="236"/>
      <c r="EB15" s="236"/>
      <c r="EC15" s="236"/>
      <c r="ED15" s="236"/>
      <c r="EE15" s="236"/>
      <c r="EF15" s="236"/>
      <c r="EG15" s="236"/>
      <c r="EH15" s="236"/>
      <c r="EI15" s="236"/>
      <c r="EJ15" s="236"/>
      <c r="EK15" s="236"/>
      <c r="EL15" s="236"/>
      <c r="EM15" s="236"/>
      <c r="EN15" s="236"/>
      <c r="EO15" s="236"/>
      <c r="EP15" s="236"/>
      <c r="EQ15" s="236"/>
      <c r="ER15" s="236"/>
      <c r="ES15" s="236"/>
      <c r="ET15" s="236"/>
      <c r="EU15" s="236"/>
      <c r="EV15" s="236"/>
      <c r="EW15" s="236"/>
      <c r="EX15" s="236"/>
      <c r="EY15" s="236"/>
      <c r="EZ15" s="236"/>
      <c r="FA15" s="236"/>
      <c r="FB15" s="236"/>
      <c r="FC15" s="236"/>
      <c r="FD15" s="236"/>
      <c r="FE15" s="236"/>
      <c r="FF15" s="236"/>
      <c r="FG15" s="236"/>
      <c r="FH15" s="236"/>
      <c r="FI15" s="236"/>
      <c r="FJ15" s="236"/>
      <c r="FK15" s="236"/>
      <c r="FL15" s="236"/>
      <c r="FM15" s="236"/>
      <c r="FN15" s="236"/>
      <c r="FO15" s="236"/>
      <c r="FP15" s="236"/>
      <c r="FQ15" s="236"/>
      <c r="FR15" s="236"/>
      <c r="FS15" s="236"/>
      <c r="FT15" s="236"/>
      <c r="FU15" s="236"/>
      <c r="FV15" s="236"/>
      <c r="FW15" s="236"/>
      <c r="FX15" s="236"/>
      <c r="FY15" s="236"/>
      <c r="FZ15" s="236"/>
      <c r="GA15" s="236"/>
      <c r="GB15" s="236"/>
      <c r="GC15" s="236"/>
      <c r="GD15" s="236"/>
      <c r="GE15" s="236"/>
      <c r="GF15" s="236"/>
      <c r="GG15" s="236"/>
      <c r="GH15" s="236"/>
      <c r="GI15" s="236"/>
      <c r="GJ15" s="236"/>
      <c r="GK15" s="236"/>
      <c r="GL15" s="236"/>
      <c r="GM15" s="236"/>
      <c r="GN15" s="236"/>
      <c r="GO15" s="236"/>
      <c r="GP15" s="236"/>
      <c r="GQ15" s="236"/>
      <c r="GR15" s="236"/>
      <c r="GS15" s="236"/>
      <c r="GT15" s="236"/>
      <c r="GU15" s="236"/>
      <c r="GV15" s="236"/>
      <c r="GW15" s="236"/>
      <c r="GX15" s="236"/>
      <c r="GY15" s="236"/>
      <c r="GZ15" s="236"/>
      <c r="HA15" s="236"/>
      <c r="HB15" s="236"/>
      <c r="HC15" s="236"/>
      <c r="HD15" s="236"/>
      <c r="HE15" s="236"/>
      <c r="HF15" s="236"/>
      <c r="HG15" s="236"/>
      <c r="HH15" s="236"/>
      <c r="HI15" s="236"/>
      <c r="HJ15" s="236"/>
      <c r="HK15" s="236"/>
      <c r="HL15" s="236"/>
      <c r="HM15" s="236"/>
      <c r="HN15" s="236"/>
      <c r="HO15" s="236"/>
      <c r="HP15" s="236"/>
      <c r="HQ15" s="236"/>
      <c r="HR15" s="236"/>
      <c r="HS15" s="236"/>
      <c r="HT15" s="236"/>
      <c r="HU15" s="236"/>
      <c r="HV15" s="236"/>
      <c r="HW15" s="236"/>
      <c r="HX15" s="236"/>
      <c r="HY15" s="236"/>
      <c r="HZ15" s="236"/>
      <c r="IA15" s="236"/>
      <c r="IB15" s="236"/>
      <c r="IC15" s="236"/>
      <c r="ID15" s="236"/>
      <c r="IE15" s="236"/>
      <c r="IF15" s="236"/>
      <c r="IG15" s="236"/>
      <c r="IH15" s="236"/>
      <c r="II15" s="236"/>
      <c r="IJ15" s="236"/>
      <c r="IK15" s="236"/>
      <c r="IL15" s="236"/>
      <c r="IM15" s="236"/>
      <c r="IN15" s="236"/>
      <c r="IO15" s="236"/>
      <c r="IP15" s="236"/>
      <c r="IQ15" s="236"/>
      <c r="IR15" s="236"/>
      <c r="IS15" s="236"/>
      <c r="IT15" s="236"/>
      <c r="IU15" s="236"/>
      <c r="IV15" s="236"/>
      <c r="IW15" s="236"/>
      <c r="IX15" s="236"/>
      <c r="IY15" s="236"/>
      <c r="IZ15" s="236"/>
      <c r="JA15" s="236"/>
      <c r="JB15" s="236"/>
      <c r="JC15" s="236"/>
      <c r="JD15" s="236"/>
      <c r="JE15" s="236"/>
      <c r="JF15" s="236"/>
      <c r="JG15" s="236"/>
      <c r="JH15" s="236"/>
      <c r="JI15" s="236"/>
      <c r="JJ15" s="236"/>
      <c r="JK15" s="236"/>
      <c r="JL15" s="236"/>
      <c r="JM15" s="236"/>
      <c r="JN15" s="236"/>
      <c r="JO15" s="236"/>
      <c r="JP15" s="236"/>
      <c r="JQ15" s="411"/>
      <c r="JR15" s="411"/>
      <c r="JS15" s="411"/>
      <c r="JT15" s="411"/>
      <c r="JU15" s="411"/>
      <c r="JV15" s="411"/>
      <c r="JW15" s="411"/>
      <c r="KH15" s="412">
        <f t="shared" si="9"/>
        <v>12</v>
      </c>
      <c r="KI15" s="413">
        <f t="shared" ca="1" si="6"/>
        <v>1012</v>
      </c>
      <c r="KJ15" s="413" t="str">
        <f t="shared" ca="1" si="7"/>
        <v>Repair Rig : Tubular Problem (NPT)</v>
      </c>
      <c r="KK15" s="414">
        <f t="shared" ca="1" si="8"/>
        <v>0.33333333333333331</v>
      </c>
    </row>
    <row r="16" spans="1:301" ht="24" customHeight="1">
      <c r="A16" s="214"/>
      <c r="B16" s="55"/>
      <c r="C16"/>
      <c r="D16" s="57" t="str">
        <f ca="1">INDIRECT(ADDRESS(ROWS($D$3:D15)+6,D$3,1,1,"3_TIME SUM"))</f>
        <v>Drilling - Sliding</v>
      </c>
      <c r="E16" s="81" t="str">
        <f ca="1">IF(INDIRECT(ADDRESS(ROWS($E$3:E15)+6,E$3,1,1,"3_TIME SUM"))=0,E15,INDIRECT(ADDRESS(ROWS($E$3:E15)+6,E$3,1,1,"3_TIME SUM")))</f>
        <v>Drilling Actual</v>
      </c>
      <c r="F16" s="57" t="str">
        <f t="shared" ca="1" si="3"/>
        <v>Drilling Actual : Drilling - Sliding</v>
      </c>
      <c r="G16" s="58" t="str">
        <f ca="1">VLOOKUP($D16,INDIRECT(ADDRESS(7,5,1,1,"3_TIME SUM")):INDIRECT(ADDRESS(200,7,1,1,"3_TIME SUM")),2,FALSE)</f>
        <v>2b</v>
      </c>
      <c r="H16" s="58" t="str">
        <f ca="1">IF(VLOOKUP($D16,INDIRECT(ADDRESS(7,5,1,1,"3_TIME SUM")):INDIRECT(ADDRESS(200,7,1,1,"3_TIME SUM")),3,FALSE)="","PT",VLOOKUP($D16,INDIRECT(ADDRESS(7,5,1,1,"3_TIME SUM")):INDIRECT(ADDRESS(200,7,1,1,"3_TIME SUM")),3,FALSE))</f>
        <v>PT</v>
      </c>
      <c r="I16" s="59">
        <f ca="1">IFERROR(IF(AND($D$2="NON PRODUCTIVE TIME",$H16="NPT"),SUMIF(INDIRECT(ADDRESS(8,COLUMN('2_DATA'!$M$9),1,1,"2_DATA")):INDIRECT(ADDRESS(3000,COLUMN('2_DATA'!$M$9),1,1,"2_DATA")),$G16,INDIRECT(ADDRESS(8,COLUMN('2_DATA'!$N$9),1,1,"2_DATA")):INDIRECT(ADDRESS(3000,COLUMN('2_DATA'!$N$9),1,1,"2_DATA"))),IF($D$2="ALL ACTIVITY",SUMIF(INDIRECT(ADDRESS(9,COLUMN('2_DATA'!$M$9),1,1,"2_DATA")):INDIRECT(ADDRESS(3000,COLUMN('2_DATA'!$M$9),1,1,"2_DATA")),$G16,INDIRECT(ADDRESS(9,COLUMN('2_DATA'!$N$9),1,1,"2_DATA")):INDIRECT(ADDRESS(3000,COLUMN('2_DATA'!$N$9),1,1,"2_DATA"))),SUMIF(INDIRECT(ADDRESS(OFFSET($A$3,MATCH($D$2,$A$4:$A$16,0)-1,1,,)+1,COLUMN('2_DATA'!$M$9),1,1,"2_DATA")):INDIRECT(ADDRESS(VLOOKUP($D$2,$A$4:$B$16,2,FALSE)-1,COLUMN('2_DATA'!$M$9),1,1,"2_DATA")),$G16,INDIRECT(ADDRESS(OFFSET($A$3,MATCH($D$2,$A$4:$A$16,0)-1,1,,)+1,COLUMN('2_DATA'!$N$9),1,1,"2_DATA")):INDIRECT(ADDRESS(VLOOKUP($D$2,$A$4:$B$16,2,FALSE)-1,COLUMN('2_DATA'!$N$9),1,1,"2_DATA"))))),0)</f>
        <v>0</v>
      </c>
      <c r="J16" s="58" t="str">
        <f ca="1">IF(I16=0,"",MAX($J$3:J15)+1)</f>
        <v/>
      </c>
      <c r="L16" s="55">
        <f t="shared" ca="1" si="0"/>
        <v>1000</v>
      </c>
      <c r="M16" s="55" t="str">
        <f t="shared" ca="1" si="4"/>
        <v/>
      </c>
      <c r="N16" s="55"/>
      <c r="O16" s="55" t="str">
        <f t="shared" ca="1" si="10"/>
        <v/>
      </c>
      <c r="P16" s="55">
        <f t="shared" ca="1" si="1"/>
        <v>0</v>
      </c>
      <c r="Q16" s="55">
        <f ca="1">IFERROR(INDEX($O$4:$P$226,MATCH(ROWS($Q$3:Q15),$P$4:$P$226,0),1),"-")</f>
        <v>1012</v>
      </c>
      <c r="R16" s="62" t="str">
        <f t="shared" ca="1" si="2"/>
        <v>Repair Rig : Tubular Problem (NPT)</v>
      </c>
      <c r="S16" s="55">
        <f t="shared" ca="1" si="5"/>
        <v>12</v>
      </c>
      <c r="T16" s="64"/>
      <c r="U16"/>
      <c r="V16" s="68">
        <f t="shared" ca="1" si="11"/>
        <v>3</v>
      </c>
      <c r="W16" s="69" t="str">
        <f t="shared" ca="1" si="12"/>
        <v>Drilling Actual : Other Drilling Activities</v>
      </c>
      <c r="X16" s="70" t="s">
        <v>84</v>
      </c>
      <c r="Y16" s="68" t="str">
        <f ca="1">IFERROR(VLOOKUP($W16,$F$4:$J$300,3,FALSE),"")</f>
        <v>PT</v>
      </c>
      <c r="Z16" s="71" t="str">
        <f t="shared" ca="1" si="13"/>
        <v>2e</v>
      </c>
      <c r="AA16" s="72">
        <f t="shared" ca="1" si="14"/>
        <v>2</v>
      </c>
      <c r="AB16" s="305">
        <f t="shared" ca="1" si="15"/>
        <v>8.3333333333333329E-2</v>
      </c>
      <c r="AC16" s="236"/>
      <c r="AD16" s="236"/>
      <c r="AE16" s="236"/>
      <c r="AF16" s="315"/>
      <c r="AG16" s="236"/>
      <c r="AH16" s="236"/>
      <c r="AI16" s="236"/>
      <c r="AJ16" s="236"/>
      <c r="AK16" s="236"/>
      <c r="AL16" s="236"/>
      <c r="AM16" s="236"/>
      <c r="AN16" s="236"/>
      <c r="AO16" s="236"/>
      <c r="AP16" s="236"/>
      <c r="AQ16" s="236"/>
      <c r="AR16" s="236"/>
      <c r="AS16" s="236"/>
      <c r="AT16" s="236"/>
      <c r="AU16" s="236"/>
      <c r="AV16" s="236"/>
      <c r="AW16" s="236"/>
      <c r="AX16" s="236"/>
      <c r="AY16" s="236"/>
      <c r="AZ16" s="236"/>
      <c r="BA16" s="236"/>
      <c r="BB16" s="236"/>
      <c r="BC16" s="236"/>
      <c r="BD16" s="236"/>
      <c r="BE16" s="236"/>
      <c r="BF16" s="236"/>
      <c r="BG16" s="236"/>
      <c r="BH16" s="236"/>
      <c r="BI16" s="236"/>
      <c r="BJ16" s="236"/>
      <c r="BK16" s="236"/>
      <c r="BL16" s="236"/>
      <c r="BM16" s="236"/>
      <c r="BN16" s="236"/>
      <c r="BO16" s="236"/>
      <c r="BP16" s="236"/>
      <c r="BQ16" s="236"/>
      <c r="BR16" s="236"/>
      <c r="BS16" s="236"/>
      <c r="BT16" s="236"/>
      <c r="BU16" s="236"/>
      <c r="BV16" s="236"/>
      <c r="BW16" s="236"/>
      <c r="BX16" s="236"/>
      <c r="BY16" s="236"/>
      <c r="BZ16" s="236"/>
      <c r="CA16" s="236"/>
      <c r="CB16" s="236"/>
      <c r="CC16" s="236"/>
      <c r="CD16" s="236"/>
      <c r="CE16" s="236"/>
      <c r="CF16" s="236"/>
      <c r="CG16" s="236"/>
      <c r="CH16" s="236"/>
      <c r="CI16" s="236"/>
      <c r="CJ16" s="236"/>
      <c r="CK16" s="236"/>
      <c r="CL16" s="236"/>
      <c r="CM16" s="236"/>
      <c r="CN16" s="236"/>
      <c r="CO16" s="236"/>
      <c r="CP16" s="236"/>
      <c r="CQ16" s="236"/>
      <c r="CR16" s="236"/>
      <c r="CS16" s="236"/>
      <c r="CT16" s="236"/>
      <c r="CU16" s="236"/>
      <c r="CV16" s="236"/>
      <c r="CW16" s="236"/>
      <c r="CX16" s="236"/>
      <c r="CY16" s="236"/>
      <c r="CZ16" s="236"/>
      <c r="DA16" s="236"/>
      <c r="DB16" s="236"/>
      <c r="DC16" s="236"/>
      <c r="DD16" s="236"/>
      <c r="DE16" s="236"/>
      <c r="DF16" s="236"/>
      <c r="DG16" s="236"/>
      <c r="DH16" s="236"/>
      <c r="DI16" s="236"/>
      <c r="DJ16" s="236"/>
      <c r="DK16" s="236"/>
      <c r="DL16" s="236"/>
      <c r="DM16" s="236"/>
      <c r="DN16" s="236"/>
      <c r="DO16" s="236"/>
      <c r="DP16" s="236"/>
      <c r="DQ16" s="236"/>
      <c r="DR16" s="236"/>
      <c r="DS16" s="236"/>
      <c r="DT16" s="236"/>
      <c r="DU16" s="236"/>
      <c r="DV16" s="236"/>
      <c r="DW16" s="236"/>
      <c r="DX16" s="236"/>
      <c r="DY16" s="236"/>
      <c r="DZ16" s="236"/>
      <c r="EA16" s="236"/>
      <c r="EB16" s="236"/>
      <c r="EC16" s="236"/>
      <c r="ED16" s="236"/>
      <c r="EE16" s="236"/>
      <c r="EF16" s="236"/>
      <c r="EG16" s="236"/>
      <c r="EH16" s="236"/>
      <c r="EI16" s="236"/>
      <c r="EJ16" s="236"/>
      <c r="EK16" s="236"/>
      <c r="EL16" s="236"/>
      <c r="EM16" s="236"/>
      <c r="EN16" s="236"/>
      <c r="EO16" s="236"/>
      <c r="EP16" s="236"/>
      <c r="EQ16" s="236"/>
      <c r="ER16" s="236"/>
      <c r="ES16" s="236"/>
      <c r="ET16" s="236"/>
      <c r="EU16" s="236"/>
      <c r="EV16" s="236"/>
      <c r="EW16" s="236"/>
      <c r="EX16" s="236"/>
      <c r="EY16" s="236"/>
      <c r="EZ16" s="236"/>
      <c r="FA16" s="236"/>
      <c r="FB16" s="236"/>
      <c r="FC16" s="236"/>
      <c r="FD16" s="236"/>
      <c r="FE16" s="236"/>
      <c r="FF16" s="236"/>
      <c r="FG16" s="236"/>
      <c r="FH16" s="236"/>
      <c r="FI16" s="236"/>
      <c r="FJ16" s="236"/>
      <c r="FK16" s="236"/>
      <c r="FL16" s="236"/>
      <c r="FM16" s="236"/>
      <c r="FN16" s="236"/>
      <c r="FO16" s="236"/>
      <c r="FP16" s="236"/>
      <c r="FQ16" s="236"/>
      <c r="FR16" s="236"/>
      <c r="FS16" s="236"/>
      <c r="FT16" s="236"/>
      <c r="FU16" s="236"/>
      <c r="FV16" s="236"/>
      <c r="FW16" s="236"/>
      <c r="FX16" s="236"/>
      <c r="FY16" s="236"/>
      <c r="FZ16" s="236"/>
      <c r="GA16" s="236"/>
      <c r="GB16" s="236"/>
      <c r="GC16" s="236"/>
      <c r="GD16" s="236"/>
      <c r="GE16" s="236"/>
      <c r="GF16" s="236"/>
      <c r="GG16" s="236"/>
      <c r="GH16" s="236"/>
      <c r="GI16" s="236"/>
      <c r="GJ16" s="236"/>
      <c r="GK16" s="236"/>
      <c r="GL16" s="236"/>
      <c r="GM16" s="236"/>
      <c r="GN16" s="236"/>
      <c r="GO16" s="236"/>
      <c r="GP16" s="236"/>
      <c r="GQ16" s="236"/>
      <c r="GR16" s="236"/>
      <c r="GS16" s="236"/>
      <c r="GT16" s="236"/>
      <c r="GU16" s="236"/>
      <c r="GV16" s="236"/>
      <c r="GW16" s="236"/>
      <c r="GX16" s="236"/>
      <c r="GY16" s="236"/>
      <c r="GZ16" s="236"/>
      <c r="HA16" s="236"/>
      <c r="HB16" s="236"/>
      <c r="HC16" s="236"/>
      <c r="HD16" s="236"/>
      <c r="HE16" s="236"/>
      <c r="HF16" s="236"/>
      <c r="HG16" s="236"/>
      <c r="HH16" s="236"/>
      <c r="HI16" s="236"/>
      <c r="HJ16" s="236"/>
      <c r="HK16" s="236"/>
      <c r="HL16" s="236"/>
      <c r="HM16" s="236"/>
      <c r="HN16" s="236"/>
      <c r="HO16" s="236"/>
      <c r="HP16" s="236"/>
      <c r="HQ16" s="236"/>
      <c r="HR16" s="236"/>
      <c r="HS16" s="236"/>
      <c r="HT16" s="236"/>
      <c r="HU16" s="236"/>
      <c r="HV16" s="236"/>
      <c r="HW16" s="236"/>
      <c r="HX16" s="236"/>
      <c r="HY16" s="236"/>
      <c r="HZ16" s="236"/>
      <c r="IA16" s="236"/>
      <c r="IB16" s="236"/>
      <c r="IC16" s="236"/>
      <c r="ID16" s="236"/>
      <c r="IE16" s="236"/>
      <c r="IF16" s="236"/>
      <c r="IG16" s="236"/>
      <c r="IH16" s="236"/>
      <c r="II16" s="236"/>
      <c r="IJ16" s="236"/>
      <c r="IK16" s="236"/>
      <c r="IL16" s="236"/>
      <c r="IM16" s="236"/>
      <c r="IN16" s="236"/>
      <c r="IO16" s="236"/>
      <c r="IP16" s="236"/>
      <c r="IQ16" s="236"/>
      <c r="IR16" s="236"/>
      <c r="IS16" s="236"/>
      <c r="IT16" s="236"/>
      <c r="IU16" s="236"/>
      <c r="IV16" s="236"/>
      <c r="IW16" s="236"/>
      <c r="IX16" s="236"/>
      <c r="IY16" s="236"/>
      <c r="IZ16" s="236"/>
      <c r="JA16" s="236"/>
      <c r="JB16" s="236"/>
      <c r="JC16" s="236"/>
      <c r="JD16" s="236"/>
      <c r="JE16" s="236"/>
      <c r="JF16" s="236"/>
      <c r="JG16" s="236"/>
      <c r="JH16" s="236"/>
      <c r="JI16" s="236"/>
      <c r="JJ16" s="236"/>
      <c r="JK16" s="236"/>
      <c r="JL16" s="236"/>
      <c r="JM16" s="236"/>
      <c r="JN16" s="236"/>
      <c r="JO16" s="236"/>
      <c r="JP16" s="236"/>
      <c r="JQ16" s="411"/>
      <c r="JR16" s="411"/>
      <c r="JS16" s="411"/>
      <c r="JT16" s="411"/>
      <c r="JU16" s="411"/>
      <c r="JV16" s="411"/>
      <c r="JW16" s="411"/>
      <c r="KH16" s="412">
        <f t="shared" si="9"/>
        <v>13</v>
      </c>
      <c r="KI16" s="413">
        <f t="shared" ca="1" si="6"/>
        <v>1013</v>
      </c>
      <c r="KJ16" s="413" t="str">
        <f t="shared" ca="1" si="7"/>
        <v xml:space="preserve">Wireline Logs : Wireline Logging / Drill Pipe conveyed </v>
      </c>
      <c r="KK16" s="414">
        <f t="shared" ca="1" si="8"/>
        <v>0.60416666666666663</v>
      </c>
    </row>
    <row r="17" spans="3:301" ht="24" customHeight="1">
      <c r="C17"/>
      <c r="D17" s="57" t="str">
        <f ca="1">INDIRECT(ADDRESS(ROWS($D$3:D16)+6,D$3,1,1,"3_TIME SUM"))</f>
        <v>Coiled Tubing - Drilling</v>
      </c>
      <c r="E17" s="81" t="str">
        <f ca="1">IF(INDIRECT(ADDRESS(ROWS($E$3:E16)+6,E$3,1,1,"3_TIME SUM"))=0,E16,INDIRECT(ADDRESS(ROWS($E$3:E16)+6,E$3,1,1,"3_TIME SUM")))</f>
        <v>Drilling Actual</v>
      </c>
      <c r="F17" s="57" t="str">
        <f t="shared" ca="1" si="3"/>
        <v>Drilling Actual : Coiled Tubing - Drilling</v>
      </c>
      <c r="G17" s="58" t="str">
        <f ca="1">VLOOKUP($D17,INDIRECT(ADDRESS(7,5,1,1,"3_TIME SUM")):INDIRECT(ADDRESS(200,7,1,1,"3_TIME SUM")),2,FALSE)</f>
        <v>2c</v>
      </c>
      <c r="H17" s="58" t="str">
        <f ca="1">IF(VLOOKUP($D17,INDIRECT(ADDRESS(7,5,1,1,"3_TIME SUM")):INDIRECT(ADDRESS(200,7,1,1,"3_TIME SUM")),3,FALSE)="","PT",VLOOKUP($D17,INDIRECT(ADDRESS(7,5,1,1,"3_TIME SUM")):INDIRECT(ADDRESS(200,7,1,1,"3_TIME SUM")),3,FALSE))</f>
        <v>PT</v>
      </c>
      <c r="I17" s="59">
        <f ca="1">IFERROR(IF(AND($D$2="NON PRODUCTIVE TIME",$H17="NPT"),SUMIF(INDIRECT(ADDRESS(8,COLUMN('2_DATA'!$M$9),1,1,"2_DATA")):INDIRECT(ADDRESS(3000,COLUMN('2_DATA'!$M$9),1,1,"2_DATA")),$G17,INDIRECT(ADDRESS(8,COLUMN('2_DATA'!$N$9),1,1,"2_DATA")):INDIRECT(ADDRESS(3000,COLUMN('2_DATA'!$N$9),1,1,"2_DATA"))),IF($D$2="ALL ACTIVITY",SUMIF(INDIRECT(ADDRESS(9,COLUMN('2_DATA'!$M$9),1,1,"2_DATA")):INDIRECT(ADDRESS(3000,COLUMN('2_DATA'!$M$9),1,1,"2_DATA")),$G17,INDIRECT(ADDRESS(9,COLUMN('2_DATA'!$N$9),1,1,"2_DATA")):INDIRECT(ADDRESS(3000,COLUMN('2_DATA'!$N$9),1,1,"2_DATA"))),SUMIF(INDIRECT(ADDRESS(OFFSET($A$3,MATCH($D$2,$A$4:$A$16,0)-1,1,,)+1,COLUMN('2_DATA'!$M$9),1,1,"2_DATA")):INDIRECT(ADDRESS(VLOOKUP($D$2,$A$4:$B$16,2,FALSE)-1,COLUMN('2_DATA'!$M$9),1,1,"2_DATA")),$G17,INDIRECT(ADDRESS(OFFSET($A$3,MATCH($D$2,$A$4:$A$16,0)-1,1,,)+1,COLUMN('2_DATA'!$N$9),1,1,"2_DATA")):INDIRECT(ADDRESS(VLOOKUP($D$2,$A$4:$B$16,2,FALSE)-1,COLUMN('2_DATA'!$N$9),1,1,"2_DATA"))))),0)</f>
        <v>50</v>
      </c>
      <c r="J17" s="58">
        <f ca="1">IF(I17=0,"",MAX($J$3:J16)+1)</f>
        <v>1</v>
      </c>
      <c r="L17" s="55">
        <f t="shared" ca="1" si="0"/>
        <v>1000</v>
      </c>
      <c r="M17" s="55">
        <f t="shared" ca="1" si="4"/>
        <v>1001</v>
      </c>
      <c r="N17" s="55"/>
      <c r="O17" s="55" t="str">
        <f t="shared" ca="1" si="10"/>
        <v/>
      </c>
      <c r="P17" s="55">
        <f t="shared" ca="1" si="1"/>
        <v>0</v>
      </c>
      <c r="Q17" s="55">
        <f ca="1">IFERROR(INDEX($O$4:$P$226,MATCH(ROWS($Q$3:Q16),$P$4:$P$226,0),1),"-")</f>
        <v>1013</v>
      </c>
      <c r="R17" s="62" t="str">
        <f t="shared" ca="1" si="2"/>
        <v xml:space="preserve">Wireline Logs : Wireline Logging / Drill Pipe conveyed </v>
      </c>
      <c r="S17" s="55">
        <f t="shared" ca="1" si="5"/>
        <v>13</v>
      </c>
      <c r="T17" s="64"/>
      <c r="U17"/>
      <c r="V17" s="68">
        <f t="shared" ca="1" si="11"/>
        <v>4</v>
      </c>
      <c r="W17" s="69" t="str">
        <f t="shared" ca="1" si="12"/>
        <v>Drilling Actual : Test casing / Leak Off Test / Formation Integrity Test</v>
      </c>
      <c r="X17" s="70" t="s">
        <v>84</v>
      </c>
      <c r="Y17" s="68" t="str">
        <f t="shared" ref="Y17:Y80" ca="1" si="16">IFERROR(VLOOKUP($W17,$F$4:$J$300,3,FALSE),"")</f>
        <v>PT</v>
      </c>
      <c r="Z17" s="71" t="str">
        <f t="shared" ca="1" si="13"/>
        <v>2f</v>
      </c>
      <c r="AA17" s="72">
        <f t="shared" ca="1" si="14"/>
        <v>4</v>
      </c>
      <c r="AB17" s="305">
        <f t="shared" ca="1" si="15"/>
        <v>0.16666666666666666</v>
      </c>
      <c r="AC17" s="236"/>
      <c r="AD17" s="236"/>
      <c r="AE17" s="236"/>
      <c r="AF17" s="315"/>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236"/>
      <c r="BC17" s="236"/>
      <c r="BD17" s="236"/>
      <c r="BE17" s="236"/>
      <c r="BF17" s="236"/>
      <c r="BG17" s="236"/>
      <c r="BH17" s="236"/>
      <c r="BI17" s="236"/>
      <c r="BJ17" s="236"/>
      <c r="BK17" s="236"/>
      <c r="BL17" s="236"/>
      <c r="BM17" s="236"/>
      <c r="BN17" s="236"/>
      <c r="BO17" s="236"/>
      <c r="BP17" s="236"/>
      <c r="BQ17" s="236"/>
      <c r="BR17" s="236"/>
      <c r="BS17" s="236"/>
      <c r="BT17" s="236"/>
      <c r="BU17" s="236"/>
      <c r="BV17" s="236"/>
      <c r="BW17" s="236"/>
      <c r="BX17" s="236"/>
      <c r="BY17" s="236"/>
      <c r="BZ17" s="236"/>
      <c r="CA17" s="236"/>
      <c r="CB17" s="236"/>
      <c r="CC17" s="236"/>
      <c r="CD17" s="236"/>
      <c r="CE17" s="236"/>
      <c r="CF17" s="236"/>
      <c r="CG17" s="236"/>
      <c r="CH17" s="236"/>
      <c r="CI17" s="236"/>
      <c r="CJ17" s="236"/>
      <c r="CK17" s="236"/>
      <c r="CL17" s="236"/>
      <c r="CM17" s="236"/>
      <c r="CN17" s="236"/>
      <c r="CO17" s="236"/>
      <c r="CP17" s="236"/>
      <c r="CQ17" s="236"/>
      <c r="CR17" s="236"/>
      <c r="CS17" s="236"/>
      <c r="CT17" s="236"/>
      <c r="CU17" s="236"/>
      <c r="CV17" s="236"/>
      <c r="CW17" s="236"/>
      <c r="CX17" s="236"/>
      <c r="CY17" s="236"/>
      <c r="CZ17" s="236"/>
      <c r="DA17" s="236"/>
      <c r="DB17" s="236"/>
      <c r="DC17" s="236"/>
      <c r="DD17" s="236"/>
      <c r="DE17" s="236"/>
      <c r="DF17" s="236"/>
      <c r="DG17" s="236"/>
      <c r="DH17" s="236"/>
      <c r="DI17" s="236"/>
      <c r="DJ17" s="236"/>
      <c r="DK17" s="236"/>
      <c r="DL17" s="236"/>
      <c r="DM17" s="236"/>
      <c r="DN17" s="236"/>
      <c r="DO17" s="236"/>
      <c r="DP17" s="236"/>
      <c r="DQ17" s="236"/>
      <c r="DR17" s="236"/>
      <c r="DS17" s="236"/>
      <c r="DT17" s="236"/>
      <c r="DU17" s="236"/>
      <c r="DV17" s="236"/>
      <c r="DW17" s="236"/>
      <c r="DX17" s="236"/>
      <c r="DY17" s="236"/>
      <c r="DZ17" s="236"/>
      <c r="EA17" s="236"/>
      <c r="EB17" s="236"/>
      <c r="EC17" s="236"/>
      <c r="ED17" s="236"/>
      <c r="EE17" s="236"/>
      <c r="EF17" s="236"/>
      <c r="EG17" s="236"/>
      <c r="EH17" s="236"/>
      <c r="EI17" s="236"/>
      <c r="EJ17" s="236"/>
      <c r="EK17" s="236"/>
      <c r="EL17" s="236"/>
      <c r="EM17" s="236"/>
      <c r="EN17" s="236"/>
      <c r="EO17" s="236"/>
      <c r="EP17" s="236"/>
      <c r="EQ17" s="236"/>
      <c r="ER17" s="236"/>
      <c r="ES17" s="236"/>
      <c r="ET17" s="236"/>
      <c r="EU17" s="236"/>
      <c r="EV17" s="236"/>
      <c r="EW17" s="236"/>
      <c r="EX17" s="236"/>
      <c r="EY17" s="236"/>
      <c r="EZ17" s="236"/>
      <c r="FA17" s="236"/>
      <c r="FB17" s="236"/>
      <c r="FC17" s="236"/>
      <c r="FD17" s="236"/>
      <c r="FE17" s="236"/>
      <c r="FF17" s="236"/>
      <c r="FG17" s="236"/>
      <c r="FH17" s="236"/>
      <c r="FI17" s="236"/>
      <c r="FJ17" s="236"/>
      <c r="FK17" s="236"/>
      <c r="FL17" s="236"/>
      <c r="FM17" s="236"/>
      <c r="FN17" s="236"/>
      <c r="FO17" s="236"/>
      <c r="FP17" s="236"/>
      <c r="FQ17" s="236"/>
      <c r="FR17" s="236"/>
      <c r="FS17" s="236"/>
      <c r="FT17" s="236"/>
      <c r="FU17" s="236"/>
      <c r="FV17" s="236"/>
      <c r="FW17" s="236"/>
      <c r="FX17" s="236"/>
      <c r="FY17" s="236"/>
      <c r="FZ17" s="236"/>
      <c r="GA17" s="236"/>
      <c r="GB17" s="236"/>
      <c r="GC17" s="236"/>
      <c r="GD17" s="236"/>
      <c r="GE17" s="236"/>
      <c r="GF17" s="236"/>
      <c r="GG17" s="236"/>
      <c r="GH17" s="236"/>
      <c r="GI17" s="236"/>
      <c r="GJ17" s="236"/>
      <c r="GK17" s="236"/>
      <c r="GL17" s="236"/>
      <c r="GM17" s="236"/>
      <c r="GN17" s="236"/>
      <c r="GO17" s="236"/>
      <c r="GP17" s="236"/>
      <c r="GQ17" s="236"/>
      <c r="GR17" s="236"/>
      <c r="GS17" s="236"/>
      <c r="GT17" s="236"/>
      <c r="GU17" s="236"/>
      <c r="GV17" s="236"/>
      <c r="GW17" s="236"/>
      <c r="GX17" s="236"/>
      <c r="GY17" s="236"/>
      <c r="GZ17" s="236"/>
      <c r="HA17" s="236"/>
      <c r="HB17" s="236"/>
      <c r="HC17" s="236"/>
      <c r="HD17" s="236"/>
      <c r="HE17" s="236"/>
      <c r="HF17" s="236"/>
      <c r="HG17" s="236"/>
      <c r="HH17" s="236"/>
      <c r="HI17" s="236"/>
      <c r="HJ17" s="236"/>
      <c r="HK17" s="236"/>
      <c r="HL17" s="236"/>
      <c r="HM17" s="236"/>
      <c r="HN17" s="236"/>
      <c r="HO17" s="236"/>
      <c r="HP17" s="236"/>
      <c r="HQ17" s="236"/>
      <c r="HR17" s="236"/>
      <c r="HS17" s="236"/>
      <c r="HT17" s="236"/>
      <c r="HU17" s="236"/>
      <c r="HV17" s="236"/>
      <c r="HW17" s="236"/>
      <c r="HX17" s="236"/>
      <c r="HY17" s="236"/>
      <c r="HZ17" s="236"/>
      <c r="IA17" s="236"/>
      <c r="IB17" s="236"/>
      <c r="IC17" s="236"/>
      <c r="ID17" s="236"/>
      <c r="IE17" s="236"/>
      <c r="IF17" s="236"/>
      <c r="IG17" s="236"/>
      <c r="IH17" s="236"/>
      <c r="II17" s="236"/>
      <c r="IJ17" s="236"/>
      <c r="IK17" s="236"/>
      <c r="IL17" s="236"/>
      <c r="IM17" s="236"/>
      <c r="IN17" s="236"/>
      <c r="IO17" s="236"/>
      <c r="IP17" s="236"/>
      <c r="IQ17" s="236"/>
      <c r="IR17" s="236"/>
      <c r="IS17" s="236"/>
      <c r="IT17" s="236"/>
      <c r="IU17" s="236"/>
      <c r="IV17" s="236"/>
      <c r="IW17" s="236"/>
      <c r="IX17" s="236"/>
      <c r="IY17" s="236"/>
      <c r="IZ17" s="236"/>
      <c r="JA17" s="236"/>
      <c r="JB17" s="236"/>
      <c r="JC17" s="236"/>
      <c r="JD17" s="236"/>
      <c r="JE17" s="236"/>
      <c r="JF17" s="236"/>
      <c r="JG17" s="236"/>
      <c r="JH17" s="236"/>
      <c r="JI17" s="236"/>
      <c r="JJ17" s="236"/>
      <c r="JK17" s="236"/>
      <c r="JL17" s="236"/>
      <c r="JM17" s="236"/>
      <c r="JN17" s="236"/>
      <c r="JO17" s="236"/>
      <c r="JP17" s="236"/>
      <c r="JQ17" s="411"/>
      <c r="JR17" s="411"/>
      <c r="JS17" s="411"/>
      <c r="JT17" s="411"/>
      <c r="JU17" s="411"/>
      <c r="JV17" s="411"/>
      <c r="JW17" s="411"/>
      <c r="KH17" s="412">
        <f t="shared" si="9"/>
        <v>14</v>
      </c>
      <c r="KI17" s="413">
        <f t="shared" ca="1" si="6"/>
        <v>1014</v>
      </c>
      <c r="KJ17" s="413" t="str">
        <f t="shared" ca="1" si="7"/>
        <v>Wireline Logs : Wireline Work Other</v>
      </c>
      <c r="KK17" s="414">
        <f t="shared" ca="1" si="8"/>
        <v>4.1666666666666664E-2</v>
      </c>
    </row>
    <row r="18" spans="3:301" ht="24" customHeight="1">
      <c r="C18"/>
      <c r="D18" s="57" t="str">
        <f ca="1">INDIRECT(ADDRESS(ROWS($D$3:D17)+6,D$3,1,1,"3_TIME SUM"))</f>
        <v>Flow Check / Monitor Well While Drilling</v>
      </c>
      <c r="E18" s="81" t="str">
        <f ca="1">IF(INDIRECT(ADDRESS(ROWS($E$3:E17)+6,E$3,1,1,"3_TIME SUM"))=0,E17,INDIRECT(ADDRESS(ROWS($E$3:E17)+6,E$3,1,1,"3_TIME SUM")))</f>
        <v>Drilling Actual</v>
      </c>
      <c r="F18" s="57" t="str">
        <f t="shared" ca="1" si="3"/>
        <v>Drilling Actual : Flow Check / Monitor Well While Drilling</v>
      </c>
      <c r="G18" s="58" t="str">
        <f ca="1">VLOOKUP($D18,INDIRECT(ADDRESS(7,5,1,1,"3_TIME SUM")):INDIRECT(ADDRESS(200,7,1,1,"3_TIME SUM")),2,FALSE)</f>
        <v>2d</v>
      </c>
      <c r="H18" s="58" t="str">
        <f ca="1">IF(VLOOKUP($D18,INDIRECT(ADDRESS(7,5,1,1,"3_TIME SUM")):INDIRECT(ADDRESS(200,7,1,1,"3_TIME SUM")),3,FALSE)="","PT",VLOOKUP($D18,INDIRECT(ADDRESS(7,5,1,1,"3_TIME SUM")):INDIRECT(ADDRESS(200,7,1,1,"3_TIME SUM")),3,FALSE))</f>
        <v>PT</v>
      </c>
      <c r="I18" s="59">
        <f ca="1">IFERROR(IF(AND($D$2="NON PRODUCTIVE TIME",$H18="NPT"),SUMIF(INDIRECT(ADDRESS(8,COLUMN('2_DATA'!$M$9),1,1,"2_DATA")):INDIRECT(ADDRESS(3000,COLUMN('2_DATA'!$M$9),1,1,"2_DATA")),$G18,INDIRECT(ADDRESS(8,COLUMN('2_DATA'!$N$9),1,1,"2_DATA")):INDIRECT(ADDRESS(3000,COLUMN('2_DATA'!$N$9),1,1,"2_DATA"))),IF($D$2="ALL ACTIVITY",SUMIF(INDIRECT(ADDRESS(9,COLUMN('2_DATA'!$M$9),1,1,"2_DATA")):INDIRECT(ADDRESS(3000,COLUMN('2_DATA'!$M$9),1,1,"2_DATA")),$G18,INDIRECT(ADDRESS(9,COLUMN('2_DATA'!$N$9),1,1,"2_DATA")):INDIRECT(ADDRESS(3000,COLUMN('2_DATA'!$N$9),1,1,"2_DATA"))),SUMIF(INDIRECT(ADDRESS(OFFSET($A$3,MATCH($D$2,$A$4:$A$16,0)-1,1,,)+1,COLUMN('2_DATA'!$M$9),1,1,"2_DATA")):INDIRECT(ADDRESS(VLOOKUP($D$2,$A$4:$B$16,2,FALSE)-1,COLUMN('2_DATA'!$M$9),1,1,"2_DATA")),$G18,INDIRECT(ADDRESS(OFFSET($A$3,MATCH($D$2,$A$4:$A$16,0)-1,1,,)+1,COLUMN('2_DATA'!$N$9),1,1,"2_DATA")):INDIRECT(ADDRESS(VLOOKUP($D$2,$A$4:$B$16,2,FALSE)-1,COLUMN('2_DATA'!$N$9),1,1,"2_DATA"))))),0)</f>
        <v>0.5</v>
      </c>
      <c r="J18" s="58">
        <f ca="1">IF(I18=0,"",MAX($J$3:J17)+1)</f>
        <v>2</v>
      </c>
      <c r="L18" s="55">
        <f t="shared" ca="1" si="0"/>
        <v>1000</v>
      </c>
      <c r="M18" s="55">
        <f t="shared" ca="1" si="4"/>
        <v>1002</v>
      </c>
      <c r="N18" s="55"/>
      <c r="O18" s="55" t="str">
        <f t="shared" ca="1" si="10"/>
        <v/>
      </c>
      <c r="P18" s="55">
        <f t="shared" ca="1" si="1"/>
        <v>0</v>
      </c>
      <c r="Q18" s="55">
        <f ca="1">IFERROR(INDEX($O$4:$P$226,MATCH(ROWS($Q$3:Q17),$P$4:$P$226,0),1),"-")</f>
        <v>1014</v>
      </c>
      <c r="R18" s="62" t="str">
        <f t="shared" ca="1" si="2"/>
        <v>Wireline Logs : Wireline Work Other</v>
      </c>
      <c r="S18" s="55">
        <f t="shared" ca="1" si="5"/>
        <v>14</v>
      </c>
      <c r="T18" s="64"/>
      <c r="U18"/>
      <c r="V18" s="68">
        <f t="shared" ca="1" si="11"/>
        <v>5</v>
      </c>
      <c r="W18" s="69" t="str">
        <f t="shared" ca="1" si="12"/>
        <v xml:space="preserve">Reaming : Wash / Reaming / Backreaming </v>
      </c>
      <c r="X18" s="70" t="s">
        <v>84</v>
      </c>
      <c r="Y18" s="68" t="str">
        <f t="shared" ca="1" si="16"/>
        <v>PT</v>
      </c>
      <c r="Z18" s="71" t="str">
        <f t="shared" ca="1" si="13"/>
        <v>3a</v>
      </c>
      <c r="AA18" s="72">
        <f t="shared" ca="1" si="14"/>
        <v>11</v>
      </c>
      <c r="AB18" s="305">
        <f t="shared" ca="1" si="15"/>
        <v>0.45833333333333331</v>
      </c>
      <c r="AC18" s="236"/>
      <c r="AD18" s="236"/>
      <c r="AE18" s="236"/>
      <c r="AF18" s="315"/>
      <c r="AG18" s="236"/>
      <c r="AH18" s="236"/>
      <c r="AI18" s="236"/>
      <c r="AJ18" s="236"/>
      <c r="AK18" s="236"/>
      <c r="AL18" s="236"/>
      <c r="AM18" s="236"/>
      <c r="AN18" s="236"/>
      <c r="AO18" s="236"/>
      <c r="AP18" s="236"/>
      <c r="AQ18" s="236"/>
      <c r="AR18" s="236"/>
      <c r="AS18" s="236"/>
      <c r="AT18" s="236"/>
      <c r="AU18" s="236"/>
      <c r="AV18" s="236"/>
      <c r="AW18" s="236"/>
      <c r="AX18" s="236"/>
      <c r="AY18" s="236"/>
      <c r="AZ18" s="236"/>
      <c r="BA18" s="236"/>
      <c r="BB18" s="236"/>
      <c r="BC18" s="236"/>
      <c r="BD18" s="236"/>
      <c r="BE18" s="236"/>
      <c r="BF18" s="236"/>
      <c r="BG18" s="236"/>
      <c r="BH18" s="236"/>
      <c r="BI18" s="236"/>
      <c r="BJ18" s="236"/>
      <c r="BK18" s="236"/>
      <c r="BL18" s="236"/>
      <c r="BM18" s="236"/>
      <c r="BN18" s="236"/>
      <c r="BO18" s="236"/>
      <c r="BP18" s="236"/>
      <c r="BQ18" s="236"/>
      <c r="BR18" s="236"/>
      <c r="BS18" s="236"/>
      <c r="BT18" s="236"/>
      <c r="BU18" s="236"/>
      <c r="BV18" s="236"/>
      <c r="BW18" s="236"/>
      <c r="BX18" s="236"/>
      <c r="BY18" s="236"/>
      <c r="BZ18" s="236"/>
      <c r="CA18" s="236"/>
      <c r="CB18" s="236"/>
      <c r="CC18" s="236"/>
      <c r="CD18" s="236"/>
      <c r="CE18" s="236"/>
      <c r="CF18" s="236"/>
      <c r="CG18" s="236"/>
      <c r="CH18" s="236"/>
      <c r="CI18" s="236"/>
      <c r="CJ18" s="236"/>
      <c r="CK18" s="236"/>
      <c r="CL18" s="236"/>
      <c r="CM18" s="236"/>
      <c r="CN18" s="236"/>
      <c r="CO18" s="236"/>
      <c r="CP18" s="236"/>
      <c r="CQ18" s="236"/>
      <c r="CR18" s="236"/>
      <c r="CS18" s="236"/>
      <c r="CT18" s="236"/>
      <c r="CU18" s="236"/>
      <c r="CV18" s="236"/>
      <c r="CW18" s="236"/>
      <c r="CX18" s="236"/>
      <c r="CY18" s="236"/>
      <c r="CZ18" s="236"/>
      <c r="DA18" s="236"/>
      <c r="DB18" s="236"/>
      <c r="DC18" s="236"/>
      <c r="DD18" s="236"/>
      <c r="DE18" s="236"/>
      <c r="DF18" s="236"/>
      <c r="DG18" s="236"/>
      <c r="DH18" s="236"/>
      <c r="DI18" s="236"/>
      <c r="DJ18" s="236"/>
      <c r="DK18" s="236"/>
      <c r="DL18" s="236"/>
      <c r="DM18" s="236"/>
      <c r="DN18" s="236"/>
      <c r="DO18" s="236"/>
      <c r="DP18" s="236"/>
      <c r="DQ18" s="236"/>
      <c r="DR18" s="236"/>
      <c r="DS18" s="236"/>
      <c r="DT18" s="236"/>
      <c r="DU18" s="236"/>
      <c r="DV18" s="236"/>
      <c r="DW18" s="236"/>
      <c r="DX18" s="236"/>
      <c r="DY18" s="236"/>
      <c r="DZ18" s="236"/>
      <c r="EA18" s="236"/>
      <c r="EB18" s="236"/>
      <c r="EC18" s="236"/>
      <c r="ED18" s="236"/>
      <c r="EE18" s="236"/>
      <c r="EF18" s="236"/>
      <c r="EG18" s="236"/>
      <c r="EH18" s="236"/>
      <c r="EI18" s="236"/>
      <c r="EJ18" s="236"/>
      <c r="EK18" s="236"/>
      <c r="EL18" s="236"/>
      <c r="EM18" s="236"/>
      <c r="EN18" s="236"/>
      <c r="EO18" s="236"/>
      <c r="EP18" s="236"/>
      <c r="EQ18" s="236"/>
      <c r="ER18" s="236"/>
      <c r="ES18" s="236"/>
      <c r="ET18" s="236"/>
      <c r="EU18" s="236"/>
      <c r="EV18" s="236"/>
      <c r="EW18" s="236"/>
      <c r="EX18" s="236"/>
      <c r="EY18" s="236"/>
      <c r="EZ18" s="236"/>
      <c r="FA18" s="236"/>
      <c r="FB18" s="236"/>
      <c r="FC18" s="236"/>
      <c r="FD18" s="236"/>
      <c r="FE18" s="236"/>
      <c r="FF18" s="236"/>
      <c r="FG18" s="236"/>
      <c r="FH18" s="236"/>
      <c r="FI18" s="236"/>
      <c r="FJ18" s="236"/>
      <c r="FK18" s="236"/>
      <c r="FL18" s="236"/>
      <c r="FM18" s="236"/>
      <c r="FN18" s="236"/>
      <c r="FO18" s="236"/>
      <c r="FP18" s="236"/>
      <c r="FQ18" s="236"/>
      <c r="FR18" s="236"/>
      <c r="FS18" s="236"/>
      <c r="FT18" s="236"/>
      <c r="FU18" s="236"/>
      <c r="FV18" s="236"/>
      <c r="FW18" s="236"/>
      <c r="FX18" s="236"/>
      <c r="FY18" s="236"/>
      <c r="FZ18" s="236"/>
      <c r="GA18" s="236"/>
      <c r="GB18" s="236"/>
      <c r="GC18" s="236"/>
      <c r="GD18" s="236"/>
      <c r="GE18" s="236"/>
      <c r="GF18" s="236"/>
      <c r="GG18" s="236"/>
      <c r="GH18" s="236"/>
      <c r="GI18" s="236"/>
      <c r="GJ18" s="236"/>
      <c r="GK18" s="236"/>
      <c r="GL18" s="236"/>
      <c r="GM18" s="236"/>
      <c r="GN18" s="236"/>
      <c r="GO18" s="236"/>
      <c r="GP18" s="236"/>
      <c r="GQ18" s="236"/>
      <c r="GR18" s="236"/>
      <c r="GS18" s="236"/>
      <c r="GT18" s="236"/>
      <c r="GU18" s="236"/>
      <c r="GV18" s="236"/>
      <c r="GW18" s="236"/>
      <c r="GX18" s="236"/>
      <c r="GY18" s="236"/>
      <c r="GZ18" s="236"/>
      <c r="HA18" s="236"/>
      <c r="HB18" s="236"/>
      <c r="HC18" s="236"/>
      <c r="HD18" s="236"/>
      <c r="HE18" s="236"/>
      <c r="HF18" s="236"/>
      <c r="HG18" s="236"/>
      <c r="HH18" s="236"/>
      <c r="HI18" s="236"/>
      <c r="HJ18" s="236"/>
      <c r="HK18" s="236"/>
      <c r="HL18" s="236"/>
      <c r="HM18" s="236"/>
      <c r="HN18" s="236"/>
      <c r="HO18" s="236"/>
      <c r="HP18" s="236"/>
      <c r="HQ18" s="236"/>
      <c r="HR18" s="236"/>
      <c r="HS18" s="236"/>
      <c r="HT18" s="236"/>
      <c r="HU18" s="236"/>
      <c r="HV18" s="236"/>
      <c r="HW18" s="236"/>
      <c r="HX18" s="236"/>
      <c r="HY18" s="236"/>
      <c r="HZ18" s="236"/>
      <c r="IA18" s="236"/>
      <c r="IB18" s="236"/>
      <c r="IC18" s="236"/>
      <c r="ID18" s="236"/>
      <c r="IE18" s="236"/>
      <c r="IF18" s="236"/>
      <c r="IG18" s="236"/>
      <c r="IH18" s="236"/>
      <c r="II18" s="236"/>
      <c r="IJ18" s="236"/>
      <c r="IK18" s="236"/>
      <c r="IL18" s="236"/>
      <c r="IM18" s="236"/>
      <c r="IN18" s="236"/>
      <c r="IO18" s="236"/>
      <c r="IP18" s="236"/>
      <c r="IQ18" s="236"/>
      <c r="IR18" s="236"/>
      <c r="IS18" s="236"/>
      <c r="IT18" s="236"/>
      <c r="IU18" s="236"/>
      <c r="IV18" s="236"/>
      <c r="IW18" s="236"/>
      <c r="IX18" s="236"/>
      <c r="IY18" s="236"/>
      <c r="IZ18" s="236"/>
      <c r="JA18" s="236"/>
      <c r="JB18" s="236"/>
      <c r="JC18" s="236"/>
      <c r="JD18" s="236"/>
      <c r="JE18" s="236"/>
      <c r="JF18" s="236"/>
      <c r="JG18" s="236"/>
      <c r="JH18" s="236"/>
      <c r="JI18" s="236"/>
      <c r="JJ18" s="236"/>
      <c r="JK18" s="236"/>
      <c r="JL18" s="236"/>
      <c r="JM18" s="236"/>
      <c r="JN18" s="236"/>
      <c r="JO18" s="236"/>
      <c r="JP18" s="236"/>
      <c r="JQ18" s="411"/>
      <c r="JR18" s="411"/>
      <c r="JS18" s="411"/>
      <c r="JT18" s="411"/>
      <c r="JU18" s="411"/>
      <c r="JV18" s="411"/>
      <c r="JW18" s="411"/>
      <c r="KH18" s="412">
        <f t="shared" si="9"/>
        <v>15</v>
      </c>
      <c r="KI18" s="413">
        <f t="shared" ca="1" si="6"/>
        <v>1015</v>
      </c>
      <c r="KJ18" s="413" t="str">
        <f t="shared" ca="1" si="7"/>
        <v>Run Casing and Cement : Change Rams</v>
      </c>
      <c r="KK18" s="414">
        <f t="shared" ca="1" si="8"/>
        <v>4.1666666666666664E-2</v>
      </c>
    </row>
    <row r="19" spans="3:301" ht="24" customHeight="1">
      <c r="C19"/>
      <c r="D19" s="57" t="str">
        <f ca="1">INDIRECT(ADDRESS(ROWS($D$3:D18)+6,D$3,1,1,"3_TIME SUM"))</f>
        <v>Other Drilling Activities</v>
      </c>
      <c r="E19" s="81" t="str">
        <f ca="1">IF(INDIRECT(ADDRESS(ROWS($E$3:E18)+6,E$3,1,1,"3_TIME SUM"))=0,E18,INDIRECT(ADDRESS(ROWS($E$3:E18)+6,E$3,1,1,"3_TIME SUM")))</f>
        <v>Drilling Actual</v>
      </c>
      <c r="F19" s="57" t="str">
        <f t="shared" ca="1" si="3"/>
        <v>Drilling Actual : Other Drilling Activities</v>
      </c>
      <c r="G19" s="58" t="str">
        <f ca="1">VLOOKUP($D19,INDIRECT(ADDRESS(7,5,1,1,"3_TIME SUM")):INDIRECT(ADDRESS(200,7,1,1,"3_TIME SUM")),2,FALSE)</f>
        <v>2e</v>
      </c>
      <c r="H19" s="58" t="str">
        <f ca="1">IF(VLOOKUP($D19,INDIRECT(ADDRESS(7,5,1,1,"3_TIME SUM")):INDIRECT(ADDRESS(200,7,1,1,"3_TIME SUM")),3,FALSE)="","PT",VLOOKUP($D19,INDIRECT(ADDRESS(7,5,1,1,"3_TIME SUM")):INDIRECT(ADDRESS(200,7,1,1,"3_TIME SUM")),3,FALSE))</f>
        <v>PT</v>
      </c>
      <c r="I19" s="59">
        <f ca="1">IFERROR(IF(AND($D$2="NON PRODUCTIVE TIME",$H19="NPT"),SUMIF(INDIRECT(ADDRESS(8,COLUMN('2_DATA'!$M$9),1,1,"2_DATA")):INDIRECT(ADDRESS(3000,COLUMN('2_DATA'!$M$9),1,1,"2_DATA")),$G19,INDIRECT(ADDRESS(8,COLUMN('2_DATA'!$N$9),1,1,"2_DATA")):INDIRECT(ADDRESS(3000,COLUMN('2_DATA'!$N$9),1,1,"2_DATA"))),IF($D$2="ALL ACTIVITY",SUMIF(INDIRECT(ADDRESS(9,COLUMN('2_DATA'!$M$9),1,1,"2_DATA")):INDIRECT(ADDRESS(3000,COLUMN('2_DATA'!$M$9),1,1,"2_DATA")),$G19,INDIRECT(ADDRESS(9,COLUMN('2_DATA'!$N$9),1,1,"2_DATA")):INDIRECT(ADDRESS(3000,COLUMN('2_DATA'!$N$9),1,1,"2_DATA"))),SUMIF(INDIRECT(ADDRESS(OFFSET($A$3,MATCH($D$2,$A$4:$A$16,0)-1,1,,)+1,COLUMN('2_DATA'!$M$9),1,1,"2_DATA")):INDIRECT(ADDRESS(VLOOKUP($D$2,$A$4:$B$16,2,FALSE)-1,COLUMN('2_DATA'!$M$9),1,1,"2_DATA")),$G19,INDIRECT(ADDRESS(OFFSET($A$3,MATCH($D$2,$A$4:$A$16,0)-1,1,,)+1,COLUMN('2_DATA'!$N$9),1,1,"2_DATA")):INDIRECT(ADDRESS(VLOOKUP($D$2,$A$4:$B$16,2,FALSE)-1,COLUMN('2_DATA'!$N$9),1,1,"2_DATA"))))),0)</f>
        <v>2</v>
      </c>
      <c r="J19" s="58">
        <f ca="1">IF(I19=0,"",MAX($J$3:J18)+1)</f>
        <v>3</v>
      </c>
      <c r="L19" s="55">
        <f t="shared" ca="1" si="0"/>
        <v>1000</v>
      </c>
      <c r="M19" s="55">
        <f t="shared" ca="1" si="4"/>
        <v>1003</v>
      </c>
      <c r="N19" s="55"/>
      <c r="O19" s="55" t="str">
        <f t="shared" ca="1" si="10"/>
        <v/>
      </c>
      <c r="P19" s="55">
        <f t="shared" ca="1" si="1"/>
        <v>0</v>
      </c>
      <c r="Q19" s="55">
        <f ca="1">IFERROR(INDEX($O$4:$P$226,MATCH(ROWS($Q$3:Q18),$P$4:$P$226,0),1),"-")</f>
        <v>1015</v>
      </c>
      <c r="R19" s="62" t="str">
        <f t="shared" ca="1" si="2"/>
        <v>Run Casing and Cement : Change Rams</v>
      </c>
      <c r="S19" s="55">
        <f t="shared" ca="1" si="5"/>
        <v>15</v>
      </c>
      <c r="T19" s="64"/>
      <c r="U19"/>
      <c r="V19" s="68">
        <f t="shared" ca="1" si="11"/>
        <v>6</v>
      </c>
      <c r="W19" s="69" t="str">
        <f t="shared" ca="1" si="12"/>
        <v>Condition Mud &amp; Circulate : Circulate / Condition Mud</v>
      </c>
      <c r="X19" s="70" t="s">
        <v>84</v>
      </c>
      <c r="Y19" s="68" t="str">
        <f t="shared" ca="1" si="16"/>
        <v>PT</v>
      </c>
      <c r="Z19" s="71" t="str">
        <f t="shared" ca="1" si="13"/>
        <v>5a</v>
      </c>
      <c r="AA19" s="72">
        <f t="shared" ca="1" si="14"/>
        <v>18.5</v>
      </c>
      <c r="AB19" s="305">
        <f t="shared" ca="1" si="15"/>
        <v>0.77083333333333337</v>
      </c>
      <c r="AC19" s="236"/>
      <c r="AD19" s="236"/>
      <c r="AE19" s="236"/>
      <c r="AF19" s="315"/>
      <c r="AG19" s="236"/>
      <c r="AH19" s="236"/>
      <c r="AI19" s="236"/>
      <c r="AJ19" s="236"/>
      <c r="AK19" s="236"/>
      <c r="AL19" s="236"/>
      <c r="AM19" s="236"/>
      <c r="AN19" s="236"/>
      <c r="AO19" s="236"/>
      <c r="AP19" s="236"/>
      <c r="AQ19" s="236"/>
      <c r="AR19" s="236"/>
      <c r="AS19" s="236"/>
      <c r="AT19" s="236"/>
      <c r="AU19" s="236"/>
      <c r="AV19" s="236"/>
      <c r="AW19" s="236"/>
      <c r="AX19" s="236"/>
      <c r="AY19" s="236"/>
      <c r="AZ19" s="236"/>
      <c r="BA19" s="236"/>
      <c r="BB19" s="236"/>
      <c r="BC19" s="236"/>
      <c r="BD19" s="236"/>
      <c r="BE19" s="236"/>
      <c r="BF19" s="236"/>
      <c r="BG19" s="236"/>
      <c r="BH19" s="236"/>
      <c r="BI19" s="236"/>
      <c r="BJ19" s="236"/>
      <c r="BK19" s="236"/>
      <c r="BL19" s="236"/>
      <c r="BM19" s="236"/>
      <c r="BN19" s="236"/>
      <c r="BO19" s="236"/>
      <c r="BP19" s="236"/>
      <c r="BQ19" s="236"/>
      <c r="BR19" s="236"/>
      <c r="BS19" s="236"/>
      <c r="BT19" s="236"/>
      <c r="BU19" s="236"/>
      <c r="BV19" s="236"/>
      <c r="BW19" s="236"/>
      <c r="BX19" s="236"/>
      <c r="BY19" s="236"/>
      <c r="BZ19" s="236"/>
      <c r="CA19" s="236"/>
      <c r="CB19" s="236"/>
      <c r="CC19" s="236"/>
      <c r="CD19" s="236"/>
      <c r="CE19" s="236"/>
      <c r="CF19" s="236"/>
      <c r="CG19" s="236"/>
      <c r="CH19" s="236"/>
      <c r="CI19" s="236"/>
      <c r="CJ19" s="236"/>
      <c r="CK19" s="236"/>
      <c r="CL19" s="236"/>
      <c r="CM19" s="236"/>
      <c r="CN19" s="236"/>
      <c r="CO19" s="236"/>
      <c r="CP19" s="236"/>
      <c r="CQ19" s="236"/>
      <c r="CR19" s="236"/>
      <c r="CS19" s="236"/>
      <c r="CT19" s="236"/>
      <c r="CU19" s="236"/>
      <c r="CV19" s="236"/>
      <c r="CW19" s="236"/>
      <c r="CX19" s="236"/>
      <c r="CY19" s="236"/>
      <c r="CZ19" s="236"/>
      <c r="DA19" s="236"/>
      <c r="DB19" s="236"/>
      <c r="DC19" s="236"/>
      <c r="DD19" s="236"/>
      <c r="DE19" s="236"/>
      <c r="DF19" s="236"/>
      <c r="DG19" s="236"/>
      <c r="DH19" s="236"/>
      <c r="DI19" s="236"/>
      <c r="DJ19" s="236"/>
      <c r="DK19" s="236"/>
      <c r="DL19" s="236"/>
      <c r="DM19" s="236"/>
      <c r="DN19" s="236"/>
      <c r="DO19" s="236"/>
      <c r="DP19" s="236"/>
      <c r="DQ19" s="236"/>
      <c r="DR19" s="236"/>
      <c r="DS19" s="236"/>
      <c r="DT19" s="236"/>
      <c r="DU19" s="236"/>
      <c r="DV19" s="236"/>
      <c r="DW19" s="236"/>
      <c r="DX19" s="236"/>
      <c r="DY19" s="236"/>
      <c r="DZ19" s="236"/>
      <c r="EA19" s="236"/>
      <c r="EB19" s="236"/>
      <c r="EC19" s="236"/>
      <c r="ED19" s="236"/>
      <c r="EE19" s="236"/>
      <c r="EF19" s="236"/>
      <c r="EG19" s="236"/>
      <c r="EH19" s="236"/>
      <c r="EI19" s="236"/>
      <c r="EJ19" s="236"/>
      <c r="EK19" s="236"/>
      <c r="EL19" s="236"/>
      <c r="EM19" s="236"/>
      <c r="EN19" s="236"/>
      <c r="EO19" s="236"/>
      <c r="EP19" s="236"/>
      <c r="EQ19" s="236"/>
      <c r="ER19" s="236"/>
      <c r="ES19" s="236"/>
      <c r="ET19" s="236"/>
      <c r="EU19" s="236"/>
      <c r="EV19" s="236"/>
      <c r="EW19" s="236"/>
      <c r="EX19" s="236"/>
      <c r="EY19" s="236"/>
      <c r="EZ19" s="236"/>
      <c r="FA19" s="236"/>
      <c r="FB19" s="236"/>
      <c r="FC19" s="236"/>
      <c r="FD19" s="236"/>
      <c r="FE19" s="236"/>
      <c r="FF19" s="236"/>
      <c r="FG19" s="236"/>
      <c r="FH19" s="236"/>
      <c r="FI19" s="236"/>
      <c r="FJ19" s="236"/>
      <c r="FK19" s="236"/>
      <c r="FL19" s="236"/>
      <c r="FM19" s="236"/>
      <c r="FN19" s="236"/>
      <c r="FO19" s="236"/>
      <c r="FP19" s="236"/>
      <c r="FQ19" s="236"/>
      <c r="FR19" s="236"/>
      <c r="FS19" s="236"/>
      <c r="FT19" s="236"/>
      <c r="FU19" s="236"/>
      <c r="FV19" s="236"/>
      <c r="FW19" s="236"/>
      <c r="FX19" s="236"/>
      <c r="FY19" s="236"/>
      <c r="FZ19" s="236"/>
      <c r="GA19" s="236"/>
      <c r="GB19" s="236"/>
      <c r="GC19" s="236"/>
      <c r="GD19" s="236"/>
      <c r="GE19" s="236"/>
      <c r="GF19" s="236"/>
      <c r="GG19" s="236"/>
      <c r="GH19" s="236"/>
      <c r="GI19" s="236"/>
      <c r="GJ19" s="236"/>
      <c r="GK19" s="236"/>
      <c r="GL19" s="236"/>
      <c r="GM19" s="236"/>
      <c r="GN19" s="236"/>
      <c r="GO19" s="236"/>
      <c r="GP19" s="236"/>
      <c r="GQ19" s="236"/>
      <c r="GR19" s="236"/>
      <c r="GS19" s="236"/>
      <c r="GT19" s="236"/>
      <c r="GU19" s="236"/>
      <c r="GV19" s="236"/>
      <c r="GW19" s="236"/>
      <c r="GX19" s="236"/>
      <c r="GY19" s="236"/>
      <c r="GZ19" s="236"/>
      <c r="HA19" s="236"/>
      <c r="HB19" s="236"/>
      <c r="HC19" s="236"/>
      <c r="HD19" s="236"/>
      <c r="HE19" s="236"/>
      <c r="HF19" s="236"/>
      <c r="HG19" s="236"/>
      <c r="HH19" s="236"/>
      <c r="HI19" s="236"/>
      <c r="HJ19" s="236"/>
      <c r="HK19" s="236"/>
      <c r="HL19" s="236"/>
      <c r="HM19" s="236"/>
      <c r="HN19" s="236"/>
      <c r="HO19" s="236"/>
      <c r="HP19" s="236"/>
      <c r="HQ19" s="236"/>
      <c r="HR19" s="236"/>
      <c r="HS19" s="236"/>
      <c r="HT19" s="236"/>
      <c r="HU19" s="236"/>
      <c r="HV19" s="236"/>
      <c r="HW19" s="236"/>
      <c r="HX19" s="236"/>
      <c r="HY19" s="236"/>
      <c r="HZ19" s="236"/>
      <c r="IA19" s="236"/>
      <c r="IB19" s="236"/>
      <c r="IC19" s="236"/>
      <c r="ID19" s="236"/>
      <c r="IE19" s="236"/>
      <c r="IF19" s="236"/>
      <c r="IG19" s="236"/>
      <c r="IH19" s="236"/>
      <c r="II19" s="236"/>
      <c r="IJ19" s="236"/>
      <c r="IK19" s="236"/>
      <c r="IL19" s="236"/>
      <c r="IM19" s="236"/>
      <c r="IN19" s="236"/>
      <c r="IO19" s="236"/>
      <c r="IP19" s="236"/>
      <c r="IQ19" s="236"/>
      <c r="IR19" s="236"/>
      <c r="IS19" s="236"/>
      <c r="IT19" s="236"/>
      <c r="IU19" s="236"/>
      <c r="IV19" s="236"/>
      <c r="IW19" s="236"/>
      <c r="IX19" s="236"/>
      <c r="IY19" s="236"/>
      <c r="IZ19" s="236"/>
      <c r="JA19" s="236"/>
      <c r="JB19" s="236"/>
      <c r="JC19" s="236"/>
      <c r="JD19" s="236"/>
      <c r="JE19" s="236"/>
      <c r="JF19" s="236"/>
      <c r="JG19" s="236"/>
      <c r="JH19" s="236"/>
      <c r="JI19" s="236"/>
      <c r="JJ19" s="236"/>
      <c r="JK19" s="236"/>
      <c r="JL19" s="236"/>
      <c r="JM19" s="236"/>
      <c r="JN19" s="236"/>
      <c r="JO19" s="236"/>
      <c r="JP19" s="236"/>
      <c r="JQ19" s="411"/>
      <c r="JR19" s="411"/>
      <c r="JS19" s="411"/>
      <c r="JT19" s="411"/>
      <c r="JU19" s="411"/>
      <c r="JV19" s="411"/>
      <c r="JW19" s="411"/>
      <c r="KH19" s="412">
        <f t="shared" si="9"/>
        <v>16</v>
      </c>
      <c r="KI19" s="413">
        <f t="shared" ca="1" si="6"/>
        <v>1016</v>
      </c>
      <c r="KJ19" s="413" t="str">
        <f t="shared" ca="1" si="7"/>
        <v>Wait on Cement : Waiting on Cement</v>
      </c>
      <c r="KK19" s="414">
        <f t="shared" ca="1" si="8"/>
        <v>2.1875</v>
      </c>
    </row>
    <row r="20" spans="3:301" ht="24" customHeight="1">
      <c r="C20"/>
      <c r="D20" s="57" t="str">
        <f ca="1">INDIRECT(ADDRESS(ROWS($D$3:D19)+6,D$3,1,1,"3_TIME SUM"))</f>
        <v>Test casing / Leak Off Test / Formation Integrity Test</v>
      </c>
      <c r="E20" s="81" t="str">
        <f ca="1">IF(INDIRECT(ADDRESS(ROWS($E$3:E19)+6,E$3,1,1,"3_TIME SUM"))=0,E19,INDIRECT(ADDRESS(ROWS($E$3:E19)+6,E$3,1,1,"3_TIME SUM")))</f>
        <v>Drilling Actual</v>
      </c>
      <c r="F20" s="57" t="str">
        <f t="shared" ca="1" si="3"/>
        <v>Drilling Actual : Test casing / Leak Off Test / Formation Integrity Test</v>
      </c>
      <c r="G20" s="58" t="str">
        <f ca="1">VLOOKUP($D20,INDIRECT(ADDRESS(7,5,1,1,"3_TIME SUM")):INDIRECT(ADDRESS(200,7,1,1,"3_TIME SUM")),2,FALSE)</f>
        <v>2f</v>
      </c>
      <c r="H20" s="58" t="str">
        <f ca="1">IF(VLOOKUP($D20,INDIRECT(ADDRESS(7,5,1,1,"3_TIME SUM")):INDIRECT(ADDRESS(200,7,1,1,"3_TIME SUM")),3,FALSE)="","PT",VLOOKUP($D20,INDIRECT(ADDRESS(7,5,1,1,"3_TIME SUM")):INDIRECT(ADDRESS(200,7,1,1,"3_TIME SUM")),3,FALSE))</f>
        <v>PT</v>
      </c>
      <c r="I20" s="59">
        <f ca="1">IFERROR(IF(AND($D$2="NON PRODUCTIVE TIME",$H20="NPT"),SUMIF(INDIRECT(ADDRESS(8,COLUMN('2_DATA'!$M$9),1,1,"2_DATA")):INDIRECT(ADDRESS(3000,COLUMN('2_DATA'!$M$9),1,1,"2_DATA")),$G20,INDIRECT(ADDRESS(8,COLUMN('2_DATA'!$N$9),1,1,"2_DATA")):INDIRECT(ADDRESS(3000,COLUMN('2_DATA'!$N$9),1,1,"2_DATA"))),IF($D$2="ALL ACTIVITY",SUMIF(INDIRECT(ADDRESS(9,COLUMN('2_DATA'!$M$9),1,1,"2_DATA")):INDIRECT(ADDRESS(3000,COLUMN('2_DATA'!$M$9),1,1,"2_DATA")),$G20,INDIRECT(ADDRESS(9,COLUMN('2_DATA'!$N$9),1,1,"2_DATA")):INDIRECT(ADDRESS(3000,COLUMN('2_DATA'!$N$9),1,1,"2_DATA"))),SUMIF(INDIRECT(ADDRESS(OFFSET($A$3,MATCH($D$2,$A$4:$A$16,0)-1,1,,)+1,COLUMN('2_DATA'!$M$9),1,1,"2_DATA")):INDIRECT(ADDRESS(VLOOKUP($D$2,$A$4:$B$16,2,FALSE)-1,COLUMN('2_DATA'!$M$9),1,1,"2_DATA")),$G20,INDIRECT(ADDRESS(OFFSET($A$3,MATCH($D$2,$A$4:$A$16,0)-1,1,,)+1,COLUMN('2_DATA'!$N$9),1,1,"2_DATA")):INDIRECT(ADDRESS(VLOOKUP($D$2,$A$4:$B$16,2,FALSE)-1,COLUMN('2_DATA'!$N$9),1,1,"2_DATA"))))),0)</f>
        <v>4</v>
      </c>
      <c r="J20" s="58">
        <f ca="1">IF(I20=0,"",MAX($J$3:J19)+1)</f>
        <v>4</v>
      </c>
      <c r="L20" s="55">
        <f t="shared" ca="1" si="0"/>
        <v>1000</v>
      </c>
      <c r="M20" s="55">
        <f t="shared" ca="1" si="4"/>
        <v>1004</v>
      </c>
      <c r="N20" s="55"/>
      <c r="O20" s="55">
        <f t="shared" ca="1" si="10"/>
        <v>1001</v>
      </c>
      <c r="P20" s="55">
        <f t="shared" ca="1" si="1"/>
        <v>2</v>
      </c>
      <c r="Q20" s="55">
        <f ca="1">IFERROR(INDEX($O$4:$P$226,MATCH(ROWS($Q$3:Q19),$P$4:$P$226,0),1),"-")</f>
        <v>1016</v>
      </c>
      <c r="R20" s="62" t="str">
        <f t="shared" ca="1" si="2"/>
        <v>Wait on Cement : Waiting on Cement</v>
      </c>
      <c r="S20" s="55">
        <f t="shared" ca="1" si="5"/>
        <v>16</v>
      </c>
      <c r="T20" s="64"/>
      <c r="U20"/>
      <c r="V20" s="68">
        <f t="shared" ca="1" si="11"/>
        <v>7</v>
      </c>
      <c r="W20" s="69" t="str">
        <f t="shared" ca="1" si="12"/>
        <v>Trips : Stand Up or L/D Drill Pipe</v>
      </c>
      <c r="X20" s="70" t="s">
        <v>84</v>
      </c>
      <c r="Y20" s="68" t="str">
        <f t="shared" ca="1" si="16"/>
        <v>PT</v>
      </c>
      <c r="Z20" s="71" t="str">
        <f t="shared" ca="1" si="13"/>
        <v>6b</v>
      </c>
      <c r="AA20" s="72">
        <f t="shared" ca="1" si="14"/>
        <v>1.5</v>
      </c>
      <c r="AB20" s="305">
        <f t="shared" ca="1" si="15"/>
        <v>6.25E-2</v>
      </c>
      <c r="AC20" s="236"/>
      <c r="AD20" s="236"/>
      <c r="AE20" s="236"/>
      <c r="AF20" s="315"/>
      <c r="AG20" s="236"/>
      <c r="AH20" s="236"/>
      <c r="AI20" s="236"/>
      <c r="AJ20" s="236"/>
      <c r="AK20" s="236"/>
      <c r="AL20" s="236"/>
      <c r="AM20" s="236"/>
      <c r="AN20" s="236"/>
      <c r="AO20" s="236"/>
      <c r="AP20" s="236"/>
      <c r="AQ20" s="236"/>
      <c r="AR20" s="236"/>
      <c r="AS20" s="236"/>
      <c r="AT20" s="236"/>
      <c r="AU20" s="236"/>
      <c r="AV20" s="236"/>
      <c r="AW20" s="236"/>
      <c r="AX20" s="236"/>
      <c r="AY20" s="236"/>
      <c r="AZ20" s="236"/>
      <c r="BA20" s="236"/>
      <c r="BB20" s="236"/>
      <c r="BC20" s="236"/>
      <c r="BD20" s="236"/>
      <c r="BE20" s="236"/>
      <c r="BF20" s="236"/>
      <c r="BG20" s="236"/>
      <c r="BH20" s="236"/>
      <c r="BI20" s="236"/>
      <c r="BJ20" s="236"/>
      <c r="BK20" s="236"/>
      <c r="BL20" s="236"/>
      <c r="BM20" s="236"/>
      <c r="BN20" s="236"/>
      <c r="BO20" s="236"/>
      <c r="BP20" s="236"/>
      <c r="BQ20" s="236"/>
      <c r="BR20" s="236"/>
      <c r="BS20" s="236"/>
      <c r="BT20" s="236"/>
      <c r="BU20" s="236"/>
      <c r="BV20" s="236"/>
      <c r="BW20" s="236"/>
      <c r="BX20" s="236"/>
      <c r="BY20" s="236"/>
      <c r="BZ20" s="236"/>
      <c r="CA20" s="236"/>
      <c r="CB20" s="236"/>
      <c r="CC20" s="236"/>
      <c r="CD20" s="236"/>
      <c r="CE20" s="236"/>
      <c r="CF20" s="236"/>
      <c r="CG20" s="236"/>
      <c r="CH20" s="236"/>
      <c r="CI20" s="236"/>
      <c r="CJ20" s="236"/>
      <c r="CK20" s="236"/>
      <c r="CL20" s="236"/>
      <c r="CM20" s="236"/>
      <c r="CN20" s="236"/>
      <c r="CO20" s="236"/>
      <c r="CP20" s="236"/>
      <c r="CQ20" s="236"/>
      <c r="CR20" s="236"/>
      <c r="CS20" s="236"/>
      <c r="CT20" s="236"/>
      <c r="CU20" s="236"/>
      <c r="CV20" s="236"/>
      <c r="CW20" s="236"/>
      <c r="CX20" s="236"/>
      <c r="CY20" s="236"/>
      <c r="CZ20" s="236"/>
      <c r="DA20" s="236"/>
      <c r="DB20" s="236"/>
      <c r="DC20" s="236"/>
      <c r="DD20" s="236"/>
      <c r="DE20" s="236"/>
      <c r="DF20" s="236"/>
      <c r="DG20" s="236"/>
      <c r="DH20" s="236"/>
      <c r="DI20" s="236"/>
      <c r="DJ20" s="236"/>
      <c r="DK20" s="236"/>
      <c r="DL20" s="236"/>
      <c r="DM20" s="236"/>
      <c r="DN20" s="236"/>
      <c r="DO20" s="236"/>
      <c r="DP20" s="236"/>
      <c r="DQ20" s="236"/>
      <c r="DR20" s="236"/>
      <c r="DS20" s="236"/>
      <c r="DT20" s="236"/>
      <c r="DU20" s="236"/>
      <c r="DV20" s="236"/>
      <c r="DW20" s="236"/>
      <c r="DX20" s="236"/>
      <c r="DY20" s="236"/>
      <c r="DZ20" s="236"/>
      <c r="EA20" s="236"/>
      <c r="EB20" s="236"/>
      <c r="EC20" s="236"/>
      <c r="ED20" s="236"/>
      <c r="EE20" s="236"/>
      <c r="EF20" s="236"/>
      <c r="EG20" s="236"/>
      <c r="EH20" s="236"/>
      <c r="EI20" s="236"/>
      <c r="EJ20" s="236"/>
      <c r="EK20" s="236"/>
      <c r="EL20" s="236"/>
      <c r="EM20" s="236"/>
      <c r="EN20" s="236"/>
      <c r="EO20" s="236"/>
      <c r="EP20" s="236"/>
      <c r="EQ20" s="236"/>
      <c r="ER20" s="236"/>
      <c r="ES20" s="236"/>
      <c r="ET20" s="236"/>
      <c r="EU20" s="236"/>
      <c r="EV20" s="236"/>
      <c r="EW20" s="236"/>
      <c r="EX20" s="236"/>
      <c r="EY20" s="236"/>
      <c r="EZ20" s="236"/>
      <c r="FA20" s="236"/>
      <c r="FB20" s="236"/>
      <c r="FC20" s="236"/>
      <c r="FD20" s="236"/>
      <c r="FE20" s="236"/>
      <c r="FF20" s="236"/>
      <c r="FG20" s="236"/>
      <c r="FH20" s="236"/>
      <c r="FI20" s="236"/>
      <c r="FJ20" s="236"/>
      <c r="FK20" s="236"/>
      <c r="FL20" s="236"/>
      <c r="FM20" s="236"/>
      <c r="FN20" s="236"/>
      <c r="FO20" s="236"/>
      <c r="FP20" s="236"/>
      <c r="FQ20" s="236"/>
      <c r="FR20" s="236"/>
      <c r="FS20" s="236"/>
      <c r="FT20" s="236"/>
      <c r="FU20" s="236"/>
      <c r="FV20" s="236"/>
      <c r="FW20" s="236"/>
      <c r="FX20" s="236"/>
      <c r="FY20" s="236"/>
      <c r="FZ20" s="236"/>
      <c r="GA20" s="236"/>
      <c r="GB20" s="236"/>
      <c r="GC20" s="236"/>
      <c r="GD20" s="236"/>
      <c r="GE20" s="236"/>
      <c r="GF20" s="236"/>
      <c r="GG20" s="236"/>
      <c r="GH20" s="236"/>
      <c r="GI20" s="236"/>
      <c r="GJ20" s="236"/>
      <c r="GK20" s="236"/>
      <c r="GL20" s="236"/>
      <c r="GM20" s="236"/>
      <c r="GN20" s="236"/>
      <c r="GO20" s="236"/>
      <c r="GP20" s="236"/>
      <c r="GQ20" s="236"/>
      <c r="GR20" s="236"/>
      <c r="GS20" s="236"/>
      <c r="GT20" s="236"/>
      <c r="GU20" s="236"/>
      <c r="GV20" s="236"/>
      <c r="GW20" s="236"/>
      <c r="GX20" s="236"/>
      <c r="GY20" s="236"/>
      <c r="GZ20" s="236"/>
      <c r="HA20" s="236"/>
      <c r="HB20" s="236"/>
      <c r="HC20" s="236"/>
      <c r="HD20" s="236"/>
      <c r="HE20" s="236"/>
      <c r="HF20" s="236"/>
      <c r="HG20" s="236"/>
      <c r="HH20" s="236"/>
      <c r="HI20" s="236"/>
      <c r="HJ20" s="236"/>
      <c r="HK20" s="236"/>
      <c r="HL20" s="236"/>
      <c r="HM20" s="236"/>
      <c r="HN20" s="236"/>
      <c r="HO20" s="236"/>
      <c r="HP20" s="236"/>
      <c r="HQ20" s="236"/>
      <c r="HR20" s="236"/>
      <c r="HS20" s="236"/>
      <c r="HT20" s="236"/>
      <c r="HU20" s="236"/>
      <c r="HV20" s="236"/>
      <c r="HW20" s="236"/>
      <c r="HX20" s="236"/>
      <c r="HY20" s="236"/>
      <c r="HZ20" s="236"/>
      <c r="IA20" s="236"/>
      <c r="IB20" s="236"/>
      <c r="IC20" s="236"/>
      <c r="ID20" s="236"/>
      <c r="IE20" s="236"/>
      <c r="IF20" s="236"/>
      <c r="IG20" s="236"/>
      <c r="IH20" s="236"/>
      <c r="II20" s="236"/>
      <c r="IJ20" s="236"/>
      <c r="IK20" s="236"/>
      <c r="IL20" s="236"/>
      <c r="IM20" s="236"/>
      <c r="IN20" s="236"/>
      <c r="IO20" s="236"/>
      <c r="IP20" s="236"/>
      <c r="IQ20" s="236"/>
      <c r="IR20" s="236"/>
      <c r="IS20" s="236"/>
      <c r="IT20" s="236"/>
      <c r="IU20" s="236"/>
      <c r="IV20" s="236"/>
      <c r="IW20" s="236"/>
      <c r="IX20" s="236"/>
      <c r="IY20" s="236"/>
      <c r="IZ20" s="236"/>
      <c r="JA20" s="236"/>
      <c r="JB20" s="236"/>
      <c r="JC20" s="236"/>
      <c r="JD20" s="236"/>
      <c r="JE20" s="236"/>
      <c r="JF20" s="236"/>
      <c r="JG20" s="236"/>
      <c r="JH20" s="236"/>
      <c r="JI20" s="236"/>
      <c r="JJ20" s="236"/>
      <c r="JK20" s="236"/>
      <c r="JL20" s="236"/>
      <c r="JM20" s="236"/>
      <c r="JN20" s="236"/>
      <c r="JO20" s="236"/>
      <c r="JP20" s="236"/>
      <c r="JQ20" s="411"/>
      <c r="JR20" s="411"/>
      <c r="JS20" s="411"/>
      <c r="JT20" s="411"/>
      <c r="JU20" s="411"/>
      <c r="JV20" s="411"/>
      <c r="JW20" s="411"/>
      <c r="KH20" s="412">
        <f t="shared" si="9"/>
        <v>17</v>
      </c>
      <c r="KI20" s="413">
        <f t="shared" ca="1" si="6"/>
        <v>1017</v>
      </c>
      <c r="KJ20" s="413" t="str">
        <f t="shared" ca="1" si="7"/>
        <v>Nipple Up BOP : Install / Remove or Change Wellhead and Riser (spool) include final casing cut / dressing stub</v>
      </c>
      <c r="KK20" s="414">
        <f t="shared" ca="1" si="8"/>
        <v>0.20833333333333334</v>
      </c>
    </row>
    <row r="21" spans="3:301" ht="24" customHeight="1">
      <c r="C21"/>
      <c r="D21" s="57" t="str">
        <f ca="1">INDIRECT(ADDRESS(ROWS($D$3:D20)+6,D$3,1,1,"3_TIME SUM"))</f>
        <v>Well Control Operations / Situation (NPT)</v>
      </c>
      <c r="E21" s="81" t="str">
        <f ca="1">IF(INDIRECT(ADDRESS(ROWS($E$3:E20)+6,E$3,1,1,"3_TIME SUM"))=0,E20,INDIRECT(ADDRESS(ROWS($E$3:E20)+6,E$3,1,1,"3_TIME SUM")))</f>
        <v>Drilling Actual</v>
      </c>
      <c r="F21" s="57" t="str">
        <f t="shared" ca="1" si="3"/>
        <v>Drilling Actual : Well Control Operations / Situation (NPT)</v>
      </c>
      <c r="G21" s="58" t="str">
        <f ca="1">VLOOKUP($D21,INDIRECT(ADDRESS(7,5,1,1,"3_TIME SUM")):INDIRECT(ADDRESS(200,7,1,1,"3_TIME SUM")),2,FALSE)</f>
        <v>2g</v>
      </c>
      <c r="H21" s="58" t="str">
        <f ca="1">IF(VLOOKUP($D21,INDIRECT(ADDRESS(7,5,1,1,"3_TIME SUM")):INDIRECT(ADDRESS(200,7,1,1,"3_TIME SUM")),3,FALSE)="","PT",VLOOKUP($D21,INDIRECT(ADDRESS(7,5,1,1,"3_TIME SUM")):INDIRECT(ADDRESS(200,7,1,1,"3_TIME SUM")),3,FALSE))</f>
        <v>PT</v>
      </c>
      <c r="I21" s="59">
        <f ca="1">IFERROR(IF(AND($D$2="NON PRODUCTIVE TIME",$H21="NPT"),SUMIF(INDIRECT(ADDRESS(8,COLUMN('2_DATA'!$M$9),1,1,"2_DATA")):INDIRECT(ADDRESS(3000,COLUMN('2_DATA'!$M$9),1,1,"2_DATA")),$G21,INDIRECT(ADDRESS(8,COLUMN('2_DATA'!$N$9),1,1,"2_DATA")):INDIRECT(ADDRESS(3000,COLUMN('2_DATA'!$N$9),1,1,"2_DATA"))),IF($D$2="ALL ACTIVITY",SUMIF(INDIRECT(ADDRESS(9,COLUMN('2_DATA'!$M$9),1,1,"2_DATA")):INDIRECT(ADDRESS(3000,COLUMN('2_DATA'!$M$9),1,1,"2_DATA")),$G21,INDIRECT(ADDRESS(9,COLUMN('2_DATA'!$N$9),1,1,"2_DATA")):INDIRECT(ADDRESS(3000,COLUMN('2_DATA'!$N$9),1,1,"2_DATA"))),SUMIF(INDIRECT(ADDRESS(OFFSET($A$3,MATCH($D$2,$A$4:$A$16,0)-1,1,,)+1,COLUMN('2_DATA'!$M$9),1,1,"2_DATA")):INDIRECT(ADDRESS(VLOOKUP($D$2,$A$4:$B$16,2,FALSE)-1,COLUMN('2_DATA'!$M$9),1,1,"2_DATA")),$G21,INDIRECT(ADDRESS(OFFSET($A$3,MATCH($D$2,$A$4:$A$16,0)-1,1,,)+1,COLUMN('2_DATA'!$N$9),1,1,"2_DATA")):INDIRECT(ADDRESS(VLOOKUP($D$2,$A$4:$B$16,2,FALSE)-1,COLUMN('2_DATA'!$N$9),1,1,"2_DATA"))))),0)</f>
        <v>0</v>
      </c>
      <c r="J21" s="58" t="str">
        <f ca="1">IF(I21=0,"",MAX($J$3:J20)+1)</f>
        <v/>
      </c>
      <c r="L21" s="55">
        <f t="shared" ca="1" si="0"/>
        <v>1000</v>
      </c>
      <c r="M21" s="55" t="str">
        <f t="shared" ca="1" si="4"/>
        <v/>
      </c>
      <c r="N21" s="55"/>
      <c r="O21" s="55">
        <f t="shared" ca="1" si="10"/>
        <v>1002</v>
      </c>
      <c r="P21" s="55">
        <f t="shared" ca="1" si="1"/>
        <v>3</v>
      </c>
      <c r="Q21" s="55">
        <f ca="1">IFERROR(INDEX($O$4:$P$226,MATCH(ROWS($Q$3:Q20),$P$4:$P$226,0),1),"-")</f>
        <v>1017</v>
      </c>
      <c r="R21" s="62" t="str">
        <f t="shared" ca="1" si="2"/>
        <v>Nipple Up BOP : Install / Remove or Change Wellhead and Riser (spool) include final casing cut / dressing stub</v>
      </c>
      <c r="S21" s="55">
        <f t="shared" ca="1" si="5"/>
        <v>17</v>
      </c>
      <c r="T21" s="64"/>
      <c r="U21"/>
      <c r="V21" s="68">
        <f t="shared" ca="1" si="11"/>
        <v>8</v>
      </c>
      <c r="W21" s="69" t="str">
        <f t="shared" ca="1" si="12"/>
        <v>Trips : Trip in / out Drilling BHA</v>
      </c>
      <c r="X21" s="70" t="s">
        <v>84</v>
      </c>
      <c r="Y21" s="68" t="str">
        <f t="shared" ca="1" si="16"/>
        <v>PT</v>
      </c>
      <c r="Z21" s="71" t="str">
        <f t="shared" ca="1" si="13"/>
        <v>6d</v>
      </c>
      <c r="AA21" s="72">
        <f t="shared" ca="1" si="14"/>
        <v>81</v>
      </c>
      <c r="AB21" s="305">
        <f t="shared" ca="1" si="15"/>
        <v>3.375</v>
      </c>
      <c r="AC21" s="236"/>
      <c r="AD21" s="236"/>
      <c r="AE21" s="236"/>
      <c r="AF21" s="315"/>
      <c r="AG21" s="236"/>
      <c r="AH21" s="236"/>
      <c r="AI21" s="236"/>
      <c r="AJ21" s="236"/>
      <c r="AK21" s="236"/>
      <c r="AL21" s="236"/>
      <c r="AM21" s="236"/>
      <c r="AN21" s="236"/>
      <c r="AO21" s="236"/>
      <c r="AP21" s="236"/>
      <c r="AQ21" s="236"/>
      <c r="AR21" s="236"/>
      <c r="AS21" s="236"/>
      <c r="AT21" s="236"/>
      <c r="AU21" s="236"/>
      <c r="AV21" s="236"/>
      <c r="AW21" s="236"/>
      <c r="AX21" s="236"/>
      <c r="AY21" s="236"/>
      <c r="AZ21" s="236"/>
      <c r="BA21" s="236"/>
      <c r="BB21" s="236"/>
      <c r="BC21" s="236"/>
      <c r="BD21" s="236"/>
      <c r="BE21" s="236"/>
      <c r="BF21" s="236"/>
      <c r="BG21" s="236"/>
      <c r="BH21" s="236"/>
      <c r="BI21" s="236"/>
      <c r="BJ21" s="236"/>
      <c r="BK21" s="236"/>
      <c r="BL21" s="236"/>
      <c r="BM21" s="236"/>
      <c r="BN21" s="236"/>
      <c r="BO21" s="236"/>
      <c r="BP21" s="236"/>
      <c r="BQ21" s="236"/>
      <c r="BR21" s="236"/>
      <c r="BS21" s="236"/>
      <c r="BT21" s="236"/>
      <c r="BU21" s="236"/>
      <c r="BV21" s="236"/>
      <c r="BW21" s="236"/>
      <c r="BX21" s="236"/>
      <c r="BY21" s="236"/>
      <c r="BZ21" s="236"/>
      <c r="CA21" s="236"/>
      <c r="CB21" s="236"/>
      <c r="CC21" s="236"/>
      <c r="CD21" s="236"/>
      <c r="CE21" s="236"/>
      <c r="CF21" s="236"/>
      <c r="CG21" s="236"/>
      <c r="CH21" s="236"/>
      <c r="CI21" s="236"/>
      <c r="CJ21" s="236"/>
      <c r="CK21" s="236"/>
      <c r="CL21" s="236"/>
      <c r="CM21" s="236"/>
      <c r="CN21" s="236"/>
      <c r="CO21" s="236"/>
      <c r="CP21" s="236"/>
      <c r="CQ21" s="236"/>
      <c r="CR21" s="236"/>
      <c r="CS21" s="236"/>
      <c r="CT21" s="236"/>
      <c r="CU21" s="236"/>
      <c r="CV21" s="236"/>
      <c r="CW21" s="236"/>
      <c r="CX21" s="236"/>
      <c r="CY21" s="236"/>
      <c r="CZ21" s="236"/>
      <c r="DA21" s="236"/>
      <c r="DB21" s="236"/>
      <c r="DC21" s="236"/>
      <c r="DD21" s="236"/>
      <c r="DE21" s="236"/>
      <c r="DF21" s="236"/>
      <c r="DG21" s="236"/>
      <c r="DH21" s="236"/>
      <c r="DI21" s="236"/>
      <c r="DJ21" s="236"/>
      <c r="DK21" s="236"/>
      <c r="DL21" s="236"/>
      <c r="DM21" s="236"/>
      <c r="DN21" s="236"/>
      <c r="DO21" s="236"/>
      <c r="DP21" s="236"/>
      <c r="DQ21" s="236"/>
      <c r="DR21" s="236"/>
      <c r="DS21" s="236"/>
      <c r="DT21" s="236"/>
      <c r="DU21" s="236"/>
      <c r="DV21" s="236"/>
      <c r="DW21" s="236"/>
      <c r="DX21" s="236"/>
      <c r="DY21" s="236"/>
      <c r="DZ21" s="236"/>
      <c r="EA21" s="236"/>
      <c r="EB21" s="236"/>
      <c r="EC21" s="236"/>
      <c r="ED21" s="236"/>
      <c r="EE21" s="236"/>
      <c r="EF21" s="236"/>
      <c r="EG21" s="236"/>
      <c r="EH21" s="236"/>
      <c r="EI21" s="236"/>
      <c r="EJ21" s="236"/>
      <c r="EK21" s="236"/>
      <c r="EL21" s="236"/>
      <c r="EM21" s="236"/>
      <c r="EN21" s="236"/>
      <c r="EO21" s="236"/>
      <c r="EP21" s="236"/>
      <c r="EQ21" s="236"/>
      <c r="ER21" s="236"/>
      <c r="ES21" s="236"/>
      <c r="ET21" s="236"/>
      <c r="EU21" s="236"/>
      <c r="EV21" s="236"/>
      <c r="EW21" s="236"/>
      <c r="EX21" s="236"/>
      <c r="EY21" s="236"/>
      <c r="EZ21" s="236"/>
      <c r="FA21" s="236"/>
      <c r="FB21" s="236"/>
      <c r="FC21" s="236"/>
      <c r="FD21" s="236"/>
      <c r="FE21" s="236"/>
      <c r="FF21" s="236"/>
      <c r="FG21" s="236"/>
      <c r="FH21" s="236"/>
      <c r="FI21" s="236"/>
      <c r="FJ21" s="236"/>
      <c r="FK21" s="236"/>
      <c r="FL21" s="236"/>
      <c r="FM21" s="236"/>
      <c r="FN21" s="236"/>
      <c r="FO21" s="236"/>
      <c r="FP21" s="236"/>
      <c r="FQ21" s="236"/>
      <c r="FR21" s="236"/>
      <c r="FS21" s="236"/>
      <c r="FT21" s="236"/>
      <c r="FU21" s="236"/>
      <c r="FV21" s="236"/>
      <c r="FW21" s="236"/>
      <c r="FX21" s="236"/>
      <c r="FY21" s="236"/>
      <c r="FZ21" s="236"/>
      <c r="GA21" s="236"/>
      <c r="GB21" s="236"/>
      <c r="GC21" s="236"/>
      <c r="GD21" s="236"/>
      <c r="GE21" s="236"/>
      <c r="GF21" s="236"/>
      <c r="GG21" s="236"/>
      <c r="GH21" s="236"/>
      <c r="GI21" s="236"/>
      <c r="GJ21" s="236"/>
      <c r="GK21" s="236"/>
      <c r="GL21" s="236"/>
      <c r="GM21" s="236"/>
      <c r="GN21" s="236"/>
      <c r="GO21" s="236"/>
      <c r="GP21" s="236"/>
      <c r="GQ21" s="236"/>
      <c r="GR21" s="236"/>
      <c r="GS21" s="236"/>
      <c r="GT21" s="236"/>
      <c r="GU21" s="236"/>
      <c r="GV21" s="236"/>
      <c r="GW21" s="236"/>
      <c r="GX21" s="236"/>
      <c r="GY21" s="236"/>
      <c r="GZ21" s="236"/>
      <c r="HA21" s="236"/>
      <c r="HB21" s="236"/>
      <c r="HC21" s="236"/>
      <c r="HD21" s="236"/>
      <c r="HE21" s="236"/>
      <c r="HF21" s="236"/>
      <c r="HG21" s="236"/>
      <c r="HH21" s="236"/>
      <c r="HI21" s="236"/>
      <c r="HJ21" s="236"/>
      <c r="HK21" s="236"/>
      <c r="HL21" s="236"/>
      <c r="HM21" s="236"/>
      <c r="HN21" s="236"/>
      <c r="HO21" s="236"/>
      <c r="HP21" s="236"/>
      <c r="HQ21" s="236"/>
      <c r="HR21" s="236"/>
      <c r="HS21" s="236"/>
      <c r="HT21" s="236"/>
      <c r="HU21" s="236"/>
      <c r="HV21" s="236"/>
      <c r="HW21" s="236"/>
      <c r="HX21" s="236"/>
      <c r="HY21" s="236"/>
      <c r="HZ21" s="236"/>
      <c r="IA21" s="236"/>
      <c r="IB21" s="236"/>
      <c r="IC21" s="236"/>
      <c r="ID21" s="236"/>
      <c r="IE21" s="236"/>
      <c r="IF21" s="236"/>
      <c r="IG21" s="236"/>
      <c r="IH21" s="236"/>
      <c r="II21" s="236"/>
      <c r="IJ21" s="236"/>
      <c r="IK21" s="236"/>
      <c r="IL21" s="236"/>
      <c r="IM21" s="236"/>
      <c r="IN21" s="236"/>
      <c r="IO21" s="236"/>
      <c r="IP21" s="236"/>
      <c r="IQ21" s="236"/>
      <c r="IR21" s="236"/>
      <c r="IS21" s="236"/>
      <c r="IT21" s="236"/>
      <c r="IU21" s="236"/>
      <c r="IV21" s="236"/>
      <c r="IW21" s="236"/>
      <c r="IX21" s="236"/>
      <c r="IY21" s="236"/>
      <c r="IZ21" s="236"/>
      <c r="JA21" s="236"/>
      <c r="JB21" s="236"/>
      <c r="JC21" s="236"/>
      <c r="JD21" s="236"/>
      <c r="JE21" s="236"/>
      <c r="JF21" s="236"/>
      <c r="JG21" s="236"/>
      <c r="JH21" s="236"/>
      <c r="JI21" s="236"/>
      <c r="JJ21" s="236"/>
      <c r="JK21" s="236"/>
      <c r="JL21" s="236"/>
      <c r="JM21" s="236"/>
      <c r="JN21" s="236"/>
      <c r="JO21" s="236"/>
      <c r="JP21" s="236"/>
      <c r="JQ21" s="411"/>
      <c r="JR21" s="411"/>
      <c r="JS21" s="411"/>
      <c r="JT21" s="411"/>
      <c r="JU21" s="411"/>
      <c r="JV21" s="411"/>
      <c r="JW21" s="411"/>
      <c r="KH21" s="412">
        <f t="shared" si="9"/>
        <v>18</v>
      </c>
      <c r="KI21" s="413">
        <f t="shared" ca="1" si="6"/>
        <v>1018</v>
      </c>
      <c r="KJ21" s="413" t="str">
        <f t="shared" ca="1" si="7"/>
        <v>Nipple Up BOP : N/U BOP, N/U &amp; Install Diverter, Install Bell Nipple and Flowline or mandrel</v>
      </c>
      <c r="KK21" s="414">
        <f t="shared" ca="1" si="8"/>
        <v>0.14583333333333334</v>
      </c>
    </row>
    <row r="22" spans="3:301" ht="24" customHeight="1">
      <c r="C22"/>
      <c r="D22" s="57" t="str">
        <f ca="1">INDIRECT(ADDRESS(ROWS($D$3:D21)+6,D$3,1,1,"3_TIME SUM"))</f>
        <v>Lossing Circ / Pumping LCM / Monitor Unplanned (NPT)</v>
      </c>
      <c r="E22" s="81" t="str">
        <f ca="1">IF(INDIRECT(ADDRESS(ROWS($E$3:E21)+6,E$3,1,1,"3_TIME SUM"))=0,E21,INDIRECT(ADDRESS(ROWS($E$3:E21)+6,E$3,1,1,"3_TIME SUM")))</f>
        <v>Drilling Actual</v>
      </c>
      <c r="F22" s="57" t="str">
        <f t="shared" ca="1" si="3"/>
        <v>Drilling Actual : Lossing Circ / Pumping LCM / Monitor Unplanned (NPT)</v>
      </c>
      <c r="G22" s="58" t="str">
        <f ca="1">VLOOKUP($D22,INDIRECT(ADDRESS(7,5,1,1,"3_TIME SUM")):INDIRECT(ADDRESS(200,7,1,1,"3_TIME SUM")),2,FALSE)</f>
        <v>2h</v>
      </c>
      <c r="H22" s="58" t="str">
        <f ca="1">IF(VLOOKUP($D22,INDIRECT(ADDRESS(7,5,1,1,"3_TIME SUM")):INDIRECT(ADDRESS(200,7,1,1,"3_TIME SUM")),3,FALSE)="","PT",VLOOKUP($D22,INDIRECT(ADDRESS(7,5,1,1,"3_TIME SUM")):INDIRECT(ADDRESS(200,7,1,1,"3_TIME SUM")),3,FALSE))</f>
        <v>PT</v>
      </c>
      <c r="I22" s="59">
        <f ca="1">IFERROR(IF(AND($D$2="NON PRODUCTIVE TIME",$H22="NPT"),SUMIF(INDIRECT(ADDRESS(8,COLUMN('2_DATA'!$M$9),1,1,"2_DATA")):INDIRECT(ADDRESS(3000,COLUMN('2_DATA'!$M$9),1,1,"2_DATA")),$G22,INDIRECT(ADDRESS(8,COLUMN('2_DATA'!$N$9),1,1,"2_DATA")):INDIRECT(ADDRESS(3000,COLUMN('2_DATA'!$N$9),1,1,"2_DATA"))),IF($D$2="ALL ACTIVITY",SUMIF(INDIRECT(ADDRESS(9,COLUMN('2_DATA'!$M$9),1,1,"2_DATA")):INDIRECT(ADDRESS(3000,COLUMN('2_DATA'!$M$9),1,1,"2_DATA")),$G22,INDIRECT(ADDRESS(9,COLUMN('2_DATA'!$N$9),1,1,"2_DATA")):INDIRECT(ADDRESS(3000,COLUMN('2_DATA'!$N$9),1,1,"2_DATA"))),SUMIF(INDIRECT(ADDRESS(OFFSET($A$3,MATCH($D$2,$A$4:$A$16,0)-1,1,,)+1,COLUMN('2_DATA'!$M$9),1,1,"2_DATA")):INDIRECT(ADDRESS(VLOOKUP($D$2,$A$4:$B$16,2,FALSE)-1,COLUMN('2_DATA'!$M$9),1,1,"2_DATA")),$G22,INDIRECT(ADDRESS(OFFSET($A$3,MATCH($D$2,$A$4:$A$16,0)-1,1,,)+1,COLUMN('2_DATA'!$N$9),1,1,"2_DATA")):INDIRECT(ADDRESS(VLOOKUP($D$2,$A$4:$B$16,2,FALSE)-1,COLUMN('2_DATA'!$N$9),1,1,"2_DATA"))))),0)</f>
        <v>0</v>
      </c>
      <c r="J22" s="58" t="str">
        <f ca="1">IF(I22=0,"",MAX($J$3:J21)+1)</f>
        <v/>
      </c>
      <c r="L22" s="55">
        <f t="shared" ca="1" si="0"/>
        <v>1000</v>
      </c>
      <c r="M22" s="55" t="str">
        <f t="shared" ca="1" si="4"/>
        <v/>
      </c>
      <c r="N22" s="55"/>
      <c r="O22" s="55">
        <f t="shared" ca="1" si="10"/>
        <v>1003</v>
      </c>
      <c r="P22" s="55">
        <f t="shared" ca="1" si="1"/>
        <v>4</v>
      </c>
      <c r="Q22" s="55">
        <f ca="1">IFERROR(INDEX($O$4:$P$226,MATCH(ROWS($Q$3:Q21),$P$4:$P$226,0),1),"-")</f>
        <v>1018</v>
      </c>
      <c r="R22" s="62" t="str">
        <f t="shared" ca="1" si="2"/>
        <v>Nipple Up BOP : N/U BOP, N/U &amp; Install Diverter, Install Bell Nipple and Flowline or mandrel</v>
      </c>
      <c r="S22" s="55">
        <f t="shared" ca="1" si="5"/>
        <v>18</v>
      </c>
      <c r="T22" s="64"/>
      <c r="U22"/>
      <c r="V22" s="68">
        <f t="shared" ca="1" si="11"/>
        <v>9</v>
      </c>
      <c r="W22" s="69" t="str">
        <f t="shared" ca="1" si="12"/>
        <v>Trips : Wiper / Conditioner Trip</v>
      </c>
      <c r="X22" s="70" t="s">
        <v>84</v>
      </c>
      <c r="Y22" s="68" t="str">
        <f t="shared" ca="1" si="16"/>
        <v>PT</v>
      </c>
      <c r="Z22" s="71" t="str">
        <f t="shared" ca="1" si="13"/>
        <v>6g</v>
      </c>
      <c r="AA22" s="72">
        <f t="shared" ca="1" si="14"/>
        <v>120</v>
      </c>
      <c r="AB22" s="305">
        <f t="shared" ca="1" si="15"/>
        <v>5</v>
      </c>
      <c r="AC22" s="236"/>
      <c r="AD22" s="236"/>
      <c r="AE22" s="236"/>
      <c r="AF22" s="315"/>
      <c r="AG22" s="236"/>
      <c r="AH22" s="236"/>
      <c r="AI22" s="236"/>
      <c r="AJ22" s="236"/>
      <c r="AK22" s="236"/>
      <c r="AL22" s="236"/>
      <c r="AM22" s="236"/>
      <c r="AN22" s="236"/>
      <c r="AO22" s="236"/>
      <c r="AP22" s="236"/>
      <c r="AQ22" s="236"/>
      <c r="AR22" s="236"/>
      <c r="AS22" s="236"/>
      <c r="AT22" s="236"/>
      <c r="AU22" s="236"/>
      <c r="AV22" s="236"/>
      <c r="AW22" s="236"/>
      <c r="AX22" s="236"/>
      <c r="AY22" s="236"/>
      <c r="AZ22" s="236"/>
      <c r="BA22" s="236"/>
      <c r="BB22" s="236"/>
      <c r="BC22" s="236"/>
      <c r="BD22" s="236"/>
      <c r="BE22" s="236"/>
      <c r="BF22" s="236"/>
      <c r="BG22" s="236"/>
      <c r="BH22" s="236"/>
      <c r="BI22" s="236"/>
      <c r="BJ22" s="236"/>
      <c r="BK22" s="236"/>
      <c r="BL22" s="236"/>
      <c r="BM22" s="236"/>
      <c r="BN22" s="236"/>
      <c r="BO22" s="236"/>
      <c r="BP22" s="236"/>
      <c r="BQ22" s="236"/>
      <c r="BR22" s="236"/>
      <c r="BS22" s="236"/>
      <c r="BT22" s="236"/>
      <c r="BU22" s="236"/>
      <c r="BV22" s="236"/>
      <c r="BW22" s="236"/>
      <c r="BX22" s="236"/>
      <c r="BY22" s="236"/>
      <c r="BZ22" s="236"/>
      <c r="CA22" s="236"/>
      <c r="CB22" s="236"/>
      <c r="CC22" s="236"/>
      <c r="CD22" s="236"/>
      <c r="CE22" s="236"/>
      <c r="CF22" s="236"/>
      <c r="CG22" s="236"/>
      <c r="CH22" s="236"/>
      <c r="CI22" s="236"/>
      <c r="CJ22" s="236"/>
      <c r="CK22" s="236"/>
      <c r="CL22" s="236"/>
      <c r="CM22" s="236"/>
      <c r="CN22" s="236"/>
      <c r="CO22" s="236"/>
      <c r="CP22" s="236"/>
      <c r="CQ22" s="236"/>
      <c r="CR22" s="236"/>
      <c r="CS22" s="236"/>
      <c r="CT22" s="236"/>
      <c r="CU22" s="236"/>
      <c r="CV22" s="236"/>
      <c r="CW22" s="236"/>
      <c r="CX22" s="236"/>
      <c r="CY22" s="236"/>
      <c r="CZ22" s="236"/>
      <c r="DA22" s="236"/>
      <c r="DB22" s="236"/>
      <c r="DC22" s="236"/>
      <c r="DD22" s="236"/>
      <c r="DE22" s="236"/>
      <c r="DF22" s="236"/>
      <c r="DG22" s="236"/>
      <c r="DH22" s="236"/>
      <c r="DI22" s="236"/>
      <c r="DJ22" s="236"/>
      <c r="DK22" s="236"/>
      <c r="DL22" s="236"/>
      <c r="DM22" s="236"/>
      <c r="DN22" s="236"/>
      <c r="DO22" s="236"/>
      <c r="DP22" s="236"/>
      <c r="DQ22" s="236"/>
      <c r="DR22" s="236"/>
      <c r="DS22" s="236"/>
      <c r="DT22" s="236"/>
      <c r="DU22" s="236"/>
      <c r="DV22" s="236"/>
      <c r="DW22" s="236"/>
      <c r="DX22" s="236"/>
      <c r="DY22" s="236"/>
      <c r="DZ22" s="236"/>
      <c r="EA22" s="236"/>
      <c r="EB22" s="236"/>
      <c r="EC22" s="236"/>
      <c r="ED22" s="236"/>
      <c r="EE22" s="236"/>
      <c r="EF22" s="236"/>
      <c r="EG22" s="236"/>
      <c r="EH22" s="236"/>
      <c r="EI22" s="236"/>
      <c r="EJ22" s="236"/>
      <c r="EK22" s="236"/>
      <c r="EL22" s="236"/>
      <c r="EM22" s="236"/>
      <c r="EN22" s="236"/>
      <c r="EO22" s="236"/>
      <c r="EP22" s="236"/>
      <c r="EQ22" s="236"/>
      <c r="ER22" s="236"/>
      <c r="ES22" s="236"/>
      <c r="ET22" s="236"/>
      <c r="EU22" s="236"/>
      <c r="EV22" s="236"/>
      <c r="EW22" s="236"/>
      <c r="EX22" s="236"/>
      <c r="EY22" s="236"/>
      <c r="EZ22" s="236"/>
      <c r="FA22" s="236"/>
      <c r="FB22" s="236"/>
      <c r="FC22" s="236"/>
      <c r="FD22" s="236"/>
      <c r="FE22" s="236"/>
      <c r="FF22" s="236"/>
      <c r="FG22" s="236"/>
      <c r="FH22" s="236"/>
      <c r="FI22" s="236"/>
      <c r="FJ22" s="236"/>
      <c r="FK22" s="236"/>
      <c r="FL22" s="236"/>
      <c r="FM22" s="236"/>
      <c r="FN22" s="236"/>
      <c r="FO22" s="236"/>
      <c r="FP22" s="236"/>
      <c r="FQ22" s="236"/>
      <c r="FR22" s="236"/>
      <c r="FS22" s="236"/>
      <c r="FT22" s="236"/>
      <c r="FU22" s="236"/>
      <c r="FV22" s="236"/>
      <c r="FW22" s="236"/>
      <c r="FX22" s="236"/>
      <c r="FY22" s="236"/>
      <c r="FZ22" s="236"/>
      <c r="GA22" s="236"/>
      <c r="GB22" s="236"/>
      <c r="GC22" s="236"/>
      <c r="GD22" s="236"/>
      <c r="GE22" s="236"/>
      <c r="GF22" s="236"/>
      <c r="GG22" s="236"/>
      <c r="GH22" s="236"/>
      <c r="GI22" s="236"/>
      <c r="GJ22" s="236"/>
      <c r="GK22" s="236"/>
      <c r="GL22" s="236"/>
      <c r="GM22" s="236"/>
      <c r="GN22" s="236"/>
      <c r="GO22" s="236"/>
      <c r="GP22" s="236"/>
      <c r="GQ22" s="236"/>
      <c r="GR22" s="236"/>
      <c r="GS22" s="236"/>
      <c r="GT22" s="236"/>
      <c r="GU22" s="236"/>
      <c r="GV22" s="236"/>
      <c r="GW22" s="236"/>
      <c r="GX22" s="236"/>
      <c r="GY22" s="236"/>
      <c r="GZ22" s="236"/>
      <c r="HA22" s="236"/>
      <c r="HB22" s="236"/>
      <c r="HC22" s="236"/>
      <c r="HD22" s="236"/>
      <c r="HE22" s="236"/>
      <c r="HF22" s="236"/>
      <c r="HG22" s="236"/>
      <c r="HH22" s="236"/>
      <c r="HI22" s="236"/>
      <c r="HJ22" s="236"/>
      <c r="HK22" s="236"/>
      <c r="HL22" s="236"/>
      <c r="HM22" s="236"/>
      <c r="HN22" s="236"/>
      <c r="HO22" s="236"/>
      <c r="HP22" s="236"/>
      <c r="HQ22" s="236"/>
      <c r="HR22" s="236"/>
      <c r="HS22" s="236"/>
      <c r="HT22" s="236"/>
      <c r="HU22" s="236"/>
      <c r="HV22" s="236"/>
      <c r="HW22" s="236"/>
      <c r="HX22" s="236"/>
      <c r="HY22" s="236"/>
      <c r="HZ22" s="236"/>
      <c r="IA22" s="236"/>
      <c r="IB22" s="236"/>
      <c r="IC22" s="236"/>
      <c r="ID22" s="236"/>
      <c r="IE22" s="236"/>
      <c r="IF22" s="236"/>
      <c r="IG22" s="236"/>
      <c r="IH22" s="236"/>
      <c r="II22" s="236"/>
      <c r="IJ22" s="236"/>
      <c r="IK22" s="236"/>
      <c r="IL22" s="236"/>
      <c r="IM22" s="236"/>
      <c r="IN22" s="236"/>
      <c r="IO22" s="236"/>
      <c r="IP22" s="236"/>
      <c r="IQ22" s="236"/>
      <c r="IR22" s="236"/>
      <c r="IS22" s="236"/>
      <c r="IT22" s="236"/>
      <c r="IU22" s="236"/>
      <c r="IV22" s="236"/>
      <c r="IW22" s="236"/>
      <c r="IX22" s="236"/>
      <c r="IY22" s="236"/>
      <c r="IZ22" s="236"/>
      <c r="JA22" s="236"/>
      <c r="JB22" s="236"/>
      <c r="JC22" s="236"/>
      <c r="JD22" s="236"/>
      <c r="JE22" s="236"/>
      <c r="JF22" s="236"/>
      <c r="JG22" s="236"/>
      <c r="JH22" s="236"/>
      <c r="JI22" s="236"/>
      <c r="JJ22" s="236"/>
      <c r="JK22" s="236"/>
      <c r="JL22" s="236"/>
      <c r="JM22" s="236"/>
      <c r="JN22" s="236"/>
      <c r="JO22" s="236"/>
      <c r="JP22" s="236"/>
      <c r="JQ22" s="411"/>
      <c r="JR22" s="411"/>
      <c r="JS22" s="411"/>
      <c r="JT22" s="411"/>
      <c r="JU22" s="411"/>
      <c r="JV22" s="411"/>
      <c r="JW22" s="411"/>
      <c r="KH22" s="412">
        <f t="shared" ref="KH22:KH85" si="17">KH21+1</f>
        <v>19</v>
      </c>
      <c r="KI22" s="413">
        <f t="shared" ca="1" si="6"/>
        <v>1019</v>
      </c>
      <c r="KJ22" s="413" t="str">
        <f t="shared" ref="KJ22:KJ53" ca="1" si="18">IFERROR(IF(KI22="","",IF(ISNA(INDEX($N$4:$O$5,MATCH(KI22,$O$4:$O$5,0),1)),INDEX($F$4:$M$226,MATCH(KI22,$M$4:$M$226,0),1),INDEX($N$4:$O$5,MATCH(KI22,$O$4:$O$5,0),1))),"")</f>
        <v>Nipple Up BOP : N/D BOP, N/D  Diverter, N/D Bell Nipple and Flowline or mandrel</v>
      </c>
      <c r="KK22" s="414">
        <f t="shared" ca="1" si="8"/>
        <v>0.16666666666666666</v>
      </c>
    </row>
    <row r="23" spans="3:301" ht="24" customHeight="1">
      <c r="C23"/>
      <c r="D23" s="57" t="str">
        <f ca="1">INDIRECT(ADDRESS(ROWS($D$3:D22)+6,D$3,1,1,"3_TIME SUM"))</f>
        <v xml:space="preserve">Lossing Circ / Pumping LCM / Monitor planned </v>
      </c>
      <c r="E23" s="81" t="str">
        <f ca="1">IF(INDIRECT(ADDRESS(ROWS($E$3:E22)+6,E$3,1,1,"3_TIME SUM"))=0,E22,INDIRECT(ADDRESS(ROWS($E$3:E22)+6,E$3,1,1,"3_TIME SUM")))</f>
        <v>Drilling Actual</v>
      </c>
      <c r="F23" s="57" t="str">
        <f t="shared" ca="1" si="3"/>
        <v xml:space="preserve">Drilling Actual : Lossing Circ / Pumping LCM / Monitor planned </v>
      </c>
      <c r="G23" s="58" t="str">
        <f ca="1">VLOOKUP($D23,INDIRECT(ADDRESS(7,5,1,1,"3_TIME SUM")):INDIRECT(ADDRESS(200,7,1,1,"3_TIME SUM")),2,FALSE)</f>
        <v>2i</v>
      </c>
      <c r="H23" s="58" t="str">
        <f ca="1">IF(VLOOKUP($D23,INDIRECT(ADDRESS(7,5,1,1,"3_TIME SUM")):INDIRECT(ADDRESS(200,7,1,1,"3_TIME SUM")),3,FALSE)="","PT",VLOOKUP($D23,INDIRECT(ADDRESS(7,5,1,1,"3_TIME SUM")):INDIRECT(ADDRESS(200,7,1,1,"3_TIME SUM")),3,FALSE))</f>
        <v>PT</v>
      </c>
      <c r="I23" s="59">
        <f ca="1">IFERROR(IF(AND($D$2="NON PRODUCTIVE TIME",$H23="NPT"),SUMIF(INDIRECT(ADDRESS(8,COLUMN('2_DATA'!$M$9),1,1,"2_DATA")):INDIRECT(ADDRESS(3000,COLUMN('2_DATA'!$M$9),1,1,"2_DATA")),$G23,INDIRECT(ADDRESS(8,COLUMN('2_DATA'!$N$9),1,1,"2_DATA")):INDIRECT(ADDRESS(3000,COLUMN('2_DATA'!$N$9),1,1,"2_DATA"))),IF($D$2="ALL ACTIVITY",SUMIF(INDIRECT(ADDRESS(9,COLUMN('2_DATA'!$M$9),1,1,"2_DATA")):INDIRECT(ADDRESS(3000,COLUMN('2_DATA'!$M$9),1,1,"2_DATA")),$G23,INDIRECT(ADDRESS(9,COLUMN('2_DATA'!$N$9),1,1,"2_DATA")):INDIRECT(ADDRESS(3000,COLUMN('2_DATA'!$N$9),1,1,"2_DATA"))),SUMIF(INDIRECT(ADDRESS(OFFSET($A$3,MATCH($D$2,$A$4:$A$16,0)-1,1,,)+1,COLUMN('2_DATA'!$M$9),1,1,"2_DATA")):INDIRECT(ADDRESS(VLOOKUP($D$2,$A$4:$B$16,2,FALSE)-1,COLUMN('2_DATA'!$M$9),1,1,"2_DATA")),$G23,INDIRECT(ADDRESS(OFFSET($A$3,MATCH($D$2,$A$4:$A$16,0)-1,1,,)+1,COLUMN('2_DATA'!$N$9),1,1,"2_DATA")):INDIRECT(ADDRESS(VLOOKUP($D$2,$A$4:$B$16,2,FALSE)-1,COLUMN('2_DATA'!$N$9),1,1,"2_DATA"))))),0)</f>
        <v>0</v>
      </c>
      <c r="J23" s="58" t="str">
        <f ca="1">IF(I23=0,"",MAX($J$3:J22)+1)</f>
        <v/>
      </c>
      <c r="L23" s="55">
        <f t="shared" ca="1" si="0"/>
        <v>1000</v>
      </c>
      <c r="M23" s="55" t="str">
        <f t="shared" ca="1" si="4"/>
        <v/>
      </c>
      <c r="N23" s="55"/>
      <c r="O23" s="55">
        <f t="shared" ca="1" si="10"/>
        <v>1004</v>
      </c>
      <c r="P23" s="55">
        <f t="shared" ca="1" si="1"/>
        <v>5</v>
      </c>
      <c r="Q23" s="55">
        <f ca="1">IFERROR(INDEX($O$4:$P$226,MATCH(ROWS($Q$3:Q22),$P$4:$P$226,0),1),"-")</f>
        <v>1019</v>
      </c>
      <c r="R23" s="62" t="str">
        <f t="shared" ca="1" si="2"/>
        <v>Nipple Up BOP : N/D BOP, N/D  Diverter, N/D Bell Nipple and Flowline or mandrel</v>
      </c>
      <c r="S23" s="55">
        <f t="shared" ca="1" si="5"/>
        <v>19</v>
      </c>
      <c r="V23" s="68">
        <f t="shared" ca="1" si="11"/>
        <v>10</v>
      </c>
      <c r="W23" s="69" t="str">
        <f t="shared" ca="1" si="12"/>
        <v xml:space="preserve">Trips : Flow Check / Monitor Well </v>
      </c>
      <c r="X23" s="70" t="s">
        <v>84</v>
      </c>
      <c r="Y23" s="68" t="str">
        <f t="shared" ca="1" si="16"/>
        <v>PT</v>
      </c>
      <c r="Z23" s="71" t="str">
        <f t="shared" ca="1" si="13"/>
        <v>6h</v>
      </c>
      <c r="AA23" s="72">
        <f t="shared" ca="1" si="14"/>
        <v>1</v>
      </c>
      <c r="AB23" s="305">
        <f t="shared" ca="1" si="15"/>
        <v>4.1666666666666664E-2</v>
      </c>
      <c r="AC23" s="236"/>
      <c r="AD23" s="236"/>
      <c r="AE23" s="236"/>
      <c r="AF23" s="315"/>
      <c r="AG23" s="236"/>
      <c r="AH23" s="236"/>
      <c r="AI23" s="236"/>
      <c r="AJ23" s="236"/>
      <c r="AK23" s="236"/>
      <c r="AL23" s="236"/>
      <c r="AM23" s="236"/>
      <c r="AN23" s="236"/>
      <c r="AO23" s="236"/>
      <c r="AP23" s="236"/>
      <c r="AQ23" s="236"/>
      <c r="AR23" s="236"/>
      <c r="AS23" s="236"/>
      <c r="AT23" s="236"/>
      <c r="AU23" s="236"/>
      <c r="AV23" s="236"/>
      <c r="AW23" s="236"/>
      <c r="AX23" s="236"/>
      <c r="AY23" s="236"/>
      <c r="AZ23" s="236"/>
      <c r="BA23" s="236"/>
      <c r="BB23" s="236"/>
      <c r="BC23" s="236"/>
      <c r="BD23" s="236"/>
      <c r="BE23" s="236"/>
      <c r="BF23" s="236"/>
      <c r="BG23" s="236"/>
      <c r="BH23" s="236"/>
      <c r="BI23" s="236"/>
      <c r="BJ23" s="236"/>
      <c r="BK23" s="236"/>
      <c r="BL23" s="236"/>
      <c r="BM23" s="236"/>
      <c r="BN23" s="236"/>
      <c r="BO23" s="236"/>
      <c r="BP23" s="236"/>
      <c r="BQ23" s="236"/>
      <c r="BR23" s="236"/>
      <c r="BS23" s="236"/>
      <c r="BT23" s="236"/>
      <c r="BU23" s="236"/>
      <c r="BV23" s="236"/>
      <c r="BW23" s="236"/>
      <c r="BX23" s="236"/>
      <c r="BY23" s="236"/>
      <c r="BZ23" s="236"/>
      <c r="CA23" s="236"/>
      <c r="CB23" s="236"/>
      <c r="CC23" s="236"/>
      <c r="CD23" s="236"/>
      <c r="CE23" s="236"/>
      <c r="CF23" s="236"/>
      <c r="CG23" s="236"/>
      <c r="CH23" s="236"/>
      <c r="CI23" s="236"/>
      <c r="CJ23" s="236"/>
      <c r="CK23" s="236"/>
      <c r="CL23" s="236"/>
      <c r="CM23" s="236"/>
      <c r="CN23" s="236"/>
      <c r="CO23" s="236"/>
      <c r="CP23" s="236"/>
      <c r="CQ23" s="236"/>
      <c r="CR23" s="236"/>
      <c r="CS23" s="236"/>
      <c r="CT23" s="236"/>
      <c r="CU23" s="236"/>
      <c r="CV23" s="236"/>
      <c r="CW23" s="236"/>
      <c r="CX23" s="236"/>
      <c r="CY23" s="236"/>
      <c r="CZ23" s="236"/>
      <c r="DA23" s="236"/>
      <c r="DB23" s="236"/>
      <c r="DC23" s="236"/>
      <c r="DD23" s="236"/>
      <c r="DE23" s="236"/>
      <c r="DF23" s="236"/>
      <c r="DG23" s="236"/>
      <c r="DH23" s="236"/>
      <c r="DI23" s="236"/>
      <c r="DJ23" s="236"/>
      <c r="DK23" s="236"/>
      <c r="DL23" s="236"/>
      <c r="DM23" s="236"/>
      <c r="DN23" s="236"/>
      <c r="DO23" s="236"/>
      <c r="DP23" s="236"/>
      <c r="DQ23" s="236"/>
      <c r="DR23" s="236"/>
      <c r="DS23" s="236"/>
      <c r="DT23" s="236"/>
      <c r="DU23" s="236"/>
      <c r="DV23" s="236"/>
      <c r="DW23" s="236"/>
      <c r="DX23" s="236"/>
      <c r="DY23" s="236"/>
      <c r="DZ23" s="236"/>
      <c r="EA23" s="236"/>
      <c r="EB23" s="236"/>
      <c r="EC23" s="236"/>
      <c r="ED23" s="236"/>
      <c r="EE23" s="236"/>
      <c r="EF23" s="236"/>
      <c r="EG23" s="236"/>
      <c r="EH23" s="236"/>
      <c r="EI23" s="236"/>
      <c r="EJ23" s="236"/>
      <c r="EK23" s="236"/>
      <c r="EL23" s="236"/>
      <c r="EM23" s="236"/>
      <c r="EN23" s="236"/>
      <c r="EO23" s="236"/>
      <c r="EP23" s="236"/>
      <c r="EQ23" s="236"/>
      <c r="ER23" s="236"/>
      <c r="ES23" s="236"/>
      <c r="ET23" s="236"/>
      <c r="EU23" s="236"/>
      <c r="EV23" s="236"/>
      <c r="EW23" s="236"/>
      <c r="EX23" s="236"/>
      <c r="EY23" s="236"/>
      <c r="EZ23" s="236"/>
      <c r="FA23" s="236"/>
      <c r="FB23" s="236"/>
      <c r="FC23" s="236"/>
      <c r="FD23" s="236"/>
      <c r="FE23" s="236"/>
      <c r="FF23" s="236"/>
      <c r="FG23" s="236"/>
      <c r="FH23" s="236"/>
      <c r="FI23" s="236"/>
      <c r="FJ23" s="236"/>
      <c r="FK23" s="236"/>
      <c r="FL23" s="236"/>
      <c r="FM23" s="236"/>
      <c r="FN23" s="236"/>
      <c r="FO23" s="236"/>
      <c r="FP23" s="236"/>
      <c r="FQ23" s="236"/>
      <c r="FR23" s="236"/>
      <c r="FS23" s="236"/>
      <c r="FT23" s="236"/>
      <c r="FU23" s="236"/>
      <c r="FV23" s="236"/>
      <c r="FW23" s="236"/>
      <c r="FX23" s="236"/>
      <c r="FY23" s="236"/>
      <c r="FZ23" s="236"/>
      <c r="GA23" s="236"/>
      <c r="GB23" s="236"/>
      <c r="GC23" s="236"/>
      <c r="GD23" s="236"/>
      <c r="GE23" s="236"/>
      <c r="GF23" s="236"/>
      <c r="GG23" s="236"/>
      <c r="GH23" s="236"/>
      <c r="GI23" s="236"/>
      <c r="GJ23" s="236"/>
      <c r="GK23" s="236"/>
      <c r="GL23" s="236"/>
      <c r="GM23" s="236"/>
      <c r="GN23" s="236"/>
      <c r="GO23" s="236"/>
      <c r="GP23" s="236"/>
      <c r="GQ23" s="236"/>
      <c r="GR23" s="236"/>
      <c r="GS23" s="236"/>
      <c r="GT23" s="236"/>
      <c r="GU23" s="236"/>
      <c r="GV23" s="236"/>
      <c r="GW23" s="236"/>
      <c r="GX23" s="236"/>
      <c r="GY23" s="236"/>
      <c r="GZ23" s="236"/>
      <c r="HA23" s="236"/>
      <c r="HB23" s="236"/>
      <c r="HC23" s="236"/>
      <c r="HD23" s="236"/>
      <c r="HE23" s="236"/>
      <c r="HF23" s="236"/>
      <c r="HG23" s="236"/>
      <c r="HH23" s="236"/>
      <c r="HI23" s="236"/>
      <c r="HJ23" s="236"/>
      <c r="HK23" s="236"/>
      <c r="HL23" s="236"/>
      <c r="HM23" s="236"/>
      <c r="HN23" s="236"/>
      <c r="HO23" s="236"/>
      <c r="HP23" s="236"/>
      <c r="HQ23" s="236"/>
      <c r="HR23" s="236"/>
      <c r="HS23" s="236"/>
      <c r="HT23" s="236"/>
      <c r="HU23" s="236"/>
      <c r="HV23" s="236"/>
      <c r="HW23" s="236"/>
      <c r="HX23" s="236"/>
      <c r="HY23" s="236"/>
      <c r="HZ23" s="236"/>
      <c r="IA23" s="236"/>
      <c r="IB23" s="236"/>
      <c r="IC23" s="236"/>
      <c r="ID23" s="236"/>
      <c r="IE23" s="236"/>
      <c r="IF23" s="236"/>
      <c r="IG23" s="236"/>
      <c r="IH23" s="236"/>
      <c r="II23" s="236"/>
      <c r="IJ23" s="236"/>
      <c r="IK23" s="236"/>
      <c r="IL23" s="236"/>
      <c r="IM23" s="236"/>
      <c r="IN23" s="236"/>
      <c r="IO23" s="236"/>
      <c r="IP23" s="236"/>
      <c r="IQ23" s="236"/>
      <c r="IR23" s="236"/>
      <c r="IS23" s="236"/>
      <c r="IT23" s="236"/>
      <c r="IU23" s="236"/>
      <c r="IV23" s="236"/>
      <c r="IW23" s="236"/>
      <c r="IX23" s="236"/>
      <c r="IY23" s="236"/>
      <c r="IZ23" s="236"/>
      <c r="JA23" s="236"/>
      <c r="JB23" s="236"/>
      <c r="JC23" s="236"/>
      <c r="JD23" s="236"/>
      <c r="JE23" s="236"/>
      <c r="JF23" s="236"/>
      <c r="JG23" s="236"/>
      <c r="JH23" s="236"/>
      <c r="JI23" s="236"/>
      <c r="JJ23" s="236"/>
      <c r="JK23" s="236"/>
      <c r="JL23" s="236"/>
      <c r="JM23" s="236"/>
      <c r="JN23" s="236"/>
      <c r="JO23" s="236"/>
      <c r="JP23" s="236"/>
      <c r="JQ23" s="411"/>
      <c r="JR23" s="411"/>
      <c r="JS23" s="411"/>
      <c r="JT23" s="411"/>
      <c r="JU23" s="411"/>
      <c r="JV23" s="411"/>
      <c r="JW23" s="411"/>
      <c r="KH23" s="412">
        <f t="shared" si="17"/>
        <v>20</v>
      </c>
      <c r="KI23" s="413">
        <f t="shared" ca="1" si="6"/>
        <v>1020</v>
      </c>
      <c r="KJ23" s="413" t="str">
        <f t="shared" ca="1" si="18"/>
        <v>Test BOP : Function &amp; Pressure Test of BOP's</v>
      </c>
      <c r="KK23" s="414">
        <f t="shared" ca="1" si="8"/>
        <v>4.1666666666666664E-2</v>
      </c>
    </row>
    <row r="24" spans="3:301" ht="24" customHeight="1">
      <c r="C24"/>
      <c r="D24" s="57" t="str">
        <f ca="1">INDIRECT(ADDRESS(ROWS($D$3:D23)+6,D$3,1,1,"3_TIME SUM"))</f>
        <v>Stuck Pipe Include Handling operations (NPT)</v>
      </c>
      <c r="E24" s="81" t="str">
        <f ca="1">IF(INDIRECT(ADDRESS(ROWS($E$3:E23)+6,E$3,1,1,"3_TIME SUM"))=0,E23,INDIRECT(ADDRESS(ROWS($E$3:E23)+6,E$3,1,1,"3_TIME SUM")))</f>
        <v>Drilling Actual</v>
      </c>
      <c r="F24" s="57" t="str">
        <f t="shared" ca="1" si="3"/>
        <v>Drilling Actual : Stuck Pipe Include Handling operations (NPT)</v>
      </c>
      <c r="G24" s="58" t="str">
        <f ca="1">VLOOKUP($D24,INDIRECT(ADDRESS(7,5,1,1,"3_TIME SUM")):INDIRECT(ADDRESS(200,7,1,1,"3_TIME SUM")),2,FALSE)</f>
        <v>2j</v>
      </c>
      <c r="H24" s="58" t="str">
        <f ca="1">IF(VLOOKUP($D24,INDIRECT(ADDRESS(7,5,1,1,"3_TIME SUM")):INDIRECT(ADDRESS(200,7,1,1,"3_TIME SUM")),3,FALSE)="","PT",VLOOKUP($D24,INDIRECT(ADDRESS(7,5,1,1,"3_TIME SUM")):INDIRECT(ADDRESS(200,7,1,1,"3_TIME SUM")),3,FALSE))</f>
        <v>PT</v>
      </c>
      <c r="I24" s="59">
        <f ca="1">IFERROR(IF(AND($D$2="NON PRODUCTIVE TIME",$H24="NPT"),SUMIF(INDIRECT(ADDRESS(8,COLUMN('2_DATA'!$M$9),1,1,"2_DATA")):INDIRECT(ADDRESS(3000,COLUMN('2_DATA'!$M$9),1,1,"2_DATA")),$G24,INDIRECT(ADDRESS(8,COLUMN('2_DATA'!$N$9),1,1,"2_DATA")):INDIRECT(ADDRESS(3000,COLUMN('2_DATA'!$N$9),1,1,"2_DATA"))),IF($D$2="ALL ACTIVITY",SUMIF(INDIRECT(ADDRESS(9,COLUMN('2_DATA'!$M$9),1,1,"2_DATA")):INDIRECT(ADDRESS(3000,COLUMN('2_DATA'!$M$9),1,1,"2_DATA")),$G24,INDIRECT(ADDRESS(9,COLUMN('2_DATA'!$N$9),1,1,"2_DATA")):INDIRECT(ADDRESS(3000,COLUMN('2_DATA'!$N$9),1,1,"2_DATA"))),SUMIF(INDIRECT(ADDRESS(OFFSET($A$3,MATCH($D$2,$A$4:$A$16,0)-1,1,,)+1,COLUMN('2_DATA'!$M$9),1,1,"2_DATA")):INDIRECT(ADDRESS(VLOOKUP($D$2,$A$4:$B$16,2,FALSE)-1,COLUMN('2_DATA'!$M$9),1,1,"2_DATA")),$G24,INDIRECT(ADDRESS(OFFSET($A$3,MATCH($D$2,$A$4:$A$16,0)-1,1,,)+1,COLUMN('2_DATA'!$N$9),1,1,"2_DATA")):INDIRECT(ADDRESS(VLOOKUP($D$2,$A$4:$B$16,2,FALSE)-1,COLUMN('2_DATA'!$N$9),1,1,"2_DATA"))))),0)</f>
        <v>0</v>
      </c>
      <c r="J24" s="58" t="str">
        <f ca="1">IF(I24=0,"",MAX($J$3:J23)+1)</f>
        <v/>
      </c>
      <c r="L24" s="55">
        <f t="shared" ca="1" si="0"/>
        <v>1000</v>
      </c>
      <c r="M24" s="55" t="str">
        <f t="shared" ca="1" si="4"/>
        <v/>
      </c>
      <c r="N24" s="55"/>
      <c r="O24" s="55" t="str">
        <f t="shared" ca="1" si="10"/>
        <v/>
      </c>
      <c r="P24" s="55">
        <f t="shared" ca="1" si="1"/>
        <v>0</v>
      </c>
      <c r="Q24" s="55">
        <f ca="1">IFERROR(INDEX($O$4:$P$226,MATCH(ROWS($Q$3:Q23),$P$4:$P$226,0),1),"-")</f>
        <v>1020</v>
      </c>
      <c r="R24" s="62" t="str">
        <f t="shared" ca="1" si="2"/>
        <v>Test BOP : Function &amp; Pressure Test of BOP's</v>
      </c>
      <c r="S24" s="55">
        <f t="shared" ca="1" si="5"/>
        <v>20</v>
      </c>
      <c r="V24" s="68">
        <f t="shared" ca="1" si="11"/>
        <v>11</v>
      </c>
      <c r="W24" s="69" t="str">
        <f t="shared" ca="1" si="12"/>
        <v>Repair Rig : Repair Rotating System (NPT)</v>
      </c>
      <c r="X24" s="70" t="s">
        <v>84</v>
      </c>
      <c r="Y24" s="68" t="str">
        <f t="shared" ca="1" si="16"/>
        <v>NPT</v>
      </c>
      <c r="Z24" s="71" t="str">
        <f t="shared" ca="1" si="13"/>
        <v>8d</v>
      </c>
      <c r="AA24" s="72">
        <f t="shared" ca="1" si="14"/>
        <v>3.5</v>
      </c>
      <c r="AB24" s="305">
        <f t="shared" ca="1" si="15"/>
        <v>0.14583333333333334</v>
      </c>
      <c r="AC24" s="236"/>
      <c r="AD24" s="236"/>
      <c r="AE24" s="236"/>
      <c r="AF24" s="315"/>
      <c r="AG24" s="236"/>
      <c r="AH24" s="236"/>
      <c r="AI24" s="236"/>
      <c r="AJ24" s="236"/>
      <c r="AK24" s="236"/>
      <c r="AL24" s="236"/>
      <c r="AM24" s="236"/>
      <c r="AN24" s="236"/>
      <c r="AO24" s="236"/>
      <c r="AP24" s="236"/>
      <c r="AQ24" s="236"/>
      <c r="AR24" s="236"/>
      <c r="AS24" s="236"/>
      <c r="AT24" s="236"/>
      <c r="AU24" s="236"/>
      <c r="AV24" s="236"/>
      <c r="AW24" s="236"/>
      <c r="AX24" s="236"/>
      <c r="AY24" s="236"/>
      <c r="AZ24" s="236"/>
      <c r="BA24" s="236"/>
      <c r="BB24" s="236"/>
      <c r="BC24" s="236"/>
      <c r="BD24" s="236"/>
      <c r="BE24" s="236"/>
      <c r="BF24" s="236"/>
      <c r="BG24" s="236"/>
      <c r="BH24" s="236"/>
      <c r="BI24" s="236"/>
      <c r="BJ24" s="236"/>
      <c r="BK24" s="236"/>
      <c r="BL24" s="236"/>
      <c r="BM24" s="236"/>
      <c r="BN24" s="236"/>
      <c r="BO24" s="236"/>
      <c r="BP24" s="236"/>
      <c r="BQ24" s="236"/>
      <c r="BR24" s="236"/>
      <c r="BS24" s="236"/>
      <c r="BT24" s="236"/>
      <c r="BU24" s="236"/>
      <c r="BV24" s="236"/>
      <c r="BW24" s="236"/>
      <c r="BX24" s="236"/>
      <c r="BY24" s="236"/>
      <c r="BZ24" s="236"/>
      <c r="CA24" s="236"/>
      <c r="CB24" s="236"/>
      <c r="CC24" s="236"/>
      <c r="CD24" s="236"/>
      <c r="CE24" s="236"/>
      <c r="CF24" s="236"/>
      <c r="CG24" s="236"/>
      <c r="CH24" s="236"/>
      <c r="CI24" s="236"/>
      <c r="CJ24" s="236"/>
      <c r="CK24" s="236"/>
      <c r="CL24" s="236"/>
      <c r="CM24" s="236"/>
      <c r="CN24" s="236"/>
      <c r="CO24" s="236"/>
      <c r="CP24" s="236"/>
      <c r="CQ24" s="236"/>
      <c r="CR24" s="236"/>
      <c r="CS24" s="236"/>
      <c r="CT24" s="236"/>
      <c r="CU24" s="236"/>
      <c r="CV24" s="236"/>
      <c r="CW24" s="236"/>
      <c r="CX24" s="236"/>
      <c r="CY24" s="236"/>
      <c r="CZ24" s="236"/>
      <c r="DA24" s="236"/>
      <c r="DB24" s="236"/>
      <c r="DC24" s="236"/>
      <c r="DD24" s="236"/>
      <c r="DE24" s="236"/>
      <c r="DF24" s="236"/>
      <c r="DG24" s="236"/>
      <c r="DH24" s="236"/>
      <c r="DI24" s="236"/>
      <c r="DJ24" s="236"/>
      <c r="DK24" s="236"/>
      <c r="DL24" s="236"/>
      <c r="DM24" s="236"/>
      <c r="DN24" s="236"/>
      <c r="DO24" s="236"/>
      <c r="DP24" s="236"/>
      <c r="DQ24" s="236"/>
      <c r="DR24" s="236"/>
      <c r="DS24" s="236"/>
      <c r="DT24" s="236"/>
      <c r="DU24" s="236"/>
      <c r="DV24" s="236"/>
      <c r="DW24" s="236"/>
      <c r="DX24" s="236"/>
      <c r="DY24" s="236"/>
      <c r="DZ24" s="236"/>
      <c r="EA24" s="236"/>
      <c r="EB24" s="236"/>
      <c r="EC24" s="236"/>
      <c r="ED24" s="236"/>
      <c r="EE24" s="236"/>
      <c r="EF24" s="236"/>
      <c r="EG24" s="236"/>
      <c r="EH24" s="236"/>
      <c r="EI24" s="236"/>
      <c r="EJ24" s="236"/>
      <c r="EK24" s="236"/>
      <c r="EL24" s="236"/>
      <c r="EM24" s="236"/>
      <c r="EN24" s="236"/>
      <c r="EO24" s="236"/>
      <c r="EP24" s="236"/>
      <c r="EQ24" s="236"/>
      <c r="ER24" s="236"/>
      <c r="ES24" s="236"/>
      <c r="ET24" s="236"/>
      <c r="EU24" s="236"/>
      <c r="EV24" s="236"/>
      <c r="EW24" s="236"/>
      <c r="EX24" s="236"/>
      <c r="EY24" s="236"/>
      <c r="EZ24" s="236"/>
      <c r="FA24" s="236"/>
      <c r="FB24" s="236"/>
      <c r="FC24" s="236"/>
      <c r="FD24" s="236"/>
      <c r="FE24" s="236"/>
      <c r="FF24" s="236"/>
      <c r="FG24" s="236"/>
      <c r="FH24" s="236"/>
      <c r="FI24" s="236"/>
      <c r="FJ24" s="236"/>
      <c r="FK24" s="236"/>
      <c r="FL24" s="236"/>
      <c r="FM24" s="236"/>
      <c r="FN24" s="236"/>
      <c r="FO24" s="236"/>
      <c r="FP24" s="236"/>
      <c r="FQ24" s="236"/>
      <c r="FR24" s="236"/>
      <c r="FS24" s="236"/>
      <c r="FT24" s="236"/>
      <c r="FU24" s="236"/>
      <c r="FV24" s="236"/>
      <c r="FW24" s="236"/>
      <c r="FX24" s="236"/>
      <c r="FY24" s="236"/>
      <c r="FZ24" s="236"/>
      <c r="GA24" s="236"/>
      <c r="GB24" s="236"/>
      <c r="GC24" s="236"/>
      <c r="GD24" s="236"/>
      <c r="GE24" s="236"/>
      <c r="GF24" s="236"/>
      <c r="GG24" s="236"/>
      <c r="GH24" s="236"/>
      <c r="GI24" s="236"/>
      <c r="GJ24" s="236"/>
      <c r="GK24" s="236"/>
      <c r="GL24" s="236"/>
      <c r="GM24" s="236"/>
      <c r="GN24" s="236"/>
      <c r="GO24" s="236"/>
      <c r="GP24" s="236"/>
      <c r="GQ24" s="236"/>
      <c r="GR24" s="236"/>
      <c r="GS24" s="236"/>
      <c r="GT24" s="236"/>
      <c r="GU24" s="236"/>
      <c r="GV24" s="236"/>
      <c r="GW24" s="236"/>
      <c r="GX24" s="236"/>
      <c r="GY24" s="236"/>
      <c r="GZ24" s="236"/>
      <c r="HA24" s="236"/>
      <c r="HB24" s="236"/>
      <c r="HC24" s="236"/>
      <c r="HD24" s="236"/>
      <c r="HE24" s="236"/>
      <c r="HF24" s="236"/>
      <c r="HG24" s="236"/>
      <c r="HH24" s="236"/>
      <c r="HI24" s="236"/>
      <c r="HJ24" s="236"/>
      <c r="HK24" s="236"/>
      <c r="HL24" s="236"/>
      <c r="HM24" s="236"/>
      <c r="HN24" s="236"/>
      <c r="HO24" s="236"/>
      <c r="HP24" s="236"/>
      <c r="HQ24" s="236"/>
      <c r="HR24" s="236"/>
      <c r="HS24" s="236"/>
      <c r="HT24" s="236"/>
      <c r="HU24" s="236"/>
      <c r="HV24" s="236"/>
      <c r="HW24" s="236"/>
      <c r="HX24" s="236"/>
      <c r="HY24" s="236"/>
      <c r="HZ24" s="236"/>
      <c r="IA24" s="236"/>
      <c r="IB24" s="236"/>
      <c r="IC24" s="236"/>
      <c r="ID24" s="236"/>
      <c r="IE24" s="236"/>
      <c r="IF24" s="236"/>
      <c r="IG24" s="236"/>
      <c r="IH24" s="236"/>
      <c r="II24" s="236"/>
      <c r="IJ24" s="236"/>
      <c r="IK24" s="236"/>
      <c r="IL24" s="236"/>
      <c r="IM24" s="236"/>
      <c r="IN24" s="236"/>
      <c r="IO24" s="236"/>
      <c r="IP24" s="236"/>
      <c r="IQ24" s="236"/>
      <c r="IR24" s="236"/>
      <c r="IS24" s="236"/>
      <c r="IT24" s="236"/>
      <c r="IU24" s="236"/>
      <c r="IV24" s="236"/>
      <c r="IW24" s="236"/>
      <c r="IX24" s="236"/>
      <c r="IY24" s="236"/>
      <c r="IZ24" s="236"/>
      <c r="JA24" s="236"/>
      <c r="JB24" s="236"/>
      <c r="JC24" s="236"/>
      <c r="JD24" s="236"/>
      <c r="JE24" s="236"/>
      <c r="JF24" s="236"/>
      <c r="JG24" s="236"/>
      <c r="JH24" s="236"/>
      <c r="JI24" s="236"/>
      <c r="JJ24" s="236"/>
      <c r="JK24" s="236"/>
      <c r="JL24" s="236"/>
      <c r="JM24" s="236"/>
      <c r="JN24" s="236"/>
      <c r="JO24" s="236"/>
      <c r="JP24" s="236"/>
      <c r="JQ24" s="411"/>
      <c r="JR24" s="411"/>
      <c r="JS24" s="411"/>
      <c r="JT24" s="411"/>
      <c r="JU24" s="411"/>
      <c r="JV24" s="411"/>
      <c r="JW24" s="411"/>
      <c r="KH24" s="412">
        <f t="shared" si="17"/>
        <v>21</v>
      </c>
      <c r="KI24" s="413">
        <f t="shared" ca="1" si="6"/>
        <v>1021</v>
      </c>
      <c r="KJ24" s="413" t="str">
        <f t="shared" ca="1" si="18"/>
        <v>Squeeze Cement : Squeeze Planned Include Used Coiled Tubing</v>
      </c>
      <c r="KK24" s="414">
        <f t="shared" ca="1" si="8"/>
        <v>0.75</v>
      </c>
    </row>
    <row r="25" spans="3:301" ht="24" customHeight="1">
      <c r="C25"/>
      <c r="D25" s="57" t="str">
        <f ca="1">INDIRECT(ADDRESS(ROWS($D$3:D24)+6,D$3,1,1,"3_TIME SUM"))</f>
        <v xml:space="preserve">Wash / Reaming / Backreaming </v>
      </c>
      <c r="E25" s="81" t="str">
        <f ca="1">IF(INDIRECT(ADDRESS(ROWS($E$3:E24)+6,E$3,1,1,"3_TIME SUM"))=0,E24,INDIRECT(ADDRESS(ROWS($E$3:E24)+6,E$3,1,1,"3_TIME SUM")))</f>
        <v>Reaming</v>
      </c>
      <c r="F25" s="57" t="str">
        <f t="shared" ca="1" si="3"/>
        <v xml:space="preserve">Reaming : Wash / Reaming / Backreaming </v>
      </c>
      <c r="G25" s="58" t="str">
        <f ca="1">VLOOKUP($D25,INDIRECT(ADDRESS(7,5,1,1,"3_TIME SUM")):INDIRECT(ADDRESS(200,7,1,1,"3_TIME SUM")),2,FALSE)</f>
        <v>3a</v>
      </c>
      <c r="H25" s="58" t="str">
        <f ca="1">IF(VLOOKUP($D25,INDIRECT(ADDRESS(7,5,1,1,"3_TIME SUM")):INDIRECT(ADDRESS(200,7,1,1,"3_TIME SUM")),3,FALSE)="","PT",VLOOKUP($D25,INDIRECT(ADDRESS(7,5,1,1,"3_TIME SUM")):INDIRECT(ADDRESS(200,7,1,1,"3_TIME SUM")),3,FALSE))</f>
        <v>PT</v>
      </c>
      <c r="I25" s="59">
        <f ca="1">IFERROR(IF(AND($D$2="NON PRODUCTIVE TIME",$H25="NPT"),SUMIF(INDIRECT(ADDRESS(8,COLUMN('2_DATA'!$M$9),1,1,"2_DATA")):INDIRECT(ADDRESS(3000,COLUMN('2_DATA'!$M$9),1,1,"2_DATA")),$G25,INDIRECT(ADDRESS(8,COLUMN('2_DATA'!$N$9),1,1,"2_DATA")):INDIRECT(ADDRESS(3000,COLUMN('2_DATA'!$N$9),1,1,"2_DATA"))),IF($D$2="ALL ACTIVITY",SUMIF(INDIRECT(ADDRESS(9,COLUMN('2_DATA'!$M$9),1,1,"2_DATA")):INDIRECT(ADDRESS(3000,COLUMN('2_DATA'!$M$9),1,1,"2_DATA")),$G25,INDIRECT(ADDRESS(9,COLUMN('2_DATA'!$N$9),1,1,"2_DATA")):INDIRECT(ADDRESS(3000,COLUMN('2_DATA'!$N$9),1,1,"2_DATA"))),SUMIF(INDIRECT(ADDRESS(OFFSET($A$3,MATCH($D$2,$A$4:$A$16,0)-1,1,,)+1,COLUMN('2_DATA'!$M$9),1,1,"2_DATA")):INDIRECT(ADDRESS(VLOOKUP($D$2,$A$4:$B$16,2,FALSE)-1,COLUMN('2_DATA'!$M$9),1,1,"2_DATA")),$G25,INDIRECT(ADDRESS(OFFSET($A$3,MATCH($D$2,$A$4:$A$16,0)-1,1,,)+1,COLUMN('2_DATA'!$N$9),1,1,"2_DATA")):INDIRECT(ADDRESS(VLOOKUP($D$2,$A$4:$B$16,2,FALSE)-1,COLUMN('2_DATA'!$N$9),1,1,"2_DATA"))))),0)</f>
        <v>11</v>
      </c>
      <c r="J25" s="58">
        <f ca="1">IF(I25=0,"",MAX($J$3:J24)+1)</f>
        <v>5</v>
      </c>
      <c r="L25" s="55">
        <f t="shared" ca="1" si="0"/>
        <v>1000</v>
      </c>
      <c r="M25" s="55">
        <f t="shared" ca="1" si="4"/>
        <v>1005</v>
      </c>
      <c r="N25" s="55"/>
      <c r="O25" s="55" t="str">
        <f t="shared" ca="1" si="10"/>
        <v/>
      </c>
      <c r="P25" s="55">
        <f t="shared" ca="1" si="1"/>
        <v>0</v>
      </c>
      <c r="Q25" s="55">
        <f ca="1">IFERROR(INDEX($O$4:$P$226,MATCH(ROWS($Q$3:Q24),$P$4:$P$226,0),1),"-")</f>
        <v>1021</v>
      </c>
      <c r="R25" s="62" t="str">
        <f t="shared" ca="1" si="2"/>
        <v>Squeeze Cement : Squeeze Planned Include Used Coiled Tubing</v>
      </c>
      <c r="S25" s="55">
        <f t="shared" ca="1" si="5"/>
        <v>21</v>
      </c>
      <c r="V25" s="68">
        <f t="shared" ca="1" si="11"/>
        <v>12</v>
      </c>
      <c r="W25" s="69" t="str">
        <f t="shared" ca="1" si="12"/>
        <v>Repair Rig : Tubular Problem (NPT)</v>
      </c>
      <c r="X25" s="70" t="s">
        <v>84</v>
      </c>
      <c r="Y25" s="68" t="str">
        <f t="shared" ca="1" si="16"/>
        <v>NPT</v>
      </c>
      <c r="Z25" s="71" t="str">
        <f t="shared" ca="1" si="13"/>
        <v>8f</v>
      </c>
      <c r="AA25" s="72">
        <f t="shared" ca="1" si="14"/>
        <v>8</v>
      </c>
      <c r="AB25" s="305">
        <f t="shared" ca="1" si="15"/>
        <v>0.33333333333333331</v>
      </c>
      <c r="AC25" s="236"/>
      <c r="AD25" s="236"/>
      <c r="AE25" s="316"/>
      <c r="AF25" s="315"/>
      <c r="AG25" s="236"/>
      <c r="AH25" s="236"/>
      <c r="AI25" s="236"/>
      <c r="AJ25" s="236"/>
      <c r="AK25" s="236"/>
      <c r="AL25" s="236"/>
      <c r="AM25" s="236"/>
      <c r="AN25" s="236"/>
      <c r="AO25" s="236"/>
      <c r="AP25" s="236"/>
      <c r="AQ25" s="236"/>
      <c r="AR25" s="236"/>
      <c r="AS25" s="236"/>
      <c r="AT25" s="236"/>
      <c r="AU25" s="236"/>
      <c r="AV25" s="236"/>
      <c r="AW25" s="236"/>
      <c r="AX25" s="236"/>
      <c r="AY25" s="236"/>
      <c r="AZ25" s="236"/>
      <c r="BA25" s="236"/>
      <c r="BB25" s="236"/>
      <c r="BC25" s="236"/>
      <c r="BD25" s="236"/>
      <c r="BE25" s="236"/>
      <c r="BF25" s="236"/>
      <c r="BG25" s="236"/>
      <c r="BH25" s="236"/>
      <c r="BI25" s="236"/>
      <c r="BJ25" s="236"/>
      <c r="BK25" s="236"/>
      <c r="BL25" s="236"/>
      <c r="BM25" s="236"/>
      <c r="BN25" s="236"/>
      <c r="BO25" s="236"/>
      <c r="BP25" s="236"/>
      <c r="BQ25" s="236"/>
      <c r="BR25" s="236"/>
      <c r="BS25" s="236"/>
      <c r="BT25" s="236"/>
      <c r="BU25" s="236"/>
      <c r="BV25" s="236"/>
      <c r="BW25" s="236"/>
      <c r="BX25" s="236"/>
      <c r="BY25" s="236"/>
      <c r="BZ25" s="236"/>
      <c r="CA25" s="236"/>
      <c r="CB25" s="236"/>
      <c r="CC25" s="236"/>
      <c r="CD25" s="236"/>
      <c r="CE25" s="236"/>
      <c r="CF25" s="236"/>
      <c r="CG25" s="236"/>
      <c r="CH25" s="236"/>
      <c r="CI25" s="236"/>
      <c r="CJ25" s="236"/>
      <c r="CK25" s="236"/>
      <c r="CL25" s="236"/>
      <c r="CM25" s="236"/>
      <c r="CN25" s="236"/>
      <c r="CO25" s="236"/>
      <c r="CP25" s="236"/>
      <c r="CQ25" s="236"/>
      <c r="CR25" s="236"/>
      <c r="CS25" s="236"/>
      <c r="CT25" s="236"/>
      <c r="CU25" s="236"/>
      <c r="CV25" s="236"/>
      <c r="CW25" s="236"/>
      <c r="CX25" s="236"/>
      <c r="CY25" s="236"/>
      <c r="CZ25" s="236"/>
      <c r="DA25" s="236"/>
      <c r="DB25" s="236"/>
      <c r="DC25" s="236"/>
      <c r="DD25" s="236"/>
      <c r="DE25" s="236"/>
      <c r="DF25" s="236"/>
      <c r="DG25" s="236"/>
      <c r="DH25" s="236"/>
      <c r="DI25" s="236"/>
      <c r="DJ25" s="236"/>
      <c r="DK25" s="236"/>
      <c r="DL25" s="236"/>
      <c r="DM25" s="236"/>
      <c r="DN25" s="236"/>
      <c r="DO25" s="236"/>
      <c r="DP25" s="236"/>
      <c r="DQ25" s="236"/>
      <c r="DR25" s="236"/>
      <c r="DS25" s="236"/>
      <c r="DT25" s="236"/>
      <c r="DU25" s="236"/>
      <c r="DV25" s="236"/>
      <c r="DW25" s="236"/>
      <c r="DX25" s="236"/>
      <c r="DY25" s="236"/>
      <c r="DZ25" s="236"/>
      <c r="EA25" s="236"/>
      <c r="EB25" s="236"/>
      <c r="EC25" s="236"/>
      <c r="ED25" s="236"/>
      <c r="EE25" s="236"/>
      <c r="EF25" s="236"/>
      <c r="EG25" s="236"/>
      <c r="EH25" s="236"/>
      <c r="EI25" s="236"/>
      <c r="EJ25" s="236"/>
      <c r="EK25" s="236"/>
      <c r="EL25" s="236"/>
      <c r="EM25" s="236"/>
      <c r="EN25" s="236"/>
      <c r="EO25" s="236"/>
      <c r="EP25" s="236"/>
      <c r="EQ25" s="236"/>
      <c r="ER25" s="236"/>
      <c r="ES25" s="236"/>
      <c r="ET25" s="236"/>
      <c r="EU25" s="236"/>
      <c r="EV25" s="236"/>
      <c r="EW25" s="236"/>
      <c r="EX25" s="236"/>
      <c r="EY25" s="236"/>
      <c r="EZ25" s="236"/>
      <c r="FA25" s="236"/>
      <c r="FB25" s="236"/>
      <c r="FC25" s="236"/>
      <c r="FD25" s="236"/>
      <c r="FE25" s="236"/>
      <c r="FF25" s="236"/>
      <c r="FG25" s="236"/>
      <c r="FH25" s="236"/>
      <c r="FI25" s="236"/>
      <c r="FJ25" s="236"/>
      <c r="FK25" s="236"/>
      <c r="FL25" s="236"/>
      <c r="FM25" s="236"/>
      <c r="FN25" s="236"/>
      <c r="FO25" s="236"/>
      <c r="FP25" s="236"/>
      <c r="FQ25" s="236"/>
      <c r="FR25" s="236"/>
      <c r="FS25" s="236"/>
      <c r="FT25" s="236"/>
      <c r="FU25" s="236"/>
      <c r="FV25" s="236"/>
      <c r="FW25" s="236"/>
      <c r="FX25" s="236"/>
      <c r="FY25" s="236"/>
      <c r="FZ25" s="236"/>
      <c r="GA25" s="236"/>
      <c r="GB25" s="236"/>
      <c r="GC25" s="236"/>
      <c r="GD25" s="236"/>
      <c r="GE25" s="236"/>
      <c r="GF25" s="236"/>
      <c r="GG25" s="236"/>
      <c r="GH25" s="236"/>
      <c r="GI25" s="236"/>
      <c r="GJ25" s="236"/>
      <c r="GK25" s="236"/>
      <c r="GL25" s="236"/>
      <c r="GM25" s="236"/>
      <c r="GN25" s="236"/>
      <c r="GO25" s="236"/>
      <c r="GP25" s="236"/>
      <c r="GQ25" s="236"/>
      <c r="GR25" s="236"/>
      <c r="GS25" s="236"/>
      <c r="GT25" s="236"/>
      <c r="GU25" s="236"/>
      <c r="GV25" s="236"/>
      <c r="GW25" s="236"/>
      <c r="GX25" s="236"/>
      <c r="GY25" s="236"/>
      <c r="GZ25" s="236"/>
      <c r="HA25" s="236"/>
      <c r="HB25" s="236"/>
      <c r="HC25" s="236"/>
      <c r="HD25" s="236"/>
      <c r="HE25" s="236"/>
      <c r="HF25" s="236"/>
      <c r="HG25" s="236"/>
      <c r="HH25" s="236"/>
      <c r="HI25" s="236"/>
      <c r="HJ25" s="236"/>
      <c r="HK25" s="236"/>
      <c r="HL25" s="236"/>
      <c r="HM25" s="236"/>
      <c r="HN25" s="236"/>
      <c r="HO25" s="236"/>
      <c r="HP25" s="236"/>
      <c r="HQ25" s="236"/>
      <c r="HR25" s="236"/>
      <c r="HS25" s="236"/>
      <c r="HT25" s="236"/>
      <c r="HU25" s="236"/>
      <c r="HV25" s="236"/>
      <c r="HW25" s="236"/>
      <c r="HX25" s="236"/>
      <c r="HY25" s="236"/>
      <c r="HZ25" s="236"/>
      <c r="IA25" s="236"/>
      <c r="IB25" s="236"/>
      <c r="IC25" s="236"/>
      <c r="ID25" s="236"/>
      <c r="IE25" s="236"/>
      <c r="IF25" s="236"/>
      <c r="IG25" s="236"/>
      <c r="IH25" s="236"/>
      <c r="II25" s="236"/>
      <c r="IJ25" s="236"/>
      <c r="IK25" s="236"/>
      <c r="IL25" s="236"/>
      <c r="IM25" s="236"/>
      <c r="IN25" s="236"/>
      <c r="IO25" s="236"/>
      <c r="IP25" s="236"/>
      <c r="IQ25" s="236"/>
      <c r="IR25" s="236"/>
      <c r="IS25" s="236"/>
      <c r="IT25" s="236"/>
      <c r="IU25" s="236"/>
      <c r="IV25" s="236"/>
      <c r="IW25" s="236"/>
      <c r="IX25" s="236"/>
      <c r="IY25" s="236"/>
      <c r="IZ25" s="236"/>
      <c r="JA25" s="236"/>
      <c r="JB25" s="236"/>
      <c r="JC25" s="236"/>
      <c r="JD25" s="236"/>
      <c r="JE25" s="236"/>
      <c r="JF25" s="236"/>
      <c r="JG25" s="236"/>
      <c r="JH25" s="236"/>
      <c r="JI25" s="236"/>
      <c r="JJ25" s="236"/>
      <c r="JK25" s="236"/>
      <c r="JL25" s="236"/>
      <c r="JM25" s="236"/>
      <c r="JN25" s="236"/>
      <c r="JO25" s="236"/>
      <c r="JP25" s="236"/>
      <c r="JQ25" s="411"/>
      <c r="JR25" s="411"/>
      <c r="JS25" s="411"/>
      <c r="JT25" s="411"/>
      <c r="JU25" s="411"/>
      <c r="JV25" s="411"/>
      <c r="JW25" s="411"/>
      <c r="KH25" s="412">
        <f t="shared" si="17"/>
        <v>22</v>
      </c>
      <c r="KI25" s="413">
        <f t="shared" ca="1" si="6"/>
        <v>1022</v>
      </c>
      <c r="KJ25" s="413" t="str">
        <f t="shared" ca="1" si="18"/>
        <v>Uncontrol Situation : Waiting on Weather</v>
      </c>
      <c r="KK25" s="414">
        <f t="shared" ca="1" si="8"/>
        <v>0.20833333333333334</v>
      </c>
    </row>
    <row r="26" spans="3:301" s="44" customFormat="1" ht="24" customHeight="1">
      <c r="C26"/>
      <c r="D26" s="57" t="str">
        <f ca="1">INDIRECT(ADDRESS(ROWS($D$3:D25)+6,D$3,1,1,"3_TIME SUM"))</f>
        <v>Wash / Reaming / Backreaming Unplanned (NPT)</v>
      </c>
      <c r="E26" s="81" t="str">
        <f ca="1">IF(INDIRECT(ADDRESS(ROWS($E$3:E25)+6,E$3,1,1,"3_TIME SUM"))=0,E25,INDIRECT(ADDRESS(ROWS($E$3:E25)+6,E$3,1,1,"3_TIME SUM")))</f>
        <v>Reaming</v>
      </c>
      <c r="F26" s="57" t="str">
        <f t="shared" ca="1" si="3"/>
        <v>Reaming : Wash / Reaming / Backreaming Unplanned (NPT)</v>
      </c>
      <c r="G26" s="58" t="str">
        <f ca="1">VLOOKUP($D26,INDIRECT(ADDRESS(7,5,1,1,"3_TIME SUM")):INDIRECT(ADDRESS(200,7,1,1,"3_TIME SUM")),2,FALSE)</f>
        <v>3b</v>
      </c>
      <c r="H26" s="58" t="str">
        <f ca="1">IF(VLOOKUP($D26,INDIRECT(ADDRESS(7,5,1,1,"3_TIME SUM")):INDIRECT(ADDRESS(200,7,1,1,"3_TIME SUM")),3,FALSE)="","PT",VLOOKUP($D26,INDIRECT(ADDRESS(7,5,1,1,"3_TIME SUM")):INDIRECT(ADDRESS(200,7,1,1,"3_TIME SUM")),3,FALSE))</f>
        <v>NPT</v>
      </c>
      <c r="I26" s="59">
        <f ca="1">IFERROR(IF(AND($D$2="NON PRODUCTIVE TIME",$H26="NPT"),SUMIF(INDIRECT(ADDRESS(8,COLUMN('2_DATA'!$M$9),1,1,"2_DATA")):INDIRECT(ADDRESS(3000,COLUMN('2_DATA'!$M$9),1,1,"2_DATA")),$G26,INDIRECT(ADDRESS(8,COLUMN('2_DATA'!$N$9),1,1,"2_DATA")):INDIRECT(ADDRESS(3000,COLUMN('2_DATA'!$N$9),1,1,"2_DATA"))),IF($D$2="ALL ACTIVITY",SUMIF(INDIRECT(ADDRESS(9,COLUMN('2_DATA'!$M$9),1,1,"2_DATA")):INDIRECT(ADDRESS(3000,COLUMN('2_DATA'!$M$9),1,1,"2_DATA")),$G26,INDIRECT(ADDRESS(9,COLUMN('2_DATA'!$N$9),1,1,"2_DATA")):INDIRECT(ADDRESS(3000,COLUMN('2_DATA'!$N$9),1,1,"2_DATA"))),SUMIF(INDIRECT(ADDRESS(OFFSET($A$3,MATCH($D$2,$A$4:$A$16,0)-1,1,,)+1,COLUMN('2_DATA'!$M$9),1,1,"2_DATA")):INDIRECT(ADDRESS(VLOOKUP($D$2,$A$4:$B$16,2,FALSE)-1,COLUMN('2_DATA'!$M$9),1,1,"2_DATA")),$G26,INDIRECT(ADDRESS(OFFSET($A$3,MATCH($D$2,$A$4:$A$16,0)-1,1,,)+1,COLUMN('2_DATA'!$N$9),1,1,"2_DATA")):INDIRECT(ADDRESS(VLOOKUP($D$2,$A$4:$B$16,2,FALSE)-1,COLUMN('2_DATA'!$N$9),1,1,"2_DATA"))))),0)</f>
        <v>0</v>
      </c>
      <c r="J26" s="58" t="str">
        <f ca="1">IF(I26=0,"",MAX($J$3:J25)+1)</f>
        <v/>
      </c>
      <c r="K26"/>
      <c r="L26" s="55">
        <f t="shared" ca="1" si="0"/>
        <v>1000</v>
      </c>
      <c r="M26" s="55" t="str">
        <f t="shared" ca="1" si="4"/>
        <v/>
      </c>
      <c r="N26" s="55"/>
      <c r="O26" s="55" t="str">
        <f t="shared" ca="1" si="10"/>
        <v/>
      </c>
      <c r="P26" s="55">
        <f t="shared" ca="1" si="1"/>
        <v>0</v>
      </c>
      <c r="Q26" s="55">
        <f ca="1">IFERROR(INDEX($O$4:$P$226,MATCH(ROWS($Q$3:Q25),$P$4:$P$226,0),1),"-")</f>
        <v>1022</v>
      </c>
      <c r="R26" s="62" t="str">
        <f t="shared" ca="1" si="2"/>
        <v>Uncontrol Situation : Waiting on Weather</v>
      </c>
      <c r="S26" s="55">
        <f t="shared" ca="1" si="5"/>
        <v>22</v>
      </c>
      <c r="T26" s="41"/>
      <c r="U26" s="41"/>
      <c r="V26" s="68">
        <f t="shared" ca="1" si="11"/>
        <v>13</v>
      </c>
      <c r="W26" s="69" t="str">
        <f t="shared" ca="1" si="12"/>
        <v xml:space="preserve">Wireline Logs : Wireline Logging / Drill Pipe conveyed </v>
      </c>
      <c r="X26" s="70" t="s">
        <v>84</v>
      </c>
      <c r="Y26" s="68" t="str">
        <f t="shared" ca="1" si="16"/>
        <v>PT</v>
      </c>
      <c r="Z26" s="71" t="str">
        <f t="shared" ca="1" si="13"/>
        <v>11a</v>
      </c>
      <c r="AA26" s="72">
        <f t="shared" ca="1" si="14"/>
        <v>14.5</v>
      </c>
      <c r="AB26" s="305">
        <f t="shared" ca="1" si="15"/>
        <v>0.60416666666666663</v>
      </c>
      <c r="AC26" s="236"/>
      <c r="AD26" s="317"/>
      <c r="AE26" s="318"/>
      <c r="AF26" s="315"/>
      <c r="AG26" s="236"/>
      <c r="AH26" s="319"/>
      <c r="AI26" s="319"/>
      <c r="AJ26" s="319"/>
      <c r="AK26" s="319"/>
      <c r="AL26" s="319"/>
      <c r="AM26" s="319"/>
      <c r="AN26" s="319"/>
      <c r="AO26" s="319"/>
      <c r="AP26" s="319"/>
      <c r="AQ26" s="319"/>
      <c r="AR26" s="319"/>
      <c r="AS26" s="319"/>
      <c r="AT26" s="319"/>
      <c r="AU26" s="319"/>
      <c r="AV26" s="319"/>
      <c r="AW26" s="319"/>
      <c r="AX26" s="319"/>
      <c r="AY26" s="319"/>
      <c r="AZ26" s="319"/>
      <c r="BA26" s="319"/>
      <c r="BB26" s="319"/>
      <c r="BC26" s="319"/>
      <c r="BD26" s="319"/>
      <c r="BE26" s="319"/>
      <c r="BF26" s="319"/>
      <c r="BG26" s="319"/>
      <c r="BH26" s="319"/>
      <c r="BI26" s="319"/>
      <c r="BJ26" s="319"/>
      <c r="BK26" s="319"/>
      <c r="BL26" s="319"/>
      <c r="BM26" s="319"/>
      <c r="BN26" s="319"/>
      <c r="BO26" s="319"/>
      <c r="BP26" s="319"/>
      <c r="BQ26" s="319"/>
      <c r="BR26" s="319"/>
      <c r="BS26" s="319"/>
      <c r="BT26" s="319"/>
      <c r="BU26" s="319"/>
      <c r="BV26" s="319"/>
      <c r="BW26" s="319"/>
      <c r="BX26" s="319"/>
      <c r="BY26" s="319"/>
      <c r="BZ26" s="319"/>
      <c r="CA26" s="319"/>
      <c r="CB26" s="319"/>
      <c r="CC26" s="319"/>
      <c r="CD26" s="319"/>
      <c r="CE26" s="319"/>
      <c r="CF26" s="319"/>
      <c r="CG26" s="319"/>
      <c r="CH26" s="319"/>
      <c r="CI26" s="319"/>
      <c r="CJ26" s="319"/>
      <c r="CK26" s="319"/>
      <c r="CL26" s="319"/>
      <c r="CM26" s="319"/>
      <c r="CN26" s="319"/>
      <c r="CO26" s="319"/>
      <c r="CP26" s="319"/>
      <c r="CQ26" s="319"/>
      <c r="CR26" s="319"/>
      <c r="CS26" s="319"/>
      <c r="CT26" s="319"/>
      <c r="CU26" s="319"/>
      <c r="CV26" s="319"/>
      <c r="CW26" s="319"/>
      <c r="CX26" s="319"/>
      <c r="CY26" s="319"/>
      <c r="CZ26" s="319"/>
      <c r="DA26" s="319"/>
      <c r="DB26" s="319"/>
      <c r="DC26" s="319"/>
      <c r="DD26" s="319"/>
      <c r="DE26" s="319"/>
      <c r="DF26" s="319"/>
      <c r="DG26" s="319"/>
      <c r="DH26" s="319"/>
      <c r="DI26" s="319"/>
      <c r="DJ26" s="319"/>
      <c r="DK26" s="319"/>
      <c r="DL26" s="319"/>
      <c r="DM26" s="319"/>
      <c r="DN26" s="319"/>
      <c r="DO26" s="319"/>
      <c r="DP26" s="319"/>
      <c r="DQ26" s="319"/>
      <c r="DR26" s="319"/>
      <c r="DS26" s="319"/>
      <c r="DT26" s="319"/>
      <c r="DU26" s="319"/>
      <c r="DV26" s="319"/>
      <c r="DW26" s="319"/>
      <c r="DX26" s="319"/>
      <c r="DY26" s="319"/>
      <c r="DZ26" s="319"/>
      <c r="EA26" s="319"/>
      <c r="EB26" s="319"/>
      <c r="EC26" s="319"/>
      <c r="ED26" s="319"/>
      <c r="EE26" s="319"/>
      <c r="EF26" s="319"/>
      <c r="EG26" s="319"/>
      <c r="EH26" s="319"/>
      <c r="EI26" s="319"/>
      <c r="EJ26" s="319"/>
      <c r="EK26" s="319"/>
      <c r="EL26" s="319"/>
      <c r="EM26" s="319"/>
      <c r="EN26" s="319"/>
      <c r="EO26" s="319"/>
      <c r="EP26" s="319"/>
      <c r="EQ26" s="319"/>
      <c r="ER26" s="319"/>
      <c r="ES26" s="319"/>
      <c r="ET26" s="319"/>
      <c r="EU26" s="319"/>
      <c r="EV26" s="319"/>
      <c r="EW26" s="319"/>
      <c r="EX26" s="319"/>
      <c r="EY26" s="319"/>
      <c r="EZ26" s="319"/>
      <c r="FA26" s="319"/>
      <c r="FB26" s="319"/>
      <c r="FC26" s="319"/>
      <c r="FD26" s="319"/>
      <c r="FE26" s="319"/>
      <c r="FF26" s="319"/>
      <c r="FG26" s="319"/>
      <c r="FH26" s="319"/>
      <c r="FI26" s="319"/>
      <c r="FJ26" s="319"/>
      <c r="FK26" s="319"/>
      <c r="FL26" s="319"/>
      <c r="FM26" s="319"/>
      <c r="FN26" s="319"/>
      <c r="FO26" s="319"/>
      <c r="FP26" s="319"/>
      <c r="FQ26" s="319"/>
      <c r="FR26" s="319"/>
      <c r="FS26" s="319"/>
      <c r="FT26" s="319"/>
      <c r="FU26" s="319"/>
      <c r="FV26" s="319"/>
      <c r="FW26" s="319"/>
      <c r="FX26" s="319"/>
      <c r="FY26" s="319"/>
      <c r="FZ26" s="319"/>
      <c r="GA26" s="319"/>
      <c r="GB26" s="319"/>
      <c r="GC26" s="319"/>
      <c r="GD26" s="319"/>
      <c r="GE26" s="319"/>
      <c r="GF26" s="319"/>
      <c r="GG26" s="319"/>
      <c r="GH26" s="319"/>
      <c r="GI26" s="319"/>
      <c r="GJ26" s="319"/>
      <c r="GK26" s="319"/>
      <c r="GL26" s="319"/>
      <c r="GM26" s="319"/>
      <c r="GN26" s="319"/>
      <c r="GO26" s="319"/>
      <c r="GP26" s="319"/>
      <c r="GQ26" s="319"/>
      <c r="GR26" s="319"/>
      <c r="GS26" s="319"/>
      <c r="GT26" s="319"/>
      <c r="GU26" s="319"/>
      <c r="GV26" s="319"/>
      <c r="GW26" s="319"/>
      <c r="GX26" s="319"/>
      <c r="GY26" s="319"/>
      <c r="GZ26" s="319"/>
      <c r="HA26" s="319"/>
      <c r="HB26" s="319"/>
      <c r="HC26" s="319"/>
      <c r="HD26" s="319"/>
      <c r="HE26" s="319"/>
      <c r="HF26" s="319"/>
      <c r="HG26" s="319"/>
      <c r="HH26" s="319"/>
      <c r="HI26" s="319"/>
      <c r="HJ26" s="319"/>
      <c r="HK26" s="319"/>
      <c r="HL26" s="319"/>
      <c r="HM26" s="319"/>
      <c r="HN26" s="319"/>
      <c r="HO26" s="319"/>
      <c r="HP26" s="319"/>
      <c r="HQ26" s="319"/>
      <c r="HR26" s="319"/>
      <c r="HS26" s="319"/>
      <c r="HT26" s="319"/>
      <c r="HU26" s="319"/>
      <c r="HV26" s="319"/>
      <c r="HW26" s="319"/>
      <c r="HX26" s="319"/>
      <c r="HY26" s="319"/>
      <c r="HZ26" s="319"/>
      <c r="IA26" s="319"/>
      <c r="IB26" s="319"/>
      <c r="IC26" s="319"/>
      <c r="ID26" s="319"/>
      <c r="IE26" s="319"/>
      <c r="IF26" s="319"/>
      <c r="IG26" s="319"/>
      <c r="IH26" s="319"/>
      <c r="II26" s="319"/>
      <c r="IJ26" s="319"/>
      <c r="IK26" s="319"/>
      <c r="IL26" s="319"/>
      <c r="IM26" s="319"/>
      <c r="IN26" s="319"/>
      <c r="IO26" s="319"/>
      <c r="IP26" s="319"/>
      <c r="IQ26" s="319"/>
      <c r="IR26" s="319"/>
      <c r="IS26" s="319"/>
      <c r="IT26" s="319"/>
      <c r="IU26" s="319"/>
      <c r="IV26" s="319"/>
      <c r="IW26" s="319"/>
      <c r="IX26" s="319"/>
      <c r="IY26" s="319"/>
      <c r="IZ26" s="319"/>
      <c r="JA26" s="319"/>
      <c r="JB26" s="319"/>
      <c r="JC26" s="319"/>
      <c r="JD26" s="319"/>
      <c r="JE26" s="319"/>
      <c r="JF26" s="319"/>
      <c r="JG26" s="319"/>
      <c r="JH26" s="319"/>
      <c r="JI26" s="319"/>
      <c r="JJ26" s="319"/>
      <c r="JK26" s="319"/>
      <c r="JL26" s="319"/>
      <c r="JM26" s="319"/>
      <c r="JN26" s="319"/>
      <c r="JO26" s="319"/>
      <c r="JP26" s="319"/>
      <c r="JQ26" s="411"/>
      <c r="JR26" s="411"/>
      <c r="JS26" s="411"/>
      <c r="JT26" s="411"/>
      <c r="JU26" s="411"/>
      <c r="JV26" s="411"/>
      <c r="JW26" s="411"/>
      <c r="JX26" s="411"/>
      <c r="JY26" s="411"/>
      <c r="JZ26" s="411"/>
      <c r="KA26" s="411"/>
      <c r="KB26" s="411"/>
      <c r="KC26" s="411"/>
      <c r="KD26" s="411"/>
      <c r="KE26" s="411"/>
      <c r="KF26" s="411"/>
      <c r="KG26" s="411"/>
      <c r="KH26" s="412">
        <f t="shared" si="17"/>
        <v>23</v>
      </c>
      <c r="KI26" s="413">
        <f t="shared" ca="1" si="6"/>
        <v>1023</v>
      </c>
      <c r="KJ26" s="413" t="str">
        <f t="shared" ca="1" si="18"/>
        <v>Trips : Running / pulling Scraper</v>
      </c>
      <c r="KK26" s="414">
        <f t="shared" ca="1" si="8"/>
        <v>1</v>
      </c>
      <c r="KL26" s="416"/>
      <c r="KM26" s="416"/>
      <c r="KN26" s="416"/>
      <c r="KO26" s="416"/>
    </row>
    <row r="27" spans="3:301" ht="24" customHeight="1">
      <c r="C27"/>
      <c r="D27" s="57" t="str">
        <f ca="1">INDIRECT(ADDRESS(ROWS($D$3:D26)+6,D$3,1,1,"3_TIME SUM"))</f>
        <v>Enlarge Hole (Under Reaming)</v>
      </c>
      <c r="E27" s="81" t="str">
        <f ca="1">IF(INDIRECT(ADDRESS(ROWS($E$3:E26)+6,E$3,1,1,"3_TIME SUM"))=0,E26,INDIRECT(ADDRESS(ROWS($E$3:E26)+6,E$3,1,1,"3_TIME SUM")))</f>
        <v>Reaming</v>
      </c>
      <c r="F27" s="57" t="str">
        <f t="shared" ca="1" si="3"/>
        <v>Reaming : Enlarge Hole (Under Reaming)</v>
      </c>
      <c r="G27" s="58" t="str">
        <f ca="1">VLOOKUP($D27,INDIRECT(ADDRESS(7,5,1,1,"3_TIME SUM")):INDIRECT(ADDRESS(200,7,1,1,"3_TIME SUM")),2,FALSE)</f>
        <v>3c</v>
      </c>
      <c r="H27" s="58" t="str">
        <f ca="1">IF(VLOOKUP($D27,INDIRECT(ADDRESS(7,5,1,1,"3_TIME SUM")):INDIRECT(ADDRESS(200,7,1,1,"3_TIME SUM")),3,FALSE)="","PT",VLOOKUP($D27,INDIRECT(ADDRESS(7,5,1,1,"3_TIME SUM")):INDIRECT(ADDRESS(200,7,1,1,"3_TIME SUM")),3,FALSE))</f>
        <v>PT</v>
      </c>
      <c r="I27" s="59">
        <f ca="1">IFERROR(IF(AND($D$2="NON PRODUCTIVE TIME",$H27="NPT"),SUMIF(INDIRECT(ADDRESS(8,COLUMN('2_DATA'!$M$9),1,1,"2_DATA")):INDIRECT(ADDRESS(3000,COLUMN('2_DATA'!$M$9),1,1,"2_DATA")),$G27,INDIRECT(ADDRESS(8,COLUMN('2_DATA'!$N$9),1,1,"2_DATA")):INDIRECT(ADDRESS(3000,COLUMN('2_DATA'!$N$9),1,1,"2_DATA"))),IF($D$2="ALL ACTIVITY",SUMIF(INDIRECT(ADDRESS(9,COLUMN('2_DATA'!$M$9),1,1,"2_DATA")):INDIRECT(ADDRESS(3000,COLUMN('2_DATA'!$M$9),1,1,"2_DATA")),$G27,INDIRECT(ADDRESS(9,COLUMN('2_DATA'!$N$9),1,1,"2_DATA")):INDIRECT(ADDRESS(3000,COLUMN('2_DATA'!$N$9),1,1,"2_DATA"))),SUMIF(INDIRECT(ADDRESS(OFFSET($A$3,MATCH($D$2,$A$4:$A$16,0)-1,1,,)+1,COLUMN('2_DATA'!$M$9),1,1,"2_DATA")):INDIRECT(ADDRESS(VLOOKUP($D$2,$A$4:$B$16,2,FALSE)-1,COLUMN('2_DATA'!$M$9),1,1,"2_DATA")),$G27,INDIRECT(ADDRESS(OFFSET($A$3,MATCH($D$2,$A$4:$A$16,0)-1,1,,)+1,COLUMN('2_DATA'!$N$9),1,1,"2_DATA")):INDIRECT(ADDRESS(VLOOKUP($D$2,$A$4:$B$16,2,FALSE)-1,COLUMN('2_DATA'!$N$9),1,1,"2_DATA"))))),0)</f>
        <v>0</v>
      </c>
      <c r="J27" s="58" t="str">
        <f ca="1">IF(I27=0,"",MAX($J$3:J26)+1)</f>
        <v/>
      </c>
      <c r="L27" s="55">
        <f t="shared" ca="1" si="0"/>
        <v>1000</v>
      </c>
      <c r="M27" s="55" t="str">
        <f t="shared" ca="1" si="4"/>
        <v/>
      </c>
      <c r="N27" s="55"/>
      <c r="O27" s="55" t="str">
        <f t="shared" ca="1" si="10"/>
        <v/>
      </c>
      <c r="P27" s="55">
        <f t="shared" ca="1" si="1"/>
        <v>0</v>
      </c>
      <c r="Q27" s="55">
        <f ca="1">IFERROR(INDEX($O$4:$P$226,MATCH(ROWS($Q$3:Q26),$P$4:$P$226,0),1),"-")</f>
        <v>1023</v>
      </c>
      <c r="R27" s="62" t="str">
        <f t="shared" ca="1" si="2"/>
        <v>Trips : Running / pulling Scraper</v>
      </c>
      <c r="S27" s="55">
        <f t="shared" ca="1" si="5"/>
        <v>23</v>
      </c>
      <c r="V27" s="68">
        <f t="shared" ca="1" si="11"/>
        <v>14</v>
      </c>
      <c r="W27" s="69" t="str">
        <f t="shared" ca="1" si="12"/>
        <v>Wireline Logs : Wireline Work Other</v>
      </c>
      <c r="X27" s="70" t="s">
        <v>84</v>
      </c>
      <c r="Y27" s="68" t="str">
        <f t="shared" ca="1" si="16"/>
        <v>PT</v>
      </c>
      <c r="Z27" s="71" t="str">
        <f t="shared" ca="1" si="13"/>
        <v>11b</v>
      </c>
      <c r="AA27" s="72">
        <f t="shared" ca="1" si="14"/>
        <v>1</v>
      </c>
      <c r="AB27" s="305">
        <f t="shared" ca="1" si="15"/>
        <v>4.1666666666666664E-2</v>
      </c>
      <c r="AC27" s="236"/>
      <c r="AD27" s="236"/>
      <c r="AE27" s="316"/>
      <c r="AF27" s="236"/>
      <c r="AG27" s="236"/>
      <c r="AH27" s="236"/>
      <c r="AI27" s="236"/>
      <c r="AJ27" s="236"/>
      <c r="AK27" s="236"/>
      <c r="AL27" s="236"/>
      <c r="AM27" s="236"/>
      <c r="AN27" s="236"/>
      <c r="AO27" s="236"/>
      <c r="AP27" s="236"/>
      <c r="AQ27" s="236"/>
      <c r="AR27" s="236"/>
      <c r="AS27" s="236"/>
      <c r="AT27" s="236"/>
      <c r="AU27" s="236"/>
      <c r="AV27" s="236"/>
      <c r="AW27" s="236"/>
      <c r="AX27" s="236"/>
      <c r="AY27" s="236"/>
      <c r="AZ27" s="236"/>
      <c r="BA27" s="236"/>
      <c r="BB27" s="236"/>
      <c r="BC27" s="236"/>
      <c r="BD27" s="236"/>
      <c r="BE27" s="236"/>
      <c r="BF27" s="236"/>
      <c r="BG27" s="236"/>
      <c r="BH27" s="236"/>
      <c r="BI27" s="236"/>
      <c r="BJ27" s="236"/>
      <c r="BK27" s="236"/>
      <c r="BL27" s="236"/>
      <c r="BM27" s="236"/>
      <c r="BN27" s="236"/>
      <c r="BO27" s="236"/>
      <c r="BP27" s="236"/>
      <c r="BQ27" s="236"/>
      <c r="BR27" s="236"/>
      <c r="BS27" s="236"/>
      <c r="BT27" s="236"/>
      <c r="BU27" s="236"/>
      <c r="BV27" s="236"/>
      <c r="BW27" s="236"/>
      <c r="BX27" s="236"/>
      <c r="BY27" s="236"/>
      <c r="BZ27" s="236"/>
      <c r="CA27" s="236"/>
      <c r="CB27" s="236"/>
      <c r="CC27" s="236"/>
      <c r="CD27" s="236"/>
      <c r="CE27" s="236"/>
      <c r="CF27" s="236"/>
      <c r="CG27" s="236"/>
      <c r="CH27" s="236"/>
      <c r="CI27" s="236"/>
      <c r="CJ27" s="236"/>
      <c r="CK27" s="236"/>
      <c r="CL27" s="236"/>
      <c r="CM27" s="236"/>
      <c r="CN27" s="236"/>
      <c r="CO27" s="236"/>
      <c r="CP27" s="236"/>
      <c r="CQ27" s="236"/>
      <c r="CR27" s="236"/>
      <c r="CS27" s="236"/>
      <c r="CT27" s="236"/>
      <c r="CU27" s="236"/>
      <c r="CV27" s="236"/>
      <c r="CW27" s="236"/>
      <c r="CX27" s="236"/>
      <c r="CY27" s="236"/>
      <c r="CZ27" s="236"/>
      <c r="DA27" s="236"/>
      <c r="DB27" s="236"/>
      <c r="DC27" s="236"/>
      <c r="DD27" s="236"/>
      <c r="DE27" s="236"/>
      <c r="DF27" s="236"/>
      <c r="DG27" s="236"/>
      <c r="DH27" s="236"/>
      <c r="DI27" s="236"/>
      <c r="DJ27" s="236"/>
      <c r="DK27" s="236"/>
      <c r="DL27" s="236"/>
      <c r="DM27" s="236"/>
      <c r="DN27" s="236"/>
      <c r="DO27" s="236"/>
      <c r="DP27" s="236"/>
      <c r="DQ27" s="236"/>
      <c r="DR27" s="236"/>
      <c r="DS27" s="236"/>
      <c r="DT27" s="236"/>
      <c r="DU27" s="236"/>
      <c r="DV27" s="236"/>
      <c r="DW27" s="236"/>
      <c r="DX27" s="236"/>
      <c r="DY27" s="236"/>
      <c r="DZ27" s="236"/>
      <c r="EA27" s="236"/>
      <c r="EB27" s="236"/>
      <c r="EC27" s="236"/>
      <c r="ED27" s="236"/>
      <c r="EE27" s="236"/>
      <c r="EF27" s="236"/>
      <c r="EG27" s="236"/>
      <c r="EH27" s="236"/>
      <c r="EI27" s="236"/>
      <c r="EJ27" s="236"/>
      <c r="EK27" s="236"/>
      <c r="EL27" s="236"/>
      <c r="EM27" s="236"/>
      <c r="EN27" s="236"/>
      <c r="EO27" s="236"/>
      <c r="EP27" s="236"/>
      <c r="EQ27" s="236"/>
      <c r="ER27" s="236"/>
      <c r="ES27" s="236"/>
      <c r="ET27" s="236"/>
      <c r="EU27" s="236"/>
      <c r="EV27" s="236"/>
      <c r="EW27" s="236"/>
      <c r="EX27" s="236"/>
      <c r="EY27" s="236"/>
      <c r="EZ27" s="236"/>
      <c r="FA27" s="236"/>
      <c r="FB27" s="236"/>
      <c r="FC27" s="236"/>
      <c r="FD27" s="236"/>
      <c r="FE27" s="236"/>
      <c r="FF27" s="236"/>
      <c r="FG27" s="236"/>
      <c r="FH27" s="236"/>
      <c r="FI27" s="236"/>
      <c r="FJ27" s="236"/>
      <c r="FK27" s="236"/>
      <c r="FL27" s="236"/>
      <c r="FM27" s="236"/>
      <c r="FN27" s="236"/>
      <c r="FO27" s="236"/>
      <c r="FP27" s="236"/>
      <c r="FQ27" s="236"/>
      <c r="FR27" s="236"/>
      <c r="FS27" s="236"/>
      <c r="FT27" s="236"/>
      <c r="FU27" s="236"/>
      <c r="FV27" s="236"/>
      <c r="FW27" s="236"/>
      <c r="FX27" s="236"/>
      <c r="FY27" s="236"/>
      <c r="FZ27" s="236"/>
      <c r="GA27" s="236"/>
      <c r="GB27" s="236"/>
      <c r="GC27" s="236"/>
      <c r="GD27" s="236"/>
      <c r="GE27" s="236"/>
      <c r="GF27" s="236"/>
      <c r="GG27" s="236"/>
      <c r="GH27" s="236"/>
      <c r="GI27" s="236"/>
      <c r="GJ27" s="236"/>
      <c r="GK27" s="236"/>
      <c r="GL27" s="236"/>
      <c r="GM27" s="236"/>
      <c r="GN27" s="236"/>
      <c r="GO27" s="236"/>
      <c r="GP27" s="236"/>
      <c r="GQ27" s="236"/>
      <c r="GR27" s="236"/>
      <c r="GS27" s="236"/>
      <c r="GT27" s="236"/>
      <c r="GU27" s="236"/>
      <c r="GV27" s="236"/>
      <c r="GW27" s="236"/>
      <c r="GX27" s="236"/>
      <c r="GY27" s="236"/>
      <c r="GZ27" s="236"/>
      <c r="HA27" s="236"/>
      <c r="HB27" s="236"/>
      <c r="HC27" s="236"/>
      <c r="HD27" s="236"/>
      <c r="HE27" s="236"/>
      <c r="HF27" s="236"/>
      <c r="HG27" s="236"/>
      <c r="HH27" s="236"/>
      <c r="HI27" s="236"/>
      <c r="HJ27" s="236"/>
      <c r="HK27" s="236"/>
      <c r="HL27" s="236"/>
      <c r="HM27" s="236"/>
      <c r="HN27" s="236"/>
      <c r="HO27" s="236"/>
      <c r="HP27" s="236"/>
      <c r="HQ27" s="236"/>
      <c r="HR27" s="236"/>
      <c r="HS27" s="236"/>
      <c r="HT27" s="236"/>
      <c r="HU27" s="236"/>
      <c r="HV27" s="236"/>
      <c r="HW27" s="236"/>
      <c r="HX27" s="236"/>
      <c r="HY27" s="236"/>
      <c r="HZ27" s="236"/>
      <c r="IA27" s="236"/>
      <c r="IB27" s="236"/>
      <c r="IC27" s="236"/>
      <c r="ID27" s="236"/>
      <c r="IE27" s="236"/>
      <c r="IF27" s="236"/>
      <c r="IG27" s="236"/>
      <c r="IH27" s="236"/>
      <c r="II27" s="236"/>
      <c r="IJ27" s="236"/>
      <c r="IK27" s="236"/>
      <c r="IL27" s="236"/>
      <c r="IM27" s="236"/>
      <c r="IN27" s="236"/>
      <c r="IO27" s="236"/>
      <c r="IP27" s="236"/>
      <c r="IQ27" s="236"/>
      <c r="IR27" s="236"/>
      <c r="IS27" s="236"/>
      <c r="IT27" s="236"/>
      <c r="IU27" s="236"/>
      <c r="IV27" s="236"/>
      <c r="IW27" s="236"/>
      <c r="IX27" s="236"/>
      <c r="IY27" s="236"/>
      <c r="IZ27" s="236"/>
      <c r="JA27" s="236"/>
      <c r="JB27" s="236"/>
      <c r="JC27" s="236"/>
      <c r="JD27" s="236"/>
      <c r="JE27" s="236"/>
      <c r="JF27" s="236"/>
      <c r="JG27" s="236"/>
      <c r="JH27" s="236"/>
      <c r="JI27" s="236"/>
      <c r="JJ27" s="236"/>
      <c r="JK27" s="236"/>
      <c r="JL27" s="236"/>
      <c r="JM27" s="236"/>
      <c r="JN27" s="236"/>
      <c r="JO27" s="236"/>
      <c r="JP27" s="236"/>
      <c r="JQ27" s="411"/>
      <c r="JR27" s="411"/>
      <c r="JS27" s="411"/>
      <c r="JT27" s="411"/>
      <c r="JU27" s="411"/>
      <c r="JV27" s="411"/>
      <c r="JW27" s="411"/>
      <c r="KH27" s="412">
        <f t="shared" si="17"/>
        <v>24</v>
      </c>
      <c r="KI27" s="413">
        <f t="shared" ca="1" si="6"/>
        <v>1024</v>
      </c>
      <c r="KJ27" s="413" t="str">
        <f t="shared" ca="1" si="18"/>
        <v>Trips : Running / pulling Production Tubing (Tubing Trips)</v>
      </c>
      <c r="KK27" s="414">
        <f t="shared" ca="1" si="8"/>
        <v>2.25</v>
      </c>
    </row>
    <row r="28" spans="3:301" ht="24" customHeight="1">
      <c r="C28"/>
      <c r="D28" s="57" t="str">
        <f ca="1">INDIRECT(ADDRESS(ROWS($D$3:D27)+6,D$3,1,1,"3_TIME SUM"))</f>
        <v>Pick up / Lay down Core barrel</v>
      </c>
      <c r="E28" s="81" t="str">
        <f ca="1">IF(INDIRECT(ADDRESS(ROWS($E$3:E27)+6,E$3,1,1,"3_TIME SUM"))=0,E27,INDIRECT(ADDRESS(ROWS($E$3:E27)+6,E$3,1,1,"3_TIME SUM")))</f>
        <v>Coring</v>
      </c>
      <c r="F28" s="57" t="str">
        <f t="shared" ca="1" si="3"/>
        <v>Coring : Pick up / Lay down Core barrel</v>
      </c>
      <c r="G28" s="58" t="str">
        <f ca="1">VLOOKUP($D28,INDIRECT(ADDRESS(7,5,1,1,"3_TIME SUM")):INDIRECT(ADDRESS(200,7,1,1,"3_TIME SUM")),2,FALSE)</f>
        <v>4a</v>
      </c>
      <c r="H28" s="58" t="str">
        <f ca="1">IF(VLOOKUP($D28,INDIRECT(ADDRESS(7,5,1,1,"3_TIME SUM")):INDIRECT(ADDRESS(200,7,1,1,"3_TIME SUM")),3,FALSE)="","PT",VLOOKUP($D28,INDIRECT(ADDRESS(7,5,1,1,"3_TIME SUM")):INDIRECT(ADDRESS(200,7,1,1,"3_TIME SUM")),3,FALSE))</f>
        <v>PT</v>
      </c>
      <c r="I28" s="59">
        <f ca="1">IFERROR(IF(AND($D$2="NON PRODUCTIVE TIME",$H28="NPT"),SUMIF(INDIRECT(ADDRESS(8,COLUMN('2_DATA'!$M$9),1,1,"2_DATA")):INDIRECT(ADDRESS(3000,COLUMN('2_DATA'!$M$9),1,1,"2_DATA")),$G28,INDIRECT(ADDRESS(8,COLUMN('2_DATA'!$N$9),1,1,"2_DATA")):INDIRECT(ADDRESS(3000,COLUMN('2_DATA'!$N$9),1,1,"2_DATA"))),IF($D$2="ALL ACTIVITY",SUMIF(INDIRECT(ADDRESS(9,COLUMN('2_DATA'!$M$9),1,1,"2_DATA")):INDIRECT(ADDRESS(3000,COLUMN('2_DATA'!$M$9),1,1,"2_DATA")),$G28,INDIRECT(ADDRESS(9,COLUMN('2_DATA'!$N$9),1,1,"2_DATA")):INDIRECT(ADDRESS(3000,COLUMN('2_DATA'!$N$9),1,1,"2_DATA"))),SUMIF(INDIRECT(ADDRESS(OFFSET($A$3,MATCH($D$2,$A$4:$A$16,0)-1,1,,)+1,COLUMN('2_DATA'!$M$9),1,1,"2_DATA")):INDIRECT(ADDRESS(VLOOKUP($D$2,$A$4:$B$16,2,FALSE)-1,COLUMN('2_DATA'!$M$9),1,1,"2_DATA")),$G28,INDIRECT(ADDRESS(OFFSET($A$3,MATCH($D$2,$A$4:$A$16,0)-1,1,,)+1,COLUMN('2_DATA'!$N$9),1,1,"2_DATA")):INDIRECT(ADDRESS(VLOOKUP($D$2,$A$4:$B$16,2,FALSE)-1,COLUMN('2_DATA'!$N$9),1,1,"2_DATA"))))),0)</f>
        <v>0</v>
      </c>
      <c r="J28" s="58" t="str">
        <f ca="1">IF(I28=0,"",MAX($J$3:J27)+1)</f>
        <v/>
      </c>
      <c r="L28" s="55">
        <f t="shared" ca="1" si="0"/>
        <v>1000</v>
      </c>
      <c r="M28" s="55" t="str">
        <f t="shared" ca="1" si="4"/>
        <v/>
      </c>
      <c r="N28" s="55"/>
      <c r="O28" s="55">
        <f t="shared" ca="1" si="10"/>
        <v>1005</v>
      </c>
      <c r="P28" s="55">
        <f t="shared" ca="1" si="1"/>
        <v>6</v>
      </c>
      <c r="Q28" s="55">
        <f ca="1">IFERROR(INDEX($O$4:$P$226,MATCH(ROWS($Q$3:Q27),$P$4:$P$226,0),1),"-")</f>
        <v>1024</v>
      </c>
      <c r="R28" s="62" t="str">
        <f t="shared" ca="1" si="2"/>
        <v>Trips : Running / pulling Production Tubing (Tubing Trips)</v>
      </c>
      <c r="S28" s="55">
        <f t="shared" ca="1" si="5"/>
        <v>24</v>
      </c>
      <c r="V28" s="68">
        <f t="shared" ca="1" si="11"/>
        <v>15</v>
      </c>
      <c r="W28" s="69" t="str">
        <f t="shared" ca="1" si="12"/>
        <v>Run Casing and Cement : Change Rams</v>
      </c>
      <c r="X28" s="70" t="s">
        <v>84</v>
      </c>
      <c r="Y28" s="68" t="str">
        <f t="shared" ca="1" si="16"/>
        <v>PT</v>
      </c>
      <c r="Z28" s="71" t="str">
        <f t="shared" ca="1" si="13"/>
        <v>12a</v>
      </c>
      <c r="AA28" s="72">
        <f t="shared" ca="1" si="14"/>
        <v>1</v>
      </c>
      <c r="AB28" s="305">
        <f t="shared" ca="1" si="15"/>
        <v>4.1666666666666664E-2</v>
      </c>
      <c r="AC28" s="236"/>
      <c r="AD28" s="236"/>
      <c r="AE28" s="316"/>
      <c r="AF28" s="236"/>
      <c r="AG28" s="236"/>
      <c r="AH28" s="236"/>
      <c r="AI28" s="236"/>
      <c r="AJ28" s="236"/>
      <c r="AK28" s="236"/>
      <c r="AL28" s="236"/>
      <c r="AM28" s="236"/>
      <c r="AN28" s="236"/>
      <c r="AO28" s="236"/>
      <c r="AP28" s="236"/>
      <c r="AQ28" s="236"/>
      <c r="AR28" s="236"/>
      <c r="AS28" s="236"/>
      <c r="AT28" s="236"/>
      <c r="AU28" s="236"/>
      <c r="AV28" s="236"/>
      <c r="AW28" s="236"/>
      <c r="AX28" s="236"/>
      <c r="AY28" s="236"/>
      <c r="AZ28" s="236"/>
      <c r="BA28" s="236"/>
      <c r="BB28" s="236"/>
      <c r="BC28" s="236"/>
      <c r="BD28" s="236"/>
      <c r="BE28" s="236"/>
      <c r="BF28" s="236"/>
      <c r="BG28" s="236"/>
      <c r="BH28" s="236"/>
      <c r="BI28" s="236"/>
      <c r="BJ28" s="236"/>
      <c r="BK28" s="236"/>
      <c r="BL28" s="236"/>
      <c r="BM28" s="236"/>
      <c r="BN28" s="236"/>
      <c r="BO28" s="236"/>
      <c r="BP28" s="236"/>
      <c r="BQ28" s="236"/>
      <c r="BR28" s="236"/>
      <c r="BS28" s="236"/>
      <c r="BT28" s="236"/>
      <c r="BU28" s="236"/>
      <c r="BV28" s="236"/>
      <c r="BW28" s="236"/>
      <c r="BX28" s="236"/>
      <c r="BY28" s="236"/>
      <c r="BZ28" s="236"/>
      <c r="CA28" s="236"/>
      <c r="CB28" s="236"/>
      <c r="CC28" s="236"/>
      <c r="CD28" s="236"/>
      <c r="CE28" s="236"/>
      <c r="CF28" s="236"/>
      <c r="CG28" s="236"/>
      <c r="CH28" s="236"/>
      <c r="CI28" s="236"/>
      <c r="CJ28" s="236"/>
      <c r="CK28" s="236"/>
      <c r="CL28" s="236"/>
      <c r="CM28" s="236"/>
      <c r="CN28" s="236"/>
      <c r="CO28" s="236"/>
      <c r="CP28" s="236"/>
      <c r="CQ28" s="236"/>
      <c r="CR28" s="236"/>
      <c r="CS28" s="236"/>
      <c r="CT28" s="236"/>
      <c r="CU28" s="236"/>
      <c r="CV28" s="236"/>
      <c r="CW28" s="236"/>
      <c r="CX28" s="236"/>
      <c r="CY28" s="236"/>
      <c r="CZ28" s="236"/>
      <c r="DA28" s="236"/>
      <c r="DB28" s="236"/>
      <c r="DC28" s="236"/>
      <c r="DD28" s="236"/>
      <c r="DE28" s="236"/>
      <c r="DF28" s="236"/>
      <c r="DG28" s="236"/>
      <c r="DH28" s="236"/>
      <c r="DI28" s="236"/>
      <c r="DJ28" s="236"/>
      <c r="DK28" s="236"/>
      <c r="DL28" s="236"/>
      <c r="DM28" s="236"/>
      <c r="DN28" s="236"/>
      <c r="DO28" s="236"/>
      <c r="DP28" s="236"/>
      <c r="DQ28" s="236"/>
      <c r="DR28" s="236"/>
      <c r="DS28" s="236"/>
      <c r="DT28" s="236"/>
      <c r="DU28" s="236"/>
      <c r="DV28" s="236"/>
      <c r="DW28" s="236"/>
      <c r="DX28" s="236"/>
      <c r="DY28" s="236"/>
      <c r="DZ28" s="236"/>
      <c r="EA28" s="236"/>
      <c r="EB28" s="236"/>
      <c r="EC28" s="236"/>
      <c r="ED28" s="236"/>
      <c r="EE28" s="236"/>
      <c r="EF28" s="236"/>
      <c r="EG28" s="236"/>
      <c r="EH28" s="236"/>
      <c r="EI28" s="236"/>
      <c r="EJ28" s="236"/>
      <c r="EK28" s="236"/>
      <c r="EL28" s="236"/>
      <c r="EM28" s="236"/>
      <c r="EN28" s="236"/>
      <c r="EO28" s="236"/>
      <c r="EP28" s="236"/>
      <c r="EQ28" s="236"/>
      <c r="ER28" s="236"/>
      <c r="ES28" s="236"/>
      <c r="ET28" s="236"/>
      <c r="EU28" s="236"/>
      <c r="EV28" s="236"/>
      <c r="EW28" s="236"/>
      <c r="EX28" s="236"/>
      <c r="EY28" s="236"/>
      <c r="EZ28" s="236"/>
      <c r="FA28" s="236"/>
      <c r="FB28" s="236"/>
      <c r="FC28" s="236"/>
      <c r="FD28" s="236"/>
      <c r="FE28" s="236"/>
      <c r="FF28" s="236"/>
      <c r="FG28" s="236"/>
      <c r="FH28" s="236"/>
      <c r="FI28" s="236"/>
      <c r="FJ28" s="236"/>
      <c r="FK28" s="236"/>
      <c r="FL28" s="236"/>
      <c r="FM28" s="236"/>
      <c r="FN28" s="236"/>
      <c r="FO28" s="236"/>
      <c r="FP28" s="236"/>
      <c r="FQ28" s="236"/>
      <c r="FR28" s="236"/>
      <c r="FS28" s="236"/>
      <c r="FT28" s="236"/>
      <c r="FU28" s="236"/>
      <c r="FV28" s="236"/>
      <c r="FW28" s="236"/>
      <c r="FX28" s="236"/>
      <c r="FY28" s="236"/>
      <c r="FZ28" s="236"/>
      <c r="GA28" s="236"/>
      <c r="GB28" s="236"/>
      <c r="GC28" s="236"/>
      <c r="GD28" s="236"/>
      <c r="GE28" s="236"/>
      <c r="GF28" s="236"/>
      <c r="GG28" s="236"/>
      <c r="GH28" s="236"/>
      <c r="GI28" s="236"/>
      <c r="GJ28" s="236"/>
      <c r="GK28" s="236"/>
      <c r="GL28" s="236"/>
      <c r="GM28" s="236"/>
      <c r="GN28" s="236"/>
      <c r="GO28" s="236"/>
      <c r="GP28" s="236"/>
      <c r="GQ28" s="236"/>
      <c r="GR28" s="236"/>
      <c r="GS28" s="236"/>
      <c r="GT28" s="236"/>
      <c r="GU28" s="236"/>
      <c r="GV28" s="236"/>
      <c r="GW28" s="236"/>
      <c r="GX28" s="236"/>
      <c r="GY28" s="236"/>
      <c r="GZ28" s="236"/>
      <c r="HA28" s="236"/>
      <c r="HB28" s="236"/>
      <c r="HC28" s="236"/>
      <c r="HD28" s="236"/>
      <c r="HE28" s="236"/>
      <c r="HF28" s="236"/>
      <c r="HG28" s="236"/>
      <c r="HH28" s="236"/>
      <c r="HI28" s="236"/>
      <c r="HJ28" s="236"/>
      <c r="HK28" s="236"/>
      <c r="HL28" s="236"/>
      <c r="HM28" s="236"/>
      <c r="HN28" s="236"/>
      <c r="HO28" s="236"/>
      <c r="HP28" s="236"/>
      <c r="HQ28" s="236"/>
      <c r="HR28" s="236"/>
      <c r="HS28" s="236"/>
      <c r="HT28" s="236"/>
      <c r="HU28" s="236"/>
      <c r="HV28" s="236"/>
      <c r="HW28" s="236"/>
      <c r="HX28" s="236"/>
      <c r="HY28" s="236"/>
      <c r="HZ28" s="236"/>
      <c r="IA28" s="236"/>
      <c r="IB28" s="236"/>
      <c r="IC28" s="236"/>
      <c r="ID28" s="236"/>
      <c r="IE28" s="236"/>
      <c r="IF28" s="236"/>
      <c r="IG28" s="236"/>
      <c r="IH28" s="236"/>
      <c r="II28" s="236"/>
      <c r="IJ28" s="236"/>
      <c r="IK28" s="236"/>
      <c r="IL28" s="236"/>
      <c r="IM28" s="236"/>
      <c r="IN28" s="236"/>
      <c r="IO28" s="236"/>
      <c r="IP28" s="236"/>
      <c r="IQ28" s="236"/>
      <c r="IR28" s="236"/>
      <c r="IS28" s="236"/>
      <c r="IT28" s="236"/>
      <c r="IU28" s="236"/>
      <c r="IV28" s="236"/>
      <c r="IW28" s="236"/>
      <c r="IX28" s="236"/>
      <c r="IY28" s="236"/>
      <c r="IZ28" s="236"/>
      <c r="JA28" s="236"/>
      <c r="JB28" s="236"/>
      <c r="JC28" s="236"/>
      <c r="JD28" s="236"/>
      <c r="JE28" s="236"/>
      <c r="JF28" s="236"/>
      <c r="JG28" s="236"/>
      <c r="JH28" s="236"/>
      <c r="JI28" s="236"/>
      <c r="JJ28" s="236"/>
      <c r="JK28" s="236"/>
      <c r="JL28" s="236"/>
      <c r="JM28" s="236"/>
      <c r="JN28" s="236"/>
      <c r="JO28" s="236"/>
      <c r="JP28" s="236"/>
      <c r="JQ28" s="411"/>
      <c r="JR28" s="411"/>
      <c r="JS28" s="411"/>
      <c r="JT28" s="411"/>
      <c r="JU28" s="411"/>
      <c r="JV28" s="411"/>
      <c r="JW28" s="411"/>
      <c r="KH28" s="412">
        <f t="shared" si="17"/>
        <v>25</v>
      </c>
      <c r="KI28" s="413">
        <f t="shared" ca="1" si="6"/>
        <v>1025</v>
      </c>
      <c r="KJ28" s="413" t="str">
        <f t="shared" ca="1" si="18"/>
        <v>Trips : Test / Presure test  production tubing</v>
      </c>
      <c r="KK28" s="414">
        <f t="shared" ca="1" si="8"/>
        <v>0.83333333333333337</v>
      </c>
    </row>
    <row r="29" spans="3:301" ht="24" customHeight="1">
      <c r="C29"/>
      <c r="D29" s="57" t="str">
        <f ca="1">INDIRECT(ADDRESS(ROWS($D$3:D28)+6,D$3,1,1,"3_TIME SUM"))</f>
        <v>Trip in / Out for Core</v>
      </c>
      <c r="E29" s="81" t="str">
        <f ca="1">IF(INDIRECT(ADDRESS(ROWS($E$3:E28)+6,E$3,1,1,"3_TIME SUM"))=0,E28,INDIRECT(ADDRESS(ROWS($E$3:E28)+6,E$3,1,1,"3_TIME SUM")))</f>
        <v>Coring</v>
      </c>
      <c r="F29" s="57" t="str">
        <f t="shared" ca="1" si="3"/>
        <v>Coring : Trip in / Out for Core</v>
      </c>
      <c r="G29" s="58" t="str">
        <f ca="1">VLOOKUP($D29,INDIRECT(ADDRESS(7,5,1,1,"3_TIME SUM")):INDIRECT(ADDRESS(200,7,1,1,"3_TIME SUM")),2,FALSE)</f>
        <v>4b</v>
      </c>
      <c r="H29" s="58" t="str">
        <f ca="1">IF(VLOOKUP($D29,INDIRECT(ADDRESS(7,5,1,1,"3_TIME SUM")):INDIRECT(ADDRESS(200,7,1,1,"3_TIME SUM")),3,FALSE)="","PT",VLOOKUP($D29,INDIRECT(ADDRESS(7,5,1,1,"3_TIME SUM")):INDIRECT(ADDRESS(200,7,1,1,"3_TIME SUM")),3,FALSE))</f>
        <v>PT</v>
      </c>
      <c r="I29" s="59">
        <f ca="1">IFERROR(IF(AND($D$2="NON PRODUCTIVE TIME",$H29="NPT"),SUMIF(INDIRECT(ADDRESS(8,COLUMN('2_DATA'!$M$9),1,1,"2_DATA")):INDIRECT(ADDRESS(3000,COLUMN('2_DATA'!$M$9),1,1,"2_DATA")),$G29,INDIRECT(ADDRESS(8,COLUMN('2_DATA'!$N$9),1,1,"2_DATA")):INDIRECT(ADDRESS(3000,COLUMN('2_DATA'!$N$9),1,1,"2_DATA"))),IF($D$2="ALL ACTIVITY",SUMIF(INDIRECT(ADDRESS(9,COLUMN('2_DATA'!$M$9),1,1,"2_DATA")):INDIRECT(ADDRESS(3000,COLUMN('2_DATA'!$M$9),1,1,"2_DATA")),$G29,INDIRECT(ADDRESS(9,COLUMN('2_DATA'!$N$9),1,1,"2_DATA")):INDIRECT(ADDRESS(3000,COLUMN('2_DATA'!$N$9),1,1,"2_DATA"))),SUMIF(INDIRECT(ADDRESS(OFFSET($A$3,MATCH($D$2,$A$4:$A$16,0)-1,1,,)+1,COLUMN('2_DATA'!$M$9),1,1,"2_DATA")):INDIRECT(ADDRESS(VLOOKUP($D$2,$A$4:$B$16,2,FALSE)-1,COLUMN('2_DATA'!$M$9),1,1,"2_DATA")),$G29,INDIRECT(ADDRESS(OFFSET($A$3,MATCH($D$2,$A$4:$A$16,0)-1,1,,)+1,COLUMN('2_DATA'!$N$9),1,1,"2_DATA")):INDIRECT(ADDRESS(VLOOKUP($D$2,$A$4:$B$16,2,FALSE)-1,COLUMN('2_DATA'!$N$9),1,1,"2_DATA"))))),0)</f>
        <v>0</v>
      </c>
      <c r="J29" s="58" t="str">
        <f ca="1">IF(I29=0,"",MAX($J$3:J28)+1)</f>
        <v/>
      </c>
      <c r="L29" s="55">
        <f t="shared" ca="1" si="0"/>
        <v>1000</v>
      </c>
      <c r="M29" s="55" t="str">
        <f t="shared" ca="1" si="4"/>
        <v/>
      </c>
      <c r="N29" s="55"/>
      <c r="O29" s="55" t="str">
        <f t="shared" ca="1" si="10"/>
        <v/>
      </c>
      <c r="P29" s="55">
        <f t="shared" ca="1" si="1"/>
        <v>0</v>
      </c>
      <c r="Q29" s="55">
        <f ca="1">IFERROR(INDEX($O$4:$P$226,MATCH(ROWS($Q$3:Q28),$P$4:$P$226,0),1),"-")</f>
        <v>1025</v>
      </c>
      <c r="R29" s="62" t="str">
        <f t="shared" ca="1" si="2"/>
        <v>Trips : Test / Presure test  production tubing</v>
      </c>
      <c r="S29" s="55">
        <f t="shared" ca="1" si="5"/>
        <v>25</v>
      </c>
      <c r="V29" s="68">
        <f t="shared" ca="1" si="11"/>
        <v>16</v>
      </c>
      <c r="W29" s="69" t="str">
        <f t="shared" ca="1" si="12"/>
        <v>Wait on Cement : Waiting on Cement</v>
      </c>
      <c r="X29" s="70" t="s">
        <v>84</v>
      </c>
      <c r="Y29" s="68" t="str">
        <f t="shared" ca="1" si="16"/>
        <v>PT</v>
      </c>
      <c r="Z29" s="71" t="str">
        <f t="shared" ca="1" si="13"/>
        <v>13a</v>
      </c>
      <c r="AA29" s="72">
        <f t="shared" ca="1" si="14"/>
        <v>52.5</v>
      </c>
      <c r="AB29" s="305">
        <f t="shared" ca="1" si="15"/>
        <v>2.1875</v>
      </c>
      <c r="AC29" s="236"/>
      <c r="AD29" s="236"/>
      <c r="AE29" s="31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236"/>
      <c r="BC29" s="236"/>
      <c r="BD29" s="236"/>
      <c r="BE29" s="236"/>
      <c r="BF29" s="236"/>
      <c r="BG29" s="236"/>
      <c r="BH29" s="236"/>
      <c r="BI29" s="236"/>
      <c r="BJ29" s="236"/>
      <c r="BK29" s="236"/>
      <c r="BL29" s="236"/>
      <c r="BM29" s="236"/>
      <c r="BN29" s="236"/>
      <c r="BO29" s="236"/>
      <c r="BP29" s="236"/>
      <c r="BQ29" s="236"/>
      <c r="BR29" s="236"/>
      <c r="BS29" s="236"/>
      <c r="BT29" s="236"/>
      <c r="BU29" s="236"/>
      <c r="BV29" s="236"/>
      <c r="BW29" s="236"/>
      <c r="BX29" s="236"/>
      <c r="BY29" s="236"/>
      <c r="BZ29" s="236"/>
      <c r="CA29" s="236"/>
      <c r="CB29" s="236"/>
      <c r="CC29" s="236"/>
      <c r="CD29" s="236"/>
      <c r="CE29" s="236"/>
      <c r="CF29" s="236"/>
      <c r="CG29" s="236"/>
      <c r="CH29" s="236"/>
      <c r="CI29" s="236"/>
      <c r="CJ29" s="236"/>
      <c r="CK29" s="236"/>
      <c r="CL29" s="236"/>
      <c r="CM29" s="236"/>
      <c r="CN29" s="236"/>
      <c r="CO29" s="236"/>
      <c r="CP29" s="236"/>
      <c r="CQ29" s="236"/>
      <c r="CR29" s="236"/>
      <c r="CS29" s="236"/>
      <c r="CT29" s="236"/>
      <c r="CU29" s="236"/>
      <c r="CV29" s="236"/>
      <c r="CW29" s="236"/>
      <c r="CX29" s="236"/>
      <c r="CY29" s="236"/>
      <c r="CZ29" s="236"/>
      <c r="DA29" s="236"/>
      <c r="DB29" s="236"/>
      <c r="DC29" s="236"/>
      <c r="DD29" s="236"/>
      <c r="DE29" s="236"/>
      <c r="DF29" s="236"/>
      <c r="DG29" s="236"/>
      <c r="DH29" s="236"/>
      <c r="DI29" s="236"/>
      <c r="DJ29" s="236"/>
      <c r="DK29" s="236"/>
      <c r="DL29" s="236"/>
      <c r="DM29" s="236"/>
      <c r="DN29" s="236"/>
      <c r="DO29" s="236"/>
      <c r="DP29" s="236"/>
      <c r="DQ29" s="236"/>
      <c r="DR29" s="236"/>
      <c r="DS29" s="236"/>
      <c r="DT29" s="236"/>
      <c r="DU29" s="236"/>
      <c r="DV29" s="236"/>
      <c r="DW29" s="236"/>
      <c r="DX29" s="236"/>
      <c r="DY29" s="236"/>
      <c r="DZ29" s="236"/>
      <c r="EA29" s="236"/>
      <c r="EB29" s="236"/>
      <c r="EC29" s="236"/>
      <c r="ED29" s="236"/>
      <c r="EE29" s="236"/>
      <c r="EF29" s="236"/>
      <c r="EG29" s="236"/>
      <c r="EH29" s="236"/>
      <c r="EI29" s="236"/>
      <c r="EJ29" s="236"/>
      <c r="EK29" s="236"/>
      <c r="EL29" s="236"/>
      <c r="EM29" s="236"/>
      <c r="EN29" s="236"/>
      <c r="EO29" s="236"/>
      <c r="EP29" s="236"/>
      <c r="EQ29" s="236"/>
      <c r="ER29" s="236"/>
      <c r="ES29" s="236"/>
      <c r="ET29" s="236"/>
      <c r="EU29" s="236"/>
      <c r="EV29" s="236"/>
      <c r="EW29" s="236"/>
      <c r="EX29" s="236"/>
      <c r="EY29" s="236"/>
      <c r="EZ29" s="236"/>
      <c r="FA29" s="236"/>
      <c r="FB29" s="236"/>
      <c r="FC29" s="236"/>
      <c r="FD29" s="236"/>
      <c r="FE29" s="236"/>
      <c r="FF29" s="236"/>
      <c r="FG29" s="236"/>
      <c r="FH29" s="236"/>
      <c r="FI29" s="236"/>
      <c r="FJ29" s="236"/>
      <c r="FK29" s="236"/>
      <c r="FL29" s="236"/>
      <c r="FM29" s="236"/>
      <c r="FN29" s="236"/>
      <c r="FO29" s="236"/>
      <c r="FP29" s="236"/>
      <c r="FQ29" s="236"/>
      <c r="FR29" s="236"/>
      <c r="FS29" s="236"/>
      <c r="FT29" s="236"/>
      <c r="FU29" s="236"/>
      <c r="FV29" s="236"/>
      <c r="FW29" s="236"/>
      <c r="FX29" s="236"/>
      <c r="FY29" s="236"/>
      <c r="FZ29" s="236"/>
      <c r="GA29" s="236"/>
      <c r="GB29" s="236"/>
      <c r="GC29" s="236"/>
      <c r="GD29" s="236"/>
      <c r="GE29" s="236"/>
      <c r="GF29" s="236"/>
      <c r="GG29" s="236"/>
      <c r="GH29" s="236"/>
      <c r="GI29" s="236"/>
      <c r="GJ29" s="236"/>
      <c r="GK29" s="236"/>
      <c r="GL29" s="236"/>
      <c r="GM29" s="236"/>
      <c r="GN29" s="236"/>
      <c r="GO29" s="236"/>
      <c r="GP29" s="236"/>
      <c r="GQ29" s="236"/>
      <c r="GR29" s="236"/>
      <c r="GS29" s="236"/>
      <c r="GT29" s="236"/>
      <c r="GU29" s="236"/>
      <c r="GV29" s="236"/>
      <c r="GW29" s="236"/>
      <c r="GX29" s="236"/>
      <c r="GY29" s="236"/>
      <c r="GZ29" s="236"/>
      <c r="HA29" s="236"/>
      <c r="HB29" s="236"/>
      <c r="HC29" s="236"/>
      <c r="HD29" s="236"/>
      <c r="HE29" s="236"/>
      <c r="HF29" s="236"/>
      <c r="HG29" s="236"/>
      <c r="HH29" s="236"/>
      <c r="HI29" s="236"/>
      <c r="HJ29" s="236"/>
      <c r="HK29" s="236"/>
      <c r="HL29" s="236"/>
      <c r="HM29" s="236"/>
      <c r="HN29" s="236"/>
      <c r="HO29" s="236"/>
      <c r="HP29" s="236"/>
      <c r="HQ29" s="236"/>
      <c r="HR29" s="236"/>
      <c r="HS29" s="236"/>
      <c r="HT29" s="236"/>
      <c r="HU29" s="236"/>
      <c r="HV29" s="236"/>
      <c r="HW29" s="236"/>
      <c r="HX29" s="236"/>
      <c r="HY29" s="236"/>
      <c r="HZ29" s="236"/>
      <c r="IA29" s="236"/>
      <c r="IB29" s="236"/>
      <c r="IC29" s="236"/>
      <c r="ID29" s="236"/>
      <c r="IE29" s="236"/>
      <c r="IF29" s="236"/>
      <c r="IG29" s="236"/>
      <c r="IH29" s="236"/>
      <c r="II29" s="236"/>
      <c r="IJ29" s="236"/>
      <c r="IK29" s="236"/>
      <c r="IL29" s="236"/>
      <c r="IM29" s="236"/>
      <c r="IN29" s="236"/>
      <c r="IO29" s="236"/>
      <c r="IP29" s="236"/>
      <c r="IQ29" s="236"/>
      <c r="IR29" s="236"/>
      <c r="IS29" s="236"/>
      <c r="IT29" s="236"/>
      <c r="IU29" s="236"/>
      <c r="IV29" s="236"/>
      <c r="IW29" s="236"/>
      <c r="IX29" s="236"/>
      <c r="IY29" s="236"/>
      <c r="IZ29" s="236"/>
      <c r="JA29" s="236"/>
      <c r="JB29" s="236"/>
      <c r="JC29" s="236"/>
      <c r="JD29" s="236"/>
      <c r="JE29" s="236"/>
      <c r="JF29" s="236"/>
      <c r="JG29" s="236"/>
      <c r="JH29" s="236"/>
      <c r="JI29" s="236"/>
      <c r="JJ29" s="236"/>
      <c r="JK29" s="236"/>
      <c r="JL29" s="236"/>
      <c r="JM29" s="236"/>
      <c r="JN29" s="236"/>
      <c r="JO29" s="236"/>
      <c r="JP29" s="236"/>
      <c r="JQ29" s="411"/>
      <c r="JR29" s="411"/>
      <c r="JS29" s="411"/>
      <c r="JT29" s="411"/>
      <c r="JU29" s="411"/>
      <c r="JV29" s="411"/>
      <c r="JW29" s="411"/>
      <c r="KH29" s="412">
        <f t="shared" si="17"/>
        <v>26</v>
      </c>
      <c r="KI29" s="413">
        <f t="shared" ca="1" si="6"/>
        <v>1026</v>
      </c>
      <c r="KJ29" s="413" t="str">
        <f t="shared" ca="1" si="18"/>
        <v>Stimulation : Stimulation/Fracturing/Unloading/Production Treatment</v>
      </c>
      <c r="KK29" s="414">
        <f t="shared" ca="1" si="8"/>
        <v>0.47916666666666669</v>
      </c>
    </row>
    <row r="30" spans="3:301" ht="24" customHeight="1">
      <c r="C30"/>
      <c r="D30" s="57" t="str">
        <f ca="1">INDIRECT(ADDRESS(ROWS($D$3:D29)+6,D$3,1,1,"3_TIME SUM"))</f>
        <v>Coring</v>
      </c>
      <c r="E30" s="81" t="str">
        <f ca="1">IF(INDIRECT(ADDRESS(ROWS($E$3:E29)+6,E$3,1,1,"3_TIME SUM"))=0,E29,INDIRECT(ADDRESS(ROWS($E$3:E29)+6,E$3,1,1,"3_TIME SUM")))</f>
        <v>Coring</v>
      </c>
      <c r="F30" s="57" t="str">
        <f t="shared" ca="1" si="3"/>
        <v>Coring : Coring</v>
      </c>
      <c r="G30" s="58" t="str">
        <f ca="1">VLOOKUP($D30,INDIRECT(ADDRESS(7,5,1,1,"3_TIME SUM")):INDIRECT(ADDRESS(200,7,1,1,"3_TIME SUM")),2,FALSE)</f>
        <v>4c</v>
      </c>
      <c r="H30" s="58" t="str">
        <f ca="1">IF(VLOOKUP($D30,INDIRECT(ADDRESS(7,5,1,1,"3_TIME SUM")):INDIRECT(ADDRESS(200,7,1,1,"3_TIME SUM")),3,FALSE)="","PT",VLOOKUP($D30,INDIRECT(ADDRESS(7,5,1,1,"3_TIME SUM")):INDIRECT(ADDRESS(200,7,1,1,"3_TIME SUM")),3,FALSE))</f>
        <v>PT</v>
      </c>
      <c r="I30" s="59">
        <f ca="1">IFERROR(IF(AND($D$2="NON PRODUCTIVE TIME",$H30="NPT"),SUMIF(INDIRECT(ADDRESS(8,COLUMN('2_DATA'!$M$9),1,1,"2_DATA")):INDIRECT(ADDRESS(3000,COLUMN('2_DATA'!$M$9),1,1,"2_DATA")),$G30,INDIRECT(ADDRESS(8,COLUMN('2_DATA'!$N$9),1,1,"2_DATA")):INDIRECT(ADDRESS(3000,COLUMN('2_DATA'!$N$9),1,1,"2_DATA"))),IF($D$2="ALL ACTIVITY",SUMIF(INDIRECT(ADDRESS(9,COLUMN('2_DATA'!$M$9),1,1,"2_DATA")):INDIRECT(ADDRESS(3000,COLUMN('2_DATA'!$M$9),1,1,"2_DATA")),$G30,INDIRECT(ADDRESS(9,COLUMN('2_DATA'!$N$9),1,1,"2_DATA")):INDIRECT(ADDRESS(3000,COLUMN('2_DATA'!$N$9),1,1,"2_DATA"))),SUMIF(INDIRECT(ADDRESS(OFFSET($A$3,MATCH($D$2,$A$4:$A$16,0)-1,1,,)+1,COLUMN('2_DATA'!$M$9),1,1,"2_DATA")):INDIRECT(ADDRESS(VLOOKUP($D$2,$A$4:$B$16,2,FALSE)-1,COLUMN('2_DATA'!$M$9),1,1,"2_DATA")),$G30,INDIRECT(ADDRESS(OFFSET($A$3,MATCH($D$2,$A$4:$A$16,0)-1,1,,)+1,COLUMN('2_DATA'!$N$9),1,1,"2_DATA")):INDIRECT(ADDRESS(VLOOKUP($D$2,$A$4:$B$16,2,FALSE)-1,COLUMN('2_DATA'!$N$9),1,1,"2_DATA"))))),0)</f>
        <v>0</v>
      </c>
      <c r="J30" s="58" t="str">
        <f ca="1">IF(I30=0,"",MAX($J$3:J29)+1)</f>
        <v/>
      </c>
      <c r="L30" s="55">
        <f t="shared" ca="1" si="0"/>
        <v>1000</v>
      </c>
      <c r="M30" s="55" t="str">
        <f t="shared" ca="1" si="4"/>
        <v/>
      </c>
      <c r="N30" s="55"/>
      <c r="O30" s="55" t="str">
        <f t="shared" ca="1" si="10"/>
        <v/>
      </c>
      <c r="P30" s="55">
        <f t="shared" ca="1" si="1"/>
        <v>0</v>
      </c>
      <c r="Q30" s="55">
        <f ca="1">IFERROR(INDEX($O$4:$P$226,MATCH(ROWS($Q$3:Q29),$P$4:$P$226,0),1),"-")</f>
        <v>1026</v>
      </c>
      <c r="R30" s="62" t="str">
        <f t="shared" ca="1" si="2"/>
        <v>Stimulation : Stimulation/Fracturing/Unloading/Production Treatment</v>
      </c>
      <c r="S30" s="55">
        <f t="shared" ca="1" si="5"/>
        <v>26</v>
      </c>
      <c r="V30" s="68">
        <f t="shared" ca="1" si="11"/>
        <v>17</v>
      </c>
      <c r="W30" s="69" t="str">
        <f t="shared" ca="1" si="12"/>
        <v>Nipple Up BOP : Install / Remove or Change Wellhead and Riser (spool) include final casing cut / dressing stub</v>
      </c>
      <c r="X30" s="70" t="s">
        <v>84</v>
      </c>
      <c r="Y30" s="68" t="str">
        <f t="shared" ca="1" si="16"/>
        <v>PT</v>
      </c>
      <c r="Z30" s="71" t="str">
        <f t="shared" ca="1" si="13"/>
        <v>14a</v>
      </c>
      <c r="AA30" s="72">
        <f t="shared" ca="1" si="14"/>
        <v>5</v>
      </c>
      <c r="AB30" s="305">
        <f t="shared" ca="1" si="15"/>
        <v>0.20833333333333334</v>
      </c>
      <c r="AC30" s="236"/>
      <c r="AD30" s="236"/>
      <c r="AE30" s="316"/>
      <c r="AF30" s="236"/>
      <c r="AG30" s="236"/>
      <c r="AH30" s="236"/>
      <c r="AI30" s="236"/>
      <c r="AJ30" s="236"/>
      <c r="AK30" s="236"/>
      <c r="AL30" s="236"/>
      <c r="AM30" s="236"/>
      <c r="AN30" s="236"/>
      <c r="AO30" s="236"/>
      <c r="AP30" s="236"/>
      <c r="AQ30" s="236"/>
      <c r="AR30" s="236"/>
      <c r="AS30" s="236"/>
      <c r="AT30" s="236"/>
      <c r="AU30" s="236"/>
      <c r="AV30" s="236"/>
      <c r="AW30" s="236"/>
      <c r="AX30" s="236"/>
      <c r="AY30" s="236"/>
      <c r="AZ30" s="236"/>
      <c r="BA30" s="236"/>
      <c r="BB30" s="236"/>
      <c r="BC30" s="236"/>
      <c r="BD30" s="236"/>
      <c r="BE30" s="236"/>
      <c r="BF30" s="236"/>
      <c r="BG30" s="236"/>
      <c r="BH30" s="236"/>
      <c r="BI30" s="236"/>
      <c r="BJ30" s="236"/>
      <c r="BK30" s="236"/>
      <c r="BL30" s="236"/>
      <c r="BM30" s="236"/>
      <c r="BN30" s="236"/>
      <c r="BO30" s="236"/>
      <c r="BP30" s="236"/>
      <c r="BQ30" s="236"/>
      <c r="BR30" s="236"/>
      <c r="BS30" s="236"/>
      <c r="BT30" s="236"/>
      <c r="BU30" s="236"/>
      <c r="BV30" s="236"/>
      <c r="BW30" s="236"/>
      <c r="BX30" s="236"/>
      <c r="BY30" s="236"/>
      <c r="BZ30" s="236"/>
      <c r="CA30" s="236"/>
      <c r="CB30" s="236"/>
      <c r="CC30" s="236"/>
      <c r="CD30" s="236"/>
      <c r="CE30" s="236"/>
      <c r="CF30" s="236"/>
      <c r="CG30" s="236"/>
      <c r="CH30" s="236"/>
      <c r="CI30" s="236"/>
      <c r="CJ30" s="236"/>
      <c r="CK30" s="236"/>
      <c r="CL30" s="236"/>
      <c r="CM30" s="236"/>
      <c r="CN30" s="236"/>
      <c r="CO30" s="236"/>
      <c r="CP30" s="236"/>
      <c r="CQ30" s="236"/>
      <c r="CR30" s="236"/>
      <c r="CS30" s="236"/>
      <c r="CT30" s="236"/>
      <c r="CU30" s="236"/>
      <c r="CV30" s="236"/>
      <c r="CW30" s="236"/>
      <c r="CX30" s="236"/>
      <c r="CY30" s="236"/>
      <c r="CZ30" s="236"/>
      <c r="DA30" s="236"/>
      <c r="DB30" s="236"/>
      <c r="DC30" s="236"/>
      <c r="DD30" s="236"/>
      <c r="DE30" s="236"/>
      <c r="DF30" s="236"/>
      <c r="DG30" s="236"/>
      <c r="DH30" s="236"/>
      <c r="DI30" s="236"/>
      <c r="DJ30" s="236"/>
      <c r="DK30" s="236"/>
      <c r="DL30" s="236"/>
      <c r="DM30" s="236"/>
      <c r="DN30" s="236"/>
      <c r="DO30" s="236"/>
      <c r="DP30" s="236"/>
      <c r="DQ30" s="236"/>
      <c r="DR30" s="236"/>
      <c r="DS30" s="236"/>
      <c r="DT30" s="236"/>
      <c r="DU30" s="236"/>
      <c r="DV30" s="236"/>
      <c r="DW30" s="236"/>
      <c r="DX30" s="236"/>
      <c r="DY30" s="236"/>
      <c r="DZ30" s="236"/>
      <c r="EA30" s="236"/>
      <c r="EB30" s="236"/>
      <c r="EC30" s="236"/>
      <c r="ED30" s="236"/>
      <c r="EE30" s="236"/>
      <c r="EF30" s="236"/>
      <c r="EG30" s="236"/>
      <c r="EH30" s="236"/>
      <c r="EI30" s="236"/>
      <c r="EJ30" s="236"/>
      <c r="EK30" s="236"/>
      <c r="EL30" s="236"/>
      <c r="EM30" s="236"/>
      <c r="EN30" s="236"/>
      <c r="EO30" s="236"/>
      <c r="EP30" s="236"/>
      <c r="EQ30" s="236"/>
      <c r="ER30" s="236"/>
      <c r="ES30" s="236"/>
      <c r="ET30" s="236"/>
      <c r="EU30" s="236"/>
      <c r="EV30" s="236"/>
      <c r="EW30" s="236"/>
      <c r="EX30" s="236"/>
      <c r="EY30" s="236"/>
      <c r="EZ30" s="236"/>
      <c r="FA30" s="236"/>
      <c r="FB30" s="236"/>
      <c r="FC30" s="236"/>
      <c r="FD30" s="236"/>
      <c r="FE30" s="236"/>
      <c r="FF30" s="236"/>
      <c r="FG30" s="236"/>
      <c r="FH30" s="236"/>
      <c r="FI30" s="236"/>
      <c r="FJ30" s="236"/>
      <c r="FK30" s="236"/>
      <c r="FL30" s="236"/>
      <c r="FM30" s="236"/>
      <c r="FN30" s="236"/>
      <c r="FO30" s="236"/>
      <c r="FP30" s="236"/>
      <c r="FQ30" s="236"/>
      <c r="FR30" s="236"/>
      <c r="FS30" s="236"/>
      <c r="FT30" s="236"/>
      <c r="FU30" s="236"/>
      <c r="FV30" s="236"/>
      <c r="FW30" s="236"/>
      <c r="FX30" s="236"/>
      <c r="FY30" s="236"/>
      <c r="FZ30" s="236"/>
      <c r="GA30" s="236"/>
      <c r="GB30" s="236"/>
      <c r="GC30" s="236"/>
      <c r="GD30" s="236"/>
      <c r="GE30" s="236"/>
      <c r="GF30" s="236"/>
      <c r="GG30" s="236"/>
      <c r="GH30" s="236"/>
      <c r="GI30" s="236"/>
      <c r="GJ30" s="236"/>
      <c r="GK30" s="236"/>
      <c r="GL30" s="236"/>
      <c r="GM30" s="236"/>
      <c r="GN30" s="236"/>
      <c r="GO30" s="236"/>
      <c r="GP30" s="236"/>
      <c r="GQ30" s="236"/>
      <c r="GR30" s="236"/>
      <c r="GS30" s="236"/>
      <c r="GT30" s="236"/>
      <c r="GU30" s="236"/>
      <c r="GV30" s="236"/>
      <c r="GW30" s="236"/>
      <c r="GX30" s="236"/>
      <c r="GY30" s="236"/>
      <c r="GZ30" s="236"/>
      <c r="HA30" s="236"/>
      <c r="HB30" s="236"/>
      <c r="HC30" s="236"/>
      <c r="HD30" s="236"/>
      <c r="HE30" s="236"/>
      <c r="HF30" s="236"/>
      <c r="HG30" s="236"/>
      <c r="HH30" s="236"/>
      <c r="HI30" s="236"/>
      <c r="HJ30" s="236"/>
      <c r="HK30" s="236"/>
      <c r="HL30" s="236"/>
      <c r="HM30" s="236"/>
      <c r="HN30" s="236"/>
      <c r="HO30" s="236"/>
      <c r="HP30" s="236"/>
      <c r="HQ30" s="236"/>
      <c r="HR30" s="236"/>
      <c r="HS30" s="236"/>
      <c r="HT30" s="236"/>
      <c r="HU30" s="236"/>
      <c r="HV30" s="236"/>
      <c r="HW30" s="236"/>
      <c r="HX30" s="236"/>
      <c r="HY30" s="236"/>
      <c r="HZ30" s="236"/>
      <c r="IA30" s="236"/>
      <c r="IB30" s="236"/>
      <c r="IC30" s="236"/>
      <c r="ID30" s="236"/>
      <c r="IE30" s="236"/>
      <c r="IF30" s="236"/>
      <c r="IG30" s="236"/>
      <c r="IH30" s="236"/>
      <c r="II30" s="236"/>
      <c r="IJ30" s="236"/>
      <c r="IK30" s="236"/>
      <c r="IL30" s="236"/>
      <c r="IM30" s="236"/>
      <c r="IN30" s="236"/>
      <c r="IO30" s="236"/>
      <c r="IP30" s="236"/>
      <c r="IQ30" s="236"/>
      <c r="IR30" s="236"/>
      <c r="IS30" s="236"/>
      <c r="IT30" s="236"/>
      <c r="IU30" s="236"/>
      <c r="IV30" s="236"/>
      <c r="IW30" s="236"/>
      <c r="IX30" s="236"/>
      <c r="IY30" s="236"/>
      <c r="IZ30" s="236"/>
      <c r="JA30" s="236"/>
      <c r="JB30" s="236"/>
      <c r="JC30" s="236"/>
      <c r="JD30" s="236"/>
      <c r="JE30" s="236"/>
      <c r="JF30" s="236"/>
      <c r="JG30" s="236"/>
      <c r="JH30" s="236"/>
      <c r="JI30" s="236"/>
      <c r="JJ30" s="236"/>
      <c r="JK30" s="236"/>
      <c r="JL30" s="236"/>
      <c r="JM30" s="236"/>
      <c r="JN30" s="236"/>
      <c r="JO30" s="236"/>
      <c r="JP30" s="236"/>
      <c r="JQ30" s="411"/>
      <c r="JR30" s="411"/>
      <c r="JS30" s="411"/>
      <c r="JT30" s="411"/>
      <c r="JU30" s="411"/>
      <c r="JV30" s="411"/>
      <c r="JW30" s="411"/>
      <c r="KH30" s="412">
        <f t="shared" si="17"/>
        <v>27</v>
      </c>
      <c r="KI30" s="413">
        <f t="shared" ca="1" si="6"/>
        <v>1027</v>
      </c>
      <c r="KJ30" s="413" t="str">
        <f t="shared" ca="1" si="18"/>
        <v>Production Test : Well Testing</v>
      </c>
      <c r="KK30" s="414">
        <f t="shared" ca="1" si="8"/>
        <v>1.4583333333333333</v>
      </c>
    </row>
    <row r="31" spans="3:301" ht="24" customHeight="1">
      <c r="C31"/>
      <c r="D31" s="57" t="str">
        <f ca="1">INDIRECT(ADDRESS(ROWS($D$3:D30)+6,D$3,1,1,"3_TIME SUM"))</f>
        <v xml:space="preserve">Coiled Tubing - Coring </v>
      </c>
      <c r="E31" s="81" t="str">
        <f ca="1">IF(INDIRECT(ADDRESS(ROWS($E$3:E30)+6,E$3,1,1,"3_TIME SUM"))=0,E30,INDIRECT(ADDRESS(ROWS($E$3:E30)+6,E$3,1,1,"3_TIME SUM")))</f>
        <v>Coring</v>
      </c>
      <c r="F31" s="57" t="str">
        <f t="shared" ca="1" si="3"/>
        <v xml:space="preserve">Coring : Coiled Tubing - Coring </v>
      </c>
      <c r="G31" s="58" t="str">
        <f ca="1">VLOOKUP($D31,INDIRECT(ADDRESS(7,5,1,1,"3_TIME SUM")):INDIRECT(ADDRESS(200,7,1,1,"3_TIME SUM")),2,FALSE)</f>
        <v>4d</v>
      </c>
      <c r="H31" s="58" t="str">
        <f ca="1">IF(VLOOKUP($D31,INDIRECT(ADDRESS(7,5,1,1,"3_TIME SUM")):INDIRECT(ADDRESS(200,7,1,1,"3_TIME SUM")),3,FALSE)="","PT",VLOOKUP($D31,INDIRECT(ADDRESS(7,5,1,1,"3_TIME SUM")):INDIRECT(ADDRESS(200,7,1,1,"3_TIME SUM")),3,FALSE))</f>
        <v>PT</v>
      </c>
      <c r="I31" s="59">
        <f ca="1">IFERROR(IF(AND($D$2="NON PRODUCTIVE TIME",$H31="NPT"),SUMIF(INDIRECT(ADDRESS(8,COLUMN('2_DATA'!$M$9),1,1,"2_DATA")):INDIRECT(ADDRESS(3000,COLUMN('2_DATA'!$M$9),1,1,"2_DATA")),$G31,INDIRECT(ADDRESS(8,COLUMN('2_DATA'!$N$9),1,1,"2_DATA")):INDIRECT(ADDRESS(3000,COLUMN('2_DATA'!$N$9),1,1,"2_DATA"))),IF($D$2="ALL ACTIVITY",SUMIF(INDIRECT(ADDRESS(9,COLUMN('2_DATA'!$M$9),1,1,"2_DATA")):INDIRECT(ADDRESS(3000,COLUMN('2_DATA'!$M$9),1,1,"2_DATA")),$G31,INDIRECT(ADDRESS(9,COLUMN('2_DATA'!$N$9),1,1,"2_DATA")):INDIRECT(ADDRESS(3000,COLUMN('2_DATA'!$N$9),1,1,"2_DATA"))),SUMIF(INDIRECT(ADDRESS(OFFSET($A$3,MATCH($D$2,$A$4:$A$16,0)-1,1,,)+1,COLUMN('2_DATA'!$M$9),1,1,"2_DATA")):INDIRECT(ADDRESS(VLOOKUP($D$2,$A$4:$B$16,2,FALSE)-1,COLUMN('2_DATA'!$M$9),1,1,"2_DATA")),$G31,INDIRECT(ADDRESS(OFFSET($A$3,MATCH($D$2,$A$4:$A$16,0)-1,1,,)+1,COLUMN('2_DATA'!$N$9),1,1,"2_DATA")):INDIRECT(ADDRESS(VLOOKUP($D$2,$A$4:$B$16,2,FALSE)-1,COLUMN('2_DATA'!$N$9),1,1,"2_DATA"))))),0)</f>
        <v>0</v>
      </c>
      <c r="J31" s="58" t="str">
        <f ca="1">IF(I31=0,"",MAX($J$3:J30)+1)</f>
        <v/>
      </c>
      <c r="L31" s="55">
        <f t="shared" ca="1" si="0"/>
        <v>1000</v>
      </c>
      <c r="M31" s="55" t="str">
        <f t="shared" ca="1" si="4"/>
        <v/>
      </c>
      <c r="N31" s="55"/>
      <c r="O31" s="55" t="str">
        <f t="shared" ca="1" si="10"/>
        <v/>
      </c>
      <c r="P31" s="55">
        <f t="shared" ca="1" si="1"/>
        <v>0</v>
      </c>
      <c r="Q31" s="55">
        <f ca="1">IFERROR(INDEX($O$4:$P$226,MATCH(ROWS($Q$3:Q30),$P$4:$P$226,0),1),"-")</f>
        <v>1027</v>
      </c>
      <c r="R31" s="62" t="str">
        <f t="shared" ca="1" si="2"/>
        <v>Production Test : Well Testing</v>
      </c>
      <c r="S31" s="55">
        <f t="shared" ca="1" si="5"/>
        <v>27</v>
      </c>
      <c r="V31" s="68">
        <f t="shared" ca="1" si="11"/>
        <v>18</v>
      </c>
      <c r="W31" s="69" t="str">
        <f t="shared" ca="1" si="12"/>
        <v>Nipple Up BOP : N/U BOP, N/U &amp; Install Diverter, Install Bell Nipple and Flowline or mandrel</v>
      </c>
      <c r="X31" s="70" t="s">
        <v>84</v>
      </c>
      <c r="Y31" s="68" t="str">
        <f t="shared" ca="1" si="16"/>
        <v>PT</v>
      </c>
      <c r="Z31" s="71" t="str">
        <f t="shared" ca="1" si="13"/>
        <v>14b</v>
      </c>
      <c r="AA31" s="72">
        <f t="shared" ca="1" si="14"/>
        <v>3.5</v>
      </c>
      <c r="AB31" s="305">
        <f t="shared" ca="1" si="15"/>
        <v>0.14583333333333334</v>
      </c>
      <c r="AC31" s="236"/>
      <c r="AD31" s="236"/>
      <c r="AE31" s="236"/>
      <c r="AF31" s="236"/>
      <c r="AG31" s="236"/>
      <c r="AH31" s="236"/>
      <c r="AI31" s="236"/>
      <c r="AJ31" s="236"/>
      <c r="AK31" s="236"/>
      <c r="AL31" s="236"/>
      <c r="AM31" s="236"/>
      <c r="AN31" s="236"/>
      <c r="AO31" s="236"/>
      <c r="AP31" s="236"/>
      <c r="AQ31" s="236"/>
      <c r="AR31" s="236"/>
      <c r="AS31" s="236"/>
      <c r="AT31" s="236"/>
      <c r="AU31" s="236"/>
      <c r="AV31" s="236"/>
      <c r="AW31" s="236"/>
      <c r="AX31" s="236"/>
      <c r="AY31" s="236"/>
      <c r="AZ31" s="236"/>
      <c r="BA31" s="236"/>
      <c r="BB31" s="236"/>
      <c r="BC31" s="236"/>
      <c r="BD31" s="236"/>
      <c r="BE31" s="236"/>
      <c r="BF31" s="236"/>
      <c r="BG31" s="236"/>
      <c r="BH31" s="236"/>
      <c r="BI31" s="236"/>
      <c r="BJ31" s="236"/>
      <c r="BK31" s="236"/>
      <c r="BL31" s="236"/>
      <c r="BM31" s="236"/>
      <c r="BN31" s="236"/>
      <c r="BO31" s="236"/>
      <c r="BP31" s="236"/>
      <c r="BQ31" s="236"/>
      <c r="BR31" s="236"/>
      <c r="BS31" s="236"/>
      <c r="BT31" s="236"/>
      <c r="BU31" s="236"/>
      <c r="BV31" s="236"/>
      <c r="BW31" s="236"/>
      <c r="BX31" s="236"/>
      <c r="BY31" s="236"/>
      <c r="BZ31" s="236"/>
      <c r="CA31" s="236"/>
      <c r="CB31" s="236"/>
      <c r="CC31" s="236"/>
      <c r="CD31" s="236"/>
      <c r="CE31" s="236"/>
      <c r="CF31" s="236"/>
      <c r="CG31" s="236"/>
      <c r="CH31" s="236"/>
      <c r="CI31" s="236"/>
      <c r="CJ31" s="236"/>
      <c r="CK31" s="236"/>
      <c r="CL31" s="236"/>
      <c r="CM31" s="236"/>
      <c r="CN31" s="236"/>
      <c r="CO31" s="236"/>
      <c r="CP31" s="236"/>
      <c r="CQ31" s="236"/>
      <c r="CR31" s="236"/>
      <c r="CS31" s="236"/>
      <c r="CT31" s="236"/>
      <c r="CU31" s="236"/>
      <c r="CV31" s="236"/>
      <c r="CW31" s="236"/>
      <c r="CX31" s="236"/>
      <c r="CY31" s="236"/>
      <c r="CZ31" s="236"/>
      <c r="DA31" s="236"/>
      <c r="DB31" s="236"/>
      <c r="DC31" s="236"/>
      <c r="DD31" s="236"/>
      <c r="DE31" s="236"/>
      <c r="DF31" s="236"/>
      <c r="DG31" s="236"/>
      <c r="DH31" s="236"/>
      <c r="DI31" s="236"/>
      <c r="DJ31" s="236"/>
      <c r="DK31" s="236"/>
      <c r="DL31" s="236"/>
      <c r="DM31" s="236"/>
      <c r="DN31" s="236"/>
      <c r="DO31" s="236"/>
      <c r="DP31" s="236"/>
      <c r="DQ31" s="236"/>
      <c r="DR31" s="236"/>
      <c r="DS31" s="236"/>
      <c r="DT31" s="236"/>
      <c r="DU31" s="236"/>
      <c r="DV31" s="236"/>
      <c r="DW31" s="236"/>
      <c r="DX31" s="236"/>
      <c r="DY31" s="236"/>
      <c r="DZ31" s="236"/>
      <c r="EA31" s="236"/>
      <c r="EB31" s="236"/>
      <c r="EC31" s="236"/>
      <c r="ED31" s="236"/>
      <c r="EE31" s="236"/>
      <c r="EF31" s="236"/>
      <c r="EG31" s="236"/>
      <c r="EH31" s="236"/>
      <c r="EI31" s="236"/>
      <c r="EJ31" s="236"/>
      <c r="EK31" s="236"/>
      <c r="EL31" s="236"/>
      <c r="EM31" s="236"/>
      <c r="EN31" s="236"/>
      <c r="EO31" s="236"/>
      <c r="EP31" s="236"/>
      <c r="EQ31" s="236"/>
      <c r="ER31" s="236"/>
      <c r="ES31" s="236"/>
      <c r="ET31" s="236"/>
      <c r="EU31" s="236"/>
      <c r="EV31" s="236"/>
      <c r="EW31" s="236"/>
      <c r="EX31" s="236"/>
      <c r="EY31" s="236"/>
      <c r="EZ31" s="236"/>
      <c r="FA31" s="236"/>
      <c r="FB31" s="236"/>
      <c r="FC31" s="236"/>
      <c r="FD31" s="236"/>
      <c r="FE31" s="236"/>
      <c r="FF31" s="236"/>
      <c r="FG31" s="236"/>
      <c r="FH31" s="236"/>
      <c r="FI31" s="236"/>
      <c r="FJ31" s="236"/>
      <c r="FK31" s="236"/>
      <c r="FL31" s="236"/>
      <c r="FM31" s="236"/>
      <c r="FN31" s="236"/>
      <c r="FO31" s="236"/>
      <c r="FP31" s="236"/>
      <c r="FQ31" s="236"/>
      <c r="FR31" s="236"/>
      <c r="FS31" s="236"/>
      <c r="FT31" s="236"/>
      <c r="FU31" s="236"/>
      <c r="FV31" s="236"/>
      <c r="FW31" s="236"/>
      <c r="FX31" s="236"/>
      <c r="FY31" s="236"/>
      <c r="FZ31" s="236"/>
      <c r="GA31" s="236"/>
      <c r="GB31" s="236"/>
      <c r="GC31" s="236"/>
      <c r="GD31" s="236"/>
      <c r="GE31" s="236"/>
      <c r="GF31" s="236"/>
      <c r="GG31" s="236"/>
      <c r="GH31" s="236"/>
      <c r="GI31" s="236"/>
      <c r="GJ31" s="236"/>
      <c r="GK31" s="236"/>
      <c r="GL31" s="236"/>
      <c r="GM31" s="236"/>
      <c r="GN31" s="236"/>
      <c r="GO31" s="236"/>
      <c r="GP31" s="236"/>
      <c r="GQ31" s="236"/>
      <c r="GR31" s="236"/>
      <c r="GS31" s="236"/>
      <c r="GT31" s="236"/>
      <c r="GU31" s="236"/>
      <c r="GV31" s="236"/>
      <c r="GW31" s="236"/>
      <c r="GX31" s="236"/>
      <c r="GY31" s="236"/>
      <c r="GZ31" s="236"/>
      <c r="HA31" s="236"/>
      <c r="HB31" s="236"/>
      <c r="HC31" s="236"/>
      <c r="HD31" s="236"/>
      <c r="HE31" s="236"/>
      <c r="HF31" s="236"/>
      <c r="HG31" s="236"/>
      <c r="HH31" s="236"/>
      <c r="HI31" s="236"/>
      <c r="HJ31" s="236"/>
      <c r="HK31" s="236"/>
      <c r="HL31" s="236"/>
      <c r="HM31" s="236"/>
      <c r="HN31" s="236"/>
      <c r="HO31" s="236"/>
      <c r="HP31" s="236"/>
      <c r="HQ31" s="236"/>
      <c r="HR31" s="236"/>
      <c r="HS31" s="236"/>
      <c r="HT31" s="236"/>
      <c r="HU31" s="236"/>
      <c r="HV31" s="236"/>
      <c r="HW31" s="236"/>
      <c r="HX31" s="236"/>
      <c r="HY31" s="236"/>
      <c r="HZ31" s="236"/>
      <c r="IA31" s="236"/>
      <c r="IB31" s="236"/>
      <c r="IC31" s="236"/>
      <c r="ID31" s="236"/>
      <c r="IE31" s="236"/>
      <c r="IF31" s="236"/>
      <c r="IG31" s="236"/>
      <c r="IH31" s="236"/>
      <c r="II31" s="236"/>
      <c r="IJ31" s="236"/>
      <c r="IK31" s="236"/>
      <c r="IL31" s="236"/>
      <c r="IM31" s="236"/>
      <c r="IN31" s="236"/>
      <c r="IO31" s="236"/>
      <c r="IP31" s="236"/>
      <c r="IQ31" s="236"/>
      <c r="IR31" s="236"/>
      <c r="IS31" s="236"/>
      <c r="IT31" s="236"/>
      <c r="IU31" s="236"/>
      <c r="IV31" s="236"/>
      <c r="IW31" s="236"/>
      <c r="IX31" s="236"/>
      <c r="IY31" s="236"/>
      <c r="IZ31" s="236"/>
      <c r="JA31" s="236"/>
      <c r="JB31" s="236"/>
      <c r="JC31" s="236"/>
      <c r="JD31" s="236"/>
      <c r="JE31" s="236"/>
      <c r="JF31" s="236"/>
      <c r="JG31" s="236"/>
      <c r="JH31" s="236"/>
      <c r="JI31" s="236"/>
      <c r="JJ31" s="236"/>
      <c r="JK31" s="236"/>
      <c r="JL31" s="236"/>
      <c r="JM31" s="236"/>
      <c r="JN31" s="236"/>
      <c r="JO31" s="236"/>
      <c r="JP31" s="236"/>
      <c r="JQ31" s="411"/>
      <c r="JR31" s="411"/>
      <c r="JS31" s="411"/>
      <c r="JT31" s="411"/>
      <c r="JU31" s="411"/>
      <c r="JV31" s="411"/>
      <c r="JW31" s="411"/>
      <c r="KH31" s="412">
        <f t="shared" si="17"/>
        <v>28</v>
      </c>
      <c r="KI31" s="413" t="str">
        <f t="shared" ca="1" si="6"/>
        <v/>
      </c>
      <c r="KJ31" s="413" t="str">
        <f t="shared" ca="1" si="18"/>
        <v/>
      </c>
      <c r="KK31" s="414" t="str">
        <f t="shared" ca="1" si="8"/>
        <v/>
      </c>
    </row>
    <row r="32" spans="3:301" ht="24" customHeight="1">
      <c r="C32"/>
      <c r="D32" s="57">
        <f ca="1">INDIRECT(ADDRESS(ROWS($D$3:D31)+6,D$3,1,1,"3_TIME SUM"))</f>
        <v>0</v>
      </c>
      <c r="E32" s="81" t="str">
        <f ca="1">IF(INDIRECT(ADDRESS(ROWS($E$3:E31)+6,E$3,1,1,"3_TIME SUM"))=0,E31,INDIRECT(ADDRESS(ROWS($E$3:E31)+6,E$3,1,1,"3_TIME SUM")))</f>
        <v>Coring</v>
      </c>
      <c r="F32" s="57" t="str">
        <f t="shared" ca="1" si="3"/>
        <v>Coring : 0</v>
      </c>
      <c r="G32" s="58" t="e">
        <f ca="1">VLOOKUP($D32,INDIRECT(ADDRESS(7,5,1,1,"3_TIME SUM")):INDIRECT(ADDRESS(200,7,1,1,"3_TIME SUM")),2,FALSE)</f>
        <v>#N/A</v>
      </c>
      <c r="H32" s="58" t="e">
        <f ca="1">IF(VLOOKUP($D32,INDIRECT(ADDRESS(7,5,1,1,"3_TIME SUM")):INDIRECT(ADDRESS(200,7,1,1,"3_TIME SUM")),3,FALSE)="","PT",VLOOKUP($D32,INDIRECT(ADDRESS(7,5,1,1,"3_TIME SUM")):INDIRECT(ADDRESS(200,7,1,1,"3_TIME SUM")),3,FALSE))</f>
        <v>#N/A</v>
      </c>
      <c r="I32" s="59">
        <f ca="1">IFERROR(IF(AND($D$2="NON PRODUCTIVE TIME",$H32="NPT"),SUMIF(INDIRECT(ADDRESS(8,COLUMN('2_DATA'!$M$9),1,1,"2_DATA")):INDIRECT(ADDRESS(3000,COLUMN('2_DATA'!$M$9),1,1,"2_DATA")),$G32,INDIRECT(ADDRESS(8,COLUMN('2_DATA'!$N$9),1,1,"2_DATA")):INDIRECT(ADDRESS(3000,COLUMN('2_DATA'!$N$9),1,1,"2_DATA"))),IF($D$2="ALL ACTIVITY",SUMIF(INDIRECT(ADDRESS(9,COLUMN('2_DATA'!$M$9),1,1,"2_DATA")):INDIRECT(ADDRESS(3000,COLUMN('2_DATA'!$M$9),1,1,"2_DATA")),$G32,INDIRECT(ADDRESS(9,COLUMN('2_DATA'!$N$9),1,1,"2_DATA")):INDIRECT(ADDRESS(3000,COLUMN('2_DATA'!$N$9),1,1,"2_DATA"))),SUMIF(INDIRECT(ADDRESS(OFFSET($A$3,MATCH($D$2,$A$4:$A$16,0)-1,1,,)+1,COLUMN('2_DATA'!$M$9),1,1,"2_DATA")):INDIRECT(ADDRESS(VLOOKUP($D$2,$A$4:$B$16,2,FALSE)-1,COLUMN('2_DATA'!$M$9),1,1,"2_DATA")),$G32,INDIRECT(ADDRESS(OFFSET($A$3,MATCH($D$2,$A$4:$A$16,0)-1,1,,)+1,COLUMN('2_DATA'!$N$9),1,1,"2_DATA")):INDIRECT(ADDRESS(VLOOKUP($D$2,$A$4:$B$16,2,FALSE)-1,COLUMN('2_DATA'!$N$9),1,1,"2_DATA"))))),0)</f>
        <v>0</v>
      </c>
      <c r="J32" s="58" t="str">
        <f ca="1">IF(I32=0,"",MAX($J$3:J31)+1)</f>
        <v/>
      </c>
      <c r="L32" s="55" t="str">
        <f t="shared" ca="1" si="0"/>
        <v/>
      </c>
      <c r="M32" s="55" t="str">
        <f t="shared" ca="1" si="4"/>
        <v/>
      </c>
      <c r="N32" s="55"/>
      <c r="O32" s="55" t="str">
        <f t="shared" ca="1" si="10"/>
        <v/>
      </c>
      <c r="P32" s="55">
        <f t="shared" ca="1" si="1"/>
        <v>0</v>
      </c>
      <c r="Q32" s="55" t="str">
        <f ca="1">IFERROR(INDEX($O$4:$P$226,MATCH(ROWS($Q$3:Q31),$P$4:$P$226,0),1),"-")</f>
        <v>-</v>
      </c>
      <c r="R32" s="62" t="str">
        <f t="shared" ca="1" si="2"/>
        <v/>
      </c>
      <c r="S32" s="55" t="str">
        <f t="shared" ca="1" si="5"/>
        <v/>
      </c>
      <c r="V32" s="68">
        <f t="shared" ca="1" si="11"/>
        <v>19</v>
      </c>
      <c r="W32" s="69" t="str">
        <f t="shared" ca="1" si="12"/>
        <v>Nipple Up BOP : N/D BOP, N/D  Diverter, N/D Bell Nipple and Flowline or mandrel</v>
      </c>
      <c r="X32" s="70" t="s">
        <v>84</v>
      </c>
      <c r="Y32" s="68" t="str">
        <f t="shared" ca="1" si="16"/>
        <v>PT</v>
      </c>
      <c r="Z32" s="71" t="str">
        <f t="shared" ca="1" si="13"/>
        <v>14c</v>
      </c>
      <c r="AA32" s="72">
        <f t="shared" ca="1" si="14"/>
        <v>4</v>
      </c>
      <c r="AB32" s="305">
        <f t="shared" ca="1" si="15"/>
        <v>0.16666666666666666</v>
      </c>
      <c r="AC32" s="236"/>
      <c r="AD32" s="236"/>
      <c r="AE32" s="236"/>
      <c r="AF32" s="236"/>
      <c r="AG32" s="236"/>
      <c r="AH32" s="236"/>
      <c r="AI32" s="236"/>
      <c r="AJ32" s="236"/>
      <c r="AK32" s="236"/>
      <c r="AL32" s="236"/>
      <c r="AM32" s="236"/>
      <c r="AN32" s="236"/>
      <c r="AO32" s="236"/>
      <c r="AP32" s="236"/>
      <c r="AQ32" s="236"/>
      <c r="AR32" s="236"/>
      <c r="AS32" s="236"/>
      <c r="AT32" s="236"/>
      <c r="AU32" s="236"/>
      <c r="AV32" s="236"/>
      <c r="AW32" s="236"/>
      <c r="AX32" s="236"/>
      <c r="AY32" s="236"/>
      <c r="AZ32" s="236"/>
      <c r="BA32" s="236"/>
      <c r="BB32" s="236"/>
      <c r="BC32" s="236"/>
      <c r="BD32" s="236"/>
      <c r="BE32" s="236"/>
      <c r="BF32" s="236"/>
      <c r="BG32" s="236"/>
      <c r="BH32" s="236"/>
      <c r="BI32" s="236"/>
      <c r="BJ32" s="236"/>
      <c r="BK32" s="236"/>
      <c r="BL32" s="236"/>
      <c r="BM32" s="236"/>
      <c r="BN32" s="236"/>
      <c r="BO32" s="236"/>
      <c r="BP32" s="236"/>
      <c r="BQ32" s="236"/>
      <c r="BR32" s="236"/>
      <c r="BS32" s="236"/>
      <c r="BT32" s="236"/>
      <c r="BU32" s="236"/>
      <c r="BV32" s="236"/>
      <c r="BW32" s="236"/>
      <c r="BX32" s="236"/>
      <c r="BY32" s="236"/>
      <c r="BZ32" s="236"/>
      <c r="CA32" s="236"/>
      <c r="CB32" s="236"/>
      <c r="CC32" s="236"/>
      <c r="CD32" s="236"/>
      <c r="CE32" s="236"/>
      <c r="CF32" s="236"/>
      <c r="CG32" s="236"/>
      <c r="CH32" s="236"/>
      <c r="CI32" s="236"/>
      <c r="CJ32" s="236"/>
      <c r="CK32" s="236"/>
      <c r="CL32" s="236"/>
      <c r="CM32" s="236"/>
      <c r="CN32" s="236"/>
      <c r="CO32" s="236"/>
      <c r="CP32" s="236"/>
      <c r="CQ32" s="236"/>
      <c r="CR32" s="236"/>
      <c r="CS32" s="236"/>
      <c r="CT32" s="236"/>
      <c r="CU32" s="236"/>
      <c r="CV32" s="236"/>
      <c r="CW32" s="236"/>
      <c r="CX32" s="236"/>
      <c r="CY32" s="236"/>
      <c r="CZ32" s="236"/>
      <c r="DA32" s="236"/>
      <c r="DB32" s="236"/>
      <c r="DC32" s="236"/>
      <c r="DD32" s="236"/>
      <c r="DE32" s="236"/>
      <c r="DF32" s="236"/>
      <c r="DG32" s="236"/>
      <c r="DH32" s="236"/>
      <c r="DI32" s="236"/>
      <c r="DJ32" s="236"/>
      <c r="DK32" s="236"/>
      <c r="DL32" s="236"/>
      <c r="DM32" s="236"/>
      <c r="DN32" s="236"/>
      <c r="DO32" s="236"/>
      <c r="DP32" s="236"/>
      <c r="DQ32" s="236"/>
      <c r="DR32" s="236"/>
      <c r="DS32" s="236"/>
      <c r="DT32" s="236"/>
      <c r="DU32" s="236"/>
      <c r="DV32" s="236"/>
      <c r="DW32" s="236"/>
      <c r="DX32" s="236"/>
      <c r="DY32" s="236"/>
      <c r="DZ32" s="236"/>
      <c r="EA32" s="236"/>
      <c r="EB32" s="236"/>
      <c r="EC32" s="236"/>
      <c r="ED32" s="236"/>
      <c r="EE32" s="236"/>
      <c r="EF32" s="236"/>
      <c r="EG32" s="236"/>
      <c r="EH32" s="236"/>
      <c r="EI32" s="236"/>
      <c r="EJ32" s="236"/>
      <c r="EK32" s="236"/>
      <c r="EL32" s="236"/>
      <c r="EM32" s="236"/>
      <c r="EN32" s="236"/>
      <c r="EO32" s="236"/>
      <c r="EP32" s="236"/>
      <c r="EQ32" s="236"/>
      <c r="ER32" s="236"/>
      <c r="ES32" s="236"/>
      <c r="ET32" s="236"/>
      <c r="EU32" s="236"/>
      <c r="EV32" s="236"/>
      <c r="EW32" s="236"/>
      <c r="EX32" s="236"/>
      <c r="EY32" s="236"/>
      <c r="EZ32" s="236"/>
      <c r="FA32" s="236"/>
      <c r="FB32" s="236"/>
      <c r="FC32" s="236"/>
      <c r="FD32" s="236"/>
      <c r="FE32" s="236"/>
      <c r="FF32" s="236"/>
      <c r="FG32" s="236"/>
      <c r="FH32" s="236"/>
      <c r="FI32" s="236"/>
      <c r="FJ32" s="236"/>
      <c r="FK32" s="236"/>
      <c r="FL32" s="236"/>
      <c r="FM32" s="236"/>
      <c r="FN32" s="236"/>
      <c r="FO32" s="236"/>
      <c r="FP32" s="236"/>
      <c r="FQ32" s="236"/>
      <c r="FR32" s="236"/>
      <c r="FS32" s="236"/>
      <c r="FT32" s="236"/>
      <c r="FU32" s="236"/>
      <c r="FV32" s="236"/>
      <c r="FW32" s="236"/>
      <c r="FX32" s="236"/>
      <c r="FY32" s="236"/>
      <c r="FZ32" s="236"/>
      <c r="GA32" s="236"/>
      <c r="GB32" s="236"/>
      <c r="GC32" s="236"/>
      <c r="GD32" s="236"/>
      <c r="GE32" s="236"/>
      <c r="GF32" s="236"/>
      <c r="GG32" s="236"/>
      <c r="GH32" s="236"/>
      <c r="GI32" s="236"/>
      <c r="GJ32" s="236"/>
      <c r="GK32" s="236"/>
      <c r="GL32" s="236"/>
      <c r="GM32" s="236"/>
      <c r="GN32" s="236"/>
      <c r="GO32" s="236"/>
      <c r="GP32" s="236"/>
      <c r="GQ32" s="236"/>
      <c r="GR32" s="236"/>
      <c r="GS32" s="236"/>
      <c r="GT32" s="236"/>
      <c r="GU32" s="236"/>
      <c r="GV32" s="236"/>
      <c r="GW32" s="236"/>
      <c r="GX32" s="236"/>
      <c r="GY32" s="236"/>
      <c r="GZ32" s="236"/>
      <c r="HA32" s="236"/>
      <c r="HB32" s="236"/>
      <c r="HC32" s="236"/>
      <c r="HD32" s="236"/>
      <c r="HE32" s="236"/>
      <c r="HF32" s="236"/>
      <c r="HG32" s="236"/>
      <c r="HH32" s="236"/>
      <c r="HI32" s="236"/>
      <c r="HJ32" s="236"/>
      <c r="HK32" s="236"/>
      <c r="HL32" s="236"/>
      <c r="HM32" s="236"/>
      <c r="HN32" s="236"/>
      <c r="HO32" s="236"/>
      <c r="HP32" s="236"/>
      <c r="HQ32" s="236"/>
      <c r="HR32" s="236"/>
      <c r="HS32" s="236"/>
      <c r="HT32" s="236"/>
      <c r="HU32" s="236"/>
      <c r="HV32" s="236"/>
      <c r="HW32" s="236"/>
      <c r="HX32" s="236"/>
      <c r="HY32" s="236"/>
      <c r="HZ32" s="236"/>
      <c r="IA32" s="236"/>
      <c r="IB32" s="236"/>
      <c r="IC32" s="236"/>
      <c r="ID32" s="236"/>
      <c r="IE32" s="236"/>
      <c r="IF32" s="236"/>
      <c r="IG32" s="236"/>
      <c r="IH32" s="236"/>
      <c r="II32" s="236"/>
      <c r="IJ32" s="236"/>
      <c r="IK32" s="236"/>
      <c r="IL32" s="236"/>
      <c r="IM32" s="236"/>
      <c r="IN32" s="236"/>
      <c r="IO32" s="236"/>
      <c r="IP32" s="236"/>
      <c r="IQ32" s="236"/>
      <c r="IR32" s="236"/>
      <c r="IS32" s="236"/>
      <c r="IT32" s="236"/>
      <c r="IU32" s="236"/>
      <c r="IV32" s="236"/>
      <c r="IW32" s="236"/>
      <c r="IX32" s="236"/>
      <c r="IY32" s="236"/>
      <c r="IZ32" s="236"/>
      <c r="JA32" s="236"/>
      <c r="JB32" s="236"/>
      <c r="JC32" s="236"/>
      <c r="JD32" s="236"/>
      <c r="JE32" s="236"/>
      <c r="JF32" s="236"/>
      <c r="JG32" s="236"/>
      <c r="JH32" s="236"/>
      <c r="JI32" s="236"/>
      <c r="JJ32" s="236"/>
      <c r="JK32" s="236"/>
      <c r="JL32" s="236"/>
      <c r="JM32" s="236"/>
      <c r="JN32" s="236"/>
      <c r="JO32" s="236"/>
      <c r="JP32" s="236"/>
      <c r="JQ32" s="411"/>
      <c r="JR32" s="411"/>
      <c r="JS32" s="411"/>
      <c r="JT32" s="411"/>
      <c r="JU32" s="411"/>
      <c r="JV32" s="411"/>
      <c r="JW32" s="411"/>
      <c r="KH32" s="412">
        <f t="shared" si="17"/>
        <v>29</v>
      </c>
      <c r="KI32" s="413" t="str">
        <f t="shared" ca="1" si="6"/>
        <v/>
      </c>
      <c r="KJ32" s="413" t="str">
        <f t="shared" ca="1" si="18"/>
        <v/>
      </c>
      <c r="KK32" s="414" t="str">
        <f t="shared" ca="1" si="8"/>
        <v/>
      </c>
    </row>
    <row r="33" spans="3:297" ht="24" customHeight="1">
      <c r="C33"/>
      <c r="D33" s="57" t="str">
        <f ca="1">INDIRECT(ADDRESS(ROWS($D$3:D32)+6,D$3,1,1,"3_TIME SUM"))</f>
        <v>Circulate / Condition Mud</v>
      </c>
      <c r="E33" s="81" t="str">
        <f ca="1">IF(INDIRECT(ADDRESS(ROWS($E$3:E32)+6,E$3,1,1,"3_TIME SUM"))=0,E32,INDIRECT(ADDRESS(ROWS($E$3:E32)+6,E$3,1,1,"3_TIME SUM")))</f>
        <v>Condition Mud &amp; Circulate</v>
      </c>
      <c r="F33" s="57" t="str">
        <f t="shared" ca="1" si="3"/>
        <v>Condition Mud &amp; Circulate : Circulate / Condition Mud</v>
      </c>
      <c r="G33" s="58" t="str">
        <f ca="1">VLOOKUP($D33,INDIRECT(ADDRESS(7,5,1,1,"3_TIME SUM")):INDIRECT(ADDRESS(200,7,1,1,"3_TIME SUM")),2,FALSE)</f>
        <v>5a</v>
      </c>
      <c r="H33" s="58" t="str">
        <f ca="1">IF(VLOOKUP($D33,INDIRECT(ADDRESS(7,5,1,1,"3_TIME SUM")):INDIRECT(ADDRESS(200,7,1,1,"3_TIME SUM")),3,FALSE)="","PT",VLOOKUP($D33,INDIRECT(ADDRESS(7,5,1,1,"3_TIME SUM")):INDIRECT(ADDRESS(200,7,1,1,"3_TIME SUM")),3,FALSE))</f>
        <v>PT</v>
      </c>
      <c r="I33" s="59">
        <f ca="1">IFERROR(IF(AND($D$2="NON PRODUCTIVE TIME",$H33="NPT"),SUMIF(INDIRECT(ADDRESS(8,COLUMN('2_DATA'!$M$9),1,1,"2_DATA")):INDIRECT(ADDRESS(3000,COLUMN('2_DATA'!$M$9),1,1,"2_DATA")),$G33,INDIRECT(ADDRESS(8,COLUMN('2_DATA'!$N$9),1,1,"2_DATA")):INDIRECT(ADDRESS(3000,COLUMN('2_DATA'!$N$9),1,1,"2_DATA"))),IF($D$2="ALL ACTIVITY",SUMIF(INDIRECT(ADDRESS(9,COLUMN('2_DATA'!$M$9),1,1,"2_DATA")):INDIRECT(ADDRESS(3000,COLUMN('2_DATA'!$M$9),1,1,"2_DATA")),$G33,INDIRECT(ADDRESS(9,COLUMN('2_DATA'!$N$9),1,1,"2_DATA")):INDIRECT(ADDRESS(3000,COLUMN('2_DATA'!$N$9),1,1,"2_DATA"))),SUMIF(INDIRECT(ADDRESS(OFFSET($A$3,MATCH($D$2,$A$4:$A$16,0)-1,1,,)+1,COLUMN('2_DATA'!$M$9),1,1,"2_DATA")):INDIRECT(ADDRESS(VLOOKUP($D$2,$A$4:$B$16,2,FALSE)-1,COLUMN('2_DATA'!$M$9),1,1,"2_DATA")),$G33,INDIRECT(ADDRESS(OFFSET($A$3,MATCH($D$2,$A$4:$A$16,0)-1,1,,)+1,COLUMN('2_DATA'!$N$9),1,1,"2_DATA")):INDIRECT(ADDRESS(VLOOKUP($D$2,$A$4:$B$16,2,FALSE)-1,COLUMN('2_DATA'!$N$9),1,1,"2_DATA"))))),0)</f>
        <v>18.5</v>
      </c>
      <c r="J33" s="58">
        <f ca="1">IF(I33=0,"",MAX($J$3:J32)+1)</f>
        <v>6</v>
      </c>
      <c r="L33" s="55">
        <f t="shared" ca="1" si="0"/>
        <v>1000</v>
      </c>
      <c r="M33" s="55">
        <f t="shared" ca="1" si="4"/>
        <v>1006</v>
      </c>
      <c r="N33" s="55"/>
      <c r="O33" s="55" t="str">
        <f t="shared" ca="1" si="10"/>
        <v/>
      </c>
      <c r="P33" s="55">
        <f t="shared" ca="1" si="1"/>
        <v>0</v>
      </c>
      <c r="Q33" s="55" t="str">
        <f ca="1">IFERROR(INDEX($O$4:$P$226,MATCH(ROWS($Q$3:Q32),$P$4:$P$226,0),1),"-")</f>
        <v>-</v>
      </c>
      <c r="R33" s="62" t="str">
        <f t="shared" ca="1" si="2"/>
        <v/>
      </c>
      <c r="S33" s="55" t="str">
        <f t="shared" ca="1" si="5"/>
        <v/>
      </c>
      <c r="V33" s="68">
        <f t="shared" ca="1" si="11"/>
        <v>20</v>
      </c>
      <c r="W33" s="69" t="str">
        <f t="shared" ca="1" si="12"/>
        <v>Test BOP : Function &amp; Pressure Test of BOP's</v>
      </c>
      <c r="X33" s="70" t="s">
        <v>84</v>
      </c>
      <c r="Y33" s="68" t="str">
        <f t="shared" ca="1" si="16"/>
        <v>PT</v>
      </c>
      <c r="Z33" s="71" t="str">
        <f t="shared" ca="1" si="13"/>
        <v>15a</v>
      </c>
      <c r="AA33" s="72">
        <f t="shared" ca="1" si="14"/>
        <v>1</v>
      </c>
      <c r="AB33" s="305">
        <f t="shared" ca="1" si="15"/>
        <v>4.1666666666666664E-2</v>
      </c>
      <c r="AC33" s="236"/>
      <c r="AD33" s="236"/>
      <c r="AE33" s="236"/>
      <c r="AF33" s="236"/>
      <c r="AG33" s="236"/>
      <c r="AH33" s="236"/>
      <c r="AI33" s="236"/>
      <c r="AJ33" s="236"/>
      <c r="AK33" s="236"/>
      <c r="AL33" s="236"/>
      <c r="AM33" s="236"/>
      <c r="AN33" s="236"/>
      <c r="AO33" s="236"/>
      <c r="AP33" s="236"/>
      <c r="AQ33" s="236"/>
      <c r="AR33" s="236"/>
      <c r="AS33" s="236"/>
      <c r="AT33" s="236"/>
      <c r="AU33" s="236"/>
      <c r="AV33" s="236"/>
      <c r="AW33" s="236"/>
      <c r="AX33" s="236"/>
      <c r="AY33" s="236"/>
      <c r="AZ33" s="236"/>
      <c r="BA33" s="236"/>
      <c r="BB33" s="236"/>
      <c r="BC33" s="236"/>
      <c r="BD33" s="236"/>
      <c r="BE33" s="236"/>
      <c r="BF33" s="236"/>
      <c r="BG33" s="236"/>
      <c r="BH33" s="236"/>
      <c r="BI33" s="236"/>
      <c r="BJ33" s="236"/>
      <c r="BK33" s="236"/>
      <c r="BL33" s="236"/>
      <c r="BM33" s="236"/>
      <c r="BN33" s="236"/>
      <c r="BO33" s="236"/>
      <c r="BP33" s="236"/>
      <c r="BQ33" s="236"/>
      <c r="BR33" s="236"/>
      <c r="BS33" s="236"/>
      <c r="BT33" s="236"/>
      <c r="BU33" s="236"/>
      <c r="BV33" s="236"/>
      <c r="BW33" s="236"/>
      <c r="BX33" s="236"/>
      <c r="BY33" s="236"/>
      <c r="BZ33" s="236"/>
      <c r="CA33" s="236"/>
      <c r="CB33" s="236"/>
      <c r="CC33" s="236"/>
      <c r="CD33" s="236"/>
      <c r="CE33" s="236"/>
      <c r="CF33" s="236"/>
      <c r="CG33" s="236"/>
      <c r="CH33" s="236"/>
      <c r="CI33" s="236"/>
      <c r="CJ33" s="236"/>
      <c r="CK33" s="236"/>
      <c r="CL33" s="236"/>
      <c r="CM33" s="236"/>
      <c r="CN33" s="236"/>
      <c r="CO33" s="236"/>
      <c r="CP33" s="236"/>
      <c r="CQ33" s="236"/>
      <c r="CR33" s="236"/>
      <c r="CS33" s="236"/>
      <c r="CT33" s="236"/>
      <c r="CU33" s="236"/>
      <c r="CV33" s="236"/>
      <c r="CW33" s="236"/>
      <c r="CX33" s="236"/>
      <c r="CY33" s="236"/>
      <c r="CZ33" s="236"/>
      <c r="DA33" s="236"/>
      <c r="DB33" s="236"/>
      <c r="DC33" s="236"/>
      <c r="DD33" s="236"/>
      <c r="DE33" s="236"/>
      <c r="DF33" s="236"/>
      <c r="DG33" s="236"/>
      <c r="DH33" s="236"/>
      <c r="DI33" s="236"/>
      <c r="DJ33" s="236"/>
      <c r="DK33" s="236"/>
      <c r="DL33" s="236"/>
      <c r="DM33" s="236"/>
      <c r="DN33" s="236"/>
      <c r="DO33" s="236"/>
      <c r="DP33" s="236"/>
      <c r="DQ33" s="236"/>
      <c r="DR33" s="236"/>
      <c r="DS33" s="236"/>
      <c r="DT33" s="236"/>
      <c r="DU33" s="236"/>
      <c r="DV33" s="236"/>
      <c r="DW33" s="236"/>
      <c r="DX33" s="236"/>
      <c r="DY33" s="236"/>
      <c r="DZ33" s="236"/>
      <c r="EA33" s="236"/>
      <c r="EB33" s="236"/>
      <c r="EC33" s="236"/>
      <c r="ED33" s="236"/>
      <c r="EE33" s="236"/>
      <c r="EF33" s="236"/>
      <c r="EG33" s="236"/>
      <c r="EH33" s="236"/>
      <c r="EI33" s="236"/>
      <c r="EJ33" s="236"/>
      <c r="EK33" s="236"/>
      <c r="EL33" s="236"/>
      <c r="EM33" s="236"/>
      <c r="EN33" s="236"/>
      <c r="EO33" s="236"/>
      <c r="EP33" s="236"/>
      <c r="EQ33" s="236"/>
      <c r="ER33" s="236"/>
      <c r="ES33" s="236"/>
      <c r="ET33" s="236"/>
      <c r="EU33" s="236"/>
      <c r="EV33" s="236"/>
      <c r="EW33" s="236"/>
      <c r="EX33" s="236"/>
      <c r="EY33" s="236"/>
      <c r="EZ33" s="236"/>
      <c r="FA33" s="236"/>
      <c r="FB33" s="236"/>
      <c r="FC33" s="236"/>
      <c r="FD33" s="236"/>
      <c r="FE33" s="236"/>
      <c r="FF33" s="236"/>
      <c r="FG33" s="236"/>
      <c r="FH33" s="236"/>
      <c r="FI33" s="236"/>
      <c r="FJ33" s="236"/>
      <c r="FK33" s="236"/>
      <c r="FL33" s="236"/>
      <c r="FM33" s="236"/>
      <c r="FN33" s="236"/>
      <c r="FO33" s="236"/>
      <c r="FP33" s="236"/>
      <c r="FQ33" s="236"/>
      <c r="FR33" s="236"/>
      <c r="FS33" s="236"/>
      <c r="FT33" s="236"/>
      <c r="FU33" s="236"/>
      <c r="FV33" s="236"/>
      <c r="FW33" s="236"/>
      <c r="FX33" s="236"/>
      <c r="FY33" s="236"/>
      <c r="FZ33" s="236"/>
      <c r="GA33" s="236"/>
      <c r="GB33" s="236"/>
      <c r="GC33" s="236"/>
      <c r="GD33" s="236"/>
      <c r="GE33" s="236"/>
      <c r="GF33" s="236"/>
      <c r="GG33" s="236"/>
      <c r="GH33" s="236"/>
      <c r="GI33" s="236"/>
      <c r="GJ33" s="236"/>
      <c r="GK33" s="236"/>
      <c r="GL33" s="236"/>
      <c r="GM33" s="236"/>
      <c r="GN33" s="236"/>
      <c r="GO33" s="236"/>
      <c r="GP33" s="236"/>
      <c r="GQ33" s="236"/>
      <c r="GR33" s="236"/>
      <c r="GS33" s="236"/>
      <c r="GT33" s="236"/>
      <c r="GU33" s="236"/>
      <c r="GV33" s="236"/>
      <c r="GW33" s="236"/>
      <c r="GX33" s="236"/>
      <c r="GY33" s="236"/>
      <c r="GZ33" s="236"/>
      <c r="HA33" s="236"/>
      <c r="HB33" s="236"/>
      <c r="HC33" s="236"/>
      <c r="HD33" s="236"/>
      <c r="HE33" s="236"/>
      <c r="HF33" s="236"/>
      <c r="HG33" s="236"/>
      <c r="HH33" s="236"/>
      <c r="HI33" s="236"/>
      <c r="HJ33" s="236"/>
      <c r="HK33" s="236"/>
      <c r="HL33" s="236"/>
      <c r="HM33" s="236"/>
      <c r="HN33" s="236"/>
      <c r="HO33" s="236"/>
      <c r="HP33" s="236"/>
      <c r="HQ33" s="236"/>
      <c r="HR33" s="236"/>
      <c r="HS33" s="236"/>
      <c r="HT33" s="236"/>
      <c r="HU33" s="236"/>
      <c r="HV33" s="236"/>
      <c r="HW33" s="236"/>
      <c r="HX33" s="236"/>
      <c r="HY33" s="236"/>
      <c r="HZ33" s="236"/>
      <c r="IA33" s="236"/>
      <c r="IB33" s="236"/>
      <c r="IC33" s="236"/>
      <c r="ID33" s="236"/>
      <c r="IE33" s="236"/>
      <c r="IF33" s="236"/>
      <c r="IG33" s="236"/>
      <c r="IH33" s="236"/>
      <c r="II33" s="236"/>
      <c r="IJ33" s="236"/>
      <c r="IK33" s="236"/>
      <c r="IL33" s="236"/>
      <c r="IM33" s="236"/>
      <c r="IN33" s="236"/>
      <c r="IO33" s="236"/>
      <c r="IP33" s="236"/>
      <c r="IQ33" s="236"/>
      <c r="IR33" s="236"/>
      <c r="IS33" s="236"/>
      <c r="IT33" s="236"/>
      <c r="IU33" s="236"/>
      <c r="IV33" s="236"/>
      <c r="IW33" s="236"/>
      <c r="IX33" s="236"/>
      <c r="IY33" s="236"/>
      <c r="IZ33" s="236"/>
      <c r="JA33" s="236"/>
      <c r="JB33" s="236"/>
      <c r="JC33" s="236"/>
      <c r="JD33" s="236"/>
      <c r="JE33" s="236"/>
      <c r="JF33" s="236"/>
      <c r="JG33" s="236"/>
      <c r="JH33" s="236"/>
      <c r="JI33" s="236"/>
      <c r="JJ33" s="236"/>
      <c r="JK33" s="236"/>
      <c r="JL33" s="236"/>
      <c r="JM33" s="236"/>
      <c r="JN33" s="236"/>
      <c r="JO33" s="236"/>
      <c r="JP33" s="236"/>
      <c r="JQ33" s="411"/>
      <c r="JR33" s="411"/>
      <c r="JS33" s="411"/>
      <c r="JT33" s="411"/>
      <c r="JU33" s="411"/>
      <c r="JV33" s="411"/>
      <c r="JW33" s="411"/>
      <c r="KH33" s="412">
        <f t="shared" si="17"/>
        <v>30</v>
      </c>
      <c r="KI33" s="413" t="str">
        <f t="shared" ca="1" si="6"/>
        <v/>
      </c>
      <c r="KJ33" s="413" t="str">
        <f t="shared" ca="1" si="18"/>
        <v/>
      </c>
      <c r="KK33" s="414" t="str">
        <f t="shared" ca="1" si="8"/>
        <v/>
      </c>
    </row>
    <row r="34" spans="3:297" ht="24" customHeight="1">
      <c r="C34"/>
      <c r="D34" s="57" t="str">
        <f ca="1">INDIRECT(ADDRESS(ROWS($D$3:D33)+6,D$3,1,1,"3_TIME SUM"))</f>
        <v>Change Mud System</v>
      </c>
      <c r="E34" s="81" t="str">
        <f ca="1">IF(INDIRECT(ADDRESS(ROWS($E$3:E33)+6,E$3,1,1,"3_TIME SUM"))=0,E33,INDIRECT(ADDRESS(ROWS($E$3:E33)+6,E$3,1,1,"3_TIME SUM")))</f>
        <v>Condition Mud &amp; Circulate</v>
      </c>
      <c r="F34" s="57" t="str">
        <f t="shared" ca="1" si="3"/>
        <v>Condition Mud &amp; Circulate : Change Mud System</v>
      </c>
      <c r="G34" s="58" t="str">
        <f ca="1">VLOOKUP($D34,INDIRECT(ADDRESS(7,5,1,1,"3_TIME SUM")):INDIRECT(ADDRESS(200,7,1,1,"3_TIME SUM")),2,FALSE)</f>
        <v>5b</v>
      </c>
      <c r="H34" s="58" t="str">
        <f ca="1">IF(VLOOKUP($D34,INDIRECT(ADDRESS(7,5,1,1,"3_TIME SUM")):INDIRECT(ADDRESS(200,7,1,1,"3_TIME SUM")),3,FALSE)="","PT",VLOOKUP($D34,INDIRECT(ADDRESS(7,5,1,1,"3_TIME SUM")):INDIRECT(ADDRESS(200,7,1,1,"3_TIME SUM")),3,FALSE))</f>
        <v>PT</v>
      </c>
      <c r="I34" s="59">
        <f ca="1">IFERROR(IF(AND($D$2="NON PRODUCTIVE TIME",$H34="NPT"),SUMIF(INDIRECT(ADDRESS(8,COLUMN('2_DATA'!$M$9),1,1,"2_DATA")):INDIRECT(ADDRESS(3000,COLUMN('2_DATA'!$M$9),1,1,"2_DATA")),$G34,INDIRECT(ADDRESS(8,COLUMN('2_DATA'!$N$9),1,1,"2_DATA")):INDIRECT(ADDRESS(3000,COLUMN('2_DATA'!$N$9),1,1,"2_DATA"))),IF($D$2="ALL ACTIVITY",SUMIF(INDIRECT(ADDRESS(9,COLUMN('2_DATA'!$M$9),1,1,"2_DATA")):INDIRECT(ADDRESS(3000,COLUMN('2_DATA'!$M$9),1,1,"2_DATA")),$G34,INDIRECT(ADDRESS(9,COLUMN('2_DATA'!$N$9),1,1,"2_DATA")):INDIRECT(ADDRESS(3000,COLUMN('2_DATA'!$N$9),1,1,"2_DATA"))),SUMIF(INDIRECT(ADDRESS(OFFSET($A$3,MATCH($D$2,$A$4:$A$16,0)-1,1,,)+1,COLUMN('2_DATA'!$M$9),1,1,"2_DATA")):INDIRECT(ADDRESS(VLOOKUP($D$2,$A$4:$B$16,2,FALSE)-1,COLUMN('2_DATA'!$M$9),1,1,"2_DATA")),$G34,INDIRECT(ADDRESS(OFFSET($A$3,MATCH($D$2,$A$4:$A$16,0)-1,1,,)+1,COLUMN('2_DATA'!$N$9),1,1,"2_DATA")):INDIRECT(ADDRESS(VLOOKUP($D$2,$A$4:$B$16,2,FALSE)-1,COLUMN('2_DATA'!$N$9),1,1,"2_DATA"))))),0)</f>
        <v>0</v>
      </c>
      <c r="J34" s="58" t="str">
        <f ca="1">IF(I34=0,"",MAX($J$3:J33)+1)</f>
        <v/>
      </c>
      <c r="L34" s="55">
        <f t="shared" ca="1" si="0"/>
        <v>1000</v>
      </c>
      <c r="M34" s="55" t="str">
        <f t="shared" ca="1" si="4"/>
        <v/>
      </c>
      <c r="N34" s="55"/>
      <c r="O34" s="55" t="str">
        <f t="shared" ca="1" si="10"/>
        <v/>
      </c>
      <c r="P34" s="55">
        <f t="shared" ca="1" si="1"/>
        <v>0</v>
      </c>
      <c r="Q34" s="55" t="str">
        <f ca="1">IFERROR(INDEX($O$4:$P$226,MATCH(ROWS($Q$3:Q33),$P$4:$P$226,0),1),"-")</f>
        <v>-</v>
      </c>
      <c r="R34" s="62" t="str">
        <f t="shared" ca="1" si="2"/>
        <v/>
      </c>
      <c r="S34" s="55" t="str">
        <f t="shared" ca="1" si="5"/>
        <v/>
      </c>
      <c r="V34" s="68">
        <f t="shared" ca="1" si="11"/>
        <v>21</v>
      </c>
      <c r="W34" s="69" t="str">
        <f t="shared" ca="1" si="12"/>
        <v>Squeeze Cement : Squeeze Planned Include Used Coiled Tubing</v>
      </c>
      <c r="X34" s="70" t="s">
        <v>84</v>
      </c>
      <c r="Y34" s="68" t="str">
        <f t="shared" ca="1" si="16"/>
        <v>PT</v>
      </c>
      <c r="Z34" s="71" t="str">
        <f t="shared" ca="1" si="13"/>
        <v>18a</v>
      </c>
      <c r="AA34" s="72">
        <f t="shared" ca="1" si="14"/>
        <v>18</v>
      </c>
      <c r="AB34" s="305">
        <f t="shared" ca="1" si="15"/>
        <v>0.75</v>
      </c>
      <c r="AC34" s="236"/>
      <c r="AD34" s="236"/>
      <c r="AE34" s="236"/>
      <c r="AF34" s="236"/>
      <c r="AG34" s="236"/>
      <c r="AH34" s="236"/>
      <c r="AI34" s="236"/>
      <c r="AJ34" s="236"/>
      <c r="AK34" s="236"/>
      <c r="AL34" s="236"/>
      <c r="AM34" s="236"/>
      <c r="AN34" s="236"/>
      <c r="AO34" s="236"/>
      <c r="AP34" s="236"/>
      <c r="AQ34" s="236"/>
      <c r="AR34" s="236"/>
      <c r="AS34" s="236"/>
      <c r="AT34" s="236"/>
      <c r="AU34" s="236"/>
      <c r="AV34" s="236"/>
      <c r="AW34" s="236"/>
      <c r="AX34" s="236"/>
      <c r="AY34" s="236"/>
      <c r="AZ34" s="236"/>
      <c r="BA34" s="236"/>
      <c r="BB34" s="236"/>
      <c r="BC34" s="236"/>
      <c r="BD34" s="236"/>
      <c r="BE34" s="236"/>
      <c r="BF34" s="236"/>
      <c r="BG34" s="236"/>
      <c r="BH34" s="236"/>
      <c r="BI34" s="236"/>
      <c r="BJ34" s="236"/>
      <c r="BK34" s="236"/>
      <c r="BL34" s="236"/>
      <c r="BM34" s="236"/>
      <c r="BN34" s="236"/>
      <c r="BO34" s="236"/>
      <c r="BP34" s="236"/>
      <c r="BQ34" s="236"/>
      <c r="BR34" s="236"/>
      <c r="BS34" s="236"/>
      <c r="BT34" s="236"/>
      <c r="BU34" s="236"/>
      <c r="BV34" s="236"/>
      <c r="BW34" s="236"/>
      <c r="BX34" s="236"/>
      <c r="BY34" s="236"/>
      <c r="BZ34" s="236"/>
      <c r="CA34" s="236"/>
      <c r="CB34" s="236"/>
      <c r="CC34" s="236"/>
      <c r="CD34" s="236"/>
      <c r="CE34" s="236"/>
      <c r="CF34" s="236"/>
      <c r="CG34" s="236"/>
      <c r="CH34" s="236"/>
      <c r="CI34" s="236"/>
      <c r="CJ34" s="236"/>
      <c r="CK34" s="236"/>
      <c r="CL34" s="236"/>
      <c r="CM34" s="236"/>
      <c r="CN34" s="236"/>
      <c r="CO34" s="236"/>
      <c r="CP34" s="236"/>
      <c r="CQ34" s="236"/>
      <c r="CR34" s="236"/>
      <c r="CS34" s="236"/>
      <c r="CT34" s="236"/>
      <c r="CU34" s="236"/>
      <c r="CV34" s="236"/>
      <c r="CW34" s="236"/>
      <c r="CX34" s="236"/>
      <c r="CY34" s="236"/>
      <c r="CZ34" s="236"/>
      <c r="DA34" s="236"/>
      <c r="DB34" s="236"/>
      <c r="DC34" s="236"/>
      <c r="DD34" s="236"/>
      <c r="DE34" s="236"/>
      <c r="DF34" s="236"/>
      <c r="DG34" s="236"/>
      <c r="DH34" s="236"/>
      <c r="DI34" s="236"/>
      <c r="DJ34" s="236"/>
      <c r="DK34" s="236"/>
      <c r="DL34" s="236"/>
      <c r="DM34" s="236"/>
      <c r="DN34" s="236"/>
      <c r="DO34" s="236"/>
      <c r="DP34" s="236"/>
      <c r="DQ34" s="236"/>
      <c r="DR34" s="236"/>
      <c r="DS34" s="236"/>
      <c r="DT34" s="236"/>
      <c r="DU34" s="236"/>
      <c r="DV34" s="236"/>
      <c r="DW34" s="236"/>
      <c r="DX34" s="236"/>
      <c r="DY34" s="236"/>
      <c r="DZ34" s="236"/>
      <c r="EA34" s="236"/>
      <c r="EB34" s="236"/>
      <c r="EC34" s="236"/>
      <c r="ED34" s="236"/>
      <c r="EE34" s="236"/>
      <c r="EF34" s="236"/>
      <c r="EG34" s="236"/>
      <c r="EH34" s="236"/>
      <c r="EI34" s="236"/>
      <c r="EJ34" s="236"/>
      <c r="EK34" s="236"/>
      <c r="EL34" s="236"/>
      <c r="EM34" s="236"/>
      <c r="EN34" s="236"/>
      <c r="EO34" s="236"/>
      <c r="EP34" s="236"/>
      <c r="EQ34" s="236"/>
      <c r="ER34" s="236"/>
      <c r="ES34" s="236"/>
      <c r="ET34" s="236"/>
      <c r="EU34" s="236"/>
      <c r="EV34" s="236"/>
      <c r="EW34" s="236"/>
      <c r="EX34" s="236"/>
      <c r="EY34" s="236"/>
      <c r="EZ34" s="236"/>
      <c r="FA34" s="236"/>
      <c r="FB34" s="236"/>
      <c r="FC34" s="236"/>
      <c r="FD34" s="236"/>
      <c r="FE34" s="236"/>
      <c r="FF34" s="236"/>
      <c r="FG34" s="236"/>
      <c r="FH34" s="236"/>
      <c r="FI34" s="236"/>
      <c r="FJ34" s="236"/>
      <c r="FK34" s="236"/>
      <c r="FL34" s="236"/>
      <c r="FM34" s="236"/>
      <c r="FN34" s="236"/>
      <c r="FO34" s="236"/>
      <c r="FP34" s="236"/>
      <c r="FQ34" s="236"/>
      <c r="FR34" s="236"/>
      <c r="FS34" s="236"/>
      <c r="FT34" s="236"/>
      <c r="FU34" s="236"/>
      <c r="FV34" s="236"/>
      <c r="FW34" s="236"/>
      <c r="FX34" s="236"/>
      <c r="FY34" s="236"/>
      <c r="FZ34" s="236"/>
      <c r="GA34" s="236"/>
      <c r="GB34" s="236"/>
      <c r="GC34" s="236"/>
      <c r="GD34" s="236"/>
      <c r="GE34" s="236"/>
      <c r="GF34" s="236"/>
      <c r="GG34" s="236"/>
      <c r="GH34" s="236"/>
      <c r="GI34" s="236"/>
      <c r="GJ34" s="236"/>
      <c r="GK34" s="236"/>
      <c r="GL34" s="236"/>
      <c r="GM34" s="236"/>
      <c r="GN34" s="236"/>
      <c r="GO34" s="236"/>
      <c r="GP34" s="236"/>
      <c r="GQ34" s="236"/>
      <c r="GR34" s="236"/>
      <c r="GS34" s="236"/>
      <c r="GT34" s="236"/>
      <c r="GU34" s="236"/>
      <c r="GV34" s="236"/>
      <c r="GW34" s="236"/>
      <c r="GX34" s="236"/>
      <c r="GY34" s="236"/>
      <c r="GZ34" s="236"/>
      <c r="HA34" s="236"/>
      <c r="HB34" s="236"/>
      <c r="HC34" s="236"/>
      <c r="HD34" s="236"/>
      <c r="HE34" s="236"/>
      <c r="HF34" s="236"/>
      <c r="HG34" s="236"/>
      <c r="HH34" s="236"/>
      <c r="HI34" s="236"/>
      <c r="HJ34" s="236"/>
      <c r="HK34" s="236"/>
      <c r="HL34" s="236"/>
      <c r="HM34" s="236"/>
      <c r="HN34" s="236"/>
      <c r="HO34" s="236"/>
      <c r="HP34" s="236"/>
      <c r="HQ34" s="236"/>
      <c r="HR34" s="236"/>
      <c r="HS34" s="236"/>
      <c r="HT34" s="236"/>
      <c r="HU34" s="236"/>
      <c r="HV34" s="236"/>
      <c r="HW34" s="236"/>
      <c r="HX34" s="236"/>
      <c r="HY34" s="236"/>
      <c r="HZ34" s="236"/>
      <c r="IA34" s="236"/>
      <c r="IB34" s="236"/>
      <c r="IC34" s="236"/>
      <c r="ID34" s="236"/>
      <c r="IE34" s="236"/>
      <c r="IF34" s="236"/>
      <c r="IG34" s="236"/>
      <c r="IH34" s="236"/>
      <c r="II34" s="236"/>
      <c r="IJ34" s="236"/>
      <c r="IK34" s="236"/>
      <c r="IL34" s="236"/>
      <c r="IM34" s="236"/>
      <c r="IN34" s="236"/>
      <c r="IO34" s="236"/>
      <c r="IP34" s="236"/>
      <c r="IQ34" s="236"/>
      <c r="IR34" s="236"/>
      <c r="IS34" s="236"/>
      <c r="IT34" s="236"/>
      <c r="IU34" s="236"/>
      <c r="IV34" s="236"/>
      <c r="IW34" s="236"/>
      <c r="IX34" s="236"/>
      <c r="IY34" s="236"/>
      <c r="IZ34" s="236"/>
      <c r="JA34" s="236"/>
      <c r="JB34" s="236"/>
      <c r="JC34" s="236"/>
      <c r="JD34" s="236"/>
      <c r="JE34" s="236"/>
      <c r="JF34" s="236"/>
      <c r="JG34" s="236"/>
      <c r="JH34" s="236"/>
      <c r="JI34" s="236"/>
      <c r="JJ34" s="236"/>
      <c r="JK34" s="236"/>
      <c r="JL34" s="236"/>
      <c r="JM34" s="236"/>
      <c r="JN34" s="236"/>
      <c r="JO34" s="236"/>
      <c r="JP34" s="236"/>
      <c r="JQ34" s="411"/>
      <c r="JR34" s="411"/>
      <c r="JS34" s="411"/>
      <c r="JT34" s="411"/>
      <c r="JU34" s="411"/>
      <c r="JV34" s="411"/>
      <c r="JW34" s="411"/>
      <c r="KH34" s="412">
        <f t="shared" si="17"/>
        <v>31</v>
      </c>
      <c r="KI34" s="413" t="str">
        <f t="shared" ca="1" si="6"/>
        <v/>
      </c>
      <c r="KJ34" s="413" t="str">
        <f t="shared" ca="1" si="18"/>
        <v/>
      </c>
      <c r="KK34" s="414" t="str">
        <f t="shared" ca="1" si="8"/>
        <v/>
      </c>
    </row>
    <row r="35" spans="3:297" ht="24" customHeight="1">
      <c r="C35"/>
      <c r="D35" s="57" t="str">
        <f ca="1">INDIRECT(ADDRESS(ROWS($D$3:D34)+6,D$3,1,1,"3_TIME SUM"))</f>
        <v>Unplanned Circulate / Condition Mud</v>
      </c>
      <c r="E35" s="81" t="str">
        <f ca="1">IF(INDIRECT(ADDRESS(ROWS($E$3:E34)+6,E$3,1,1,"3_TIME SUM"))=0,E34,INDIRECT(ADDRESS(ROWS($E$3:E34)+6,E$3,1,1,"3_TIME SUM")))</f>
        <v>Condition Mud &amp; Circulate</v>
      </c>
      <c r="F35" s="57" t="str">
        <f t="shared" ca="1" si="3"/>
        <v>Condition Mud &amp; Circulate : Unplanned Circulate / Condition Mud</v>
      </c>
      <c r="G35" s="58" t="str">
        <f ca="1">VLOOKUP($D35,INDIRECT(ADDRESS(7,5,1,1,"3_TIME SUM")):INDIRECT(ADDRESS(200,7,1,1,"3_TIME SUM")),2,FALSE)</f>
        <v>5c</v>
      </c>
      <c r="H35" s="58" t="str">
        <f ca="1">IF(VLOOKUP($D35,INDIRECT(ADDRESS(7,5,1,1,"3_TIME SUM")):INDIRECT(ADDRESS(200,7,1,1,"3_TIME SUM")),3,FALSE)="","PT",VLOOKUP($D35,INDIRECT(ADDRESS(7,5,1,1,"3_TIME SUM")):INDIRECT(ADDRESS(200,7,1,1,"3_TIME SUM")),3,FALSE))</f>
        <v>NPT</v>
      </c>
      <c r="I35" s="59">
        <f ca="1">IFERROR(IF(AND($D$2="NON PRODUCTIVE TIME",$H35="NPT"),SUMIF(INDIRECT(ADDRESS(8,COLUMN('2_DATA'!$M$9),1,1,"2_DATA")):INDIRECT(ADDRESS(3000,COLUMN('2_DATA'!$M$9),1,1,"2_DATA")),$G35,INDIRECT(ADDRESS(8,COLUMN('2_DATA'!$N$9),1,1,"2_DATA")):INDIRECT(ADDRESS(3000,COLUMN('2_DATA'!$N$9),1,1,"2_DATA"))),IF($D$2="ALL ACTIVITY",SUMIF(INDIRECT(ADDRESS(9,COLUMN('2_DATA'!$M$9),1,1,"2_DATA")):INDIRECT(ADDRESS(3000,COLUMN('2_DATA'!$M$9),1,1,"2_DATA")),$G35,INDIRECT(ADDRESS(9,COLUMN('2_DATA'!$N$9),1,1,"2_DATA")):INDIRECT(ADDRESS(3000,COLUMN('2_DATA'!$N$9),1,1,"2_DATA"))),SUMIF(INDIRECT(ADDRESS(OFFSET($A$3,MATCH($D$2,$A$4:$A$16,0)-1,1,,)+1,COLUMN('2_DATA'!$M$9),1,1,"2_DATA")):INDIRECT(ADDRESS(VLOOKUP($D$2,$A$4:$B$16,2,FALSE)-1,COLUMN('2_DATA'!$M$9),1,1,"2_DATA")),$G35,INDIRECT(ADDRESS(OFFSET($A$3,MATCH($D$2,$A$4:$A$16,0)-1,1,,)+1,COLUMN('2_DATA'!$N$9),1,1,"2_DATA")):INDIRECT(ADDRESS(VLOOKUP($D$2,$A$4:$B$16,2,FALSE)-1,COLUMN('2_DATA'!$N$9),1,1,"2_DATA"))))),0)</f>
        <v>0</v>
      </c>
      <c r="J35" s="58" t="str">
        <f ca="1">IF(I35=0,"",MAX($J$3:J34)+1)</f>
        <v/>
      </c>
      <c r="L35" s="55">
        <f t="shared" ca="1" si="0"/>
        <v>1000</v>
      </c>
      <c r="M35" s="55" t="str">
        <f t="shared" ca="1" si="4"/>
        <v/>
      </c>
      <c r="N35" s="55"/>
      <c r="O35" s="55" t="str">
        <f t="shared" ca="1" si="10"/>
        <v/>
      </c>
      <c r="P35" s="55">
        <f t="shared" ca="1" si="1"/>
        <v>0</v>
      </c>
      <c r="Q35" s="55" t="str">
        <f ca="1">IFERROR(INDEX($O$4:$P$226,MATCH(ROWS($Q$3:Q34),$P$4:$P$226,0),1),"-")</f>
        <v>-</v>
      </c>
      <c r="R35" s="62" t="str">
        <f t="shared" ca="1" si="2"/>
        <v/>
      </c>
      <c r="S35" s="55" t="str">
        <f t="shared" ca="1" si="5"/>
        <v/>
      </c>
      <c r="T35" s="67">
        <f ca="1">Q4</f>
        <v>1000</v>
      </c>
      <c r="V35" s="68">
        <f t="shared" ca="1" si="11"/>
        <v>22</v>
      </c>
      <c r="W35" s="69" t="str">
        <f t="shared" ca="1" si="12"/>
        <v>Uncontrol Situation : Waiting on Weather</v>
      </c>
      <c r="X35" s="70" t="s">
        <v>84</v>
      </c>
      <c r="Y35" s="68" t="str">
        <f t="shared" ca="1" si="16"/>
        <v>PT</v>
      </c>
      <c r="Z35" s="71" t="str">
        <f t="shared" ca="1" si="13"/>
        <v>23a</v>
      </c>
      <c r="AA35" s="72">
        <f t="shared" ca="1" si="14"/>
        <v>5</v>
      </c>
      <c r="AB35" s="305">
        <f t="shared" ca="1" si="15"/>
        <v>0.20833333333333334</v>
      </c>
      <c r="AC35" s="236"/>
      <c r="AD35" s="236"/>
      <c r="AE35" s="236"/>
      <c r="AF35" s="236"/>
      <c r="AG35" s="236"/>
      <c r="AH35" s="236"/>
      <c r="AI35" s="236"/>
      <c r="AJ35" s="236"/>
      <c r="AK35" s="236"/>
      <c r="AL35" s="236"/>
      <c r="AM35" s="236"/>
      <c r="AN35" s="236"/>
      <c r="AO35" s="236"/>
      <c r="AP35" s="236"/>
      <c r="AQ35" s="236"/>
      <c r="AR35" s="236"/>
      <c r="AS35" s="236"/>
      <c r="AT35" s="236"/>
      <c r="AU35" s="236"/>
      <c r="AV35" s="236"/>
      <c r="AW35" s="236"/>
      <c r="AX35" s="236"/>
      <c r="AY35" s="236"/>
      <c r="AZ35" s="236"/>
      <c r="BA35" s="236"/>
      <c r="BB35" s="236"/>
      <c r="BC35" s="236"/>
      <c r="BD35" s="236"/>
      <c r="BE35" s="236"/>
      <c r="BF35" s="236"/>
      <c r="BG35" s="236"/>
      <c r="BH35" s="236"/>
      <c r="BI35" s="236"/>
      <c r="BJ35" s="236"/>
      <c r="BK35" s="236"/>
      <c r="BL35" s="236"/>
      <c r="BM35" s="236"/>
      <c r="BN35" s="236"/>
      <c r="BO35" s="236"/>
      <c r="BP35" s="236"/>
      <c r="BQ35" s="236"/>
      <c r="BR35" s="236"/>
      <c r="BS35" s="236"/>
      <c r="BT35" s="236"/>
      <c r="BU35" s="236"/>
      <c r="BV35" s="236"/>
      <c r="BW35" s="236"/>
      <c r="BX35" s="236"/>
      <c r="BY35" s="236"/>
      <c r="BZ35" s="236"/>
      <c r="CA35" s="236"/>
      <c r="CB35" s="236"/>
      <c r="CC35" s="236"/>
      <c r="CD35" s="236"/>
      <c r="CE35" s="236"/>
      <c r="CF35" s="236"/>
      <c r="CG35" s="236"/>
      <c r="CH35" s="236"/>
      <c r="CI35" s="236"/>
      <c r="CJ35" s="236"/>
      <c r="CK35" s="236"/>
      <c r="CL35" s="236"/>
      <c r="CM35" s="236"/>
      <c r="CN35" s="236"/>
      <c r="CO35" s="236"/>
      <c r="CP35" s="236"/>
      <c r="CQ35" s="236"/>
      <c r="CR35" s="236"/>
      <c r="CS35" s="236"/>
      <c r="CT35" s="236"/>
      <c r="CU35" s="236"/>
      <c r="CV35" s="236"/>
      <c r="CW35" s="236"/>
      <c r="CX35" s="236"/>
      <c r="CY35" s="236"/>
      <c r="CZ35" s="236"/>
      <c r="DA35" s="236"/>
      <c r="DB35" s="236"/>
      <c r="DC35" s="236"/>
      <c r="DD35" s="236"/>
      <c r="DE35" s="236"/>
      <c r="DF35" s="236"/>
      <c r="DG35" s="236"/>
      <c r="DH35" s="236"/>
      <c r="DI35" s="236"/>
      <c r="DJ35" s="236"/>
      <c r="DK35" s="236"/>
      <c r="DL35" s="236"/>
      <c r="DM35" s="236"/>
      <c r="DN35" s="236"/>
      <c r="DO35" s="236"/>
      <c r="DP35" s="236"/>
      <c r="DQ35" s="236"/>
      <c r="DR35" s="236"/>
      <c r="DS35" s="236"/>
      <c r="DT35" s="236"/>
      <c r="DU35" s="236"/>
      <c r="DV35" s="236"/>
      <c r="DW35" s="236"/>
      <c r="DX35" s="236"/>
      <c r="DY35" s="236"/>
      <c r="DZ35" s="236"/>
      <c r="EA35" s="236"/>
      <c r="EB35" s="236"/>
      <c r="EC35" s="236"/>
      <c r="ED35" s="236"/>
      <c r="EE35" s="236"/>
      <c r="EF35" s="236"/>
      <c r="EG35" s="236"/>
      <c r="EH35" s="236"/>
      <c r="EI35" s="236"/>
      <c r="EJ35" s="236"/>
      <c r="EK35" s="236"/>
      <c r="EL35" s="236"/>
      <c r="EM35" s="236"/>
      <c r="EN35" s="236"/>
      <c r="EO35" s="236"/>
      <c r="EP35" s="236"/>
      <c r="EQ35" s="236"/>
      <c r="ER35" s="236"/>
      <c r="ES35" s="236"/>
      <c r="ET35" s="236"/>
      <c r="EU35" s="236"/>
      <c r="EV35" s="236"/>
      <c r="EW35" s="236"/>
      <c r="EX35" s="236"/>
      <c r="EY35" s="236"/>
      <c r="EZ35" s="236"/>
      <c r="FA35" s="236"/>
      <c r="FB35" s="236"/>
      <c r="FC35" s="236"/>
      <c r="FD35" s="236"/>
      <c r="FE35" s="236"/>
      <c r="FF35" s="236"/>
      <c r="FG35" s="236"/>
      <c r="FH35" s="236"/>
      <c r="FI35" s="236"/>
      <c r="FJ35" s="236"/>
      <c r="FK35" s="236"/>
      <c r="FL35" s="236"/>
      <c r="FM35" s="236"/>
      <c r="FN35" s="236"/>
      <c r="FO35" s="236"/>
      <c r="FP35" s="236"/>
      <c r="FQ35" s="236"/>
      <c r="FR35" s="236"/>
      <c r="FS35" s="236"/>
      <c r="FT35" s="236"/>
      <c r="FU35" s="236"/>
      <c r="FV35" s="236"/>
      <c r="FW35" s="236"/>
      <c r="FX35" s="236"/>
      <c r="FY35" s="236"/>
      <c r="FZ35" s="236"/>
      <c r="GA35" s="236"/>
      <c r="GB35" s="236"/>
      <c r="GC35" s="236"/>
      <c r="GD35" s="236"/>
      <c r="GE35" s="236"/>
      <c r="GF35" s="236"/>
      <c r="GG35" s="236"/>
      <c r="GH35" s="236"/>
      <c r="GI35" s="236"/>
      <c r="GJ35" s="236"/>
      <c r="GK35" s="236"/>
      <c r="GL35" s="236"/>
      <c r="GM35" s="236"/>
      <c r="GN35" s="236"/>
      <c r="GO35" s="236"/>
      <c r="GP35" s="236"/>
      <c r="GQ35" s="236"/>
      <c r="GR35" s="236"/>
      <c r="GS35" s="236"/>
      <c r="GT35" s="236"/>
      <c r="GU35" s="236"/>
      <c r="GV35" s="236"/>
      <c r="GW35" s="236"/>
      <c r="GX35" s="236"/>
      <c r="GY35" s="236"/>
      <c r="GZ35" s="236"/>
      <c r="HA35" s="236"/>
      <c r="HB35" s="236"/>
      <c r="HC35" s="236"/>
      <c r="HD35" s="236"/>
      <c r="HE35" s="236"/>
      <c r="HF35" s="236"/>
      <c r="HG35" s="236"/>
      <c r="HH35" s="236"/>
      <c r="HI35" s="236"/>
      <c r="HJ35" s="236"/>
      <c r="HK35" s="236"/>
      <c r="HL35" s="236"/>
      <c r="HM35" s="236"/>
      <c r="HN35" s="236"/>
      <c r="HO35" s="236"/>
      <c r="HP35" s="236"/>
      <c r="HQ35" s="236"/>
      <c r="HR35" s="236"/>
      <c r="HS35" s="236"/>
      <c r="HT35" s="236"/>
      <c r="HU35" s="236"/>
      <c r="HV35" s="236"/>
      <c r="HW35" s="236"/>
      <c r="HX35" s="236"/>
      <c r="HY35" s="236"/>
      <c r="HZ35" s="236"/>
      <c r="IA35" s="236"/>
      <c r="IB35" s="236"/>
      <c r="IC35" s="236"/>
      <c r="ID35" s="236"/>
      <c r="IE35" s="236"/>
      <c r="IF35" s="236"/>
      <c r="IG35" s="236"/>
      <c r="IH35" s="236"/>
      <c r="II35" s="236"/>
      <c r="IJ35" s="236"/>
      <c r="IK35" s="236"/>
      <c r="IL35" s="236"/>
      <c r="IM35" s="236"/>
      <c r="IN35" s="236"/>
      <c r="IO35" s="236"/>
      <c r="IP35" s="236"/>
      <c r="IQ35" s="236"/>
      <c r="IR35" s="236"/>
      <c r="IS35" s="236"/>
      <c r="IT35" s="236"/>
      <c r="IU35" s="236"/>
      <c r="IV35" s="236"/>
      <c r="IW35" s="236"/>
      <c r="IX35" s="236"/>
      <c r="IY35" s="236"/>
      <c r="IZ35" s="236"/>
      <c r="JA35" s="236"/>
      <c r="JB35" s="236"/>
      <c r="JC35" s="236"/>
      <c r="JD35" s="236"/>
      <c r="JE35" s="236"/>
      <c r="JF35" s="236"/>
      <c r="JG35" s="236"/>
      <c r="JH35" s="236"/>
      <c r="JI35" s="236"/>
      <c r="JJ35" s="236"/>
      <c r="JK35" s="236"/>
      <c r="JL35" s="236"/>
      <c r="JM35" s="236"/>
      <c r="JN35" s="236"/>
      <c r="JO35" s="236"/>
      <c r="JP35" s="236"/>
      <c r="JQ35" s="411"/>
      <c r="JR35" s="411"/>
      <c r="JS35" s="411"/>
      <c r="JT35" s="411"/>
      <c r="JU35" s="411"/>
      <c r="JV35" s="411"/>
      <c r="JW35" s="411"/>
      <c r="KH35" s="412">
        <f t="shared" si="17"/>
        <v>32</v>
      </c>
      <c r="KI35" s="413" t="str">
        <f t="shared" ca="1" si="6"/>
        <v/>
      </c>
      <c r="KJ35" s="413" t="str">
        <f t="shared" ca="1" si="18"/>
        <v/>
      </c>
      <c r="KK35" s="414" t="str">
        <f t="shared" ca="1" si="8"/>
        <v/>
      </c>
    </row>
    <row r="36" spans="3:297" ht="24" customHeight="1">
      <c r="C36"/>
      <c r="D36" s="57" t="str">
        <f ca="1">INDIRECT(ADDRESS(ROWS($D$3:D35)+6,D$3,1,1,"3_TIME SUM"))</f>
        <v>PU / LD BHA</v>
      </c>
      <c r="E36" s="81" t="str">
        <f ca="1">IF(INDIRECT(ADDRESS(ROWS($E$3:E35)+6,E$3,1,1,"3_TIME SUM"))=0,E35,INDIRECT(ADDRESS(ROWS($E$3:E35)+6,E$3,1,1,"3_TIME SUM")))</f>
        <v>Trips</v>
      </c>
      <c r="F36" s="57" t="str">
        <f t="shared" ca="1" si="3"/>
        <v>Trips : PU / LD BHA</v>
      </c>
      <c r="G36" s="58" t="str">
        <f ca="1">VLOOKUP($D36,INDIRECT(ADDRESS(7,5,1,1,"3_TIME SUM")):INDIRECT(ADDRESS(200,7,1,1,"3_TIME SUM")),2,FALSE)</f>
        <v>6a</v>
      </c>
      <c r="H36" s="58" t="str">
        <f ca="1">IF(VLOOKUP($D36,INDIRECT(ADDRESS(7,5,1,1,"3_TIME SUM")):INDIRECT(ADDRESS(200,7,1,1,"3_TIME SUM")),3,FALSE)="","PT",VLOOKUP($D36,INDIRECT(ADDRESS(7,5,1,1,"3_TIME SUM")):INDIRECT(ADDRESS(200,7,1,1,"3_TIME SUM")),3,FALSE))</f>
        <v>PT</v>
      </c>
      <c r="I36" s="59">
        <f ca="1">IFERROR(IF(AND($D$2="NON PRODUCTIVE TIME",$H36="NPT"),SUMIF(INDIRECT(ADDRESS(8,COLUMN('2_DATA'!$M$9),1,1,"2_DATA")):INDIRECT(ADDRESS(3000,COLUMN('2_DATA'!$M$9),1,1,"2_DATA")),$G36,INDIRECT(ADDRESS(8,COLUMN('2_DATA'!$N$9),1,1,"2_DATA")):INDIRECT(ADDRESS(3000,COLUMN('2_DATA'!$N$9),1,1,"2_DATA"))),IF($D$2="ALL ACTIVITY",SUMIF(INDIRECT(ADDRESS(9,COLUMN('2_DATA'!$M$9),1,1,"2_DATA")):INDIRECT(ADDRESS(3000,COLUMN('2_DATA'!$M$9),1,1,"2_DATA")),$G36,INDIRECT(ADDRESS(9,COLUMN('2_DATA'!$N$9),1,1,"2_DATA")):INDIRECT(ADDRESS(3000,COLUMN('2_DATA'!$N$9),1,1,"2_DATA"))),SUMIF(INDIRECT(ADDRESS(OFFSET($A$3,MATCH($D$2,$A$4:$A$16,0)-1,1,,)+1,COLUMN('2_DATA'!$M$9),1,1,"2_DATA")):INDIRECT(ADDRESS(VLOOKUP($D$2,$A$4:$B$16,2,FALSE)-1,COLUMN('2_DATA'!$M$9),1,1,"2_DATA")),$G36,INDIRECT(ADDRESS(OFFSET($A$3,MATCH($D$2,$A$4:$A$16,0)-1,1,,)+1,COLUMN('2_DATA'!$N$9),1,1,"2_DATA")):INDIRECT(ADDRESS(VLOOKUP($D$2,$A$4:$B$16,2,FALSE)-1,COLUMN('2_DATA'!$N$9),1,1,"2_DATA"))))),0)</f>
        <v>0</v>
      </c>
      <c r="J36" s="58" t="str">
        <f ca="1">IF(I36=0,"",MAX($J$3:J35)+1)</f>
        <v/>
      </c>
      <c r="L36" s="55">
        <f t="shared" ca="1" si="0"/>
        <v>1000</v>
      </c>
      <c r="M36" s="55" t="str">
        <f t="shared" ca="1" si="4"/>
        <v/>
      </c>
      <c r="N36" s="55"/>
      <c r="O36" s="55">
        <f t="shared" ca="1" si="10"/>
        <v>1006</v>
      </c>
      <c r="P36" s="55">
        <f t="shared" ca="1" si="1"/>
        <v>7</v>
      </c>
      <c r="Q36" s="55" t="str">
        <f ca="1">IFERROR(INDEX($O$4:$P$226,MATCH(ROWS($Q$3:Q35),$P$4:$P$226,0),1),"-")</f>
        <v>-</v>
      </c>
      <c r="R36" s="62" t="str">
        <f t="shared" ca="1" si="2"/>
        <v/>
      </c>
      <c r="S36" s="55" t="str">
        <f t="shared" ca="1" si="5"/>
        <v/>
      </c>
      <c r="T36" s="67">
        <f t="shared" ref="T36:T99" ca="1" si="19">Q5</f>
        <v>1001</v>
      </c>
      <c r="V36" s="68">
        <f t="shared" ca="1" si="11"/>
        <v>23</v>
      </c>
      <c r="W36" s="69" t="str">
        <f t="shared" ca="1" si="12"/>
        <v>Trips : Running / pulling Scraper</v>
      </c>
      <c r="X36" s="70" t="s">
        <v>84</v>
      </c>
      <c r="Y36" s="68" t="str">
        <f t="shared" ca="1" si="16"/>
        <v>PT</v>
      </c>
      <c r="Z36" s="71" t="str">
        <f t="shared" ca="1" si="13"/>
        <v>26a</v>
      </c>
      <c r="AA36" s="72">
        <f t="shared" ca="1" si="14"/>
        <v>24</v>
      </c>
      <c r="AB36" s="305">
        <f t="shared" ca="1" si="15"/>
        <v>1</v>
      </c>
      <c r="AC36" s="236"/>
      <c r="AD36" s="236"/>
      <c r="AE36" s="236"/>
      <c r="AF36" s="236"/>
      <c r="AG36" s="236"/>
      <c r="AH36" s="236"/>
      <c r="AI36" s="236"/>
      <c r="AJ36" s="236"/>
      <c r="AK36" s="236"/>
      <c r="AL36" s="236"/>
      <c r="AM36" s="236"/>
      <c r="AN36" s="236"/>
      <c r="AO36" s="236"/>
      <c r="AP36" s="236"/>
      <c r="AQ36" s="236"/>
      <c r="AR36" s="236"/>
      <c r="AS36" s="236"/>
      <c r="AT36" s="236"/>
      <c r="AU36" s="236"/>
      <c r="AV36" s="236"/>
      <c r="AW36" s="236"/>
      <c r="AX36" s="236"/>
      <c r="AY36" s="236"/>
      <c r="AZ36" s="236"/>
      <c r="BA36" s="236"/>
      <c r="BB36" s="236"/>
      <c r="BC36" s="236"/>
      <c r="BD36" s="236"/>
      <c r="BE36" s="236"/>
      <c r="BF36" s="236"/>
      <c r="BG36" s="236"/>
      <c r="BH36" s="236"/>
      <c r="BI36" s="236"/>
      <c r="BJ36" s="236"/>
      <c r="BK36" s="236"/>
      <c r="BL36" s="236"/>
      <c r="BM36" s="236"/>
      <c r="BN36" s="236"/>
      <c r="BO36" s="236"/>
      <c r="BP36" s="236"/>
      <c r="BQ36" s="236"/>
      <c r="BR36" s="236"/>
      <c r="BS36" s="236"/>
      <c r="BT36" s="236"/>
      <c r="BU36" s="236"/>
      <c r="BV36" s="236"/>
      <c r="BW36" s="236"/>
      <c r="BX36" s="236"/>
      <c r="BY36" s="236"/>
      <c r="BZ36" s="236"/>
      <c r="CA36" s="236"/>
      <c r="CB36" s="236"/>
      <c r="CC36" s="236"/>
      <c r="CD36" s="236"/>
      <c r="CE36" s="236"/>
      <c r="CF36" s="236"/>
      <c r="CG36" s="236"/>
      <c r="CH36" s="236"/>
      <c r="CI36" s="236"/>
      <c r="CJ36" s="236"/>
      <c r="CK36" s="236"/>
      <c r="CL36" s="236"/>
      <c r="CM36" s="236"/>
      <c r="CN36" s="236"/>
      <c r="CO36" s="236"/>
      <c r="CP36" s="236"/>
      <c r="CQ36" s="236"/>
      <c r="CR36" s="236"/>
      <c r="CS36" s="236"/>
      <c r="CT36" s="236"/>
      <c r="CU36" s="236"/>
      <c r="CV36" s="236"/>
      <c r="CW36" s="236"/>
      <c r="CX36" s="236"/>
      <c r="CY36" s="236"/>
      <c r="CZ36" s="236"/>
      <c r="DA36" s="236"/>
      <c r="DB36" s="236"/>
      <c r="DC36" s="236"/>
      <c r="DD36" s="236"/>
      <c r="DE36" s="236"/>
      <c r="DF36" s="236"/>
      <c r="DG36" s="236"/>
      <c r="DH36" s="236"/>
      <c r="DI36" s="236"/>
      <c r="DJ36" s="236"/>
      <c r="DK36" s="236"/>
      <c r="DL36" s="236"/>
      <c r="DM36" s="236"/>
      <c r="DN36" s="236"/>
      <c r="DO36" s="236"/>
      <c r="DP36" s="236"/>
      <c r="DQ36" s="236"/>
      <c r="DR36" s="236"/>
      <c r="DS36" s="236"/>
      <c r="DT36" s="236"/>
      <c r="DU36" s="236"/>
      <c r="DV36" s="236"/>
      <c r="DW36" s="236"/>
      <c r="DX36" s="236"/>
      <c r="DY36" s="236"/>
      <c r="DZ36" s="236"/>
      <c r="EA36" s="236"/>
      <c r="EB36" s="236"/>
      <c r="EC36" s="236"/>
      <c r="ED36" s="236"/>
      <c r="EE36" s="236"/>
      <c r="EF36" s="236"/>
      <c r="EG36" s="236"/>
      <c r="EH36" s="236"/>
      <c r="EI36" s="236"/>
      <c r="EJ36" s="236"/>
      <c r="EK36" s="236"/>
      <c r="EL36" s="236"/>
      <c r="EM36" s="236"/>
      <c r="EN36" s="236"/>
      <c r="EO36" s="236"/>
      <c r="EP36" s="236"/>
      <c r="EQ36" s="236"/>
      <c r="ER36" s="236"/>
      <c r="ES36" s="236"/>
      <c r="ET36" s="236"/>
      <c r="EU36" s="236"/>
      <c r="EV36" s="236"/>
      <c r="EW36" s="236"/>
      <c r="EX36" s="236"/>
      <c r="EY36" s="236"/>
      <c r="EZ36" s="236"/>
      <c r="FA36" s="236"/>
      <c r="FB36" s="236"/>
      <c r="FC36" s="236"/>
      <c r="FD36" s="236"/>
      <c r="FE36" s="236"/>
      <c r="FF36" s="236"/>
      <c r="FG36" s="236"/>
      <c r="FH36" s="236"/>
      <c r="FI36" s="236"/>
      <c r="FJ36" s="236"/>
      <c r="FK36" s="236"/>
      <c r="FL36" s="236"/>
      <c r="FM36" s="236"/>
      <c r="FN36" s="236"/>
      <c r="FO36" s="236"/>
      <c r="FP36" s="236"/>
      <c r="FQ36" s="236"/>
      <c r="FR36" s="236"/>
      <c r="FS36" s="236"/>
      <c r="FT36" s="236"/>
      <c r="FU36" s="236"/>
      <c r="FV36" s="236"/>
      <c r="FW36" s="236"/>
      <c r="FX36" s="236"/>
      <c r="FY36" s="236"/>
      <c r="FZ36" s="236"/>
      <c r="GA36" s="236"/>
      <c r="GB36" s="236"/>
      <c r="GC36" s="236"/>
      <c r="GD36" s="236"/>
      <c r="GE36" s="236"/>
      <c r="GF36" s="236"/>
      <c r="GG36" s="236"/>
      <c r="GH36" s="236"/>
      <c r="GI36" s="236"/>
      <c r="GJ36" s="236"/>
      <c r="GK36" s="236"/>
      <c r="GL36" s="236"/>
      <c r="GM36" s="236"/>
      <c r="GN36" s="236"/>
      <c r="GO36" s="236"/>
      <c r="GP36" s="236"/>
      <c r="GQ36" s="236"/>
      <c r="GR36" s="236"/>
      <c r="GS36" s="236"/>
      <c r="GT36" s="236"/>
      <c r="GU36" s="236"/>
      <c r="GV36" s="236"/>
      <c r="GW36" s="236"/>
      <c r="GX36" s="236"/>
      <c r="GY36" s="236"/>
      <c r="GZ36" s="236"/>
      <c r="HA36" s="236"/>
      <c r="HB36" s="236"/>
      <c r="HC36" s="236"/>
      <c r="HD36" s="236"/>
      <c r="HE36" s="236"/>
      <c r="HF36" s="236"/>
      <c r="HG36" s="236"/>
      <c r="HH36" s="236"/>
      <c r="HI36" s="236"/>
      <c r="HJ36" s="236"/>
      <c r="HK36" s="236"/>
      <c r="HL36" s="236"/>
      <c r="HM36" s="236"/>
      <c r="HN36" s="236"/>
      <c r="HO36" s="236"/>
      <c r="HP36" s="236"/>
      <c r="HQ36" s="236"/>
      <c r="HR36" s="236"/>
      <c r="HS36" s="236"/>
      <c r="HT36" s="236"/>
      <c r="HU36" s="236"/>
      <c r="HV36" s="236"/>
      <c r="HW36" s="236"/>
      <c r="HX36" s="236"/>
      <c r="HY36" s="236"/>
      <c r="HZ36" s="236"/>
      <c r="IA36" s="236"/>
      <c r="IB36" s="236"/>
      <c r="IC36" s="236"/>
      <c r="ID36" s="236"/>
      <c r="IE36" s="236"/>
      <c r="IF36" s="236"/>
      <c r="IG36" s="236"/>
      <c r="IH36" s="236"/>
      <c r="II36" s="236"/>
      <c r="IJ36" s="236"/>
      <c r="IK36" s="236"/>
      <c r="IL36" s="236"/>
      <c r="IM36" s="236"/>
      <c r="IN36" s="236"/>
      <c r="IO36" s="236"/>
      <c r="IP36" s="236"/>
      <c r="IQ36" s="236"/>
      <c r="IR36" s="236"/>
      <c r="IS36" s="236"/>
      <c r="IT36" s="236"/>
      <c r="IU36" s="236"/>
      <c r="IV36" s="236"/>
      <c r="IW36" s="236"/>
      <c r="IX36" s="236"/>
      <c r="IY36" s="236"/>
      <c r="IZ36" s="236"/>
      <c r="JA36" s="236"/>
      <c r="JB36" s="236"/>
      <c r="JC36" s="236"/>
      <c r="JD36" s="236"/>
      <c r="JE36" s="236"/>
      <c r="JF36" s="236"/>
      <c r="JG36" s="236"/>
      <c r="JH36" s="236"/>
      <c r="JI36" s="236"/>
      <c r="JJ36" s="236"/>
      <c r="JK36" s="236"/>
      <c r="JL36" s="236"/>
      <c r="JM36" s="236"/>
      <c r="JN36" s="236"/>
      <c r="JO36" s="236"/>
      <c r="JP36" s="236"/>
      <c r="JQ36" s="411"/>
      <c r="JR36" s="411"/>
      <c r="JS36" s="411"/>
      <c r="JT36" s="411"/>
      <c r="JU36" s="411"/>
      <c r="JV36" s="411"/>
      <c r="JW36" s="411"/>
      <c r="KH36" s="412">
        <f t="shared" si="17"/>
        <v>33</v>
      </c>
      <c r="KI36" s="413" t="str">
        <f t="shared" ca="1" si="6"/>
        <v/>
      </c>
      <c r="KJ36" s="413" t="str">
        <f t="shared" ca="1" si="18"/>
        <v/>
      </c>
      <c r="KK36" s="414" t="str">
        <f t="shared" ca="1" si="8"/>
        <v/>
      </c>
    </row>
    <row r="37" spans="3:297" ht="24" customHeight="1">
      <c r="C37"/>
      <c r="D37" s="57" t="str">
        <f ca="1">INDIRECT(ADDRESS(ROWS($D$3:D36)+6,D$3,1,1,"3_TIME SUM"))</f>
        <v>Stand Up or L/D Drill Pipe</v>
      </c>
      <c r="E37" s="81" t="str">
        <f ca="1">IF(INDIRECT(ADDRESS(ROWS($E$3:E36)+6,E$3,1,1,"3_TIME SUM"))=0,E36,INDIRECT(ADDRESS(ROWS($E$3:E36)+6,E$3,1,1,"3_TIME SUM")))</f>
        <v>Trips</v>
      </c>
      <c r="F37" s="57" t="str">
        <f t="shared" ca="1" si="3"/>
        <v>Trips : Stand Up or L/D Drill Pipe</v>
      </c>
      <c r="G37" s="58" t="str">
        <f ca="1">VLOOKUP($D37,INDIRECT(ADDRESS(7,5,1,1,"3_TIME SUM")):INDIRECT(ADDRESS(200,7,1,1,"3_TIME SUM")),2,FALSE)</f>
        <v>6b</v>
      </c>
      <c r="H37" s="58" t="str">
        <f ca="1">IF(VLOOKUP($D37,INDIRECT(ADDRESS(7,5,1,1,"3_TIME SUM")):INDIRECT(ADDRESS(200,7,1,1,"3_TIME SUM")),3,FALSE)="","PT",VLOOKUP($D37,INDIRECT(ADDRESS(7,5,1,1,"3_TIME SUM")):INDIRECT(ADDRESS(200,7,1,1,"3_TIME SUM")),3,FALSE))</f>
        <v>PT</v>
      </c>
      <c r="I37" s="59">
        <f ca="1">IFERROR(IF(AND($D$2="NON PRODUCTIVE TIME",$H37="NPT"),SUMIF(INDIRECT(ADDRESS(8,COLUMN('2_DATA'!$M$9),1,1,"2_DATA")):INDIRECT(ADDRESS(3000,COLUMN('2_DATA'!$M$9),1,1,"2_DATA")),$G37,INDIRECT(ADDRESS(8,COLUMN('2_DATA'!$N$9),1,1,"2_DATA")):INDIRECT(ADDRESS(3000,COLUMN('2_DATA'!$N$9),1,1,"2_DATA"))),IF($D$2="ALL ACTIVITY",SUMIF(INDIRECT(ADDRESS(9,COLUMN('2_DATA'!$M$9),1,1,"2_DATA")):INDIRECT(ADDRESS(3000,COLUMN('2_DATA'!$M$9),1,1,"2_DATA")),$G37,INDIRECT(ADDRESS(9,COLUMN('2_DATA'!$N$9),1,1,"2_DATA")):INDIRECT(ADDRESS(3000,COLUMN('2_DATA'!$N$9),1,1,"2_DATA"))),SUMIF(INDIRECT(ADDRESS(OFFSET($A$3,MATCH($D$2,$A$4:$A$16,0)-1,1,,)+1,COLUMN('2_DATA'!$M$9),1,1,"2_DATA")):INDIRECT(ADDRESS(VLOOKUP($D$2,$A$4:$B$16,2,FALSE)-1,COLUMN('2_DATA'!$M$9),1,1,"2_DATA")),$G37,INDIRECT(ADDRESS(OFFSET($A$3,MATCH($D$2,$A$4:$A$16,0)-1,1,,)+1,COLUMN('2_DATA'!$N$9),1,1,"2_DATA")):INDIRECT(ADDRESS(VLOOKUP($D$2,$A$4:$B$16,2,FALSE)-1,COLUMN('2_DATA'!$N$9),1,1,"2_DATA"))))),0)</f>
        <v>1.5</v>
      </c>
      <c r="J37" s="58">
        <f ca="1">IF(I37=0,"",MAX($J$3:J36)+1)</f>
        <v>7</v>
      </c>
      <c r="L37" s="55">
        <f t="shared" ca="1" si="0"/>
        <v>1000</v>
      </c>
      <c r="M37" s="55">
        <f t="shared" ca="1" si="4"/>
        <v>1007</v>
      </c>
      <c r="N37" s="55"/>
      <c r="O37" s="55" t="str">
        <f t="shared" ca="1" si="10"/>
        <v/>
      </c>
      <c r="P37" s="55">
        <f t="shared" ca="1" si="1"/>
        <v>0</v>
      </c>
      <c r="Q37" s="55" t="str">
        <f ca="1">IFERROR(INDEX($O$4:$P$226,MATCH(ROWS($Q$3:Q36),$P$4:$P$226,0),1),"-")</f>
        <v>-</v>
      </c>
      <c r="R37" s="62" t="str">
        <f t="shared" ca="1" si="2"/>
        <v/>
      </c>
      <c r="S37" s="55" t="str">
        <f t="shared" ca="1" si="5"/>
        <v/>
      </c>
      <c r="T37" s="67">
        <f t="shared" ca="1" si="19"/>
        <v>1002</v>
      </c>
      <c r="V37" s="68">
        <f t="shared" ca="1" si="11"/>
        <v>24</v>
      </c>
      <c r="W37" s="69" t="str">
        <f t="shared" ca="1" si="12"/>
        <v>Trips : Running / pulling Production Tubing (Tubing Trips)</v>
      </c>
      <c r="X37" s="70" t="s">
        <v>84</v>
      </c>
      <c r="Y37" s="68" t="str">
        <f t="shared" ca="1" si="16"/>
        <v>PT</v>
      </c>
      <c r="Z37" s="71" t="str">
        <f t="shared" ca="1" si="13"/>
        <v>26b</v>
      </c>
      <c r="AA37" s="72">
        <f t="shared" ca="1" si="14"/>
        <v>54</v>
      </c>
      <c r="AB37" s="305">
        <f t="shared" ca="1" si="15"/>
        <v>2.25</v>
      </c>
      <c r="AC37" s="236"/>
      <c r="AD37" s="236"/>
      <c r="AE37" s="236"/>
      <c r="AF37" s="236"/>
      <c r="AG37" s="236"/>
      <c r="AH37" s="236"/>
      <c r="AI37" s="236"/>
      <c r="AJ37" s="236"/>
      <c r="AK37" s="236"/>
      <c r="AL37" s="236"/>
      <c r="AM37" s="236"/>
      <c r="AN37" s="236"/>
      <c r="AO37" s="236"/>
      <c r="AP37" s="236"/>
      <c r="AQ37" s="236"/>
      <c r="AR37" s="236"/>
      <c r="AS37" s="236"/>
      <c r="AT37" s="236"/>
      <c r="AU37" s="236"/>
      <c r="AV37" s="236"/>
      <c r="AW37" s="236"/>
      <c r="AX37" s="236"/>
      <c r="AY37" s="236"/>
      <c r="AZ37" s="236"/>
      <c r="BA37" s="236"/>
      <c r="BB37" s="236"/>
      <c r="BC37" s="236"/>
      <c r="BD37" s="236"/>
      <c r="BE37" s="236"/>
      <c r="BF37" s="236"/>
      <c r="BG37" s="236"/>
      <c r="BH37" s="236"/>
      <c r="BI37" s="236"/>
      <c r="BJ37" s="236"/>
      <c r="BK37" s="236"/>
      <c r="BL37" s="236"/>
      <c r="BM37" s="236"/>
      <c r="BN37" s="236"/>
      <c r="BO37" s="236"/>
      <c r="BP37" s="236"/>
      <c r="BQ37" s="236"/>
      <c r="BR37" s="236"/>
      <c r="BS37" s="236"/>
      <c r="BT37" s="236"/>
      <c r="BU37" s="236"/>
      <c r="BV37" s="236"/>
      <c r="BW37" s="236"/>
      <c r="BX37" s="236"/>
      <c r="BY37" s="236"/>
      <c r="BZ37" s="236"/>
      <c r="CA37" s="236"/>
      <c r="CB37" s="236"/>
      <c r="CC37" s="236"/>
      <c r="CD37" s="236"/>
      <c r="CE37" s="236"/>
      <c r="CF37" s="236"/>
      <c r="CG37" s="236"/>
      <c r="CH37" s="236"/>
      <c r="CI37" s="236"/>
      <c r="CJ37" s="236"/>
      <c r="CK37" s="236"/>
      <c r="CL37" s="236"/>
      <c r="CM37" s="236"/>
      <c r="CN37" s="236"/>
      <c r="CO37" s="236"/>
      <c r="CP37" s="236"/>
      <c r="CQ37" s="236"/>
      <c r="CR37" s="236"/>
      <c r="CS37" s="236"/>
      <c r="CT37" s="236"/>
      <c r="CU37" s="236"/>
      <c r="CV37" s="236"/>
      <c r="CW37" s="236"/>
      <c r="CX37" s="236"/>
      <c r="CY37" s="236"/>
      <c r="CZ37" s="236"/>
      <c r="DA37" s="236"/>
      <c r="DB37" s="236"/>
      <c r="DC37" s="236"/>
      <c r="DD37" s="236"/>
      <c r="DE37" s="236"/>
      <c r="DF37" s="236"/>
      <c r="DG37" s="236"/>
      <c r="DH37" s="236"/>
      <c r="DI37" s="236"/>
      <c r="DJ37" s="236"/>
      <c r="DK37" s="236"/>
      <c r="DL37" s="236"/>
      <c r="DM37" s="236"/>
      <c r="DN37" s="236"/>
      <c r="DO37" s="236"/>
      <c r="DP37" s="236"/>
      <c r="DQ37" s="236"/>
      <c r="DR37" s="236"/>
      <c r="DS37" s="236"/>
      <c r="DT37" s="236"/>
      <c r="DU37" s="236"/>
      <c r="DV37" s="236"/>
      <c r="DW37" s="236"/>
      <c r="DX37" s="236"/>
      <c r="DY37" s="236"/>
      <c r="DZ37" s="236"/>
      <c r="EA37" s="236"/>
      <c r="EB37" s="236"/>
      <c r="EC37" s="236"/>
      <c r="ED37" s="236"/>
      <c r="EE37" s="236"/>
      <c r="EF37" s="236"/>
      <c r="EG37" s="236"/>
      <c r="EH37" s="236"/>
      <c r="EI37" s="236"/>
      <c r="EJ37" s="236"/>
      <c r="EK37" s="236"/>
      <c r="EL37" s="236"/>
      <c r="EM37" s="236"/>
      <c r="EN37" s="236"/>
      <c r="EO37" s="236"/>
      <c r="EP37" s="236"/>
      <c r="EQ37" s="236"/>
      <c r="ER37" s="236"/>
      <c r="ES37" s="236"/>
      <c r="ET37" s="236"/>
      <c r="EU37" s="236"/>
      <c r="EV37" s="236"/>
      <c r="EW37" s="236"/>
      <c r="EX37" s="236"/>
      <c r="EY37" s="236"/>
      <c r="EZ37" s="236"/>
      <c r="FA37" s="236"/>
      <c r="FB37" s="236"/>
      <c r="FC37" s="236"/>
      <c r="FD37" s="236"/>
      <c r="FE37" s="236"/>
      <c r="FF37" s="236"/>
      <c r="FG37" s="236"/>
      <c r="FH37" s="236"/>
      <c r="FI37" s="236"/>
      <c r="FJ37" s="236"/>
      <c r="FK37" s="236"/>
      <c r="FL37" s="236"/>
      <c r="FM37" s="236"/>
      <c r="FN37" s="236"/>
      <c r="FO37" s="236"/>
      <c r="FP37" s="236"/>
      <c r="FQ37" s="236"/>
      <c r="FR37" s="236"/>
      <c r="FS37" s="236"/>
      <c r="FT37" s="236"/>
      <c r="FU37" s="236"/>
      <c r="FV37" s="236"/>
      <c r="FW37" s="236"/>
      <c r="FX37" s="236"/>
      <c r="FY37" s="236"/>
      <c r="FZ37" s="236"/>
      <c r="GA37" s="236"/>
      <c r="GB37" s="236"/>
      <c r="GC37" s="236"/>
      <c r="GD37" s="236"/>
      <c r="GE37" s="236"/>
      <c r="GF37" s="236"/>
      <c r="GG37" s="236"/>
      <c r="GH37" s="236"/>
      <c r="GI37" s="236"/>
      <c r="GJ37" s="236"/>
      <c r="GK37" s="236"/>
      <c r="GL37" s="236"/>
      <c r="GM37" s="236"/>
      <c r="GN37" s="236"/>
      <c r="GO37" s="236"/>
      <c r="GP37" s="236"/>
      <c r="GQ37" s="236"/>
      <c r="GR37" s="236"/>
      <c r="GS37" s="236"/>
      <c r="GT37" s="236"/>
      <c r="GU37" s="236"/>
      <c r="GV37" s="236"/>
      <c r="GW37" s="236"/>
      <c r="GX37" s="236"/>
      <c r="GY37" s="236"/>
      <c r="GZ37" s="236"/>
      <c r="HA37" s="236"/>
      <c r="HB37" s="236"/>
      <c r="HC37" s="236"/>
      <c r="HD37" s="236"/>
      <c r="HE37" s="236"/>
      <c r="HF37" s="236"/>
      <c r="HG37" s="236"/>
      <c r="HH37" s="236"/>
      <c r="HI37" s="236"/>
      <c r="HJ37" s="236"/>
      <c r="HK37" s="236"/>
      <c r="HL37" s="236"/>
      <c r="HM37" s="236"/>
      <c r="HN37" s="236"/>
      <c r="HO37" s="236"/>
      <c r="HP37" s="236"/>
      <c r="HQ37" s="236"/>
      <c r="HR37" s="236"/>
      <c r="HS37" s="236"/>
      <c r="HT37" s="236"/>
      <c r="HU37" s="236"/>
      <c r="HV37" s="236"/>
      <c r="HW37" s="236"/>
      <c r="HX37" s="236"/>
      <c r="HY37" s="236"/>
      <c r="HZ37" s="236"/>
      <c r="IA37" s="236"/>
      <c r="IB37" s="236"/>
      <c r="IC37" s="236"/>
      <c r="ID37" s="236"/>
      <c r="IE37" s="236"/>
      <c r="IF37" s="236"/>
      <c r="IG37" s="236"/>
      <c r="IH37" s="236"/>
      <c r="II37" s="236"/>
      <c r="IJ37" s="236"/>
      <c r="IK37" s="236"/>
      <c r="IL37" s="236"/>
      <c r="IM37" s="236"/>
      <c r="IN37" s="236"/>
      <c r="IO37" s="236"/>
      <c r="IP37" s="236"/>
      <c r="IQ37" s="236"/>
      <c r="IR37" s="236"/>
      <c r="IS37" s="236"/>
      <c r="IT37" s="236"/>
      <c r="IU37" s="236"/>
      <c r="IV37" s="236"/>
      <c r="IW37" s="236"/>
      <c r="IX37" s="236"/>
      <c r="IY37" s="236"/>
      <c r="IZ37" s="236"/>
      <c r="JA37" s="236"/>
      <c r="JB37" s="236"/>
      <c r="JC37" s="236"/>
      <c r="JD37" s="236"/>
      <c r="JE37" s="236"/>
      <c r="JF37" s="236"/>
      <c r="JG37" s="236"/>
      <c r="JH37" s="236"/>
      <c r="JI37" s="236"/>
      <c r="JJ37" s="236"/>
      <c r="JK37" s="236"/>
      <c r="JL37" s="236"/>
      <c r="JM37" s="236"/>
      <c r="JN37" s="236"/>
      <c r="JO37" s="236"/>
      <c r="JP37" s="236"/>
      <c r="JQ37" s="411"/>
      <c r="JR37" s="411"/>
      <c r="JS37" s="411"/>
      <c r="JT37" s="411"/>
      <c r="JU37" s="411"/>
      <c r="JV37" s="411"/>
      <c r="JW37" s="411"/>
      <c r="KH37" s="412">
        <f t="shared" si="17"/>
        <v>34</v>
      </c>
      <c r="KI37" s="413" t="str">
        <f t="shared" ca="1" si="6"/>
        <v/>
      </c>
      <c r="KJ37" s="413" t="str">
        <f t="shared" ca="1" si="18"/>
        <v/>
      </c>
      <c r="KK37" s="414" t="str">
        <f t="shared" ca="1" si="8"/>
        <v/>
      </c>
    </row>
    <row r="38" spans="3:297" ht="24" customHeight="1">
      <c r="C38"/>
      <c r="D38" s="57" t="str">
        <f ca="1">INDIRECT(ADDRESS(ROWS($D$3:D37)+6,D$3,1,1,"3_TIME SUM"))</f>
        <v>Load / Unload MWD / LWD when out of hole</v>
      </c>
      <c r="E38" s="81" t="str">
        <f ca="1">IF(INDIRECT(ADDRESS(ROWS($E$3:E37)+6,E$3,1,1,"3_TIME SUM"))=0,E37,INDIRECT(ADDRESS(ROWS($E$3:E37)+6,E$3,1,1,"3_TIME SUM")))</f>
        <v>Trips</v>
      </c>
      <c r="F38" s="57" t="str">
        <f t="shared" ca="1" si="3"/>
        <v>Trips : Load / Unload MWD / LWD when out of hole</v>
      </c>
      <c r="G38" s="58" t="str">
        <f ca="1">VLOOKUP($D38,INDIRECT(ADDRESS(7,5,1,1,"3_TIME SUM")):INDIRECT(ADDRESS(200,7,1,1,"3_TIME SUM")),2,FALSE)</f>
        <v>6c</v>
      </c>
      <c r="H38" s="58" t="str">
        <f ca="1">IF(VLOOKUP($D38,INDIRECT(ADDRESS(7,5,1,1,"3_TIME SUM")):INDIRECT(ADDRESS(200,7,1,1,"3_TIME SUM")),3,FALSE)="","PT",VLOOKUP($D38,INDIRECT(ADDRESS(7,5,1,1,"3_TIME SUM")):INDIRECT(ADDRESS(200,7,1,1,"3_TIME SUM")),3,FALSE))</f>
        <v>PT</v>
      </c>
      <c r="I38" s="59">
        <f ca="1">IFERROR(IF(AND($D$2="NON PRODUCTIVE TIME",$H38="NPT"),SUMIF(INDIRECT(ADDRESS(8,COLUMN('2_DATA'!$M$9),1,1,"2_DATA")):INDIRECT(ADDRESS(3000,COLUMN('2_DATA'!$M$9),1,1,"2_DATA")),$G38,INDIRECT(ADDRESS(8,COLUMN('2_DATA'!$N$9),1,1,"2_DATA")):INDIRECT(ADDRESS(3000,COLUMN('2_DATA'!$N$9),1,1,"2_DATA"))),IF($D$2="ALL ACTIVITY",SUMIF(INDIRECT(ADDRESS(9,COLUMN('2_DATA'!$M$9),1,1,"2_DATA")):INDIRECT(ADDRESS(3000,COLUMN('2_DATA'!$M$9),1,1,"2_DATA")),$G38,INDIRECT(ADDRESS(9,COLUMN('2_DATA'!$N$9),1,1,"2_DATA")):INDIRECT(ADDRESS(3000,COLUMN('2_DATA'!$N$9),1,1,"2_DATA"))),SUMIF(INDIRECT(ADDRESS(OFFSET($A$3,MATCH($D$2,$A$4:$A$16,0)-1,1,,)+1,COLUMN('2_DATA'!$M$9),1,1,"2_DATA")):INDIRECT(ADDRESS(VLOOKUP($D$2,$A$4:$B$16,2,FALSE)-1,COLUMN('2_DATA'!$M$9),1,1,"2_DATA")),$G38,INDIRECT(ADDRESS(OFFSET($A$3,MATCH($D$2,$A$4:$A$16,0)-1,1,,)+1,COLUMN('2_DATA'!$N$9),1,1,"2_DATA")):INDIRECT(ADDRESS(VLOOKUP($D$2,$A$4:$B$16,2,FALSE)-1,COLUMN('2_DATA'!$N$9),1,1,"2_DATA"))))),0)</f>
        <v>0</v>
      </c>
      <c r="J38" s="58" t="str">
        <f ca="1">IF(I38=0,"",MAX($J$3:J37)+1)</f>
        <v/>
      </c>
      <c r="L38" s="55">
        <f t="shared" ca="1" si="0"/>
        <v>1000</v>
      </c>
      <c r="M38" s="55" t="str">
        <f t="shared" ca="1" si="4"/>
        <v/>
      </c>
      <c r="N38" s="55"/>
      <c r="O38" s="55" t="str">
        <f t="shared" ca="1" si="10"/>
        <v/>
      </c>
      <c r="P38" s="55">
        <f t="shared" ca="1" si="1"/>
        <v>0</v>
      </c>
      <c r="Q38" s="55" t="str">
        <f ca="1">IFERROR(INDEX($O$4:$P$226,MATCH(ROWS($Q$3:Q37),$P$4:$P$226,0),1),"-")</f>
        <v>-</v>
      </c>
      <c r="R38" s="62" t="str">
        <f t="shared" ca="1" si="2"/>
        <v/>
      </c>
      <c r="S38" s="55" t="str">
        <f t="shared" ca="1" si="5"/>
        <v/>
      </c>
      <c r="T38" s="67">
        <f t="shared" ca="1" si="19"/>
        <v>1003</v>
      </c>
      <c r="V38" s="68">
        <f t="shared" ca="1" si="11"/>
        <v>25</v>
      </c>
      <c r="W38" s="69" t="str">
        <f t="shared" ca="1" si="12"/>
        <v>Trips : Test / Presure test  production tubing</v>
      </c>
      <c r="X38" s="70" t="s">
        <v>84</v>
      </c>
      <c r="Y38" s="68" t="str">
        <f t="shared" ca="1" si="16"/>
        <v>PT</v>
      </c>
      <c r="Z38" s="71" t="str">
        <f t="shared" ca="1" si="13"/>
        <v>26c</v>
      </c>
      <c r="AA38" s="72">
        <f t="shared" ca="1" si="14"/>
        <v>20</v>
      </c>
      <c r="AB38" s="305">
        <f t="shared" ca="1" si="15"/>
        <v>0.83333333333333337</v>
      </c>
      <c r="AC38" s="236"/>
      <c r="AD38" s="236"/>
      <c r="AE38" s="236"/>
      <c r="AF38" s="236"/>
      <c r="AG38" s="236"/>
      <c r="AH38" s="236"/>
      <c r="AI38" s="236"/>
      <c r="AJ38" s="236"/>
      <c r="AK38" s="236"/>
      <c r="AL38" s="236"/>
      <c r="AM38" s="236"/>
      <c r="AN38" s="236"/>
      <c r="AO38" s="236"/>
      <c r="AP38" s="236"/>
      <c r="AQ38" s="236"/>
      <c r="AR38" s="236"/>
      <c r="AS38" s="236"/>
      <c r="AT38" s="236"/>
      <c r="AU38" s="236"/>
      <c r="AV38" s="236"/>
      <c r="AW38" s="236"/>
      <c r="AX38" s="236"/>
      <c r="AY38" s="236"/>
      <c r="AZ38" s="236"/>
      <c r="BA38" s="236"/>
      <c r="BB38" s="236"/>
      <c r="BC38" s="236"/>
      <c r="BD38" s="236"/>
      <c r="BE38" s="236"/>
      <c r="BF38" s="236"/>
      <c r="BG38" s="236"/>
      <c r="BH38" s="236"/>
      <c r="BI38" s="236"/>
      <c r="BJ38" s="236"/>
      <c r="BK38" s="236"/>
      <c r="BL38" s="236"/>
      <c r="BM38" s="236"/>
      <c r="BN38" s="236"/>
      <c r="BO38" s="236"/>
      <c r="BP38" s="236"/>
      <c r="BQ38" s="236"/>
      <c r="BR38" s="236"/>
      <c r="BS38" s="236"/>
      <c r="BT38" s="236"/>
      <c r="BU38" s="236"/>
      <c r="BV38" s="236"/>
      <c r="BW38" s="236"/>
      <c r="BX38" s="236"/>
      <c r="BY38" s="236"/>
      <c r="BZ38" s="236"/>
      <c r="CA38" s="236"/>
      <c r="CB38" s="236"/>
      <c r="CC38" s="236"/>
      <c r="CD38" s="236"/>
      <c r="CE38" s="236"/>
      <c r="CF38" s="236"/>
      <c r="CG38" s="236"/>
      <c r="CH38" s="236"/>
      <c r="CI38" s="236"/>
      <c r="CJ38" s="236"/>
      <c r="CK38" s="236"/>
      <c r="CL38" s="236"/>
      <c r="CM38" s="236"/>
      <c r="CN38" s="236"/>
      <c r="CO38" s="236"/>
      <c r="CP38" s="236"/>
      <c r="CQ38" s="236"/>
      <c r="CR38" s="236"/>
      <c r="CS38" s="236"/>
      <c r="CT38" s="236"/>
      <c r="CU38" s="236"/>
      <c r="CV38" s="236"/>
      <c r="CW38" s="236"/>
      <c r="CX38" s="236"/>
      <c r="CY38" s="236"/>
      <c r="CZ38" s="236"/>
      <c r="DA38" s="236"/>
      <c r="DB38" s="236"/>
      <c r="DC38" s="236"/>
      <c r="DD38" s="236"/>
      <c r="DE38" s="236"/>
      <c r="DF38" s="236"/>
      <c r="DG38" s="236"/>
      <c r="DH38" s="236"/>
      <c r="DI38" s="236"/>
      <c r="DJ38" s="236"/>
      <c r="DK38" s="236"/>
      <c r="DL38" s="236"/>
      <c r="DM38" s="236"/>
      <c r="DN38" s="236"/>
      <c r="DO38" s="236"/>
      <c r="DP38" s="236"/>
      <c r="DQ38" s="236"/>
      <c r="DR38" s="236"/>
      <c r="DS38" s="236"/>
      <c r="DT38" s="236"/>
      <c r="DU38" s="236"/>
      <c r="DV38" s="236"/>
      <c r="DW38" s="236"/>
      <c r="DX38" s="236"/>
      <c r="DY38" s="236"/>
      <c r="DZ38" s="236"/>
      <c r="EA38" s="236"/>
      <c r="EB38" s="236"/>
      <c r="EC38" s="236"/>
      <c r="ED38" s="236"/>
      <c r="EE38" s="236"/>
      <c r="EF38" s="236"/>
      <c r="EG38" s="236"/>
      <c r="EH38" s="236"/>
      <c r="EI38" s="236"/>
      <c r="EJ38" s="236"/>
      <c r="EK38" s="236"/>
      <c r="EL38" s="236"/>
      <c r="EM38" s="236"/>
      <c r="EN38" s="236"/>
      <c r="EO38" s="236"/>
      <c r="EP38" s="236"/>
      <c r="EQ38" s="236"/>
      <c r="ER38" s="236"/>
      <c r="ES38" s="236"/>
      <c r="ET38" s="236"/>
      <c r="EU38" s="236"/>
      <c r="EV38" s="236"/>
      <c r="EW38" s="236"/>
      <c r="EX38" s="236"/>
      <c r="EY38" s="236"/>
      <c r="EZ38" s="236"/>
      <c r="FA38" s="236"/>
      <c r="FB38" s="236"/>
      <c r="FC38" s="236"/>
      <c r="FD38" s="236"/>
      <c r="FE38" s="236"/>
      <c r="FF38" s="236"/>
      <c r="FG38" s="236"/>
      <c r="FH38" s="236"/>
      <c r="FI38" s="236"/>
      <c r="FJ38" s="236"/>
      <c r="FK38" s="236"/>
      <c r="FL38" s="236"/>
      <c r="FM38" s="236"/>
      <c r="FN38" s="236"/>
      <c r="FO38" s="236"/>
      <c r="FP38" s="236"/>
      <c r="FQ38" s="236"/>
      <c r="FR38" s="236"/>
      <c r="FS38" s="236"/>
      <c r="FT38" s="236"/>
      <c r="FU38" s="236"/>
      <c r="FV38" s="236"/>
      <c r="FW38" s="236"/>
      <c r="FX38" s="236"/>
      <c r="FY38" s="236"/>
      <c r="FZ38" s="236"/>
      <c r="GA38" s="236"/>
      <c r="GB38" s="236"/>
      <c r="GC38" s="236"/>
      <c r="GD38" s="236"/>
      <c r="GE38" s="236"/>
      <c r="GF38" s="236"/>
      <c r="GG38" s="236"/>
      <c r="GH38" s="236"/>
      <c r="GI38" s="236"/>
      <c r="GJ38" s="236"/>
      <c r="GK38" s="236"/>
      <c r="GL38" s="236"/>
      <c r="GM38" s="236"/>
      <c r="GN38" s="236"/>
      <c r="GO38" s="236"/>
      <c r="GP38" s="236"/>
      <c r="GQ38" s="236"/>
      <c r="GR38" s="236"/>
      <c r="GS38" s="236"/>
      <c r="GT38" s="236"/>
      <c r="GU38" s="236"/>
      <c r="GV38" s="236"/>
      <c r="GW38" s="236"/>
      <c r="GX38" s="236"/>
      <c r="GY38" s="236"/>
      <c r="GZ38" s="236"/>
      <c r="HA38" s="236"/>
      <c r="HB38" s="236"/>
      <c r="HC38" s="236"/>
      <c r="HD38" s="236"/>
      <c r="HE38" s="236"/>
      <c r="HF38" s="236"/>
      <c r="HG38" s="236"/>
      <c r="HH38" s="236"/>
      <c r="HI38" s="236"/>
      <c r="HJ38" s="236"/>
      <c r="HK38" s="236"/>
      <c r="HL38" s="236"/>
      <c r="HM38" s="236"/>
      <c r="HN38" s="236"/>
      <c r="HO38" s="236"/>
      <c r="HP38" s="236"/>
      <c r="HQ38" s="236"/>
      <c r="HR38" s="236"/>
      <c r="HS38" s="236"/>
      <c r="HT38" s="236"/>
      <c r="HU38" s="236"/>
      <c r="HV38" s="236"/>
      <c r="HW38" s="236"/>
      <c r="HX38" s="236"/>
      <c r="HY38" s="236"/>
      <c r="HZ38" s="236"/>
      <c r="IA38" s="236"/>
      <c r="IB38" s="236"/>
      <c r="IC38" s="236"/>
      <c r="ID38" s="236"/>
      <c r="IE38" s="236"/>
      <c r="IF38" s="236"/>
      <c r="IG38" s="236"/>
      <c r="IH38" s="236"/>
      <c r="II38" s="236"/>
      <c r="IJ38" s="236"/>
      <c r="IK38" s="236"/>
      <c r="IL38" s="236"/>
      <c r="IM38" s="236"/>
      <c r="IN38" s="236"/>
      <c r="IO38" s="236"/>
      <c r="IP38" s="236"/>
      <c r="IQ38" s="236"/>
      <c r="IR38" s="236"/>
      <c r="IS38" s="236"/>
      <c r="IT38" s="236"/>
      <c r="IU38" s="236"/>
      <c r="IV38" s="236"/>
      <c r="IW38" s="236"/>
      <c r="IX38" s="236"/>
      <c r="IY38" s="236"/>
      <c r="IZ38" s="236"/>
      <c r="JA38" s="236"/>
      <c r="JB38" s="236"/>
      <c r="JC38" s="236"/>
      <c r="JD38" s="236"/>
      <c r="JE38" s="236"/>
      <c r="JF38" s="236"/>
      <c r="JG38" s="236"/>
      <c r="JH38" s="236"/>
      <c r="JI38" s="236"/>
      <c r="JJ38" s="236"/>
      <c r="JK38" s="236"/>
      <c r="JL38" s="236"/>
      <c r="JM38" s="236"/>
      <c r="JN38" s="236"/>
      <c r="JO38" s="236"/>
      <c r="JP38" s="236"/>
      <c r="JQ38" s="411"/>
      <c r="JR38" s="411"/>
      <c r="JS38" s="411"/>
      <c r="JT38" s="411"/>
      <c r="JU38" s="411"/>
      <c r="JV38" s="411"/>
      <c r="JW38" s="411"/>
      <c r="KH38" s="412">
        <f t="shared" si="17"/>
        <v>35</v>
      </c>
      <c r="KI38" s="413" t="str">
        <f t="shared" ca="1" si="6"/>
        <v/>
      </c>
      <c r="KJ38" s="413" t="str">
        <f t="shared" ca="1" si="18"/>
        <v/>
      </c>
      <c r="KK38" s="414" t="str">
        <f t="shared" ca="1" si="8"/>
        <v/>
      </c>
    </row>
    <row r="39" spans="3:297" ht="24" customHeight="1">
      <c r="C39"/>
      <c r="D39" s="57" t="str">
        <f ca="1">INDIRECT(ADDRESS(ROWS($D$3:D38)+6,D$3,1,1,"3_TIME SUM"))</f>
        <v>Trip in / out Drilling BHA</v>
      </c>
      <c r="E39" s="81" t="str">
        <f ca="1">IF(INDIRECT(ADDRESS(ROWS($E$3:E38)+6,E$3,1,1,"3_TIME SUM"))=0,E38,INDIRECT(ADDRESS(ROWS($E$3:E38)+6,E$3,1,1,"3_TIME SUM")))</f>
        <v>Trips</v>
      </c>
      <c r="F39" s="57" t="str">
        <f t="shared" ca="1" si="3"/>
        <v>Trips : Trip in / out Drilling BHA</v>
      </c>
      <c r="G39" s="58" t="str">
        <f ca="1">VLOOKUP($D39,INDIRECT(ADDRESS(7,5,1,1,"3_TIME SUM")):INDIRECT(ADDRESS(200,7,1,1,"3_TIME SUM")),2,FALSE)</f>
        <v>6d</v>
      </c>
      <c r="H39" s="58" t="str">
        <f ca="1">IF(VLOOKUP($D39,INDIRECT(ADDRESS(7,5,1,1,"3_TIME SUM")):INDIRECT(ADDRESS(200,7,1,1,"3_TIME SUM")),3,FALSE)="","PT",VLOOKUP($D39,INDIRECT(ADDRESS(7,5,1,1,"3_TIME SUM")):INDIRECT(ADDRESS(200,7,1,1,"3_TIME SUM")),3,FALSE))</f>
        <v>PT</v>
      </c>
      <c r="I39" s="59">
        <f ca="1">IFERROR(IF(AND($D$2="NON PRODUCTIVE TIME",$H39="NPT"),SUMIF(INDIRECT(ADDRESS(8,COLUMN('2_DATA'!$M$9),1,1,"2_DATA")):INDIRECT(ADDRESS(3000,COLUMN('2_DATA'!$M$9),1,1,"2_DATA")),$G39,INDIRECT(ADDRESS(8,COLUMN('2_DATA'!$N$9),1,1,"2_DATA")):INDIRECT(ADDRESS(3000,COLUMN('2_DATA'!$N$9),1,1,"2_DATA"))),IF($D$2="ALL ACTIVITY",SUMIF(INDIRECT(ADDRESS(9,COLUMN('2_DATA'!$M$9),1,1,"2_DATA")):INDIRECT(ADDRESS(3000,COLUMN('2_DATA'!$M$9),1,1,"2_DATA")),$G39,INDIRECT(ADDRESS(9,COLUMN('2_DATA'!$N$9),1,1,"2_DATA")):INDIRECT(ADDRESS(3000,COLUMN('2_DATA'!$N$9),1,1,"2_DATA"))),SUMIF(INDIRECT(ADDRESS(OFFSET($A$3,MATCH($D$2,$A$4:$A$16,0)-1,1,,)+1,COLUMN('2_DATA'!$M$9),1,1,"2_DATA")):INDIRECT(ADDRESS(VLOOKUP($D$2,$A$4:$B$16,2,FALSE)-1,COLUMN('2_DATA'!$M$9),1,1,"2_DATA")),$G39,INDIRECT(ADDRESS(OFFSET($A$3,MATCH($D$2,$A$4:$A$16,0)-1,1,,)+1,COLUMN('2_DATA'!$N$9),1,1,"2_DATA")):INDIRECT(ADDRESS(VLOOKUP($D$2,$A$4:$B$16,2,FALSE)-1,COLUMN('2_DATA'!$N$9),1,1,"2_DATA"))))),0)</f>
        <v>81</v>
      </c>
      <c r="J39" s="58">
        <f ca="1">IF(I39=0,"",MAX($J$3:J38)+1)</f>
        <v>8</v>
      </c>
      <c r="L39" s="55">
        <f t="shared" ca="1" si="0"/>
        <v>1000</v>
      </c>
      <c r="M39" s="55">
        <f t="shared" ca="1" si="4"/>
        <v>1008</v>
      </c>
      <c r="N39" s="55"/>
      <c r="O39" s="55" t="str">
        <f t="shared" ca="1" si="10"/>
        <v/>
      </c>
      <c r="P39" s="55">
        <f t="shared" ca="1" si="1"/>
        <v>0</v>
      </c>
      <c r="Q39" s="55" t="str">
        <f ca="1">IFERROR(INDEX($O$4:$P$226,MATCH(ROWS($Q$3:Q38),$P$4:$P$226,0),1),"-")</f>
        <v>-</v>
      </c>
      <c r="R39" s="62" t="str">
        <f t="shared" ca="1" si="2"/>
        <v/>
      </c>
      <c r="S39" s="55" t="str">
        <f t="shared" ca="1" si="5"/>
        <v/>
      </c>
      <c r="T39" s="67">
        <f t="shared" ca="1" si="19"/>
        <v>1004</v>
      </c>
      <c r="V39" s="68">
        <f t="shared" ca="1" si="11"/>
        <v>26</v>
      </c>
      <c r="W39" s="69" t="str">
        <f t="shared" ca="1" si="12"/>
        <v>Stimulation : Stimulation/Fracturing/Unloading/Production Treatment</v>
      </c>
      <c r="X39" s="70" t="s">
        <v>84</v>
      </c>
      <c r="Y39" s="68" t="str">
        <f t="shared" ca="1" si="16"/>
        <v>PT</v>
      </c>
      <c r="Z39" s="71" t="str">
        <f t="shared" ca="1" si="13"/>
        <v>27a</v>
      </c>
      <c r="AA39" s="72">
        <f t="shared" ca="1" si="14"/>
        <v>11.5</v>
      </c>
      <c r="AB39" s="305">
        <f t="shared" ca="1" si="15"/>
        <v>0.47916666666666669</v>
      </c>
      <c r="AC39" s="236"/>
      <c r="AD39" s="236"/>
      <c r="AE39" s="236"/>
      <c r="AF39" s="236"/>
      <c r="AG39" s="236"/>
      <c r="AH39" s="236"/>
      <c r="AI39" s="236"/>
      <c r="AJ39" s="236"/>
      <c r="AK39" s="236"/>
      <c r="AL39" s="236"/>
      <c r="AM39" s="236"/>
      <c r="AN39" s="236"/>
      <c r="AO39" s="236"/>
      <c r="AP39" s="236"/>
      <c r="AQ39" s="236"/>
      <c r="AR39" s="236"/>
      <c r="AS39" s="236"/>
      <c r="AT39" s="236"/>
      <c r="AU39" s="236"/>
      <c r="AV39" s="236"/>
      <c r="AW39" s="236"/>
      <c r="AX39" s="236"/>
      <c r="AY39" s="236"/>
      <c r="AZ39" s="236"/>
      <c r="BA39" s="236"/>
      <c r="BB39" s="236"/>
      <c r="BC39" s="236"/>
      <c r="BD39" s="236"/>
      <c r="BE39" s="236"/>
      <c r="BF39" s="236"/>
      <c r="BG39" s="236"/>
      <c r="BH39" s="236"/>
      <c r="BI39" s="236"/>
      <c r="BJ39" s="236"/>
      <c r="BK39" s="236"/>
      <c r="BL39" s="236"/>
      <c r="BM39" s="236"/>
      <c r="BN39" s="236"/>
      <c r="BO39" s="236"/>
      <c r="BP39" s="236"/>
      <c r="BQ39" s="236"/>
      <c r="BR39" s="236"/>
      <c r="BS39" s="236"/>
      <c r="BT39" s="236"/>
      <c r="BU39" s="236"/>
      <c r="BV39" s="236"/>
      <c r="BW39" s="236"/>
      <c r="BX39" s="236"/>
      <c r="BY39" s="236"/>
      <c r="BZ39" s="236"/>
      <c r="CA39" s="236"/>
      <c r="CB39" s="236"/>
      <c r="CC39" s="236"/>
      <c r="CD39" s="236"/>
      <c r="CE39" s="236"/>
      <c r="CF39" s="236"/>
      <c r="CG39" s="236"/>
      <c r="CH39" s="236"/>
      <c r="CI39" s="236"/>
      <c r="CJ39" s="236"/>
      <c r="CK39" s="236"/>
      <c r="CL39" s="236"/>
      <c r="CM39" s="236"/>
      <c r="CN39" s="236"/>
      <c r="CO39" s="236"/>
      <c r="CP39" s="236"/>
      <c r="CQ39" s="236"/>
      <c r="CR39" s="236"/>
      <c r="CS39" s="236"/>
      <c r="CT39" s="236"/>
      <c r="CU39" s="236"/>
      <c r="CV39" s="236"/>
      <c r="CW39" s="236"/>
      <c r="CX39" s="236"/>
      <c r="CY39" s="236"/>
      <c r="CZ39" s="236"/>
      <c r="DA39" s="236"/>
      <c r="DB39" s="236"/>
      <c r="DC39" s="236"/>
      <c r="DD39" s="236"/>
      <c r="DE39" s="236"/>
      <c r="DF39" s="236"/>
      <c r="DG39" s="236"/>
      <c r="DH39" s="236"/>
      <c r="DI39" s="236"/>
      <c r="DJ39" s="236"/>
      <c r="DK39" s="236"/>
      <c r="DL39" s="236"/>
      <c r="DM39" s="236"/>
      <c r="DN39" s="236"/>
      <c r="DO39" s="236"/>
      <c r="DP39" s="236"/>
      <c r="DQ39" s="236"/>
      <c r="DR39" s="236"/>
      <c r="DS39" s="236"/>
      <c r="DT39" s="236"/>
      <c r="DU39" s="236"/>
      <c r="DV39" s="236"/>
      <c r="DW39" s="236"/>
      <c r="DX39" s="236"/>
      <c r="DY39" s="236"/>
      <c r="DZ39" s="236"/>
      <c r="EA39" s="236"/>
      <c r="EB39" s="236"/>
      <c r="EC39" s="236"/>
      <c r="ED39" s="236"/>
      <c r="EE39" s="236"/>
      <c r="EF39" s="236"/>
      <c r="EG39" s="236"/>
      <c r="EH39" s="236"/>
      <c r="EI39" s="236"/>
      <c r="EJ39" s="236"/>
      <c r="EK39" s="236"/>
      <c r="EL39" s="236"/>
      <c r="EM39" s="236"/>
      <c r="EN39" s="236"/>
      <c r="EO39" s="236"/>
      <c r="EP39" s="236"/>
      <c r="EQ39" s="236"/>
      <c r="ER39" s="236"/>
      <c r="ES39" s="236"/>
      <c r="ET39" s="236"/>
      <c r="EU39" s="236"/>
      <c r="EV39" s="236"/>
      <c r="EW39" s="236"/>
      <c r="EX39" s="236"/>
      <c r="EY39" s="236"/>
      <c r="EZ39" s="236"/>
      <c r="FA39" s="236"/>
      <c r="FB39" s="236"/>
      <c r="FC39" s="236"/>
      <c r="FD39" s="236"/>
      <c r="FE39" s="236"/>
      <c r="FF39" s="236"/>
      <c r="FG39" s="236"/>
      <c r="FH39" s="236"/>
      <c r="FI39" s="236"/>
      <c r="FJ39" s="236"/>
      <c r="FK39" s="236"/>
      <c r="FL39" s="236"/>
      <c r="FM39" s="236"/>
      <c r="FN39" s="236"/>
      <c r="FO39" s="236"/>
      <c r="FP39" s="236"/>
      <c r="FQ39" s="236"/>
      <c r="FR39" s="236"/>
      <c r="FS39" s="236"/>
      <c r="FT39" s="236"/>
      <c r="FU39" s="236"/>
      <c r="FV39" s="236"/>
      <c r="FW39" s="236"/>
      <c r="FX39" s="236"/>
      <c r="FY39" s="236"/>
      <c r="FZ39" s="236"/>
      <c r="GA39" s="236"/>
      <c r="GB39" s="236"/>
      <c r="GC39" s="236"/>
      <c r="GD39" s="236"/>
      <c r="GE39" s="236"/>
      <c r="GF39" s="236"/>
      <c r="GG39" s="236"/>
      <c r="GH39" s="236"/>
      <c r="GI39" s="236"/>
      <c r="GJ39" s="236"/>
      <c r="GK39" s="236"/>
      <c r="GL39" s="236"/>
      <c r="GM39" s="236"/>
      <c r="GN39" s="236"/>
      <c r="GO39" s="236"/>
      <c r="GP39" s="236"/>
      <c r="GQ39" s="236"/>
      <c r="GR39" s="236"/>
      <c r="GS39" s="236"/>
      <c r="GT39" s="236"/>
      <c r="GU39" s="236"/>
      <c r="GV39" s="236"/>
      <c r="GW39" s="236"/>
      <c r="GX39" s="236"/>
      <c r="GY39" s="236"/>
      <c r="GZ39" s="236"/>
      <c r="HA39" s="236"/>
      <c r="HB39" s="236"/>
      <c r="HC39" s="236"/>
      <c r="HD39" s="236"/>
      <c r="HE39" s="236"/>
      <c r="HF39" s="236"/>
      <c r="HG39" s="236"/>
      <c r="HH39" s="236"/>
      <c r="HI39" s="236"/>
      <c r="HJ39" s="236"/>
      <c r="HK39" s="236"/>
      <c r="HL39" s="236"/>
      <c r="HM39" s="236"/>
      <c r="HN39" s="236"/>
      <c r="HO39" s="236"/>
      <c r="HP39" s="236"/>
      <c r="HQ39" s="236"/>
      <c r="HR39" s="236"/>
      <c r="HS39" s="236"/>
      <c r="HT39" s="236"/>
      <c r="HU39" s="236"/>
      <c r="HV39" s="236"/>
      <c r="HW39" s="236"/>
      <c r="HX39" s="236"/>
      <c r="HY39" s="236"/>
      <c r="HZ39" s="236"/>
      <c r="IA39" s="236"/>
      <c r="IB39" s="236"/>
      <c r="IC39" s="236"/>
      <c r="ID39" s="236"/>
      <c r="IE39" s="236"/>
      <c r="IF39" s="236"/>
      <c r="IG39" s="236"/>
      <c r="IH39" s="236"/>
      <c r="II39" s="236"/>
      <c r="IJ39" s="236"/>
      <c r="IK39" s="236"/>
      <c r="IL39" s="236"/>
      <c r="IM39" s="236"/>
      <c r="IN39" s="236"/>
      <c r="IO39" s="236"/>
      <c r="IP39" s="236"/>
      <c r="IQ39" s="236"/>
      <c r="IR39" s="236"/>
      <c r="IS39" s="236"/>
      <c r="IT39" s="236"/>
      <c r="IU39" s="236"/>
      <c r="IV39" s="236"/>
      <c r="IW39" s="236"/>
      <c r="IX39" s="236"/>
      <c r="IY39" s="236"/>
      <c r="IZ39" s="236"/>
      <c r="JA39" s="236"/>
      <c r="JB39" s="236"/>
      <c r="JC39" s="236"/>
      <c r="JD39" s="236"/>
      <c r="JE39" s="236"/>
      <c r="JF39" s="236"/>
      <c r="JG39" s="236"/>
      <c r="JH39" s="236"/>
      <c r="JI39" s="236"/>
      <c r="JJ39" s="236"/>
      <c r="JK39" s="236"/>
      <c r="JL39" s="236"/>
      <c r="JM39" s="236"/>
      <c r="JN39" s="236"/>
      <c r="JO39" s="236"/>
      <c r="JP39" s="236"/>
      <c r="JQ39" s="411"/>
      <c r="JR39" s="411"/>
      <c r="JS39" s="411"/>
      <c r="JT39" s="411"/>
      <c r="JU39" s="411"/>
      <c r="JV39" s="411"/>
      <c r="JW39" s="411"/>
      <c r="KH39" s="412">
        <f t="shared" si="17"/>
        <v>36</v>
      </c>
      <c r="KI39" s="413" t="str">
        <f t="shared" ca="1" si="6"/>
        <v/>
      </c>
      <c r="KJ39" s="413" t="str">
        <f t="shared" ca="1" si="18"/>
        <v/>
      </c>
      <c r="KK39" s="414" t="str">
        <f t="shared" ca="1" si="8"/>
        <v/>
      </c>
    </row>
    <row r="40" spans="3:297" ht="24" customHeight="1">
      <c r="C40"/>
      <c r="D40" s="57" t="str">
        <f ca="1">INDIRECT(ADDRESS(ROWS($D$3:D39)+6,D$3,1,1,"3_TIME SUM"))</f>
        <v>Trip in / out Coiled Tubing</v>
      </c>
      <c r="E40" s="81" t="str">
        <f ca="1">IF(INDIRECT(ADDRESS(ROWS($E$3:E39)+6,E$3,1,1,"3_TIME SUM"))=0,E39,INDIRECT(ADDRESS(ROWS($E$3:E39)+6,E$3,1,1,"3_TIME SUM")))</f>
        <v>Trips</v>
      </c>
      <c r="F40" s="57" t="str">
        <f t="shared" ca="1" si="3"/>
        <v>Trips : Trip in / out Coiled Tubing</v>
      </c>
      <c r="G40" s="58" t="str">
        <f ca="1">VLOOKUP($D40,INDIRECT(ADDRESS(7,5,1,1,"3_TIME SUM")):INDIRECT(ADDRESS(200,7,1,1,"3_TIME SUM")),2,FALSE)</f>
        <v>6e</v>
      </c>
      <c r="H40" s="58" t="str">
        <f ca="1">IF(VLOOKUP($D40,INDIRECT(ADDRESS(7,5,1,1,"3_TIME SUM")):INDIRECT(ADDRESS(200,7,1,1,"3_TIME SUM")),3,FALSE)="","PT",VLOOKUP($D40,INDIRECT(ADDRESS(7,5,1,1,"3_TIME SUM")):INDIRECT(ADDRESS(200,7,1,1,"3_TIME SUM")),3,FALSE))</f>
        <v>PT</v>
      </c>
      <c r="I40" s="59">
        <f ca="1">IFERROR(IF(AND($D$2="NON PRODUCTIVE TIME",$H40="NPT"),SUMIF(INDIRECT(ADDRESS(8,COLUMN('2_DATA'!$M$9),1,1,"2_DATA")):INDIRECT(ADDRESS(3000,COLUMN('2_DATA'!$M$9),1,1,"2_DATA")),$G40,INDIRECT(ADDRESS(8,COLUMN('2_DATA'!$N$9),1,1,"2_DATA")):INDIRECT(ADDRESS(3000,COLUMN('2_DATA'!$N$9),1,1,"2_DATA"))),IF($D$2="ALL ACTIVITY",SUMIF(INDIRECT(ADDRESS(9,COLUMN('2_DATA'!$M$9),1,1,"2_DATA")):INDIRECT(ADDRESS(3000,COLUMN('2_DATA'!$M$9),1,1,"2_DATA")),$G40,INDIRECT(ADDRESS(9,COLUMN('2_DATA'!$N$9),1,1,"2_DATA")):INDIRECT(ADDRESS(3000,COLUMN('2_DATA'!$N$9),1,1,"2_DATA"))),SUMIF(INDIRECT(ADDRESS(OFFSET($A$3,MATCH($D$2,$A$4:$A$16,0)-1,1,,)+1,COLUMN('2_DATA'!$M$9),1,1,"2_DATA")):INDIRECT(ADDRESS(VLOOKUP($D$2,$A$4:$B$16,2,FALSE)-1,COLUMN('2_DATA'!$M$9),1,1,"2_DATA")),$G40,INDIRECT(ADDRESS(OFFSET($A$3,MATCH($D$2,$A$4:$A$16,0)-1,1,,)+1,COLUMN('2_DATA'!$N$9),1,1,"2_DATA")):INDIRECT(ADDRESS(VLOOKUP($D$2,$A$4:$B$16,2,FALSE)-1,COLUMN('2_DATA'!$N$9),1,1,"2_DATA"))))),0)</f>
        <v>0</v>
      </c>
      <c r="J40" s="58" t="str">
        <f ca="1">IF(I40=0,"",MAX($J$3:J39)+1)</f>
        <v/>
      </c>
      <c r="L40" s="55">
        <f t="shared" ca="1" si="0"/>
        <v>1000</v>
      </c>
      <c r="M40" s="55" t="str">
        <f t="shared" ca="1" si="4"/>
        <v/>
      </c>
      <c r="N40" s="55"/>
      <c r="O40" s="55">
        <f t="shared" ca="1" si="10"/>
        <v>1007</v>
      </c>
      <c r="P40" s="55">
        <f t="shared" ca="1" si="1"/>
        <v>8</v>
      </c>
      <c r="Q40" s="55" t="str">
        <f ca="1">IFERROR(INDEX($O$4:$P$226,MATCH(ROWS($Q$3:Q39),$P$4:$P$226,0),1),"-")</f>
        <v>-</v>
      </c>
      <c r="R40" s="62" t="str">
        <f t="shared" ca="1" si="2"/>
        <v/>
      </c>
      <c r="S40" s="55" t="str">
        <f t="shared" ca="1" si="5"/>
        <v/>
      </c>
      <c r="T40" s="67">
        <f t="shared" ca="1" si="19"/>
        <v>1005</v>
      </c>
      <c r="V40" s="68">
        <f t="shared" ca="1" si="11"/>
        <v>27</v>
      </c>
      <c r="W40" s="69" t="str">
        <f t="shared" ca="1" si="12"/>
        <v>Production Test : Well Testing</v>
      </c>
      <c r="X40" s="70" t="s">
        <v>84</v>
      </c>
      <c r="Y40" s="68" t="str">
        <f t="shared" ca="1" si="16"/>
        <v>PT</v>
      </c>
      <c r="Z40" s="71" t="str">
        <f t="shared" ca="1" si="13"/>
        <v>29a</v>
      </c>
      <c r="AA40" s="72">
        <f t="shared" ca="1" si="14"/>
        <v>35</v>
      </c>
      <c r="AB40" s="305">
        <f t="shared" ca="1" si="15"/>
        <v>1.4583333333333333</v>
      </c>
      <c r="AC40" s="236"/>
      <c r="AD40" s="236"/>
      <c r="AE40" s="236"/>
      <c r="AF40" s="236"/>
      <c r="AG40" s="236"/>
      <c r="AH40" s="236"/>
      <c r="AI40" s="236"/>
      <c r="AJ40" s="236"/>
      <c r="AK40" s="236"/>
      <c r="AL40" s="236"/>
      <c r="AM40" s="236"/>
      <c r="AN40" s="236"/>
      <c r="AO40" s="236"/>
      <c r="AP40" s="236"/>
      <c r="AQ40" s="236"/>
      <c r="AR40" s="236"/>
      <c r="AS40" s="236"/>
      <c r="AT40" s="236"/>
      <c r="AU40" s="236"/>
      <c r="AV40" s="236"/>
      <c r="AW40" s="236"/>
      <c r="AX40" s="236"/>
      <c r="AY40" s="236"/>
      <c r="AZ40" s="236"/>
      <c r="BA40" s="236"/>
      <c r="BB40" s="236"/>
      <c r="BC40" s="236"/>
      <c r="BD40" s="236"/>
      <c r="BE40" s="236"/>
      <c r="BF40" s="236"/>
      <c r="BG40" s="236"/>
      <c r="BH40" s="236"/>
      <c r="BI40" s="236"/>
      <c r="BJ40" s="236"/>
      <c r="BK40" s="236"/>
      <c r="BL40" s="236"/>
      <c r="BM40" s="236"/>
      <c r="BN40" s="236"/>
      <c r="BO40" s="236"/>
      <c r="BP40" s="236"/>
      <c r="BQ40" s="236"/>
      <c r="BR40" s="236"/>
      <c r="BS40" s="236"/>
      <c r="BT40" s="236"/>
      <c r="BU40" s="236"/>
      <c r="BV40" s="236"/>
      <c r="BW40" s="236"/>
      <c r="BX40" s="236"/>
      <c r="BY40" s="236"/>
      <c r="BZ40" s="236"/>
      <c r="CA40" s="236"/>
      <c r="CB40" s="236"/>
      <c r="CC40" s="236"/>
      <c r="CD40" s="236"/>
      <c r="CE40" s="236"/>
      <c r="CF40" s="236"/>
      <c r="CG40" s="236"/>
      <c r="CH40" s="236"/>
      <c r="CI40" s="236"/>
      <c r="CJ40" s="236"/>
      <c r="CK40" s="236"/>
      <c r="CL40" s="236"/>
      <c r="CM40" s="236"/>
      <c r="CN40" s="236"/>
      <c r="CO40" s="236"/>
      <c r="CP40" s="236"/>
      <c r="CQ40" s="236"/>
      <c r="CR40" s="236"/>
      <c r="CS40" s="236"/>
      <c r="CT40" s="236"/>
      <c r="CU40" s="236"/>
      <c r="CV40" s="236"/>
      <c r="CW40" s="236"/>
      <c r="CX40" s="236"/>
      <c r="CY40" s="236"/>
      <c r="CZ40" s="236"/>
      <c r="DA40" s="236"/>
      <c r="DB40" s="236"/>
      <c r="DC40" s="236"/>
      <c r="DD40" s="236"/>
      <c r="DE40" s="236"/>
      <c r="DF40" s="236"/>
      <c r="DG40" s="236"/>
      <c r="DH40" s="236"/>
      <c r="DI40" s="236"/>
      <c r="DJ40" s="236"/>
      <c r="DK40" s="236"/>
      <c r="DL40" s="236"/>
      <c r="DM40" s="236"/>
      <c r="DN40" s="236"/>
      <c r="DO40" s="236"/>
      <c r="DP40" s="236"/>
      <c r="DQ40" s="236"/>
      <c r="DR40" s="236"/>
      <c r="DS40" s="236"/>
      <c r="DT40" s="236"/>
      <c r="DU40" s="236"/>
      <c r="DV40" s="236"/>
      <c r="DW40" s="236"/>
      <c r="DX40" s="236"/>
      <c r="DY40" s="236"/>
      <c r="DZ40" s="236"/>
      <c r="EA40" s="236"/>
      <c r="EB40" s="236"/>
      <c r="EC40" s="236"/>
      <c r="ED40" s="236"/>
      <c r="EE40" s="236"/>
      <c r="EF40" s="236"/>
      <c r="EG40" s="236"/>
      <c r="EH40" s="236"/>
      <c r="EI40" s="236"/>
      <c r="EJ40" s="236"/>
      <c r="EK40" s="236"/>
      <c r="EL40" s="236"/>
      <c r="EM40" s="236"/>
      <c r="EN40" s="236"/>
      <c r="EO40" s="236"/>
      <c r="EP40" s="236"/>
      <c r="EQ40" s="236"/>
      <c r="ER40" s="236"/>
      <c r="ES40" s="236"/>
      <c r="ET40" s="236"/>
      <c r="EU40" s="236"/>
      <c r="EV40" s="236"/>
      <c r="EW40" s="236"/>
      <c r="EX40" s="236"/>
      <c r="EY40" s="236"/>
      <c r="EZ40" s="236"/>
      <c r="FA40" s="236"/>
      <c r="FB40" s="236"/>
      <c r="FC40" s="236"/>
      <c r="FD40" s="236"/>
      <c r="FE40" s="236"/>
      <c r="FF40" s="236"/>
      <c r="FG40" s="236"/>
      <c r="FH40" s="236"/>
      <c r="FI40" s="236"/>
      <c r="FJ40" s="236"/>
      <c r="FK40" s="236"/>
      <c r="FL40" s="236"/>
      <c r="FM40" s="236"/>
      <c r="FN40" s="236"/>
      <c r="FO40" s="236"/>
      <c r="FP40" s="236"/>
      <c r="FQ40" s="236"/>
      <c r="FR40" s="236"/>
      <c r="FS40" s="236"/>
      <c r="FT40" s="236"/>
      <c r="FU40" s="236"/>
      <c r="FV40" s="236"/>
      <c r="FW40" s="236"/>
      <c r="FX40" s="236"/>
      <c r="FY40" s="236"/>
      <c r="FZ40" s="236"/>
      <c r="GA40" s="236"/>
      <c r="GB40" s="236"/>
      <c r="GC40" s="236"/>
      <c r="GD40" s="236"/>
      <c r="GE40" s="236"/>
      <c r="GF40" s="236"/>
      <c r="GG40" s="236"/>
      <c r="GH40" s="236"/>
      <c r="GI40" s="236"/>
      <c r="GJ40" s="236"/>
      <c r="GK40" s="236"/>
      <c r="GL40" s="236"/>
      <c r="GM40" s="236"/>
      <c r="GN40" s="236"/>
      <c r="GO40" s="236"/>
      <c r="GP40" s="236"/>
      <c r="GQ40" s="236"/>
      <c r="GR40" s="236"/>
      <c r="GS40" s="236"/>
      <c r="GT40" s="236"/>
      <c r="GU40" s="236"/>
      <c r="GV40" s="236"/>
      <c r="GW40" s="236"/>
      <c r="GX40" s="236"/>
      <c r="GY40" s="236"/>
      <c r="GZ40" s="236"/>
      <c r="HA40" s="236"/>
      <c r="HB40" s="236"/>
      <c r="HC40" s="236"/>
      <c r="HD40" s="236"/>
      <c r="HE40" s="236"/>
      <c r="HF40" s="236"/>
      <c r="HG40" s="236"/>
      <c r="HH40" s="236"/>
      <c r="HI40" s="236"/>
      <c r="HJ40" s="236"/>
      <c r="HK40" s="236"/>
      <c r="HL40" s="236"/>
      <c r="HM40" s="236"/>
      <c r="HN40" s="236"/>
      <c r="HO40" s="236"/>
      <c r="HP40" s="236"/>
      <c r="HQ40" s="236"/>
      <c r="HR40" s="236"/>
      <c r="HS40" s="236"/>
      <c r="HT40" s="236"/>
      <c r="HU40" s="236"/>
      <c r="HV40" s="236"/>
      <c r="HW40" s="236"/>
      <c r="HX40" s="236"/>
      <c r="HY40" s="236"/>
      <c r="HZ40" s="236"/>
      <c r="IA40" s="236"/>
      <c r="IB40" s="236"/>
      <c r="IC40" s="236"/>
      <c r="ID40" s="236"/>
      <c r="IE40" s="236"/>
      <c r="IF40" s="236"/>
      <c r="IG40" s="236"/>
      <c r="IH40" s="236"/>
      <c r="II40" s="236"/>
      <c r="IJ40" s="236"/>
      <c r="IK40" s="236"/>
      <c r="IL40" s="236"/>
      <c r="IM40" s="236"/>
      <c r="IN40" s="236"/>
      <c r="IO40" s="236"/>
      <c r="IP40" s="236"/>
      <c r="IQ40" s="236"/>
      <c r="IR40" s="236"/>
      <c r="IS40" s="236"/>
      <c r="IT40" s="236"/>
      <c r="IU40" s="236"/>
      <c r="IV40" s="236"/>
      <c r="IW40" s="236"/>
      <c r="IX40" s="236"/>
      <c r="IY40" s="236"/>
      <c r="IZ40" s="236"/>
      <c r="JA40" s="236"/>
      <c r="JB40" s="236"/>
      <c r="JC40" s="236"/>
      <c r="JD40" s="236"/>
      <c r="JE40" s="236"/>
      <c r="JF40" s="236"/>
      <c r="JG40" s="236"/>
      <c r="JH40" s="236"/>
      <c r="JI40" s="236"/>
      <c r="JJ40" s="236"/>
      <c r="JK40" s="236"/>
      <c r="JL40" s="236"/>
      <c r="JM40" s="236"/>
      <c r="JN40" s="236"/>
      <c r="JO40" s="236"/>
      <c r="JP40" s="236"/>
      <c r="JQ40" s="411"/>
      <c r="JR40" s="411"/>
      <c r="JS40" s="411"/>
      <c r="JT40" s="411"/>
      <c r="JU40" s="411"/>
      <c r="JV40" s="411"/>
      <c r="JW40" s="411"/>
      <c r="KH40" s="412">
        <f t="shared" si="17"/>
        <v>37</v>
      </c>
      <c r="KI40" s="413" t="str">
        <f t="shared" ca="1" si="6"/>
        <v/>
      </c>
      <c r="KJ40" s="413" t="str">
        <f t="shared" ca="1" si="18"/>
        <v/>
      </c>
      <c r="KK40" s="414" t="str">
        <f t="shared" ca="1" si="8"/>
        <v/>
      </c>
    </row>
    <row r="41" spans="3:297" ht="24" customHeight="1">
      <c r="C41"/>
      <c r="D41" s="57" t="str">
        <f ca="1">INDIRECT(ADDRESS(ROWS($D$3:D40)+6,D$3,1,1,"3_TIME SUM"))</f>
        <v>Pumping Out of Hole / Casing</v>
      </c>
      <c r="E41" s="81" t="str">
        <f ca="1">IF(INDIRECT(ADDRESS(ROWS($E$3:E40)+6,E$3,1,1,"3_TIME SUM"))=0,E40,INDIRECT(ADDRESS(ROWS($E$3:E40)+6,E$3,1,1,"3_TIME SUM")))</f>
        <v>Trips</v>
      </c>
      <c r="F41" s="57" t="str">
        <f t="shared" ca="1" si="3"/>
        <v>Trips : Pumping Out of Hole / Casing</v>
      </c>
      <c r="G41" s="58" t="str">
        <f ca="1">VLOOKUP($D41,INDIRECT(ADDRESS(7,5,1,1,"3_TIME SUM")):INDIRECT(ADDRESS(200,7,1,1,"3_TIME SUM")),2,FALSE)</f>
        <v>6f</v>
      </c>
      <c r="H41" s="58" t="str">
        <f ca="1">IF(VLOOKUP($D41,INDIRECT(ADDRESS(7,5,1,1,"3_TIME SUM")):INDIRECT(ADDRESS(200,7,1,1,"3_TIME SUM")),3,FALSE)="","PT",VLOOKUP($D41,INDIRECT(ADDRESS(7,5,1,1,"3_TIME SUM")):INDIRECT(ADDRESS(200,7,1,1,"3_TIME SUM")),3,FALSE))</f>
        <v>PT</v>
      </c>
      <c r="I41" s="59">
        <f ca="1">IFERROR(IF(AND($D$2="NON PRODUCTIVE TIME",$H41="NPT"),SUMIF(INDIRECT(ADDRESS(8,COLUMN('2_DATA'!$M$9),1,1,"2_DATA")):INDIRECT(ADDRESS(3000,COLUMN('2_DATA'!$M$9),1,1,"2_DATA")),$G41,INDIRECT(ADDRESS(8,COLUMN('2_DATA'!$N$9),1,1,"2_DATA")):INDIRECT(ADDRESS(3000,COLUMN('2_DATA'!$N$9),1,1,"2_DATA"))),IF($D$2="ALL ACTIVITY",SUMIF(INDIRECT(ADDRESS(9,COLUMN('2_DATA'!$M$9),1,1,"2_DATA")):INDIRECT(ADDRESS(3000,COLUMN('2_DATA'!$M$9),1,1,"2_DATA")),$G41,INDIRECT(ADDRESS(9,COLUMN('2_DATA'!$N$9),1,1,"2_DATA")):INDIRECT(ADDRESS(3000,COLUMN('2_DATA'!$N$9),1,1,"2_DATA"))),SUMIF(INDIRECT(ADDRESS(OFFSET($A$3,MATCH($D$2,$A$4:$A$16,0)-1,1,,)+1,COLUMN('2_DATA'!$M$9),1,1,"2_DATA")):INDIRECT(ADDRESS(VLOOKUP($D$2,$A$4:$B$16,2,FALSE)-1,COLUMN('2_DATA'!$M$9),1,1,"2_DATA")),$G41,INDIRECT(ADDRESS(OFFSET($A$3,MATCH($D$2,$A$4:$A$16,0)-1,1,,)+1,COLUMN('2_DATA'!$N$9),1,1,"2_DATA")):INDIRECT(ADDRESS(VLOOKUP($D$2,$A$4:$B$16,2,FALSE)-1,COLUMN('2_DATA'!$N$9),1,1,"2_DATA"))))),0)</f>
        <v>0</v>
      </c>
      <c r="J41" s="58" t="str">
        <f ca="1">IF(I41=0,"",MAX($J$3:J40)+1)</f>
        <v/>
      </c>
      <c r="L41" s="55">
        <f t="shared" ca="1" si="0"/>
        <v>1000</v>
      </c>
      <c r="M41" s="55" t="str">
        <f t="shared" ca="1" si="4"/>
        <v/>
      </c>
      <c r="N41" s="55"/>
      <c r="O41" s="55" t="str">
        <f t="shared" ca="1" si="10"/>
        <v/>
      </c>
      <c r="P41" s="55">
        <f t="shared" ca="1" si="1"/>
        <v>0</v>
      </c>
      <c r="Q41" s="55" t="str">
        <f ca="1">IFERROR(INDEX($O$4:$P$226,MATCH(ROWS($Q$3:Q40),$P$4:$P$226,0),1),"-")</f>
        <v>-</v>
      </c>
      <c r="R41" s="62" t="str">
        <f t="shared" ca="1" si="2"/>
        <v/>
      </c>
      <c r="S41" s="55" t="str">
        <f t="shared" ca="1" si="5"/>
        <v/>
      </c>
      <c r="T41" s="67">
        <f t="shared" ca="1" si="19"/>
        <v>1006</v>
      </c>
      <c r="V41" s="68" t="str">
        <f t="shared" ca="1" si="11"/>
        <v/>
      </c>
      <c r="W41" s="69" t="str">
        <f t="shared" ca="1" si="12"/>
        <v/>
      </c>
      <c r="X41" s="70" t="s">
        <v>84</v>
      </c>
      <c r="Y41" s="68" t="str">
        <f t="shared" ca="1" si="16"/>
        <v/>
      </c>
      <c r="Z41" s="71" t="str">
        <f t="shared" ca="1" si="13"/>
        <v/>
      </c>
      <c r="AA41" s="72" t="str">
        <f t="shared" ca="1" si="14"/>
        <v/>
      </c>
      <c r="AB41" s="305" t="str">
        <f t="shared" ca="1" si="15"/>
        <v/>
      </c>
      <c r="AC41" s="236"/>
      <c r="AD41" s="236"/>
      <c r="AE41" s="236"/>
      <c r="AF41" s="236"/>
      <c r="AG41" s="236"/>
      <c r="AH41" s="236"/>
      <c r="AI41" s="236"/>
      <c r="AJ41" s="236"/>
      <c r="AK41" s="236"/>
      <c r="AL41" s="236"/>
      <c r="AM41" s="236"/>
      <c r="AN41" s="236"/>
      <c r="AO41" s="236"/>
      <c r="AP41" s="236"/>
      <c r="AQ41" s="236"/>
      <c r="AR41" s="236"/>
      <c r="AS41" s="236"/>
      <c r="AT41" s="236"/>
      <c r="AU41" s="236"/>
      <c r="AV41" s="236"/>
      <c r="AW41" s="236"/>
      <c r="AX41" s="236"/>
      <c r="AY41" s="236"/>
      <c r="AZ41" s="236"/>
      <c r="BA41" s="236"/>
      <c r="BB41" s="236"/>
      <c r="BC41" s="236"/>
      <c r="BD41" s="236"/>
      <c r="BE41" s="236"/>
      <c r="BF41" s="236"/>
      <c r="BG41" s="236"/>
      <c r="BH41" s="236"/>
      <c r="BI41" s="236"/>
      <c r="BJ41" s="236"/>
      <c r="BK41" s="236"/>
      <c r="BL41" s="236"/>
      <c r="BM41" s="236"/>
      <c r="BN41" s="236"/>
      <c r="BO41" s="236"/>
      <c r="BP41" s="236"/>
      <c r="BQ41" s="236"/>
      <c r="BR41" s="236"/>
      <c r="BS41" s="236"/>
      <c r="BT41" s="236"/>
      <c r="BU41" s="236"/>
      <c r="BV41" s="236"/>
      <c r="BW41" s="236"/>
      <c r="BX41" s="236"/>
      <c r="BY41" s="236"/>
      <c r="BZ41" s="236"/>
      <c r="CA41" s="236"/>
      <c r="CB41" s="236"/>
      <c r="CC41" s="236"/>
      <c r="CD41" s="236"/>
      <c r="CE41" s="236"/>
      <c r="CF41" s="236"/>
      <c r="CG41" s="236"/>
      <c r="CH41" s="236"/>
      <c r="CI41" s="236"/>
      <c r="CJ41" s="236"/>
      <c r="CK41" s="236"/>
      <c r="CL41" s="236"/>
      <c r="CM41" s="236"/>
      <c r="CN41" s="236"/>
      <c r="CO41" s="236"/>
      <c r="CP41" s="236"/>
      <c r="CQ41" s="236"/>
      <c r="CR41" s="236"/>
      <c r="CS41" s="236"/>
      <c r="CT41" s="236"/>
      <c r="CU41" s="236"/>
      <c r="CV41" s="236"/>
      <c r="CW41" s="236"/>
      <c r="CX41" s="236"/>
      <c r="CY41" s="236"/>
      <c r="CZ41" s="236"/>
      <c r="DA41" s="236"/>
      <c r="DB41" s="236"/>
      <c r="DC41" s="236"/>
      <c r="DD41" s="236"/>
      <c r="DE41" s="236"/>
      <c r="DF41" s="236"/>
      <c r="DG41" s="236"/>
      <c r="DH41" s="236"/>
      <c r="DI41" s="236"/>
      <c r="DJ41" s="236"/>
      <c r="DK41" s="236"/>
      <c r="DL41" s="236"/>
      <c r="DM41" s="236"/>
      <c r="DN41" s="236"/>
      <c r="DO41" s="236"/>
      <c r="DP41" s="236"/>
      <c r="DQ41" s="236"/>
      <c r="DR41" s="236"/>
      <c r="DS41" s="236"/>
      <c r="DT41" s="236"/>
      <c r="DU41" s="236"/>
      <c r="DV41" s="236"/>
      <c r="DW41" s="236"/>
      <c r="DX41" s="236"/>
      <c r="DY41" s="236"/>
      <c r="DZ41" s="236"/>
      <c r="EA41" s="236"/>
      <c r="EB41" s="236"/>
      <c r="EC41" s="236"/>
      <c r="ED41" s="236"/>
      <c r="EE41" s="236"/>
      <c r="EF41" s="236"/>
      <c r="EG41" s="236"/>
      <c r="EH41" s="236"/>
      <c r="EI41" s="236"/>
      <c r="EJ41" s="236"/>
      <c r="EK41" s="236"/>
      <c r="EL41" s="236"/>
      <c r="EM41" s="236"/>
      <c r="EN41" s="236"/>
      <c r="EO41" s="236"/>
      <c r="EP41" s="236"/>
      <c r="EQ41" s="236"/>
      <c r="ER41" s="236"/>
      <c r="ES41" s="236"/>
      <c r="ET41" s="236"/>
      <c r="EU41" s="236"/>
      <c r="EV41" s="236"/>
      <c r="EW41" s="236"/>
      <c r="EX41" s="236"/>
      <c r="EY41" s="236"/>
      <c r="EZ41" s="236"/>
      <c r="FA41" s="236"/>
      <c r="FB41" s="236"/>
      <c r="FC41" s="236"/>
      <c r="FD41" s="236"/>
      <c r="FE41" s="236"/>
      <c r="FF41" s="236"/>
      <c r="FG41" s="236"/>
      <c r="FH41" s="236"/>
      <c r="FI41" s="236"/>
      <c r="FJ41" s="236"/>
      <c r="FK41" s="236"/>
      <c r="FL41" s="236"/>
      <c r="FM41" s="236"/>
      <c r="FN41" s="236"/>
      <c r="FO41" s="236"/>
      <c r="FP41" s="236"/>
      <c r="FQ41" s="236"/>
      <c r="FR41" s="236"/>
      <c r="FS41" s="236"/>
      <c r="FT41" s="236"/>
      <c r="FU41" s="236"/>
      <c r="FV41" s="236"/>
      <c r="FW41" s="236"/>
      <c r="FX41" s="236"/>
      <c r="FY41" s="236"/>
      <c r="FZ41" s="236"/>
      <c r="GA41" s="236"/>
      <c r="GB41" s="236"/>
      <c r="GC41" s="236"/>
      <c r="GD41" s="236"/>
      <c r="GE41" s="236"/>
      <c r="GF41" s="236"/>
      <c r="GG41" s="236"/>
      <c r="GH41" s="236"/>
      <c r="GI41" s="236"/>
      <c r="GJ41" s="236"/>
      <c r="GK41" s="236"/>
      <c r="GL41" s="236"/>
      <c r="GM41" s="236"/>
      <c r="GN41" s="236"/>
      <c r="GO41" s="236"/>
      <c r="GP41" s="236"/>
      <c r="GQ41" s="236"/>
      <c r="GR41" s="236"/>
      <c r="GS41" s="236"/>
      <c r="GT41" s="236"/>
      <c r="GU41" s="236"/>
      <c r="GV41" s="236"/>
      <c r="GW41" s="236"/>
      <c r="GX41" s="236"/>
      <c r="GY41" s="236"/>
      <c r="GZ41" s="236"/>
      <c r="HA41" s="236"/>
      <c r="HB41" s="236"/>
      <c r="HC41" s="236"/>
      <c r="HD41" s="236"/>
      <c r="HE41" s="236"/>
      <c r="HF41" s="236"/>
      <c r="HG41" s="236"/>
      <c r="HH41" s="236"/>
      <c r="HI41" s="236"/>
      <c r="HJ41" s="236"/>
      <c r="HK41" s="236"/>
      <c r="HL41" s="236"/>
      <c r="HM41" s="236"/>
      <c r="HN41" s="236"/>
      <c r="HO41" s="236"/>
      <c r="HP41" s="236"/>
      <c r="HQ41" s="236"/>
      <c r="HR41" s="236"/>
      <c r="HS41" s="236"/>
      <c r="HT41" s="236"/>
      <c r="HU41" s="236"/>
      <c r="HV41" s="236"/>
      <c r="HW41" s="236"/>
      <c r="HX41" s="236"/>
      <c r="HY41" s="236"/>
      <c r="HZ41" s="236"/>
      <c r="IA41" s="236"/>
      <c r="IB41" s="236"/>
      <c r="IC41" s="236"/>
      <c r="ID41" s="236"/>
      <c r="IE41" s="236"/>
      <c r="IF41" s="236"/>
      <c r="IG41" s="236"/>
      <c r="IH41" s="236"/>
      <c r="II41" s="236"/>
      <c r="IJ41" s="236"/>
      <c r="IK41" s="236"/>
      <c r="IL41" s="236"/>
      <c r="IM41" s="236"/>
      <c r="IN41" s="236"/>
      <c r="IO41" s="236"/>
      <c r="IP41" s="236"/>
      <c r="IQ41" s="236"/>
      <c r="IR41" s="236"/>
      <c r="IS41" s="236"/>
      <c r="IT41" s="236"/>
      <c r="IU41" s="236"/>
      <c r="IV41" s="236"/>
      <c r="IW41" s="236"/>
      <c r="IX41" s="236"/>
      <c r="IY41" s="236"/>
      <c r="IZ41" s="236"/>
      <c r="JA41" s="236"/>
      <c r="JB41" s="236"/>
      <c r="JC41" s="236"/>
      <c r="JD41" s="236"/>
      <c r="JE41" s="236"/>
      <c r="JF41" s="236"/>
      <c r="JG41" s="236"/>
      <c r="JH41" s="236"/>
      <c r="JI41" s="236"/>
      <c r="JJ41" s="236"/>
      <c r="JK41" s="236"/>
      <c r="JL41" s="236"/>
      <c r="JM41" s="236"/>
      <c r="JN41" s="236"/>
      <c r="JO41" s="236"/>
      <c r="JP41" s="236"/>
      <c r="JQ41" s="411"/>
      <c r="JR41" s="411"/>
      <c r="JS41" s="411"/>
      <c r="JT41" s="411"/>
      <c r="JU41" s="411"/>
      <c r="JV41" s="411"/>
      <c r="JW41" s="411"/>
      <c r="KH41" s="412">
        <f t="shared" si="17"/>
        <v>38</v>
      </c>
      <c r="KI41" s="413" t="str">
        <f t="shared" ca="1" si="6"/>
        <v/>
      </c>
      <c r="KJ41" s="413" t="str">
        <f t="shared" ca="1" si="18"/>
        <v/>
      </c>
      <c r="KK41" s="414" t="str">
        <f t="shared" ca="1" si="8"/>
        <v/>
      </c>
    </row>
    <row r="42" spans="3:297" ht="24" customHeight="1">
      <c r="C42"/>
      <c r="D42" s="57" t="str">
        <f ca="1">INDIRECT(ADDRESS(ROWS($D$3:D41)+6,D$3,1,1,"3_TIME SUM"))</f>
        <v>Wiper / Conditioner Trip</v>
      </c>
      <c r="E42" s="81" t="str">
        <f ca="1">IF(INDIRECT(ADDRESS(ROWS($E$3:E41)+6,E$3,1,1,"3_TIME SUM"))=0,E41,INDIRECT(ADDRESS(ROWS($E$3:E41)+6,E$3,1,1,"3_TIME SUM")))</f>
        <v>Trips</v>
      </c>
      <c r="F42" s="57" t="str">
        <f t="shared" ca="1" si="3"/>
        <v>Trips : Wiper / Conditioner Trip</v>
      </c>
      <c r="G42" s="58" t="str">
        <f ca="1">VLOOKUP($D42,INDIRECT(ADDRESS(7,5,1,1,"3_TIME SUM")):INDIRECT(ADDRESS(200,7,1,1,"3_TIME SUM")),2,FALSE)</f>
        <v>6g</v>
      </c>
      <c r="H42" s="58" t="str">
        <f ca="1">IF(VLOOKUP($D42,INDIRECT(ADDRESS(7,5,1,1,"3_TIME SUM")):INDIRECT(ADDRESS(200,7,1,1,"3_TIME SUM")),3,FALSE)="","PT",VLOOKUP($D42,INDIRECT(ADDRESS(7,5,1,1,"3_TIME SUM")):INDIRECT(ADDRESS(200,7,1,1,"3_TIME SUM")),3,FALSE))</f>
        <v>PT</v>
      </c>
      <c r="I42" s="59">
        <f ca="1">IFERROR(IF(AND($D$2="NON PRODUCTIVE TIME",$H42="NPT"),SUMIF(INDIRECT(ADDRESS(8,COLUMN('2_DATA'!$M$9),1,1,"2_DATA")):INDIRECT(ADDRESS(3000,COLUMN('2_DATA'!$M$9),1,1,"2_DATA")),$G42,INDIRECT(ADDRESS(8,COLUMN('2_DATA'!$N$9),1,1,"2_DATA")):INDIRECT(ADDRESS(3000,COLUMN('2_DATA'!$N$9),1,1,"2_DATA"))),IF($D$2="ALL ACTIVITY",SUMIF(INDIRECT(ADDRESS(9,COLUMN('2_DATA'!$M$9),1,1,"2_DATA")):INDIRECT(ADDRESS(3000,COLUMN('2_DATA'!$M$9),1,1,"2_DATA")),$G42,INDIRECT(ADDRESS(9,COLUMN('2_DATA'!$N$9),1,1,"2_DATA")):INDIRECT(ADDRESS(3000,COLUMN('2_DATA'!$N$9),1,1,"2_DATA"))),SUMIF(INDIRECT(ADDRESS(OFFSET($A$3,MATCH($D$2,$A$4:$A$16,0)-1,1,,)+1,COLUMN('2_DATA'!$M$9),1,1,"2_DATA")):INDIRECT(ADDRESS(VLOOKUP($D$2,$A$4:$B$16,2,FALSE)-1,COLUMN('2_DATA'!$M$9),1,1,"2_DATA")),$G42,INDIRECT(ADDRESS(OFFSET($A$3,MATCH($D$2,$A$4:$A$16,0)-1,1,,)+1,COLUMN('2_DATA'!$N$9),1,1,"2_DATA")):INDIRECT(ADDRESS(VLOOKUP($D$2,$A$4:$B$16,2,FALSE)-1,COLUMN('2_DATA'!$N$9),1,1,"2_DATA"))))),0)</f>
        <v>120</v>
      </c>
      <c r="J42" s="58">
        <f ca="1">IF(I42=0,"",MAX($J$3:J41)+1)</f>
        <v>9</v>
      </c>
      <c r="L42" s="55">
        <f t="shared" ca="1" si="0"/>
        <v>1000</v>
      </c>
      <c r="M42" s="55">
        <f t="shared" ca="1" si="4"/>
        <v>1009</v>
      </c>
      <c r="N42" s="55"/>
      <c r="O42" s="55">
        <f t="shared" ca="1" si="10"/>
        <v>1008</v>
      </c>
      <c r="P42" s="55">
        <f t="shared" ca="1" si="1"/>
        <v>9</v>
      </c>
      <c r="Q42" s="55" t="str">
        <f ca="1">IFERROR(INDEX($O$4:$P$226,MATCH(ROWS($Q$3:Q41),$P$4:$P$226,0),1),"-")</f>
        <v>-</v>
      </c>
      <c r="R42" s="62" t="str">
        <f t="shared" ca="1" si="2"/>
        <v/>
      </c>
      <c r="S42" s="55" t="str">
        <f t="shared" ca="1" si="5"/>
        <v/>
      </c>
      <c r="T42" s="67">
        <f t="shared" ca="1" si="19"/>
        <v>1007</v>
      </c>
      <c r="V42" s="68" t="str">
        <f t="shared" ca="1" si="11"/>
        <v/>
      </c>
      <c r="W42" s="69" t="str">
        <f t="shared" ca="1" si="12"/>
        <v/>
      </c>
      <c r="X42" s="70" t="s">
        <v>84</v>
      </c>
      <c r="Y42" s="68" t="str">
        <f t="shared" ca="1" si="16"/>
        <v/>
      </c>
      <c r="Z42" s="71" t="str">
        <f t="shared" ca="1" si="13"/>
        <v/>
      </c>
      <c r="AA42" s="72" t="str">
        <f t="shared" ca="1" si="14"/>
        <v/>
      </c>
      <c r="AB42" s="305" t="str">
        <f t="shared" ca="1" si="15"/>
        <v/>
      </c>
      <c r="AC42" s="236"/>
      <c r="AD42" s="236"/>
      <c r="AE42" s="236"/>
      <c r="AF42" s="236"/>
      <c r="AG42" s="236"/>
      <c r="AH42" s="236"/>
      <c r="AI42" s="236"/>
      <c r="AJ42" s="236"/>
      <c r="AK42" s="236"/>
      <c r="AL42" s="236"/>
      <c r="AM42" s="236"/>
      <c r="AN42" s="236"/>
      <c r="AO42" s="236"/>
      <c r="AP42" s="236"/>
      <c r="AQ42" s="236"/>
      <c r="AR42" s="236"/>
      <c r="AS42" s="236"/>
      <c r="AT42" s="236"/>
      <c r="AU42" s="236"/>
      <c r="AV42" s="236"/>
      <c r="AW42" s="236"/>
      <c r="AX42" s="236"/>
      <c r="AY42" s="236"/>
      <c r="AZ42" s="236"/>
      <c r="BA42" s="236"/>
      <c r="BB42" s="236"/>
      <c r="BC42" s="236"/>
      <c r="BD42" s="236"/>
      <c r="BE42" s="236"/>
      <c r="BF42" s="236"/>
      <c r="BG42" s="236"/>
      <c r="BH42" s="236"/>
      <c r="BI42" s="236"/>
      <c r="BJ42" s="236"/>
      <c r="BK42" s="236"/>
      <c r="BL42" s="236"/>
      <c r="BM42" s="236"/>
      <c r="BN42" s="236"/>
      <c r="BO42" s="236"/>
      <c r="BP42" s="236"/>
      <c r="BQ42" s="236"/>
      <c r="BR42" s="236"/>
      <c r="BS42" s="236"/>
      <c r="BT42" s="236"/>
      <c r="BU42" s="236"/>
      <c r="BV42" s="236"/>
      <c r="BW42" s="236"/>
      <c r="BX42" s="236"/>
      <c r="BY42" s="236"/>
      <c r="BZ42" s="236"/>
      <c r="CA42" s="236"/>
      <c r="CB42" s="236"/>
      <c r="CC42" s="236"/>
      <c r="CD42" s="236"/>
      <c r="CE42" s="236"/>
      <c r="CF42" s="236"/>
      <c r="CG42" s="236"/>
      <c r="CH42" s="236"/>
      <c r="CI42" s="236"/>
      <c r="CJ42" s="236"/>
      <c r="CK42" s="236"/>
      <c r="CL42" s="236"/>
      <c r="CM42" s="236"/>
      <c r="CN42" s="236"/>
      <c r="CO42" s="236"/>
      <c r="CP42" s="236"/>
      <c r="CQ42" s="236"/>
      <c r="CR42" s="236"/>
      <c r="CS42" s="236"/>
      <c r="CT42" s="236"/>
      <c r="CU42" s="236"/>
      <c r="CV42" s="236"/>
      <c r="CW42" s="236"/>
      <c r="CX42" s="236"/>
      <c r="CY42" s="236"/>
      <c r="CZ42" s="236"/>
      <c r="DA42" s="236"/>
      <c r="DB42" s="236"/>
      <c r="DC42" s="236"/>
      <c r="DD42" s="236"/>
      <c r="DE42" s="236"/>
      <c r="DF42" s="236"/>
      <c r="DG42" s="236"/>
      <c r="DH42" s="236"/>
      <c r="DI42" s="236"/>
      <c r="DJ42" s="236"/>
      <c r="DK42" s="236"/>
      <c r="DL42" s="236"/>
      <c r="DM42" s="236"/>
      <c r="DN42" s="236"/>
      <c r="DO42" s="236"/>
      <c r="DP42" s="236"/>
      <c r="DQ42" s="236"/>
      <c r="DR42" s="236"/>
      <c r="DS42" s="236"/>
      <c r="DT42" s="236"/>
      <c r="DU42" s="236"/>
      <c r="DV42" s="236"/>
      <c r="DW42" s="236"/>
      <c r="DX42" s="236"/>
      <c r="DY42" s="236"/>
      <c r="DZ42" s="236"/>
      <c r="EA42" s="236"/>
      <c r="EB42" s="236"/>
      <c r="EC42" s="236"/>
      <c r="ED42" s="236"/>
      <c r="EE42" s="236"/>
      <c r="EF42" s="236"/>
      <c r="EG42" s="236"/>
      <c r="EH42" s="236"/>
      <c r="EI42" s="236"/>
      <c r="EJ42" s="236"/>
      <c r="EK42" s="236"/>
      <c r="EL42" s="236"/>
      <c r="EM42" s="236"/>
      <c r="EN42" s="236"/>
      <c r="EO42" s="236"/>
      <c r="EP42" s="236"/>
      <c r="EQ42" s="236"/>
      <c r="ER42" s="236"/>
      <c r="ES42" s="236"/>
      <c r="ET42" s="236"/>
      <c r="EU42" s="236"/>
      <c r="EV42" s="236"/>
      <c r="EW42" s="236"/>
      <c r="EX42" s="236"/>
      <c r="EY42" s="236"/>
      <c r="EZ42" s="236"/>
      <c r="FA42" s="236"/>
      <c r="FB42" s="236"/>
      <c r="FC42" s="236"/>
      <c r="FD42" s="236"/>
      <c r="FE42" s="236"/>
      <c r="FF42" s="236"/>
      <c r="FG42" s="236"/>
      <c r="FH42" s="236"/>
      <c r="FI42" s="236"/>
      <c r="FJ42" s="236"/>
      <c r="FK42" s="236"/>
      <c r="FL42" s="236"/>
      <c r="FM42" s="236"/>
      <c r="FN42" s="236"/>
      <c r="FO42" s="236"/>
      <c r="FP42" s="236"/>
      <c r="FQ42" s="236"/>
      <c r="FR42" s="236"/>
      <c r="FS42" s="236"/>
      <c r="FT42" s="236"/>
      <c r="FU42" s="236"/>
      <c r="FV42" s="236"/>
      <c r="FW42" s="236"/>
      <c r="FX42" s="236"/>
      <c r="FY42" s="236"/>
      <c r="FZ42" s="236"/>
      <c r="GA42" s="236"/>
      <c r="GB42" s="236"/>
      <c r="GC42" s="236"/>
      <c r="GD42" s="236"/>
      <c r="GE42" s="236"/>
      <c r="GF42" s="236"/>
      <c r="GG42" s="236"/>
      <c r="GH42" s="236"/>
      <c r="GI42" s="236"/>
      <c r="GJ42" s="236"/>
      <c r="GK42" s="236"/>
      <c r="GL42" s="236"/>
      <c r="GM42" s="236"/>
      <c r="GN42" s="236"/>
      <c r="GO42" s="236"/>
      <c r="GP42" s="236"/>
      <c r="GQ42" s="236"/>
      <c r="GR42" s="236"/>
      <c r="GS42" s="236"/>
      <c r="GT42" s="236"/>
      <c r="GU42" s="236"/>
      <c r="GV42" s="236"/>
      <c r="GW42" s="236"/>
      <c r="GX42" s="236"/>
      <c r="GY42" s="236"/>
      <c r="GZ42" s="236"/>
      <c r="HA42" s="236"/>
      <c r="HB42" s="236"/>
      <c r="HC42" s="236"/>
      <c r="HD42" s="236"/>
      <c r="HE42" s="236"/>
      <c r="HF42" s="236"/>
      <c r="HG42" s="236"/>
      <c r="HH42" s="236"/>
      <c r="HI42" s="236"/>
      <c r="HJ42" s="236"/>
      <c r="HK42" s="236"/>
      <c r="HL42" s="236"/>
      <c r="HM42" s="236"/>
      <c r="HN42" s="236"/>
      <c r="HO42" s="236"/>
      <c r="HP42" s="236"/>
      <c r="HQ42" s="236"/>
      <c r="HR42" s="236"/>
      <c r="HS42" s="236"/>
      <c r="HT42" s="236"/>
      <c r="HU42" s="236"/>
      <c r="HV42" s="236"/>
      <c r="HW42" s="236"/>
      <c r="HX42" s="236"/>
      <c r="HY42" s="236"/>
      <c r="HZ42" s="236"/>
      <c r="IA42" s="236"/>
      <c r="IB42" s="236"/>
      <c r="IC42" s="236"/>
      <c r="ID42" s="236"/>
      <c r="IE42" s="236"/>
      <c r="IF42" s="236"/>
      <c r="IG42" s="236"/>
      <c r="IH42" s="236"/>
      <c r="II42" s="236"/>
      <c r="IJ42" s="236"/>
      <c r="IK42" s="236"/>
      <c r="IL42" s="236"/>
      <c r="IM42" s="236"/>
      <c r="IN42" s="236"/>
      <c r="IO42" s="236"/>
      <c r="IP42" s="236"/>
      <c r="IQ42" s="236"/>
      <c r="IR42" s="236"/>
      <c r="IS42" s="236"/>
      <c r="IT42" s="236"/>
      <c r="IU42" s="236"/>
      <c r="IV42" s="236"/>
      <c r="IW42" s="236"/>
      <c r="IX42" s="236"/>
      <c r="IY42" s="236"/>
      <c r="IZ42" s="236"/>
      <c r="JA42" s="236"/>
      <c r="JB42" s="236"/>
      <c r="JC42" s="236"/>
      <c r="JD42" s="236"/>
      <c r="JE42" s="236"/>
      <c r="JF42" s="236"/>
      <c r="JG42" s="236"/>
      <c r="JH42" s="236"/>
      <c r="JI42" s="236"/>
      <c r="JJ42" s="236"/>
      <c r="JK42" s="236"/>
      <c r="JL42" s="236"/>
      <c r="JM42" s="236"/>
      <c r="JN42" s="236"/>
      <c r="JO42" s="236"/>
      <c r="JP42" s="236"/>
      <c r="JQ42" s="411"/>
      <c r="JR42" s="411"/>
      <c r="JS42" s="411"/>
      <c r="JT42" s="411"/>
      <c r="JU42" s="411"/>
      <c r="JV42" s="411"/>
      <c r="JW42" s="411"/>
      <c r="KH42" s="412">
        <f t="shared" si="17"/>
        <v>39</v>
      </c>
      <c r="KI42" s="413" t="str">
        <f t="shared" ca="1" si="6"/>
        <v/>
      </c>
      <c r="KJ42" s="413" t="str">
        <f t="shared" ca="1" si="18"/>
        <v/>
      </c>
      <c r="KK42" s="414" t="str">
        <f t="shared" ca="1" si="8"/>
        <v/>
      </c>
    </row>
    <row r="43" spans="3:297" ht="24" customHeight="1">
      <c r="C43"/>
      <c r="D43" s="57" t="str">
        <f ca="1">INDIRECT(ADDRESS(ROWS($D$3:D42)+6,D$3,1,1,"3_TIME SUM"))</f>
        <v xml:space="preserve">Flow Check / Monitor Well </v>
      </c>
      <c r="E43" s="81" t="str">
        <f ca="1">IF(INDIRECT(ADDRESS(ROWS($E$3:E42)+6,E$3,1,1,"3_TIME SUM"))=0,E42,INDIRECT(ADDRESS(ROWS($E$3:E42)+6,E$3,1,1,"3_TIME SUM")))</f>
        <v>Trips</v>
      </c>
      <c r="F43" s="57" t="str">
        <f t="shared" ca="1" si="3"/>
        <v xml:space="preserve">Trips : Flow Check / Monitor Well </v>
      </c>
      <c r="G43" s="58" t="str">
        <f ca="1">VLOOKUP($D43,INDIRECT(ADDRESS(7,5,1,1,"3_TIME SUM")):INDIRECT(ADDRESS(200,7,1,1,"3_TIME SUM")),2,FALSE)</f>
        <v>6h</v>
      </c>
      <c r="H43" s="58" t="str">
        <f ca="1">IF(VLOOKUP($D43,INDIRECT(ADDRESS(7,5,1,1,"3_TIME SUM")):INDIRECT(ADDRESS(200,7,1,1,"3_TIME SUM")),3,FALSE)="","PT",VLOOKUP($D43,INDIRECT(ADDRESS(7,5,1,1,"3_TIME SUM")):INDIRECT(ADDRESS(200,7,1,1,"3_TIME SUM")),3,FALSE))</f>
        <v>PT</v>
      </c>
      <c r="I43" s="59">
        <f ca="1">IFERROR(IF(AND($D$2="NON PRODUCTIVE TIME",$H43="NPT"),SUMIF(INDIRECT(ADDRESS(8,COLUMN('2_DATA'!$M$9),1,1,"2_DATA")):INDIRECT(ADDRESS(3000,COLUMN('2_DATA'!$M$9),1,1,"2_DATA")),$G43,INDIRECT(ADDRESS(8,COLUMN('2_DATA'!$N$9),1,1,"2_DATA")):INDIRECT(ADDRESS(3000,COLUMN('2_DATA'!$N$9),1,1,"2_DATA"))),IF($D$2="ALL ACTIVITY",SUMIF(INDIRECT(ADDRESS(9,COLUMN('2_DATA'!$M$9),1,1,"2_DATA")):INDIRECT(ADDRESS(3000,COLUMN('2_DATA'!$M$9),1,1,"2_DATA")),$G43,INDIRECT(ADDRESS(9,COLUMN('2_DATA'!$N$9),1,1,"2_DATA")):INDIRECT(ADDRESS(3000,COLUMN('2_DATA'!$N$9),1,1,"2_DATA"))),SUMIF(INDIRECT(ADDRESS(OFFSET($A$3,MATCH($D$2,$A$4:$A$16,0)-1,1,,)+1,COLUMN('2_DATA'!$M$9),1,1,"2_DATA")):INDIRECT(ADDRESS(VLOOKUP($D$2,$A$4:$B$16,2,FALSE)-1,COLUMN('2_DATA'!$M$9),1,1,"2_DATA")),$G43,INDIRECT(ADDRESS(OFFSET($A$3,MATCH($D$2,$A$4:$A$16,0)-1,1,,)+1,COLUMN('2_DATA'!$N$9),1,1,"2_DATA")):INDIRECT(ADDRESS(VLOOKUP($D$2,$A$4:$B$16,2,FALSE)-1,COLUMN('2_DATA'!$N$9),1,1,"2_DATA"))))),0)</f>
        <v>1</v>
      </c>
      <c r="J43" s="58">
        <f ca="1">IF(I43=0,"",MAX($J$3:J42)+1)</f>
        <v>10</v>
      </c>
      <c r="L43" s="55">
        <f t="shared" ca="1" si="0"/>
        <v>1000</v>
      </c>
      <c r="M43" s="55">
        <f t="shared" ca="1" si="4"/>
        <v>1010</v>
      </c>
      <c r="N43" s="55"/>
      <c r="O43" s="55" t="str">
        <f t="shared" ca="1" si="10"/>
        <v/>
      </c>
      <c r="P43" s="55">
        <f t="shared" ca="1" si="1"/>
        <v>0</v>
      </c>
      <c r="Q43" s="55" t="str">
        <f ca="1">IFERROR(INDEX($O$4:$P$226,MATCH(ROWS($Q$3:Q42),$P$4:$P$226,0),1),"-")</f>
        <v>-</v>
      </c>
      <c r="R43" s="62" t="str">
        <f t="shared" ca="1" si="2"/>
        <v/>
      </c>
      <c r="S43" s="55" t="str">
        <f t="shared" ca="1" si="5"/>
        <v/>
      </c>
      <c r="T43" s="67">
        <f t="shared" ca="1" si="19"/>
        <v>1008</v>
      </c>
      <c r="V43" s="68" t="str">
        <f t="shared" ca="1" si="11"/>
        <v/>
      </c>
      <c r="W43" s="69" t="str">
        <f t="shared" ca="1" si="12"/>
        <v/>
      </c>
      <c r="X43" s="70" t="s">
        <v>84</v>
      </c>
      <c r="Y43" s="68" t="str">
        <f t="shared" ca="1" si="16"/>
        <v/>
      </c>
      <c r="Z43" s="71" t="str">
        <f t="shared" ca="1" si="13"/>
        <v/>
      </c>
      <c r="AA43" s="72" t="str">
        <f t="shared" ca="1" si="14"/>
        <v/>
      </c>
      <c r="AB43" s="305" t="str">
        <f t="shared" ca="1" si="15"/>
        <v/>
      </c>
      <c r="AC43" s="236"/>
      <c r="AD43" s="236"/>
      <c r="AE43" s="236"/>
      <c r="AF43" s="236"/>
      <c r="AG43" s="236"/>
      <c r="AH43" s="236"/>
      <c r="AI43" s="236"/>
      <c r="AJ43" s="236"/>
      <c r="AK43" s="236"/>
      <c r="AL43" s="236"/>
      <c r="AM43" s="236"/>
      <c r="AN43" s="236"/>
      <c r="AO43" s="236"/>
      <c r="AP43" s="236"/>
      <c r="AQ43" s="236"/>
      <c r="AR43" s="236"/>
      <c r="AS43" s="236"/>
      <c r="AT43" s="236"/>
      <c r="AU43" s="236"/>
      <c r="AV43" s="236"/>
      <c r="AW43" s="236"/>
      <c r="AX43" s="236"/>
      <c r="AY43" s="236"/>
      <c r="AZ43" s="236"/>
      <c r="BA43" s="236"/>
      <c r="BB43" s="236"/>
      <c r="BC43" s="236"/>
      <c r="BD43" s="236"/>
      <c r="BE43" s="236"/>
      <c r="BF43" s="236"/>
      <c r="BG43" s="236"/>
      <c r="BH43" s="236"/>
      <c r="BI43" s="236"/>
      <c r="BJ43" s="236"/>
      <c r="BK43" s="236"/>
      <c r="BL43" s="236"/>
      <c r="BM43" s="236"/>
      <c r="BN43" s="236"/>
      <c r="BO43" s="236"/>
      <c r="BP43" s="236"/>
      <c r="BQ43" s="236"/>
      <c r="BR43" s="236"/>
      <c r="BS43" s="236"/>
      <c r="BT43" s="236"/>
      <c r="BU43" s="236"/>
      <c r="BV43" s="236"/>
      <c r="BW43" s="236"/>
      <c r="BX43" s="236"/>
      <c r="BY43" s="236"/>
      <c r="BZ43" s="236"/>
      <c r="CA43" s="236"/>
      <c r="CB43" s="236"/>
      <c r="CC43" s="236"/>
      <c r="CD43" s="236"/>
      <c r="CE43" s="236"/>
      <c r="CF43" s="236"/>
      <c r="CG43" s="236"/>
      <c r="CH43" s="236"/>
      <c r="CI43" s="236"/>
      <c r="CJ43" s="236"/>
      <c r="CK43" s="236"/>
      <c r="CL43" s="236"/>
      <c r="CM43" s="236"/>
      <c r="CN43" s="236"/>
      <c r="CO43" s="236"/>
      <c r="CP43" s="236"/>
      <c r="CQ43" s="236"/>
      <c r="CR43" s="236"/>
      <c r="CS43" s="236"/>
      <c r="CT43" s="236"/>
      <c r="CU43" s="236"/>
      <c r="CV43" s="236"/>
      <c r="CW43" s="236"/>
      <c r="CX43" s="236"/>
      <c r="CY43" s="236"/>
      <c r="CZ43" s="236"/>
      <c r="DA43" s="236"/>
      <c r="DB43" s="236"/>
      <c r="DC43" s="236"/>
      <c r="DD43" s="236"/>
      <c r="DE43" s="236"/>
      <c r="DF43" s="236"/>
      <c r="DG43" s="236"/>
      <c r="DH43" s="236"/>
      <c r="DI43" s="236"/>
      <c r="DJ43" s="236"/>
      <c r="DK43" s="236"/>
      <c r="DL43" s="236"/>
      <c r="DM43" s="236"/>
      <c r="DN43" s="236"/>
      <c r="DO43" s="236"/>
      <c r="DP43" s="236"/>
      <c r="DQ43" s="236"/>
      <c r="DR43" s="236"/>
      <c r="DS43" s="236"/>
      <c r="DT43" s="236"/>
      <c r="DU43" s="236"/>
      <c r="DV43" s="236"/>
      <c r="DW43" s="236"/>
      <c r="DX43" s="236"/>
      <c r="DY43" s="236"/>
      <c r="DZ43" s="236"/>
      <c r="EA43" s="236"/>
      <c r="EB43" s="236"/>
      <c r="EC43" s="236"/>
      <c r="ED43" s="236"/>
      <c r="EE43" s="236"/>
      <c r="EF43" s="236"/>
      <c r="EG43" s="236"/>
      <c r="EH43" s="236"/>
      <c r="EI43" s="236"/>
      <c r="EJ43" s="236"/>
      <c r="EK43" s="236"/>
      <c r="EL43" s="236"/>
      <c r="EM43" s="236"/>
      <c r="EN43" s="236"/>
      <c r="EO43" s="236"/>
      <c r="EP43" s="236"/>
      <c r="EQ43" s="236"/>
      <c r="ER43" s="236"/>
      <c r="ES43" s="236"/>
      <c r="ET43" s="236"/>
      <c r="EU43" s="236"/>
      <c r="EV43" s="236"/>
      <c r="EW43" s="236"/>
      <c r="EX43" s="236"/>
      <c r="EY43" s="236"/>
      <c r="EZ43" s="236"/>
      <c r="FA43" s="236"/>
      <c r="FB43" s="236"/>
      <c r="FC43" s="236"/>
      <c r="FD43" s="236"/>
      <c r="FE43" s="236"/>
      <c r="FF43" s="236"/>
      <c r="FG43" s="236"/>
      <c r="FH43" s="236"/>
      <c r="FI43" s="236"/>
      <c r="FJ43" s="236"/>
      <c r="FK43" s="236"/>
      <c r="FL43" s="236"/>
      <c r="FM43" s="236"/>
      <c r="FN43" s="236"/>
      <c r="FO43" s="236"/>
      <c r="FP43" s="236"/>
      <c r="FQ43" s="236"/>
      <c r="FR43" s="236"/>
      <c r="FS43" s="236"/>
      <c r="FT43" s="236"/>
      <c r="FU43" s="236"/>
      <c r="FV43" s="236"/>
      <c r="FW43" s="236"/>
      <c r="FX43" s="236"/>
      <c r="FY43" s="236"/>
      <c r="FZ43" s="236"/>
      <c r="GA43" s="236"/>
      <c r="GB43" s="236"/>
      <c r="GC43" s="236"/>
      <c r="GD43" s="236"/>
      <c r="GE43" s="236"/>
      <c r="GF43" s="236"/>
      <c r="GG43" s="236"/>
      <c r="GH43" s="236"/>
      <c r="GI43" s="236"/>
      <c r="GJ43" s="236"/>
      <c r="GK43" s="236"/>
      <c r="GL43" s="236"/>
      <c r="GM43" s="236"/>
      <c r="GN43" s="236"/>
      <c r="GO43" s="236"/>
      <c r="GP43" s="236"/>
      <c r="GQ43" s="236"/>
      <c r="GR43" s="236"/>
      <c r="GS43" s="236"/>
      <c r="GT43" s="236"/>
      <c r="GU43" s="236"/>
      <c r="GV43" s="236"/>
      <c r="GW43" s="236"/>
      <c r="GX43" s="236"/>
      <c r="GY43" s="236"/>
      <c r="GZ43" s="236"/>
      <c r="HA43" s="236"/>
      <c r="HB43" s="236"/>
      <c r="HC43" s="236"/>
      <c r="HD43" s="236"/>
      <c r="HE43" s="236"/>
      <c r="HF43" s="236"/>
      <c r="HG43" s="236"/>
      <c r="HH43" s="236"/>
      <c r="HI43" s="236"/>
      <c r="HJ43" s="236"/>
      <c r="HK43" s="236"/>
      <c r="HL43" s="236"/>
      <c r="HM43" s="236"/>
      <c r="HN43" s="236"/>
      <c r="HO43" s="236"/>
      <c r="HP43" s="236"/>
      <c r="HQ43" s="236"/>
      <c r="HR43" s="236"/>
      <c r="HS43" s="236"/>
      <c r="HT43" s="236"/>
      <c r="HU43" s="236"/>
      <c r="HV43" s="236"/>
      <c r="HW43" s="236"/>
      <c r="HX43" s="236"/>
      <c r="HY43" s="236"/>
      <c r="HZ43" s="236"/>
      <c r="IA43" s="236"/>
      <c r="IB43" s="236"/>
      <c r="IC43" s="236"/>
      <c r="ID43" s="236"/>
      <c r="IE43" s="236"/>
      <c r="IF43" s="236"/>
      <c r="IG43" s="236"/>
      <c r="IH43" s="236"/>
      <c r="II43" s="236"/>
      <c r="IJ43" s="236"/>
      <c r="IK43" s="236"/>
      <c r="IL43" s="236"/>
      <c r="IM43" s="236"/>
      <c r="IN43" s="236"/>
      <c r="IO43" s="236"/>
      <c r="IP43" s="236"/>
      <c r="IQ43" s="236"/>
      <c r="IR43" s="236"/>
      <c r="IS43" s="236"/>
      <c r="IT43" s="236"/>
      <c r="IU43" s="236"/>
      <c r="IV43" s="236"/>
      <c r="IW43" s="236"/>
      <c r="IX43" s="236"/>
      <c r="IY43" s="236"/>
      <c r="IZ43" s="236"/>
      <c r="JA43" s="236"/>
      <c r="JB43" s="236"/>
      <c r="JC43" s="236"/>
      <c r="JD43" s="236"/>
      <c r="JE43" s="236"/>
      <c r="JF43" s="236"/>
      <c r="JG43" s="236"/>
      <c r="JH43" s="236"/>
      <c r="JI43" s="236"/>
      <c r="JJ43" s="236"/>
      <c r="JK43" s="236"/>
      <c r="JL43" s="236"/>
      <c r="JM43" s="236"/>
      <c r="JN43" s="236"/>
      <c r="JO43" s="236"/>
      <c r="JP43" s="236"/>
      <c r="JQ43" s="411"/>
      <c r="JR43" s="411"/>
      <c r="JS43" s="411"/>
      <c r="JT43" s="411"/>
      <c r="JU43" s="411"/>
      <c r="JV43" s="411"/>
      <c r="JW43" s="411"/>
      <c r="KH43" s="412">
        <f t="shared" si="17"/>
        <v>40</v>
      </c>
      <c r="KI43" s="413" t="str">
        <f t="shared" ca="1" si="6"/>
        <v/>
      </c>
      <c r="KJ43" s="413" t="str">
        <f t="shared" ca="1" si="18"/>
        <v/>
      </c>
      <c r="KK43" s="414" t="str">
        <f t="shared" ca="1" si="8"/>
        <v/>
      </c>
    </row>
    <row r="44" spans="3:297" ht="24" customHeight="1">
      <c r="C44"/>
      <c r="D44" s="57" t="str">
        <f ca="1">INDIRECT(ADDRESS(ROWS($D$3:D43)+6,D$3,1,1,"3_TIME SUM"))</f>
        <v>Service Rig - Normal Lubrication and service of Rig</v>
      </c>
      <c r="E44" s="81" t="str">
        <f ca="1">IF(INDIRECT(ADDRESS(ROWS($E$3:E43)+6,E$3,1,1,"3_TIME SUM"))=0,E43,INDIRECT(ADDRESS(ROWS($E$3:E43)+6,E$3,1,1,"3_TIME SUM")))</f>
        <v>Lubricate Rig</v>
      </c>
      <c r="F44" s="57" t="str">
        <f t="shared" ca="1" si="3"/>
        <v>Lubricate Rig : Service Rig - Normal Lubrication and service of Rig</v>
      </c>
      <c r="G44" s="58" t="str">
        <f ca="1">VLOOKUP($D44,INDIRECT(ADDRESS(7,5,1,1,"3_TIME SUM")):INDIRECT(ADDRESS(200,7,1,1,"3_TIME SUM")),2,FALSE)</f>
        <v>7a</v>
      </c>
      <c r="H44" s="58" t="str">
        <f ca="1">IF(VLOOKUP($D44,INDIRECT(ADDRESS(7,5,1,1,"3_TIME SUM")):INDIRECT(ADDRESS(200,7,1,1,"3_TIME SUM")),3,FALSE)="","PT",VLOOKUP($D44,INDIRECT(ADDRESS(7,5,1,1,"3_TIME SUM")):INDIRECT(ADDRESS(200,7,1,1,"3_TIME SUM")),3,FALSE))</f>
        <v>PT</v>
      </c>
      <c r="I44" s="59">
        <f ca="1">IFERROR(IF(AND($D$2="NON PRODUCTIVE TIME",$H44="NPT"),SUMIF(INDIRECT(ADDRESS(8,COLUMN('2_DATA'!$M$9),1,1,"2_DATA")):INDIRECT(ADDRESS(3000,COLUMN('2_DATA'!$M$9),1,1,"2_DATA")),$G44,INDIRECT(ADDRESS(8,COLUMN('2_DATA'!$N$9),1,1,"2_DATA")):INDIRECT(ADDRESS(3000,COLUMN('2_DATA'!$N$9),1,1,"2_DATA"))),IF($D$2="ALL ACTIVITY",SUMIF(INDIRECT(ADDRESS(9,COLUMN('2_DATA'!$M$9),1,1,"2_DATA")):INDIRECT(ADDRESS(3000,COLUMN('2_DATA'!$M$9),1,1,"2_DATA")),$G44,INDIRECT(ADDRESS(9,COLUMN('2_DATA'!$N$9),1,1,"2_DATA")):INDIRECT(ADDRESS(3000,COLUMN('2_DATA'!$N$9),1,1,"2_DATA"))),SUMIF(INDIRECT(ADDRESS(OFFSET($A$3,MATCH($D$2,$A$4:$A$16,0)-1,1,,)+1,COLUMN('2_DATA'!$M$9),1,1,"2_DATA")):INDIRECT(ADDRESS(VLOOKUP($D$2,$A$4:$B$16,2,FALSE)-1,COLUMN('2_DATA'!$M$9),1,1,"2_DATA")),$G44,INDIRECT(ADDRESS(OFFSET($A$3,MATCH($D$2,$A$4:$A$16,0)-1,1,,)+1,COLUMN('2_DATA'!$N$9),1,1,"2_DATA")):INDIRECT(ADDRESS(VLOOKUP($D$2,$A$4:$B$16,2,FALSE)-1,COLUMN('2_DATA'!$N$9),1,1,"2_DATA"))))),0)</f>
        <v>0</v>
      </c>
      <c r="J44" s="58" t="str">
        <f ca="1">IF(I44=0,"",MAX($J$3:J43)+1)</f>
        <v/>
      </c>
      <c r="L44" s="55">
        <f t="shared" ca="1" si="0"/>
        <v>1000</v>
      </c>
      <c r="M44" s="55" t="str">
        <f t="shared" ca="1" si="4"/>
        <v/>
      </c>
      <c r="N44" s="55"/>
      <c r="O44" s="55" t="str">
        <f t="shared" ca="1" si="10"/>
        <v/>
      </c>
      <c r="P44" s="55">
        <f t="shared" ca="1" si="1"/>
        <v>0</v>
      </c>
      <c r="Q44" s="55" t="str">
        <f ca="1">IFERROR(INDEX($O$4:$P$226,MATCH(ROWS($Q$3:Q43),$P$4:$P$226,0),1),"-")</f>
        <v>-</v>
      </c>
      <c r="R44" s="62" t="str">
        <f t="shared" ca="1" si="2"/>
        <v/>
      </c>
      <c r="S44" s="55" t="str">
        <f t="shared" ca="1" si="5"/>
        <v/>
      </c>
      <c r="T44" s="67">
        <f t="shared" ca="1" si="19"/>
        <v>1009</v>
      </c>
      <c r="V44" s="68" t="str">
        <f t="shared" ca="1" si="11"/>
        <v/>
      </c>
      <c r="W44" s="69" t="str">
        <f t="shared" ca="1" si="12"/>
        <v/>
      </c>
      <c r="X44" s="70" t="s">
        <v>84</v>
      </c>
      <c r="Y44" s="68" t="str">
        <f t="shared" ca="1" si="16"/>
        <v/>
      </c>
      <c r="Z44" s="71" t="str">
        <f t="shared" ca="1" si="13"/>
        <v/>
      </c>
      <c r="AA44" s="72" t="str">
        <f t="shared" ca="1" si="14"/>
        <v/>
      </c>
      <c r="AB44" s="305" t="str">
        <f t="shared" ca="1" si="15"/>
        <v/>
      </c>
      <c r="AC44" s="236"/>
      <c r="AD44" s="236"/>
      <c r="AE44" s="236"/>
      <c r="AF44" s="236"/>
      <c r="AG44" s="236"/>
      <c r="AH44" s="236"/>
      <c r="AI44" s="236"/>
      <c r="AJ44" s="236"/>
      <c r="AK44" s="236"/>
      <c r="AL44" s="236"/>
      <c r="AM44" s="236"/>
      <c r="AN44" s="236"/>
      <c r="AO44" s="236"/>
      <c r="AP44" s="236"/>
      <c r="AQ44" s="236"/>
      <c r="AR44" s="236"/>
      <c r="AS44" s="236"/>
      <c r="AT44" s="236"/>
      <c r="AU44" s="236"/>
      <c r="AV44" s="236"/>
      <c r="AW44" s="236"/>
      <c r="AX44" s="236"/>
      <c r="AY44" s="236"/>
      <c r="AZ44" s="236"/>
      <c r="BA44" s="236"/>
      <c r="BB44" s="236"/>
      <c r="BC44" s="236"/>
      <c r="BD44" s="236"/>
      <c r="BE44" s="236"/>
      <c r="BF44" s="236"/>
      <c r="BG44" s="236"/>
      <c r="BH44" s="236"/>
      <c r="BI44" s="236"/>
      <c r="BJ44" s="236"/>
      <c r="BK44" s="236"/>
      <c r="BL44" s="236"/>
      <c r="BM44" s="236"/>
      <c r="BN44" s="236"/>
      <c r="BO44" s="236"/>
      <c r="BP44" s="236"/>
      <c r="BQ44" s="236"/>
      <c r="BR44" s="236"/>
      <c r="BS44" s="236"/>
      <c r="BT44" s="236"/>
      <c r="BU44" s="236"/>
      <c r="BV44" s="236"/>
      <c r="BW44" s="236"/>
      <c r="BX44" s="236"/>
      <c r="BY44" s="236"/>
      <c r="BZ44" s="236"/>
      <c r="CA44" s="236"/>
      <c r="CB44" s="236"/>
      <c r="CC44" s="236"/>
      <c r="CD44" s="236"/>
      <c r="CE44" s="236"/>
      <c r="CF44" s="236"/>
      <c r="CG44" s="236"/>
      <c r="CH44" s="236"/>
      <c r="CI44" s="236"/>
      <c r="CJ44" s="236"/>
      <c r="CK44" s="236"/>
      <c r="CL44" s="236"/>
      <c r="CM44" s="236"/>
      <c r="CN44" s="236"/>
      <c r="CO44" s="236"/>
      <c r="CP44" s="236"/>
      <c r="CQ44" s="236"/>
      <c r="CR44" s="236"/>
      <c r="CS44" s="236"/>
      <c r="CT44" s="236"/>
      <c r="CU44" s="236"/>
      <c r="CV44" s="236"/>
      <c r="CW44" s="236"/>
      <c r="CX44" s="236"/>
      <c r="CY44" s="236"/>
      <c r="CZ44" s="236"/>
      <c r="DA44" s="236"/>
      <c r="DB44" s="236"/>
      <c r="DC44" s="236"/>
      <c r="DD44" s="236"/>
      <c r="DE44" s="236"/>
      <c r="DF44" s="236"/>
      <c r="DG44" s="236"/>
      <c r="DH44" s="236"/>
      <c r="DI44" s="236"/>
      <c r="DJ44" s="236"/>
      <c r="DK44" s="236"/>
      <c r="DL44" s="236"/>
      <c r="DM44" s="236"/>
      <c r="DN44" s="236"/>
      <c r="DO44" s="236"/>
      <c r="DP44" s="236"/>
      <c r="DQ44" s="236"/>
      <c r="DR44" s="236"/>
      <c r="DS44" s="236"/>
      <c r="DT44" s="236"/>
      <c r="DU44" s="236"/>
      <c r="DV44" s="236"/>
      <c r="DW44" s="236"/>
      <c r="DX44" s="236"/>
      <c r="DY44" s="236"/>
      <c r="DZ44" s="236"/>
      <c r="EA44" s="236"/>
      <c r="EB44" s="236"/>
      <c r="EC44" s="236"/>
      <c r="ED44" s="236"/>
      <c r="EE44" s="236"/>
      <c r="EF44" s="236"/>
      <c r="EG44" s="236"/>
      <c r="EH44" s="236"/>
      <c r="EI44" s="236"/>
      <c r="EJ44" s="236"/>
      <c r="EK44" s="236"/>
      <c r="EL44" s="236"/>
      <c r="EM44" s="236"/>
      <c r="EN44" s="236"/>
      <c r="EO44" s="236"/>
      <c r="EP44" s="236"/>
      <c r="EQ44" s="236"/>
      <c r="ER44" s="236"/>
      <c r="ES44" s="236"/>
      <c r="ET44" s="236"/>
      <c r="EU44" s="236"/>
      <c r="EV44" s="236"/>
      <c r="EW44" s="236"/>
      <c r="EX44" s="236"/>
      <c r="EY44" s="236"/>
      <c r="EZ44" s="236"/>
      <c r="FA44" s="236"/>
      <c r="FB44" s="236"/>
      <c r="FC44" s="236"/>
      <c r="FD44" s="236"/>
      <c r="FE44" s="236"/>
      <c r="FF44" s="236"/>
      <c r="FG44" s="236"/>
      <c r="FH44" s="236"/>
      <c r="FI44" s="236"/>
      <c r="FJ44" s="236"/>
      <c r="FK44" s="236"/>
      <c r="FL44" s="236"/>
      <c r="FM44" s="236"/>
      <c r="FN44" s="236"/>
      <c r="FO44" s="236"/>
      <c r="FP44" s="236"/>
      <c r="FQ44" s="236"/>
      <c r="FR44" s="236"/>
      <c r="FS44" s="236"/>
      <c r="FT44" s="236"/>
      <c r="FU44" s="236"/>
      <c r="FV44" s="236"/>
      <c r="FW44" s="236"/>
      <c r="FX44" s="236"/>
      <c r="FY44" s="236"/>
      <c r="FZ44" s="236"/>
      <c r="GA44" s="236"/>
      <c r="GB44" s="236"/>
      <c r="GC44" s="236"/>
      <c r="GD44" s="236"/>
      <c r="GE44" s="236"/>
      <c r="GF44" s="236"/>
      <c r="GG44" s="236"/>
      <c r="GH44" s="236"/>
      <c r="GI44" s="236"/>
      <c r="GJ44" s="236"/>
      <c r="GK44" s="236"/>
      <c r="GL44" s="236"/>
      <c r="GM44" s="236"/>
      <c r="GN44" s="236"/>
      <c r="GO44" s="236"/>
      <c r="GP44" s="236"/>
      <c r="GQ44" s="236"/>
      <c r="GR44" s="236"/>
      <c r="GS44" s="236"/>
      <c r="GT44" s="236"/>
      <c r="GU44" s="236"/>
      <c r="GV44" s="236"/>
      <c r="GW44" s="236"/>
      <c r="GX44" s="236"/>
      <c r="GY44" s="236"/>
      <c r="GZ44" s="236"/>
      <c r="HA44" s="236"/>
      <c r="HB44" s="236"/>
      <c r="HC44" s="236"/>
      <c r="HD44" s="236"/>
      <c r="HE44" s="236"/>
      <c r="HF44" s="236"/>
      <c r="HG44" s="236"/>
      <c r="HH44" s="236"/>
      <c r="HI44" s="236"/>
      <c r="HJ44" s="236"/>
      <c r="HK44" s="236"/>
      <c r="HL44" s="236"/>
      <c r="HM44" s="236"/>
      <c r="HN44" s="236"/>
      <c r="HO44" s="236"/>
      <c r="HP44" s="236"/>
      <c r="HQ44" s="236"/>
      <c r="HR44" s="236"/>
      <c r="HS44" s="236"/>
      <c r="HT44" s="236"/>
      <c r="HU44" s="236"/>
      <c r="HV44" s="236"/>
      <c r="HW44" s="236"/>
      <c r="HX44" s="236"/>
      <c r="HY44" s="236"/>
      <c r="HZ44" s="236"/>
      <c r="IA44" s="236"/>
      <c r="IB44" s="236"/>
      <c r="IC44" s="236"/>
      <c r="ID44" s="236"/>
      <c r="IE44" s="236"/>
      <c r="IF44" s="236"/>
      <c r="IG44" s="236"/>
      <c r="IH44" s="236"/>
      <c r="II44" s="236"/>
      <c r="IJ44" s="236"/>
      <c r="IK44" s="236"/>
      <c r="IL44" s="236"/>
      <c r="IM44" s="236"/>
      <c r="IN44" s="236"/>
      <c r="IO44" s="236"/>
      <c r="IP44" s="236"/>
      <c r="IQ44" s="236"/>
      <c r="IR44" s="236"/>
      <c r="IS44" s="236"/>
      <c r="IT44" s="236"/>
      <c r="IU44" s="236"/>
      <c r="IV44" s="236"/>
      <c r="IW44" s="236"/>
      <c r="IX44" s="236"/>
      <c r="IY44" s="236"/>
      <c r="IZ44" s="236"/>
      <c r="JA44" s="236"/>
      <c r="JB44" s="236"/>
      <c r="JC44" s="236"/>
      <c r="JD44" s="236"/>
      <c r="JE44" s="236"/>
      <c r="JF44" s="236"/>
      <c r="JG44" s="236"/>
      <c r="JH44" s="236"/>
      <c r="JI44" s="236"/>
      <c r="JJ44" s="236"/>
      <c r="JK44" s="236"/>
      <c r="JL44" s="236"/>
      <c r="JM44" s="236"/>
      <c r="JN44" s="236"/>
      <c r="JO44" s="236"/>
      <c r="JP44" s="236"/>
      <c r="JQ44" s="411"/>
      <c r="JR44" s="411"/>
      <c r="JS44" s="411"/>
      <c r="JT44" s="411"/>
      <c r="JU44" s="411"/>
      <c r="JV44" s="411"/>
      <c r="JW44" s="411"/>
      <c r="KH44" s="412">
        <f t="shared" si="17"/>
        <v>41</v>
      </c>
      <c r="KI44" s="413" t="str">
        <f t="shared" ca="1" si="6"/>
        <v/>
      </c>
      <c r="KJ44" s="413" t="str">
        <f t="shared" ca="1" si="18"/>
        <v/>
      </c>
      <c r="KK44" s="414" t="str">
        <f t="shared" ca="1" si="8"/>
        <v/>
      </c>
    </row>
    <row r="45" spans="3:297" ht="24" customHeight="1">
      <c r="C45"/>
      <c r="D45" s="57" t="str">
        <f ca="1">INDIRECT(ADDRESS(ROWS($D$3:D44)+6,D$3,1,1,"3_TIME SUM"))</f>
        <v>Scheduled Planned Maintenance - that shuts operations down without contractual down time</v>
      </c>
      <c r="E45" s="81" t="str">
        <f ca="1">IF(INDIRECT(ADDRESS(ROWS($E$3:E44)+6,E$3,1,1,"3_TIME SUM"))=0,E44,INDIRECT(ADDRESS(ROWS($E$3:E44)+6,E$3,1,1,"3_TIME SUM")))</f>
        <v>Lubricate Rig</v>
      </c>
      <c r="F45" s="57" t="str">
        <f t="shared" ca="1" si="3"/>
        <v>Lubricate Rig : Scheduled Planned Maintenance - that shuts operations down without contractual down time</v>
      </c>
      <c r="G45" s="58" t="str">
        <f ca="1">VLOOKUP($D45,INDIRECT(ADDRESS(7,5,1,1,"3_TIME SUM")):INDIRECT(ADDRESS(200,7,1,1,"3_TIME SUM")),2,FALSE)</f>
        <v>7b</v>
      </c>
      <c r="H45" s="58" t="str">
        <f ca="1">IF(VLOOKUP($D45,INDIRECT(ADDRESS(7,5,1,1,"3_TIME SUM")):INDIRECT(ADDRESS(200,7,1,1,"3_TIME SUM")),3,FALSE)="","PT",VLOOKUP($D45,INDIRECT(ADDRESS(7,5,1,1,"3_TIME SUM")):INDIRECT(ADDRESS(200,7,1,1,"3_TIME SUM")),3,FALSE))</f>
        <v>PT</v>
      </c>
      <c r="I45" s="59">
        <f ca="1">IFERROR(IF(AND($D$2="NON PRODUCTIVE TIME",$H45="NPT"),SUMIF(INDIRECT(ADDRESS(8,COLUMN('2_DATA'!$M$9),1,1,"2_DATA")):INDIRECT(ADDRESS(3000,COLUMN('2_DATA'!$M$9),1,1,"2_DATA")),$G45,INDIRECT(ADDRESS(8,COLUMN('2_DATA'!$N$9),1,1,"2_DATA")):INDIRECT(ADDRESS(3000,COLUMN('2_DATA'!$N$9),1,1,"2_DATA"))),IF($D$2="ALL ACTIVITY",SUMIF(INDIRECT(ADDRESS(9,COLUMN('2_DATA'!$M$9),1,1,"2_DATA")):INDIRECT(ADDRESS(3000,COLUMN('2_DATA'!$M$9),1,1,"2_DATA")),$G45,INDIRECT(ADDRESS(9,COLUMN('2_DATA'!$N$9),1,1,"2_DATA")):INDIRECT(ADDRESS(3000,COLUMN('2_DATA'!$N$9),1,1,"2_DATA"))),SUMIF(INDIRECT(ADDRESS(OFFSET($A$3,MATCH($D$2,$A$4:$A$16,0)-1,1,,)+1,COLUMN('2_DATA'!$M$9),1,1,"2_DATA")):INDIRECT(ADDRESS(VLOOKUP($D$2,$A$4:$B$16,2,FALSE)-1,COLUMN('2_DATA'!$M$9),1,1,"2_DATA")),$G45,INDIRECT(ADDRESS(OFFSET($A$3,MATCH($D$2,$A$4:$A$16,0)-1,1,,)+1,COLUMN('2_DATA'!$N$9),1,1,"2_DATA")):INDIRECT(ADDRESS(VLOOKUP($D$2,$A$4:$B$16,2,FALSE)-1,COLUMN('2_DATA'!$N$9),1,1,"2_DATA"))))),0)</f>
        <v>0</v>
      </c>
      <c r="J45" s="58" t="str">
        <f ca="1">IF(I45=0,"",MAX($J$3:J44)+1)</f>
        <v/>
      </c>
      <c r="L45" s="55">
        <f t="shared" ca="1" si="0"/>
        <v>1000</v>
      </c>
      <c r="M45" s="55" t="str">
        <f t="shared" ca="1" si="4"/>
        <v/>
      </c>
      <c r="N45" s="55"/>
      <c r="O45" s="55">
        <f t="shared" ca="1" si="10"/>
        <v>1009</v>
      </c>
      <c r="P45" s="55">
        <f t="shared" ca="1" si="1"/>
        <v>10</v>
      </c>
      <c r="Q45" s="55" t="str">
        <f ca="1">IFERROR(INDEX($O$4:$P$226,MATCH(ROWS($Q$3:Q44),$P$4:$P$226,0),1),"-")</f>
        <v>-</v>
      </c>
      <c r="R45" s="62" t="str">
        <f t="shared" ca="1" si="2"/>
        <v/>
      </c>
      <c r="S45" s="55" t="str">
        <f t="shared" ca="1" si="5"/>
        <v/>
      </c>
      <c r="T45" s="67">
        <f t="shared" ca="1" si="19"/>
        <v>1010</v>
      </c>
      <c r="V45" s="68" t="str">
        <f t="shared" ca="1" si="11"/>
        <v/>
      </c>
      <c r="W45" s="69" t="str">
        <f t="shared" ca="1" si="12"/>
        <v/>
      </c>
      <c r="X45" s="70" t="s">
        <v>84</v>
      </c>
      <c r="Y45" s="68" t="str">
        <f t="shared" ca="1" si="16"/>
        <v/>
      </c>
      <c r="Z45" s="71" t="str">
        <f t="shared" ca="1" si="13"/>
        <v/>
      </c>
      <c r="AA45" s="72" t="str">
        <f t="shared" ca="1" si="14"/>
        <v/>
      </c>
      <c r="AB45" s="305" t="str">
        <f t="shared" ca="1" si="15"/>
        <v/>
      </c>
      <c r="AC45" s="236"/>
      <c r="AD45" s="236"/>
      <c r="AE45" s="236"/>
      <c r="AF45" s="236"/>
      <c r="AG45" s="236"/>
      <c r="AH45" s="236"/>
      <c r="AI45" s="236"/>
      <c r="AJ45" s="236"/>
      <c r="AK45" s="236"/>
      <c r="AL45" s="236"/>
      <c r="AM45" s="236"/>
      <c r="AN45" s="236"/>
      <c r="AO45" s="236"/>
      <c r="AP45" s="236"/>
      <c r="AQ45" s="236"/>
      <c r="AR45" s="236"/>
      <c r="AS45" s="236"/>
      <c r="AT45" s="236"/>
      <c r="AU45" s="236"/>
      <c r="AV45" s="236"/>
      <c r="AW45" s="236"/>
      <c r="AX45" s="236"/>
      <c r="AY45" s="236"/>
      <c r="AZ45" s="236"/>
      <c r="BA45" s="236"/>
      <c r="BB45" s="236"/>
      <c r="BC45" s="236"/>
      <c r="BD45" s="236"/>
      <c r="BE45" s="236"/>
      <c r="BF45" s="236"/>
      <c r="BG45" s="236"/>
      <c r="BH45" s="236"/>
      <c r="BI45" s="236"/>
      <c r="BJ45" s="236"/>
      <c r="BK45" s="236"/>
      <c r="BL45" s="236"/>
      <c r="BM45" s="236"/>
      <c r="BN45" s="236"/>
      <c r="BO45" s="236"/>
      <c r="BP45" s="236"/>
      <c r="BQ45" s="236"/>
      <c r="BR45" s="236"/>
      <c r="BS45" s="236"/>
      <c r="BT45" s="236"/>
      <c r="BU45" s="236"/>
      <c r="BV45" s="236"/>
      <c r="BW45" s="236"/>
      <c r="BX45" s="236"/>
      <c r="BY45" s="236"/>
      <c r="BZ45" s="236"/>
      <c r="CA45" s="236"/>
      <c r="CB45" s="236"/>
      <c r="CC45" s="236"/>
      <c r="CD45" s="236"/>
      <c r="CE45" s="236"/>
      <c r="CF45" s="236"/>
      <c r="CG45" s="236"/>
      <c r="CH45" s="236"/>
      <c r="CI45" s="236"/>
      <c r="CJ45" s="236"/>
      <c r="CK45" s="236"/>
      <c r="CL45" s="236"/>
      <c r="CM45" s="236"/>
      <c r="CN45" s="236"/>
      <c r="CO45" s="236"/>
      <c r="CP45" s="236"/>
      <c r="CQ45" s="236"/>
      <c r="CR45" s="236"/>
      <c r="CS45" s="236"/>
      <c r="CT45" s="236"/>
      <c r="CU45" s="236"/>
      <c r="CV45" s="236"/>
      <c r="CW45" s="236"/>
      <c r="CX45" s="236"/>
      <c r="CY45" s="236"/>
      <c r="CZ45" s="236"/>
      <c r="DA45" s="236"/>
      <c r="DB45" s="236"/>
      <c r="DC45" s="236"/>
      <c r="DD45" s="236"/>
      <c r="DE45" s="236"/>
      <c r="DF45" s="236"/>
      <c r="DG45" s="236"/>
      <c r="DH45" s="236"/>
      <c r="DI45" s="236"/>
      <c r="DJ45" s="236"/>
      <c r="DK45" s="236"/>
      <c r="DL45" s="236"/>
      <c r="DM45" s="236"/>
      <c r="DN45" s="236"/>
      <c r="DO45" s="236"/>
      <c r="DP45" s="236"/>
      <c r="DQ45" s="236"/>
      <c r="DR45" s="236"/>
      <c r="DS45" s="236"/>
      <c r="DT45" s="236"/>
      <c r="DU45" s="236"/>
      <c r="DV45" s="236"/>
      <c r="DW45" s="236"/>
      <c r="DX45" s="236"/>
      <c r="DY45" s="236"/>
      <c r="DZ45" s="236"/>
      <c r="EA45" s="236"/>
      <c r="EB45" s="236"/>
      <c r="EC45" s="236"/>
      <c r="ED45" s="236"/>
      <c r="EE45" s="236"/>
      <c r="EF45" s="236"/>
      <c r="EG45" s="236"/>
      <c r="EH45" s="236"/>
      <c r="EI45" s="236"/>
      <c r="EJ45" s="236"/>
      <c r="EK45" s="236"/>
      <c r="EL45" s="236"/>
      <c r="EM45" s="236"/>
      <c r="EN45" s="236"/>
      <c r="EO45" s="236"/>
      <c r="EP45" s="236"/>
      <c r="EQ45" s="236"/>
      <c r="ER45" s="236"/>
      <c r="ES45" s="236"/>
      <c r="ET45" s="236"/>
      <c r="EU45" s="236"/>
      <c r="EV45" s="236"/>
      <c r="EW45" s="236"/>
      <c r="EX45" s="236"/>
      <c r="EY45" s="236"/>
      <c r="EZ45" s="236"/>
      <c r="FA45" s="236"/>
      <c r="FB45" s="236"/>
      <c r="FC45" s="236"/>
      <c r="FD45" s="236"/>
      <c r="FE45" s="236"/>
      <c r="FF45" s="236"/>
      <c r="FG45" s="236"/>
      <c r="FH45" s="236"/>
      <c r="FI45" s="236"/>
      <c r="FJ45" s="236"/>
      <c r="FK45" s="236"/>
      <c r="FL45" s="236"/>
      <c r="FM45" s="236"/>
      <c r="FN45" s="236"/>
      <c r="FO45" s="236"/>
      <c r="FP45" s="236"/>
      <c r="FQ45" s="236"/>
      <c r="FR45" s="236"/>
      <c r="FS45" s="236"/>
      <c r="FT45" s="236"/>
      <c r="FU45" s="236"/>
      <c r="FV45" s="236"/>
      <c r="FW45" s="236"/>
      <c r="FX45" s="236"/>
      <c r="FY45" s="236"/>
      <c r="FZ45" s="236"/>
      <c r="GA45" s="236"/>
      <c r="GB45" s="236"/>
      <c r="GC45" s="236"/>
      <c r="GD45" s="236"/>
      <c r="GE45" s="236"/>
      <c r="GF45" s="236"/>
      <c r="GG45" s="236"/>
      <c r="GH45" s="236"/>
      <c r="GI45" s="236"/>
      <c r="GJ45" s="236"/>
      <c r="GK45" s="236"/>
      <c r="GL45" s="236"/>
      <c r="GM45" s="236"/>
      <c r="GN45" s="236"/>
      <c r="GO45" s="236"/>
      <c r="GP45" s="236"/>
      <c r="GQ45" s="236"/>
      <c r="GR45" s="236"/>
      <c r="GS45" s="236"/>
      <c r="GT45" s="236"/>
      <c r="GU45" s="236"/>
      <c r="GV45" s="236"/>
      <c r="GW45" s="236"/>
      <c r="GX45" s="236"/>
      <c r="GY45" s="236"/>
      <c r="GZ45" s="236"/>
      <c r="HA45" s="236"/>
      <c r="HB45" s="236"/>
      <c r="HC45" s="236"/>
      <c r="HD45" s="236"/>
      <c r="HE45" s="236"/>
      <c r="HF45" s="236"/>
      <c r="HG45" s="236"/>
      <c r="HH45" s="236"/>
      <c r="HI45" s="236"/>
      <c r="HJ45" s="236"/>
      <c r="HK45" s="236"/>
      <c r="HL45" s="236"/>
      <c r="HM45" s="236"/>
      <c r="HN45" s="236"/>
      <c r="HO45" s="236"/>
      <c r="HP45" s="236"/>
      <c r="HQ45" s="236"/>
      <c r="HR45" s="236"/>
      <c r="HS45" s="236"/>
      <c r="HT45" s="236"/>
      <c r="HU45" s="236"/>
      <c r="HV45" s="236"/>
      <c r="HW45" s="236"/>
      <c r="HX45" s="236"/>
      <c r="HY45" s="236"/>
      <c r="HZ45" s="236"/>
      <c r="IA45" s="236"/>
      <c r="IB45" s="236"/>
      <c r="IC45" s="236"/>
      <c r="ID45" s="236"/>
      <c r="IE45" s="236"/>
      <c r="IF45" s="236"/>
      <c r="IG45" s="236"/>
      <c r="IH45" s="236"/>
      <c r="II45" s="236"/>
      <c r="IJ45" s="236"/>
      <c r="IK45" s="236"/>
      <c r="IL45" s="236"/>
      <c r="IM45" s="236"/>
      <c r="IN45" s="236"/>
      <c r="IO45" s="236"/>
      <c r="IP45" s="236"/>
      <c r="IQ45" s="236"/>
      <c r="IR45" s="236"/>
      <c r="IS45" s="236"/>
      <c r="IT45" s="236"/>
      <c r="IU45" s="236"/>
      <c r="IV45" s="236"/>
      <c r="IW45" s="236"/>
      <c r="IX45" s="236"/>
      <c r="IY45" s="236"/>
      <c r="IZ45" s="236"/>
      <c r="JA45" s="236"/>
      <c r="JB45" s="236"/>
      <c r="JC45" s="236"/>
      <c r="JD45" s="236"/>
      <c r="JE45" s="236"/>
      <c r="JF45" s="236"/>
      <c r="JG45" s="236"/>
      <c r="JH45" s="236"/>
      <c r="JI45" s="236"/>
      <c r="JJ45" s="236"/>
      <c r="JK45" s="236"/>
      <c r="JL45" s="236"/>
      <c r="JM45" s="236"/>
      <c r="JN45" s="236"/>
      <c r="JO45" s="236"/>
      <c r="JP45" s="236"/>
      <c r="JQ45" s="411"/>
      <c r="JR45" s="411"/>
      <c r="JS45" s="411"/>
      <c r="JT45" s="411"/>
      <c r="JU45" s="411"/>
      <c r="JV45" s="411"/>
      <c r="JW45" s="411"/>
      <c r="KH45" s="412">
        <f t="shared" si="17"/>
        <v>42</v>
      </c>
      <c r="KI45" s="413" t="str">
        <f t="shared" ca="1" si="6"/>
        <v/>
      </c>
      <c r="KJ45" s="413" t="str">
        <f t="shared" ca="1" si="18"/>
        <v/>
      </c>
      <c r="KK45" s="414" t="str">
        <f t="shared" ca="1" si="8"/>
        <v/>
      </c>
    </row>
    <row r="46" spans="3:297" ht="24" customHeight="1">
      <c r="C46"/>
      <c r="D46" s="57" t="str">
        <f ca="1">INDIRECT(ADDRESS(ROWS($D$3:D45)+6,D$3,1,1,"3_TIME SUM"))</f>
        <v>Repair Power System (NPT)</v>
      </c>
      <c r="E46" s="81" t="str">
        <f ca="1">IF(INDIRECT(ADDRESS(ROWS($E$3:E45)+6,E$3,1,1,"3_TIME SUM"))=0,E45,INDIRECT(ADDRESS(ROWS($E$3:E45)+6,E$3,1,1,"3_TIME SUM")))</f>
        <v>Repair Rig</v>
      </c>
      <c r="F46" s="57" t="str">
        <f t="shared" ca="1" si="3"/>
        <v>Repair Rig : Repair Power System (NPT)</v>
      </c>
      <c r="G46" s="58" t="str">
        <f ca="1">VLOOKUP($D46,INDIRECT(ADDRESS(7,5,1,1,"3_TIME SUM")):INDIRECT(ADDRESS(200,7,1,1,"3_TIME SUM")),2,FALSE)</f>
        <v>8a</v>
      </c>
      <c r="H46" s="58" t="str">
        <f ca="1">IF(VLOOKUP($D46,INDIRECT(ADDRESS(7,5,1,1,"3_TIME SUM")):INDIRECT(ADDRESS(200,7,1,1,"3_TIME SUM")),3,FALSE)="","PT",VLOOKUP($D46,INDIRECT(ADDRESS(7,5,1,1,"3_TIME SUM")):INDIRECT(ADDRESS(200,7,1,1,"3_TIME SUM")),3,FALSE))</f>
        <v>NPT</v>
      </c>
      <c r="I46" s="59">
        <f ca="1">IFERROR(IF(AND($D$2="NON PRODUCTIVE TIME",$H46="NPT"),SUMIF(INDIRECT(ADDRESS(8,COLUMN('2_DATA'!$M$9),1,1,"2_DATA")):INDIRECT(ADDRESS(3000,COLUMN('2_DATA'!$M$9),1,1,"2_DATA")),$G46,INDIRECT(ADDRESS(8,COLUMN('2_DATA'!$N$9),1,1,"2_DATA")):INDIRECT(ADDRESS(3000,COLUMN('2_DATA'!$N$9),1,1,"2_DATA"))),IF($D$2="ALL ACTIVITY",SUMIF(INDIRECT(ADDRESS(9,COLUMN('2_DATA'!$M$9),1,1,"2_DATA")):INDIRECT(ADDRESS(3000,COLUMN('2_DATA'!$M$9),1,1,"2_DATA")),$G46,INDIRECT(ADDRESS(9,COLUMN('2_DATA'!$N$9),1,1,"2_DATA")):INDIRECT(ADDRESS(3000,COLUMN('2_DATA'!$N$9),1,1,"2_DATA"))),SUMIF(INDIRECT(ADDRESS(OFFSET($A$3,MATCH($D$2,$A$4:$A$16,0)-1,1,,)+1,COLUMN('2_DATA'!$M$9),1,1,"2_DATA")):INDIRECT(ADDRESS(VLOOKUP($D$2,$A$4:$B$16,2,FALSE)-1,COLUMN('2_DATA'!$M$9),1,1,"2_DATA")),$G46,INDIRECT(ADDRESS(OFFSET($A$3,MATCH($D$2,$A$4:$A$16,0)-1,1,,)+1,COLUMN('2_DATA'!$N$9),1,1,"2_DATA")):INDIRECT(ADDRESS(VLOOKUP($D$2,$A$4:$B$16,2,FALSE)-1,COLUMN('2_DATA'!$N$9),1,1,"2_DATA"))))),0)</f>
        <v>0</v>
      </c>
      <c r="J46" s="58" t="str">
        <f ca="1">IF(I46=0,"",MAX($J$3:J45)+1)</f>
        <v/>
      </c>
      <c r="L46" s="55">
        <f t="shared" ca="1" si="0"/>
        <v>1000</v>
      </c>
      <c r="M46" s="55" t="str">
        <f t="shared" ca="1" si="4"/>
        <v/>
      </c>
      <c r="N46" s="55"/>
      <c r="O46" s="55">
        <f t="shared" ca="1" si="10"/>
        <v>1010</v>
      </c>
      <c r="P46" s="55">
        <f t="shared" ca="1" si="1"/>
        <v>11</v>
      </c>
      <c r="Q46" s="55" t="str">
        <f ca="1">IFERROR(INDEX($O$4:$P$226,MATCH(ROWS($Q$3:Q45),$P$4:$P$226,0),1),"-")</f>
        <v>-</v>
      </c>
      <c r="R46" s="62" t="str">
        <f t="shared" ca="1" si="2"/>
        <v/>
      </c>
      <c r="S46" s="55" t="str">
        <f t="shared" ca="1" si="5"/>
        <v/>
      </c>
      <c r="T46" s="67">
        <f t="shared" ca="1" si="19"/>
        <v>1011</v>
      </c>
      <c r="V46" s="68" t="str">
        <f t="shared" ca="1" si="11"/>
        <v/>
      </c>
      <c r="W46" s="69" t="str">
        <f t="shared" ca="1" si="12"/>
        <v/>
      </c>
      <c r="X46" s="70" t="s">
        <v>84</v>
      </c>
      <c r="Y46" s="68" t="str">
        <f t="shared" ca="1" si="16"/>
        <v/>
      </c>
      <c r="Z46" s="71" t="str">
        <f t="shared" ca="1" si="13"/>
        <v/>
      </c>
      <c r="AA46" s="72" t="str">
        <f t="shared" ca="1" si="14"/>
        <v/>
      </c>
      <c r="AB46" s="305" t="str">
        <f t="shared" ca="1" si="15"/>
        <v/>
      </c>
      <c r="AC46" s="236"/>
      <c r="AD46" s="236"/>
      <c r="AE46" s="236"/>
      <c r="AF46" s="236"/>
      <c r="AG46" s="236"/>
      <c r="AH46" s="236"/>
      <c r="AI46" s="236"/>
      <c r="AJ46" s="236"/>
      <c r="AK46" s="236"/>
      <c r="AL46" s="236"/>
      <c r="AM46" s="236"/>
      <c r="AN46" s="236"/>
      <c r="AO46" s="236"/>
      <c r="AP46" s="236"/>
      <c r="AQ46" s="236"/>
      <c r="AR46" s="236"/>
      <c r="AS46" s="236"/>
      <c r="AT46" s="236"/>
      <c r="AU46" s="236"/>
      <c r="AV46" s="236"/>
      <c r="AW46" s="236"/>
      <c r="AX46" s="236"/>
      <c r="AY46" s="236"/>
      <c r="AZ46" s="236"/>
      <c r="BA46" s="236"/>
      <c r="BB46" s="236"/>
      <c r="BC46" s="236"/>
      <c r="BD46" s="236"/>
      <c r="BE46" s="236"/>
      <c r="BF46" s="236"/>
      <c r="BG46" s="236"/>
      <c r="BH46" s="236"/>
      <c r="BI46" s="236"/>
      <c r="BJ46" s="236"/>
      <c r="BK46" s="236"/>
      <c r="BL46" s="236"/>
      <c r="BM46" s="236"/>
      <c r="BN46" s="236"/>
      <c r="BO46" s="236"/>
      <c r="BP46" s="236"/>
      <c r="BQ46" s="236"/>
      <c r="BR46" s="236"/>
      <c r="BS46" s="236"/>
      <c r="BT46" s="236"/>
      <c r="BU46" s="236"/>
      <c r="BV46" s="236"/>
      <c r="BW46" s="236"/>
      <c r="BX46" s="236"/>
      <c r="BY46" s="236"/>
      <c r="BZ46" s="236"/>
      <c r="CA46" s="236"/>
      <c r="CB46" s="236"/>
      <c r="CC46" s="236"/>
      <c r="CD46" s="236"/>
      <c r="CE46" s="236"/>
      <c r="CF46" s="236"/>
      <c r="CG46" s="236"/>
      <c r="CH46" s="236"/>
      <c r="CI46" s="236"/>
      <c r="CJ46" s="236"/>
      <c r="CK46" s="236"/>
      <c r="CL46" s="236"/>
      <c r="CM46" s="236"/>
      <c r="CN46" s="236"/>
      <c r="CO46" s="236"/>
      <c r="CP46" s="236"/>
      <c r="CQ46" s="236"/>
      <c r="CR46" s="236"/>
      <c r="CS46" s="236"/>
      <c r="CT46" s="236"/>
      <c r="CU46" s="236"/>
      <c r="CV46" s="236"/>
      <c r="CW46" s="236"/>
      <c r="CX46" s="236"/>
      <c r="CY46" s="236"/>
      <c r="CZ46" s="236"/>
      <c r="DA46" s="236"/>
      <c r="DB46" s="236"/>
      <c r="DC46" s="236"/>
      <c r="DD46" s="236"/>
      <c r="DE46" s="236"/>
      <c r="DF46" s="236"/>
      <c r="DG46" s="236"/>
      <c r="DH46" s="236"/>
      <c r="DI46" s="236"/>
      <c r="DJ46" s="236"/>
      <c r="DK46" s="236"/>
      <c r="DL46" s="236"/>
      <c r="DM46" s="236"/>
      <c r="DN46" s="236"/>
      <c r="DO46" s="236"/>
      <c r="DP46" s="236"/>
      <c r="DQ46" s="236"/>
      <c r="DR46" s="236"/>
      <c r="DS46" s="236"/>
      <c r="DT46" s="236"/>
      <c r="DU46" s="236"/>
      <c r="DV46" s="236"/>
      <c r="DW46" s="236"/>
      <c r="DX46" s="236"/>
      <c r="DY46" s="236"/>
      <c r="DZ46" s="236"/>
      <c r="EA46" s="236"/>
      <c r="EB46" s="236"/>
      <c r="EC46" s="236"/>
      <c r="ED46" s="236"/>
      <c r="EE46" s="236"/>
      <c r="EF46" s="236"/>
      <c r="EG46" s="236"/>
      <c r="EH46" s="236"/>
      <c r="EI46" s="236"/>
      <c r="EJ46" s="236"/>
      <c r="EK46" s="236"/>
      <c r="EL46" s="236"/>
      <c r="EM46" s="236"/>
      <c r="EN46" s="236"/>
      <c r="EO46" s="236"/>
      <c r="EP46" s="236"/>
      <c r="EQ46" s="236"/>
      <c r="ER46" s="236"/>
      <c r="ES46" s="236"/>
      <c r="ET46" s="236"/>
      <c r="EU46" s="236"/>
      <c r="EV46" s="236"/>
      <c r="EW46" s="236"/>
      <c r="EX46" s="236"/>
      <c r="EY46" s="236"/>
      <c r="EZ46" s="236"/>
      <c r="FA46" s="236"/>
      <c r="FB46" s="236"/>
      <c r="FC46" s="236"/>
      <c r="FD46" s="236"/>
      <c r="FE46" s="236"/>
      <c r="FF46" s="236"/>
      <c r="FG46" s="236"/>
      <c r="FH46" s="236"/>
      <c r="FI46" s="236"/>
      <c r="FJ46" s="236"/>
      <c r="FK46" s="236"/>
      <c r="FL46" s="236"/>
      <c r="FM46" s="236"/>
      <c r="FN46" s="236"/>
      <c r="FO46" s="236"/>
      <c r="FP46" s="236"/>
      <c r="FQ46" s="236"/>
      <c r="FR46" s="236"/>
      <c r="FS46" s="236"/>
      <c r="FT46" s="236"/>
      <c r="FU46" s="236"/>
      <c r="FV46" s="236"/>
      <c r="FW46" s="236"/>
      <c r="FX46" s="236"/>
      <c r="FY46" s="236"/>
      <c r="FZ46" s="236"/>
      <c r="GA46" s="236"/>
      <c r="GB46" s="236"/>
      <c r="GC46" s="236"/>
      <c r="GD46" s="236"/>
      <c r="GE46" s="236"/>
      <c r="GF46" s="236"/>
      <c r="GG46" s="236"/>
      <c r="GH46" s="236"/>
      <c r="GI46" s="236"/>
      <c r="GJ46" s="236"/>
      <c r="GK46" s="236"/>
      <c r="GL46" s="236"/>
      <c r="GM46" s="236"/>
      <c r="GN46" s="236"/>
      <c r="GO46" s="236"/>
      <c r="GP46" s="236"/>
      <c r="GQ46" s="236"/>
      <c r="GR46" s="236"/>
      <c r="GS46" s="236"/>
      <c r="GT46" s="236"/>
      <c r="GU46" s="236"/>
      <c r="GV46" s="236"/>
      <c r="GW46" s="236"/>
      <c r="GX46" s="236"/>
      <c r="GY46" s="236"/>
      <c r="GZ46" s="236"/>
      <c r="HA46" s="236"/>
      <c r="HB46" s="236"/>
      <c r="HC46" s="236"/>
      <c r="HD46" s="236"/>
      <c r="HE46" s="236"/>
      <c r="HF46" s="236"/>
      <c r="HG46" s="236"/>
      <c r="HH46" s="236"/>
      <c r="HI46" s="236"/>
      <c r="HJ46" s="236"/>
      <c r="HK46" s="236"/>
      <c r="HL46" s="236"/>
      <c r="HM46" s="236"/>
      <c r="HN46" s="236"/>
      <c r="HO46" s="236"/>
      <c r="HP46" s="236"/>
      <c r="HQ46" s="236"/>
      <c r="HR46" s="236"/>
      <c r="HS46" s="236"/>
      <c r="HT46" s="236"/>
      <c r="HU46" s="236"/>
      <c r="HV46" s="236"/>
      <c r="HW46" s="236"/>
      <c r="HX46" s="236"/>
      <c r="HY46" s="236"/>
      <c r="HZ46" s="236"/>
      <c r="IA46" s="236"/>
      <c r="IB46" s="236"/>
      <c r="IC46" s="236"/>
      <c r="ID46" s="236"/>
      <c r="IE46" s="236"/>
      <c r="IF46" s="236"/>
      <c r="IG46" s="236"/>
      <c r="IH46" s="236"/>
      <c r="II46" s="236"/>
      <c r="IJ46" s="236"/>
      <c r="IK46" s="236"/>
      <c r="IL46" s="236"/>
      <c r="IM46" s="236"/>
      <c r="IN46" s="236"/>
      <c r="IO46" s="236"/>
      <c r="IP46" s="236"/>
      <c r="IQ46" s="236"/>
      <c r="IR46" s="236"/>
      <c r="IS46" s="236"/>
      <c r="IT46" s="236"/>
      <c r="IU46" s="236"/>
      <c r="IV46" s="236"/>
      <c r="IW46" s="236"/>
      <c r="IX46" s="236"/>
      <c r="IY46" s="236"/>
      <c r="IZ46" s="236"/>
      <c r="JA46" s="236"/>
      <c r="JB46" s="236"/>
      <c r="JC46" s="236"/>
      <c r="JD46" s="236"/>
      <c r="JE46" s="236"/>
      <c r="JF46" s="236"/>
      <c r="JG46" s="236"/>
      <c r="JH46" s="236"/>
      <c r="JI46" s="236"/>
      <c r="JJ46" s="236"/>
      <c r="JK46" s="236"/>
      <c r="JL46" s="236"/>
      <c r="JM46" s="236"/>
      <c r="JN46" s="236"/>
      <c r="JO46" s="236"/>
      <c r="JP46" s="236"/>
      <c r="JQ46" s="411"/>
      <c r="JR46" s="411"/>
      <c r="JS46" s="411"/>
      <c r="JT46" s="411"/>
      <c r="JU46" s="411"/>
      <c r="JV46" s="411"/>
      <c r="JW46" s="411"/>
      <c r="KH46" s="412">
        <f t="shared" si="17"/>
        <v>43</v>
      </c>
      <c r="KI46" s="413" t="str">
        <f t="shared" ca="1" si="6"/>
        <v/>
      </c>
      <c r="KJ46" s="413" t="str">
        <f t="shared" ca="1" si="18"/>
        <v/>
      </c>
      <c r="KK46" s="414" t="str">
        <f t="shared" ca="1" si="8"/>
        <v/>
      </c>
    </row>
    <row r="47" spans="3:297" ht="24" customHeight="1">
      <c r="C47"/>
      <c r="D47" s="57" t="str">
        <f ca="1">INDIRECT(ADDRESS(ROWS($D$3:D46)+6,D$3,1,1,"3_TIME SUM"))</f>
        <v>Repair Housting System (NPT)</v>
      </c>
      <c r="E47" s="81" t="str">
        <f ca="1">IF(INDIRECT(ADDRESS(ROWS($E$3:E46)+6,E$3,1,1,"3_TIME SUM"))=0,E46,INDIRECT(ADDRESS(ROWS($E$3:E46)+6,E$3,1,1,"3_TIME SUM")))</f>
        <v>Repair Rig</v>
      </c>
      <c r="F47" s="57" t="str">
        <f t="shared" ca="1" si="3"/>
        <v>Repair Rig : Repair Housting System (NPT)</v>
      </c>
      <c r="G47" s="58" t="str">
        <f ca="1">VLOOKUP($D47,INDIRECT(ADDRESS(7,5,1,1,"3_TIME SUM")):INDIRECT(ADDRESS(200,7,1,1,"3_TIME SUM")),2,FALSE)</f>
        <v>8b</v>
      </c>
      <c r="H47" s="58" t="str">
        <f ca="1">IF(VLOOKUP($D47,INDIRECT(ADDRESS(7,5,1,1,"3_TIME SUM")):INDIRECT(ADDRESS(200,7,1,1,"3_TIME SUM")),3,FALSE)="","PT",VLOOKUP($D47,INDIRECT(ADDRESS(7,5,1,1,"3_TIME SUM")):INDIRECT(ADDRESS(200,7,1,1,"3_TIME SUM")),3,FALSE))</f>
        <v>NPT</v>
      </c>
      <c r="I47" s="59">
        <f ca="1">IFERROR(IF(AND($D$2="NON PRODUCTIVE TIME",$H47="NPT"),SUMIF(INDIRECT(ADDRESS(8,COLUMN('2_DATA'!$M$9),1,1,"2_DATA")):INDIRECT(ADDRESS(3000,COLUMN('2_DATA'!$M$9),1,1,"2_DATA")),$G47,INDIRECT(ADDRESS(8,COLUMN('2_DATA'!$N$9),1,1,"2_DATA")):INDIRECT(ADDRESS(3000,COLUMN('2_DATA'!$N$9),1,1,"2_DATA"))),IF($D$2="ALL ACTIVITY",SUMIF(INDIRECT(ADDRESS(9,COLUMN('2_DATA'!$M$9),1,1,"2_DATA")):INDIRECT(ADDRESS(3000,COLUMN('2_DATA'!$M$9),1,1,"2_DATA")),$G47,INDIRECT(ADDRESS(9,COLUMN('2_DATA'!$N$9),1,1,"2_DATA")):INDIRECT(ADDRESS(3000,COLUMN('2_DATA'!$N$9),1,1,"2_DATA"))),SUMIF(INDIRECT(ADDRESS(OFFSET($A$3,MATCH($D$2,$A$4:$A$16,0)-1,1,,)+1,COLUMN('2_DATA'!$M$9),1,1,"2_DATA")):INDIRECT(ADDRESS(VLOOKUP($D$2,$A$4:$B$16,2,FALSE)-1,COLUMN('2_DATA'!$M$9),1,1,"2_DATA")),$G47,INDIRECT(ADDRESS(OFFSET($A$3,MATCH($D$2,$A$4:$A$16,0)-1,1,,)+1,COLUMN('2_DATA'!$N$9),1,1,"2_DATA")):INDIRECT(ADDRESS(VLOOKUP($D$2,$A$4:$B$16,2,FALSE)-1,COLUMN('2_DATA'!$N$9),1,1,"2_DATA"))))),0)</f>
        <v>0</v>
      </c>
      <c r="J47" s="58" t="str">
        <f ca="1">IF(I47=0,"",MAX($J$3:J46)+1)</f>
        <v/>
      </c>
      <c r="L47" s="55">
        <f t="shared" ca="1" si="0"/>
        <v>1000</v>
      </c>
      <c r="M47" s="55" t="str">
        <f t="shared" ca="1" si="4"/>
        <v/>
      </c>
      <c r="N47" s="55"/>
      <c r="O47" s="55" t="str">
        <f t="shared" ca="1" si="10"/>
        <v/>
      </c>
      <c r="P47" s="55">
        <f t="shared" ca="1" si="1"/>
        <v>0</v>
      </c>
      <c r="Q47" s="55" t="str">
        <f ca="1">IFERROR(INDEX($O$4:$P$226,MATCH(ROWS($Q$3:Q46),$P$4:$P$226,0),1),"-")</f>
        <v>-</v>
      </c>
      <c r="R47" s="62" t="str">
        <f t="shared" ca="1" si="2"/>
        <v/>
      </c>
      <c r="S47" s="55" t="str">
        <f t="shared" ca="1" si="5"/>
        <v/>
      </c>
      <c r="T47" s="67">
        <f t="shared" ca="1" si="19"/>
        <v>1012</v>
      </c>
      <c r="V47" s="68" t="str">
        <f t="shared" ca="1" si="11"/>
        <v/>
      </c>
      <c r="W47" s="69" t="str">
        <f t="shared" ca="1" si="12"/>
        <v/>
      </c>
      <c r="X47" s="70" t="s">
        <v>84</v>
      </c>
      <c r="Y47" s="68" t="str">
        <f t="shared" ca="1" si="16"/>
        <v/>
      </c>
      <c r="Z47" s="71" t="str">
        <f t="shared" ca="1" si="13"/>
        <v/>
      </c>
      <c r="AA47" s="72" t="str">
        <f t="shared" ca="1" si="14"/>
        <v/>
      </c>
      <c r="AB47" s="305" t="str">
        <f t="shared" ca="1" si="15"/>
        <v/>
      </c>
      <c r="AC47" s="236"/>
      <c r="AD47" s="236"/>
      <c r="AE47" s="236"/>
      <c r="AF47" s="236"/>
      <c r="AG47" s="236"/>
      <c r="AH47" s="236"/>
      <c r="AI47" s="236"/>
      <c r="AJ47" s="236"/>
      <c r="AK47" s="236"/>
      <c r="AL47" s="236"/>
      <c r="AM47" s="236"/>
      <c r="AN47" s="236"/>
      <c r="AO47" s="236"/>
      <c r="AP47" s="236"/>
      <c r="AQ47" s="236"/>
      <c r="AR47" s="236"/>
      <c r="AS47" s="236"/>
      <c r="AT47" s="236"/>
      <c r="AU47" s="236"/>
      <c r="AV47" s="236"/>
      <c r="AW47" s="236"/>
      <c r="AX47" s="236"/>
      <c r="AY47" s="236"/>
      <c r="AZ47" s="236"/>
      <c r="BA47" s="236"/>
      <c r="BB47" s="236"/>
      <c r="BC47" s="236"/>
      <c r="BD47" s="236"/>
      <c r="BE47" s="236"/>
      <c r="BF47" s="236"/>
      <c r="BG47" s="236"/>
      <c r="BH47" s="236"/>
      <c r="BI47" s="236"/>
      <c r="BJ47" s="236"/>
      <c r="BK47" s="236"/>
      <c r="BL47" s="236"/>
      <c r="BM47" s="236"/>
      <c r="BN47" s="236"/>
      <c r="BO47" s="236"/>
      <c r="BP47" s="236"/>
      <c r="BQ47" s="236"/>
      <c r="BR47" s="236"/>
      <c r="BS47" s="236"/>
      <c r="BT47" s="236"/>
      <c r="BU47" s="236"/>
      <c r="BV47" s="236"/>
      <c r="BW47" s="236"/>
      <c r="BX47" s="236"/>
      <c r="BY47" s="236"/>
      <c r="BZ47" s="236"/>
      <c r="CA47" s="236"/>
      <c r="CB47" s="236"/>
      <c r="CC47" s="236"/>
      <c r="CD47" s="236"/>
      <c r="CE47" s="236"/>
      <c r="CF47" s="236"/>
      <c r="CG47" s="236"/>
      <c r="CH47" s="236"/>
      <c r="CI47" s="236"/>
      <c r="CJ47" s="236"/>
      <c r="CK47" s="236"/>
      <c r="CL47" s="236"/>
      <c r="CM47" s="236"/>
      <c r="CN47" s="236"/>
      <c r="CO47" s="236"/>
      <c r="CP47" s="236"/>
      <c r="CQ47" s="236"/>
      <c r="CR47" s="236"/>
      <c r="CS47" s="236"/>
      <c r="CT47" s="236"/>
      <c r="CU47" s="236"/>
      <c r="CV47" s="236"/>
      <c r="CW47" s="236"/>
      <c r="CX47" s="236"/>
      <c r="CY47" s="236"/>
      <c r="CZ47" s="236"/>
      <c r="DA47" s="236"/>
      <c r="DB47" s="236"/>
      <c r="DC47" s="236"/>
      <c r="DD47" s="236"/>
      <c r="DE47" s="236"/>
      <c r="DF47" s="236"/>
      <c r="DG47" s="236"/>
      <c r="DH47" s="236"/>
      <c r="DI47" s="236"/>
      <c r="DJ47" s="236"/>
      <c r="DK47" s="236"/>
      <c r="DL47" s="236"/>
      <c r="DM47" s="236"/>
      <c r="DN47" s="236"/>
      <c r="DO47" s="236"/>
      <c r="DP47" s="236"/>
      <c r="DQ47" s="236"/>
      <c r="DR47" s="236"/>
      <c r="DS47" s="236"/>
      <c r="DT47" s="236"/>
      <c r="DU47" s="236"/>
      <c r="DV47" s="236"/>
      <c r="DW47" s="236"/>
      <c r="DX47" s="236"/>
      <c r="DY47" s="236"/>
      <c r="DZ47" s="236"/>
      <c r="EA47" s="236"/>
      <c r="EB47" s="236"/>
      <c r="EC47" s="236"/>
      <c r="ED47" s="236"/>
      <c r="EE47" s="236"/>
      <c r="EF47" s="236"/>
      <c r="EG47" s="236"/>
      <c r="EH47" s="236"/>
      <c r="EI47" s="236"/>
      <c r="EJ47" s="236"/>
      <c r="EK47" s="236"/>
      <c r="EL47" s="236"/>
      <c r="EM47" s="236"/>
      <c r="EN47" s="236"/>
      <c r="EO47" s="236"/>
      <c r="EP47" s="236"/>
      <c r="EQ47" s="236"/>
      <c r="ER47" s="236"/>
      <c r="ES47" s="236"/>
      <c r="ET47" s="236"/>
      <c r="EU47" s="236"/>
      <c r="EV47" s="236"/>
      <c r="EW47" s="236"/>
      <c r="EX47" s="236"/>
      <c r="EY47" s="236"/>
      <c r="EZ47" s="236"/>
      <c r="FA47" s="236"/>
      <c r="FB47" s="236"/>
      <c r="FC47" s="236"/>
      <c r="FD47" s="236"/>
      <c r="FE47" s="236"/>
      <c r="FF47" s="236"/>
      <c r="FG47" s="236"/>
      <c r="FH47" s="236"/>
      <c r="FI47" s="236"/>
      <c r="FJ47" s="236"/>
      <c r="FK47" s="236"/>
      <c r="FL47" s="236"/>
      <c r="FM47" s="236"/>
      <c r="FN47" s="236"/>
      <c r="FO47" s="236"/>
      <c r="FP47" s="236"/>
      <c r="FQ47" s="236"/>
      <c r="FR47" s="236"/>
      <c r="FS47" s="236"/>
      <c r="FT47" s="236"/>
      <c r="FU47" s="236"/>
      <c r="FV47" s="236"/>
      <c r="FW47" s="236"/>
      <c r="FX47" s="236"/>
      <c r="FY47" s="236"/>
      <c r="FZ47" s="236"/>
      <c r="GA47" s="236"/>
      <c r="GB47" s="236"/>
      <c r="GC47" s="236"/>
      <c r="GD47" s="236"/>
      <c r="GE47" s="236"/>
      <c r="GF47" s="236"/>
      <c r="GG47" s="236"/>
      <c r="GH47" s="236"/>
      <c r="GI47" s="236"/>
      <c r="GJ47" s="236"/>
      <c r="GK47" s="236"/>
      <c r="GL47" s="236"/>
      <c r="GM47" s="236"/>
      <c r="GN47" s="236"/>
      <c r="GO47" s="236"/>
      <c r="GP47" s="236"/>
      <c r="GQ47" s="236"/>
      <c r="GR47" s="236"/>
      <c r="GS47" s="236"/>
      <c r="GT47" s="236"/>
      <c r="GU47" s="236"/>
      <c r="GV47" s="236"/>
      <c r="GW47" s="236"/>
      <c r="GX47" s="236"/>
      <c r="GY47" s="236"/>
      <c r="GZ47" s="236"/>
      <c r="HA47" s="236"/>
      <c r="HB47" s="236"/>
      <c r="HC47" s="236"/>
      <c r="HD47" s="236"/>
      <c r="HE47" s="236"/>
      <c r="HF47" s="236"/>
      <c r="HG47" s="236"/>
      <c r="HH47" s="236"/>
      <c r="HI47" s="236"/>
      <c r="HJ47" s="236"/>
      <c r="HK47" s="236"/>
      <c r="HL47" s="236"/>
      <c r="HM47" s="236"/>
      <c r="HN47" s="236"/>
      <c r="HO47" s="236"/>
      <c r="HP47" s="236"/>
      <c r="HQ47" s="236"/>
      <c r="HR47" s="236"/>
      <c r="HS47" s="236"/>
      <c r="HT47" s="236"/>
      <c r="HU47" s="236"/>
      <c r="HV47" s="236"/>
      <c r="HW47" s="236"/>
      <c r="HX47" s="236"/>
      <c r="HY47" s="236"/>
      <c r="HZ47" s="236"/>
      <c r="IA47" s="236"/>
      <c r="IB47" s="236"/>
      <c r="IC47" s="236"/>
      <c r="ID47" s="236"/>
      <c r="IE47" s="236"/>
      <c r="IF47" s="236"/>
      <c r="IG47" s="236"/>
      <c r="IH47" s="236"/>
      <c r="II47" s="236"/>
      <c r="IJ47" s="236"/>
      <c r="IK47" s="236"/>
      <c r="IL47" s="236"/>
      <c r="IM47" s="236"/>
      <c r="IN47" s="236"/>
      <c r="IO47" s="236"/>
      <c r="IP47" s="236"/>
      <c r="IQ47" s="236"/>
      <c r="IR47" s="236"/>
      <c r="IS47" s="236"/>
      <c r="IT47" s="236"/>
      <c r="IU47" s="236"/>
      <c r="IV47" s="236"/>
      <c r="IW47" s="236"/>
      <c r="IX47" s="236"/>
      <c r="IY47" s="236"/>
      <c r="IZ47" s="236"/>
      <c r="JA47" s="236"/>
      <c r="JB47" s="236"/>
      <c r="JC47" s="236"/>
      <c r="JD47" s="236"/>
      <c r="JE47" s="236"/>
      <c r="JF47" s="236"/>
      <c r="JG47" s="236"/>
      <c r="JH47" s="236"/>
      <c r="JI47" s="236"/>
      <c r="JJ47" s="236"/>
      <c r="JK47" s="236"/>
      <c r="JL47" s="236"/>
      <c r="JM47" s="236"/>
      <c r="JN47" s="236"/>
      <c r="JO47" s="236"/>
      <c r="JP47" s="236"/>
      <c r="JQ47" s="411"/>
      <c r="JR47" s="411"/>
      <c r="JS47" s="411"/>
      <c r="JT47" s="411"/>
      <c r="JU47" s="411"/>
      <c r="JV47" s="411"/>
      <c r="JW47" s="411"/>
      <c r="KH47" s="412">
        <f t="shared" si="17"/>
        <v>44</v>
      </c>
      <c r="KI47" s="413" t="str">
        <f t="shared" ca="1" si="6"/>
        <v/>
      </c>
      <c r="KJ47" s="413" t="str">
        <f t="shared" ca="1" si="18"/>
        <v/>
      </c>
      <c r="KK47" s="414" t="str">
        <f t="shared" ca="1" si="8"/>
        <v/>
      </c>
    </row>
    <row r="48" spans="3:297" ht="24" customHeight="1">
      <c r="C48"/>
      <c r="D48" s="57" t="str">
        <f ca="1">INDIRECT(ADDRESS(ROWS($D$3:D47)+6,D$3,1,1,"3_TIME SUM"))</f>
        <v>Repair Cirulating System (NPT)</v>
      </c>
      <c r="E48" s="81" t="str">
        <f ca="1">IF(INDIRECT(ADDRESS(ROWS($E$3:E47)+6,E$3,1,1,"3_TIME SUM"))=0,E47,INDIRECT(ADDRESS(ROWS($E$3:E47)+6,E$3,1,1,"3_TIME SUM")))</f>
        <v>Repair Rig</v>
      </c>
      <c r="F48" s="57" t="str">
        <f t="shared" ca="1" si="3"/>
        <v>Repair Rig : Repair Cirulating System (NPT)</v>
      </c>
      <c r="G48" s="58" t="str">
        <f ca="1">VLOOKUP($D48,INDIRECT(ADDRESS(7,5,1,1,"3_TIME SUM")):INDIRECT(ADDRESS(200,7,1,1,"3_TIME SUM")),2,FALSE)</f>
        <v>8c</v>
      </c>
      <c r="H48" s="58" t="str">
        <f ca="1">IF(VLOOKUP($D48,INDIRECT(ADDRESS(7,5,1,1,"3_TIME SUM")):INDIRECT(ADDRESS(200,7,1,1,"3_TIME SUM")),3,FALSE)="","PT",VLOOKUP($D48,INDIRECT(ADDRESS(7,5,1,1,"3_TIME SUM")):INDIRECT(ADDRESS(200,7,1,1,"3_TIME SUM")),3,FALSE))</f>
        <v>NPT</v>
      </c>
      <c r="I48" s="59">
        <f ca="1">IFERROR(IF(AND($D$2="NON PRODUCTIVE TIME",$H48="NPT"),SUMIF(INDIRECT(ADDRESS(8,COLUMN('2_DATA'!$M$9),1,1,"2_DATA")):INDIRECT(ADDRESS(3000,COLUMN('2_DATA'!$M$9),1,1,"2_DATA")),$G48,INDIRECT(ADDRESS(8,COLUMN('2_DATA'!$N$9),1,1,"2_DATA")):INDIRECT(ADDRESS(3000,COLUMN('2_DATA'!$N$9),1,1,"2_DATA"))),IF($D$2="ALL ACTIVITY",SUMIF(INDIRECT(ADDRESS(9,COLUMN('2_DATA'!$M$9),1,1,"2_DATA")):INDIRECT(ADDRESS(3000,COLUMN('2_DATA'!$M$9),1,1,"2_DATA")),$G48,INDIRECT(ADDRESS(9,COLUMN('2_DATA'!$N$9),1,1,"2_DATA")):INDIRECT(ADDRESS(3000,COLUMN('2_DATA'!$N$9),1,1,"2_DATA"))),SUMIF(INDIRECT(ADDRESS(OFFSET($A$3,MATCH($D$2,$A$4:$A$16,0)-1,1,,)+1,COLUMN('2_DATA'!$M$9),1,1,"2_DATA")):INDIRECT(ADDRESS(VLOOKUP($D$2,$A$4:$B$16,2,FALSE)-1,COLUMN('2_DATA'!$M$9),1,1,"2_DATA")),$G48,INDIRECT(ADDRESS(OFFSET($A$3,MATCH($D$2,$A$4:$A$16,0)-1,1,,)+1,COLUMN('2_DATA'!$N$9),1,1,"2_DATA")):INDIRECT(ADDRESS(VLOOKUP($D$2,$A$4:$B$16,2,FALSE)-1,COLUMN('2_DATA'!$N$9),1,1,"2_DATA"))))),0)</f>
        <v>0</v>
      </c>
      <c r="J48" s="58" t="str">
        <f ca="1">IF(I48=0,"",MAX($J$3:J47)+1)</f>
        <v/>
      </c>
      <c r="L48" s="55">
        <f t="shared" ca="1" si="0"/>
        <v>1000</v>
      </c>
      <c r="M48" s="55" t="str">
        <f t="shared" ca="1" si="4"/>
        <v/>
      </c>
      <c r="N48" s="55"/>
      <c r="O48" s="55" t="str">
        <f t="shared" ca="1" si="10"/>
        <v/>
      </c>
      <c r="P48" s="55">
        <f t="shared" ca="1" si="1"/>
        <v>0</v>
      </c>
      <c r="Q48" s="55" t="str">
        <f ca="1">IFERROR(INDEX($O$4:$P$226,MATCH(ROWS($Q$3:Q47),$P$4:$P$226,0),1),"-")</f>
        <v>-</v>
      </c>
      <c r="R48" s="62" t="str">
        <f t="shared" ca="1" si="2"/>
        <v/>
      </c>
      <c r="S48" s="55" t="str">
        <f t="shared" ca="1" si="5"/>
        <v/>
      </c>
      <c r="T48" s="67">
        <f t="shared" ca="1" si="19"/>
        <v>1013</v>
      </c>
      <c r="V48" s="68" t="str">
        <f t="shared" ca="1" si="11"/>
        <v/>
      </c>
      <c r="W48" s="69" t="str">
        <f t="shared" ca="1" si="12"/>
        <v/>
      </c>
      <c r="X48" s="70" t="s">
        <v>84</v>
      </c>
      <c r="Y48" s="68" t="str">
        <f t="shared" ca="1" si="16"/>
        <v/>
      </c>
      <c r="Z48" s="71" t="str">
        <f t="shared" ca="1" si="13"/>
        <v/>
      </c>
      <c r="AA48" s="72" t="str">
        <f t="shared" ca="1" si="14"/>
        <v/>
      </c>
      <c r="AB48" s="305" t="str">
        <f t="shared" ca="1" si="15"/>
        <v/>
      </c>
      <c r="AC48" s="236"/>
      <c r="AD48" s="236"/>
      <c r="AE48" s="236"/>
      <c r="AF48" s="236"/>
      <c r="AG48" s="236"/>
      <c r="AH48" s="236"/>
      <c r="AI48" s="236"/>
      <c r="AJ48" s="236"/>
      <c r="AK48" s="236"/>
      <c r="AL48" s="236"/>
      <c r="AM48" s="236"/>
      <c r="AN48" s="236"/>
      <c r="AO48" s="236"/>
      <c r="AP48" s="236"/>
      <c r="AQ48" s="236"/>
      <c r="AR48" s="236"/>
      <c r="AS48" s="236"/>
      <c r="AT48" s="236"/>
      <c r="AU48" s="236"/>
      <c r="AV48" s="236"/>
      <c r="AW48" s="236"/>
      <c r="AX48" s="236"/>
      <c r="AY48" s="236"/>
      <c r="AZ48" s="236"/>
      <c r="BA48" s="236"/>
      <c r="BB48" s="236"/>
      <c r="BC48" s="236"/>
      <c r="BD48" s="236"/>
      <c r="BE48" s="236"/>
      <c r="BF48" s="236"/>
      <c r="BG48" s="236"/>
      <c r="BH48" s="236"/>
      <c r="BI48" s="236"/>
      <c r="BJ48" s="236"/>
      <c r="BK48" s="236"/>
      <c r="BL48" s="236"/>
      <c r="BM48" s="236"/>
      <c r="BN48" s="236"/>
      <c r="BO48" s="236"/>
      <c r="BP48" s="236"/>
      <c r="BQ48" s="236"/>
      <c r="BR48" s="236"/>
      <c r="BS48" s="236"/>
      <c r="BT48" s="236"/>
      <c r="BU48" s="236"/>
      <c r="BV48" s="236"/>
      <c r="BW48" s="236"/>
      <c r="BX48" s="236"/>
      <c r="BY48" s="236"/>
      <c r="BZ48" s="236"/>
      <c r="CA48" s="236"/>
      <c r="CB48" s="236"/>
      <c r="CC48" s="236"/>
      <c r="CD48" s="236"/>
      <c r="CE48" s="236"/>
      <c r="CF48" s="236"/>
      <c r="CG48" s="236"/>
      <c r="CH48" s="236"/>
      <c r="CI48" s="236"/>
      <c r="CJ48" s="236"/>
      <c r="CK48" s="236"/>
      <c r="CL48" s="236"/>
      <c r="CM48" s="236"/>
      <c r="CN48" s="236"/>
      <c r="CO48" s="236"/>
      <c r="CP48" s="236"/>
      <c r="CQ48" s="236"/>
      <c r="CR48" s="236"/>
      <c r="CS48" s="236"/>
      <c r="CT48" s="236"/>
      <c r="CU48" s="236"/>
      <c r="CV48" s="236"/>
      <c r="CW48" s="236"/>
      <c r="CX48" s="236"/>
      <c r="CY48" s="236"/>
      <c r="CZ48" s="236"/>
      <c r="DA48" s="236"/>
      <c r="DB48" s="236"/>
      <c r="DC48" s="236"/>
      <c r="DD48" s="236"/>
      <c r="DE48" s="236"/>
      <c r="DF48" s="236"/>
      <c r="DG48" s="236"/>
      <c r="DH48" s="236"/>
      <c r="DI48" s="236"/>
      <c r="DJ48" s="236"/>
      <c r="DK48" s="236"/>
      <c r="DL48" s="236"/>
      <c r="DM48" s="236"/>
      <c r="DN48" s="236"/>
      <c r="DO48" s="236"/>
      <c r="DP48" s="236"/>
      <c r="DQ48" s="236"/>
      <c r="DR48" s="236"/>
      <c r="DS48" s="236"/>
      <c r="DT48" s="236"/>
      <c r="DU48" s="236"/>
      <c r="DV48" s="236"/>
      <c r="DW48" s="236"/>
      <c r="DX48" s="236"/>
      <c r="DY48" s="236"/>
      <c r="DZ48" s="236"/>
      <c r="EA48" s="236"/>
      <c r="EB48" s="236"/>
      <c r="EC48" s="236"/>
      <c r="ED48" s="236"/>
      <c r="EE48" s="236"/>
      <c r="EF48" s="236"/>
      <c r="EG48" s="236"/>
      <c r="EH48" s="236"/>
      <c r="EI48" s="236"/>
      <c r="EJ48" s="236"/>
      <c r="EK48" s="236"/>
      <c r="EL48" s="236"/>
      <c r="EM48" s="236"/>
      <c r="EN48" s="236"/>
      <c r="EO48" s="236"/>
      <c r="EP48" s="236"/>
      <c r="EQ48" s="236"/>
      <c r="ER48" s="236"/>
      <c r="ES48" s="236"/>
      <c r="ET48" s="236"/>
      <c r="EU48" s="236"/>
      <c r="EV48" s="236"/>
      <c r="EW48" s="236"/>
      <c r="EX48" s="236"/>
      <c r="EY48" s="236"/>
      <c r="EZ48" s="236"/>
      <c r="FA48" s="236"/>
      <c r="FB48" s="236"/>
      <c r="FC48" s="236"/>
      <c r="FD48" s="236"/>
      <c r="FE48" s="236"/>
      <c r="FF48" s="236"/>
      <c r="FG48" s="236"/>
      <c r="FH48" s="236"/>
      <c r="FI48" s="236"/>
      <c r="FJ48" s="236"/>
      <c r="FK48" s="236"/>
      <c r="FL48" s="236"/>
      <c r="FM48" s="236"/>
      <c r="FN48" s="236"/>
      <c r="FO48" s="236"/>
      <c r="FP48" s="236"/>
      <c r="FQ48" s="236"/>
      <c r="FR48" s="236"/>
      <c r="FS48" s="236"/>
      <c r="FT48" s="236"/>
      <c r="FU48" s="236"/>
      <c r="FV48" s="236"/>
      <c r="FW48" s="236"/>
      <c r="FX48" s="236"/>
      <c r="FY48" s="236"/>
      <c r="FZ48" s="236"/>
      <c r="GA48" s="236"/>
      <c r="GB48" s="236"/>
      <c r="GC48" s="236"/>
      <c r="GD48" s="236"/>
      <c r="GE48" s="236"/>
      <c r="GF48" s="236"/>
      <c r="GG48" s="236"/>
      <c r="GH48" s="236"/>
      <c r="GI48" s="236"/>
      <c r="GJ48" s="236"/>
      <c r="GK48" s="236"/>
      <c r="GL48" s="236"/>
      <c r="GM48" s="236"/>
      <c r="GN48" s="236"/>
      <c r="GO48" s="236"/>
      <c r="GP48" s="236"/>
      <c r="GQ48" s="236"/>
      <c r="GR48" s="236"/>
      <c r="GS48" s="236"/>
      <c r="GT48" s="236"/>
      <c r="GU48" s="236"/>
      <c r="GV48" s="236"/>
      <c r="GW48" s="236"/>
      <c r="GX48" s="236"/>
      <c r="GY48" s="236"/>
      <c r="GZ48" s="236"/>
      <c r="HA48" s="236"/>
      <c r="HB48" s="236"/>
      <c r="HC48" s="236"/>
      <c r="HD48" s="236"/>
      <c r="HE48" s="236"/>
      <c r="HF48" s="236"/>
      <c r="HG48" s="236"/>
      <c r="HH48" s="236"/>
      <c r="HI48" s="236"/>
      <c r="HJ48" s="236"/>
      <c r="HK48" s="236"/>
      <c r="HL48" s="236"/>
      <c r="HM48" s="236"/>
      <c r="HN48" s="236"/>
      <c r="HO48" s="236"/>
      <c r="HP48" s="236"/>
      <c r="HQ48" s="236"/>
      <c r="HR48" s="236"/>
      <c r="HS48" s="236"/>
      <c r="HT48" s="236"/>
      <c r="HU48" s="236"/>
      <c r="HV48" s="236"/>
      <c r="HW48" s="236"/>
      <c r="HX48" s="236"/>
      <c r="HY48" s="236"/>
      <c r="HZ48" s="236"/>
      <c r="IA48" s="236"/>
      <c r="IB48" s="236"/>
      <c r="IC48" s="236"/>
      <c r="ID48" s="236"/>
      <c r="IE48" s="236"/>
      <c r="IF48" s="236"/>
      <c r="IG48" s="236"/>
      <c r="IH48" s="236"/>
      <c r="II48" s="236"/>
      <c r="IJ48" s="236"/>
      <c r="IK48" s="236"/>
      <c r="IL48" s="236"/>
      <c r="IM48" s="236"/>
      <c r="IN48" s="236"/>
      <c r="IO48" s="236"/>
      <c r="IP48" s="236"/>
      <c r="IQ48" s="236"/>
      <c r="IR48" s="236"/>
      <c r="IS48" s="236"/>
      <c r="IT48" s="236"/>
      <c r="IU48" s="236"/>
      <c r="IV48" s="236"/>
      <c r="IW48" s="236"/>
      <c r="IX48" s="236"/>
      <c r="IY48" s="236"/>
      <c r="IZ48" s="236"/>
      <c r="JA48" s="236"/>
      <c r="JB48" s="236"/>
      <c r="JC48" s="236"/>
      <c r="JD48" s="236"/>
      <c r="JE48" s="236"/>
      <c r="JF48" s="236"/>
      <c r="JG48" s="236"/>
      <c r="JH48" s="236"/>
      <c r="JI48" s="236"/>
      <c r="JJ48" s="236"/>
      <c r="JK48" s="236"/>
      <c r="JL48" s="236"/>
      <c r="JM48" s="236"/>
      <c r="JN48" s="236"/>
      <c r="JO48" s="236"/>
      <c r="JP48" s="236"/>
      <c r="JQ48" s="411"/>
      <c r="JR48" s="411"/>
      <c r="JS48" s="411"/>
      <c r="JT48" s="411"/>
      <c r="JU48" s="411"/>
      <c r="JV48" s="411"/>
      <c r="JW48" s="411"/>
      <c r="KH48" s="412">
        <f t="shared" si="17"/>
        <v>45</v>
      </c>
      <c r="KI48" s="413" t="str">
        <f t="shared" ca="1" si="6"/>
        <v/>
      </c>
      <c r="KJ48" s="413" t="str">
        <f t="shared" ca="1" si="18"/>
        <v/>
      </c>
      <c r="KK48" s="414" t="str">
        <f t="shared" ca="1" si="8"/>
        <v/>
      </c>
    </row>
    <row r="49" spans="3:297" ht="24" customHeight="1">
      <c r="C49"/>
      <c r="D49" s="57" t="str">
        <f ca="1">INDIRECT(ADDRESS(ROWS($D$3:D48)+6,D$3,1,1,"3_TIME SUM"))</f>
        <v>Repair Rotating System (NPT)</v>
      </c>
      <c r="E49" s="81" t="str">
        <f ca="1">IF(INDIRECT(ADDRESS(ROWS($E$3:E48)+6,E$3,1,1,"3_TIME SUM"))=0,E48,INDIRECT(ADDRESS(ROWS($E$3:E48)+6,E$3,1,1,"3_TIME SUM")))</f>
        <v>Repair Rig</v>
      </c>
      <c r="F49" s="57" t="str">
        <f t="shared" ca="1" si="3"/>
        <v>Repair Rig : Repair Rotating System (NPT)</v>
      </c>
      <c r="G49" s="58" t="str">
        <f ca="1">VLOOKUP($D49,INDIRECT(ADDRESS(7,5,1,1,"3_TIME SUM")):INDIRECT(ADDRESS(200,7,1,1,"3_TIME SUM")),2,FALSE)</f>
        <v>8d</v>
      </c>
      <c r="H49" s="58" t="str">
        <f ca="1">IF(VLOOKUP($D49,INDIRECT(ADDRESS(7,5,1,1,"3_TIME SUM")):INDIRECT(ADDRESS(200,7,1,1,"3_TIME SUM")),3,FALSE)="","PT",VLOOKUP($D49,INDIRECT(ADDRESS(7,5,1,1,"3_TIME SUM")):INDIRECT(ADDRESS(200,7,1,1,"3_TIME SUM")),3,FALSE))</f>
        <v>NPT</v>
      </c>
      <c r="I49" s="59">
        <f ca="1">IFERROR(IF(AND($D$2="NON PRODUCTIVE TIME",$H49="NPT"),SUMIF(INDIRECT(ADDRESS(8,COLUMN('2_DATA'!$M$9),1,1,"2_DATA")):INDIRECT(ADDRESS(3000,COLUMN('2_DATA'!$M$9),1,1,"2_DATA")),$G49,INDIRECT(ADDRESS(8,COLUMN('2_DATA'!$N$9),1,1,"2_DATA")):INDIRECT(ADDRESS(3000,COLUMN('2_DATA'!$N$9),1,1,"2_DATA"))),IF($D$2="ALL ACTIVITY",SUMIF(INDIRECT(ADDRESS(9,COLUMN('2_DATA'!$M$9),1,1,"2_DATA")):INDIRECT(ADDRESS(3000,COLUMN('2_DATA'!$M$9),1,1,"2_DATA")),$G49,INDIRECT(ADDRESS(9,COLUMN('2_DATA'!$N$9),1,1,"2_DATA")):INDIRECT(ADDRESS(3000,COLUMN('2_DATA'!$N$9),1,1,"2_DATA"))),SUMIF(INDIRECT(ADDRESS(OFFSET($A$3,MATCH($D$2,$A$4:$A$16,0)-1,1,,)+1,COLUMN('2_DATA'!$M$9),1,1,"2_DATA")):INDIRECT(ADDRESS(VLOOKUP($D$2,$A$4:$B$16,2,FALSE)-1,COLUMN('2_DATA'!$M$9),1,1,"2_DATA")),$G49,INDIRECT(ADDRESS(OFFSET($A$3,MATCH($D$2,$A$4:$A$16,0)-1,1,,)+1,COLUMN('2_DATA'!$N$9),1,1,"2_DATA")):INDIRECT(ADDRESS(VLOOKUP($D$2,$A$4:$B$16,2,FALSE)-1,COLUMN('2_DATA'!$N$9),1,1,"2_DATA"))))),0)</f>
        <v>3.5</v>
      </c>
      <c r="J49" s="58">
        <f ca="1">IF(I49=0,"",MAX($J$3:J48)+1)</f>
        <v>11</v>
      </c>
      <c r="L49" s="55">
        <f t="shared" ca="1" si="0"/>
        <v>1000</v>
      </c>
      <c r="M49" s="55">
        <f t="shared" ca="1" si="4"/>
        <v>1011</v>
      </c>
      <c r="N49" s="55"/>
      <c r="O49" s="55" t="str">
        <f t="shared" ca="1" si="10"/>
        <v/>
      </c>
      <c r="P49" s="55">
        <f t="shared" ca="1" si="1"/>
        <v>0</v>
      </c>
      <c r="Q49" s="55" t="str">
        <f ca="1">IFERROR(INDEX($O$4:$P$226,MATCH(ROWS($Q$3:Q48),$P$4:$P$226,0),1),"-")</f>
        <v>-</v>
      </c>
      <c r="R49" s="62" t="str">
        <f t="shared" ca="1" si="2"/>
        <v/>
      </c>
      <c r="S49" s="55" t="str">
        <f t="shared" ca="1" si="5"/>
        <v/>
      </c>
      <c r="T49" s="67">
        <f t="shared" ca="1" si="19"/>
        <v>1014</v>
      </c>
      <c r="V49" s="68" t="str">
        <f t="shared" ca="1" si="11"/>
        <v/>
      </c>
      <c r="W49" s="69" t="str">
        <f t="shared" ca="1" si="12"/>
        <v/>
      </c>
      <c r="X49" s="70" t="s">
        <v>84</v>
      </c>
      <c r="Y49" s="68" t="str">
        <f t="shared" ca="1" si="16"/>
        <v/>
      </c>
      <c r="Z49" s="71" t="str">
        <f t="shared" ca="1" si="13"/>
        <v/>
      </c>
      <c r="AA49" s="72" t="str">
        <f t="shared" ca="1" si="14"/>
        <v/>
      </c>
      <c r="AB49" s="305" t="str">
        <f t="shared" ca="1" si="15"/>
        <v/>
      </c>
      <c r="AC49" s="236"/>
      <c r="AD49" s="236"/>
      <c r="AE49" s="236"/>
      <c r="AF49" s="236"/>
      <c r="AG49" s="236"/>
      <c r="AH49" s="236"/>
      <c r="AI49" s="236"/>
      <c r="AJ49" s="236"/>
      <c r="AK49" s="236"/>
      <c r="AL49" s="236"/>
      <c r="AM49" s="236"/>
      <c r="AN49" s="236"/>
      <c r="AO49" s="236"/>
      <c r="AP49" s="236"/>
      <c r="AQ49" s="236"/>
      <c r="AR49" s="236"/>
      <c r="AS49" s="236"/>
      <c r="AT49" s="236"/>
      <c r="AU49" s="236"/>
      <c r="AV49" s="236"/>
      <c r="AW49" s="236"/>
      <c r="AX49" s="236"/>
      <c r="AY49" s="236"/>
      <c r="AZ49" s="236"/>
      <c r="BA49" s="236"/>
      <c r="BB49" s="236"/>
      <c r="BC49" s="236"/>
      <c r="BD49" s="236"/>
      <c r="BE49" s="236"/>
      <c r="BF49" s="236"/>
      <c r="BG49" s="236"/>
      <c r="BH49" s="236"/>
      <c r="BI49" s="236"/>
      <c r="BJ49" s="236"/>
      <c r="BK49" s="236"/>
      <c r="BL49" s="236"/>
      <c r="BM49" s="236"/>
      <c r="BN49" s="236"/>
      <c r="BO49" s="236"/>
      <c r="BP49" s="236"/>
      <c r="BQ49" s="236"/>
      <c r="BR49" s="236"/>
      <c r="BS49" s="236"/>
      <c r="BT49" s="236"/>
      <c r="BU49" s="236"/>
      <c r="BV49" s="236"/>
      <c r="BW49" s="236"/>
      <c r="BX49" s="236"/>
      <c r="BY49" s="236"/>
      <c r="BZ49" s="236"/>
      <c r="CA49" s="236"/>
      <c r="CB49" s="236"/>
      <c r="CC49" s="236"/>
      <c r="CD49" s="236"/>
      <c r="CE49" s="236"/>
      <c r="CF49" s="236"/>
      <c r="CG49" s="236"/>
      <c r="CH49" s="236"/>
      <c r="CI49" s="236"/>
      <c r="CJ49" s="236"/>
      <c r="CK49" s="236"/>
      <c r="CL49" s="236"/>
      <c r="CM49" s="236"/>
      <c r="CN49" s="236"/>
      <c r="CO49" s="236"/>
      <c r="CP49" s="236"/>
      <c r="CQ49" s="236"/>
      <c r="CR49" s="236"/>
      <c r="CS49" s="236"/>
      <c r="CT49" s="236"/>
      <c r="CU49" s="236"/>
      <c r="CV49" s="236"/>
      <c r="CW49" s="236"/>
      <c r="CX49" s="236"/>
      <c r="CY49" s="236"/>
      <c r="CZ49" s="236"/>
      <c r="DA49" s="236"/>
      <c r="DB49" s="236"/>
      <c r="DC49" s="236"/>
      <c r="DD49" s="236"/>
      <c r="DE49" s="236"/>
      <c r="DF49" s="236"/>
      <c r="DG49" s="236"/>
      <c r="DH49" s="236"/>
      <c r="DI49" s="236"/>
      <c r="DJ49" s="236"/>
      <c r="DK49" s="236"/>
      <c r="DL49" s="236"/>
      <c r="DM49" s="236"/>
      <c r="DN49" s="236"/>
      <c r="DO49" s="236"/>
      <c r="DP49" s="236"/>
      <c r="DQ49" s="236"/>
      <c r="DR49" s="236"/>
      <c r="DS49" s="236"/>
      <c r="DT49" s="236"/>
      <c r="DU49" s="236"/>
      <c r="DV49" s="236"/>
      <c r="DW49" s="236"/>
      <c r="DX49" s="236"/>
      <c r="DY49" s="236"/>
      <c r="DZ49" s="236"/>
      <c r="EA49" s="236"/>
      <c r="EB49" s="236"/>
      <c r="EC49" s="236"/>
      <c r="ED49" s="236"/>
      <c r="EE49" s="236"/>
      <c r="EF49" s="236"/>
      <c r="EG49" s="236"/>
      <c r="EH49" s="236"/>
      <c r="EI49" s="236"/>
      <c r="EJ49" s="236"/>
      <c r="EK49" s="236"/>
      <c r="EL49" s="236"/>
      <c r="EM49" s="236"/>
      <c r="EN49" s="236"/>
      <c r="EO49" s="236"/>
      <c r="EP49" s="236"/>
      <c r="EQ49" s="236"/>
      <c r="ER49" s="236"/>
      <c r="ES49" s="236"/>
      <c r="ET49" s="236"/>
      <c r="EU49" s="236"/>
      <c r="EV49" s="236"/>
      <c r="EW49" s="236"/>
      <c r="EX49" s="236"/>
      <c r="EY49" s="236"/>
      <c r="EZ49" s="236"/>
      <c r="FA49" s="236"/>
      <c r="FB49" s="236"/>
      <c r="FC49" s="236"/>
      <c r="FD49" s="236"/>
      <c r="FE49" s="236"/>
      <c r="FF49" s="236"/>
      <c r="FG49" s="236"/>
      <c r="FH49" s="236"/>
      <c r="FI49" s="236"/>
      <c r="FJ49" s="236"/>
      <c r="FK49" s="236"/>
      <c r="FL49" s="236"/>
      <c r="FM49" s="236"/>
      <c r="FN49" s="236"/>
      <c r="FO49" s="236"/>
      <c r="FP49" s="236"/>
      <c r="FQ49" s="236"/>
      <c r="FR49" s="236"/>
      <c r="FS49" s="236"/>
      <c r="FT49" s="236"/>
      <c r="FU49" s="236"/>
      <c r="FV49" s="236"/>
      <c r="FW49" s="236"/>
      <c r="FX49" s="236"/>
      <c r="FY49" s="236"/>
      <c r="FZ49" s="236"/>
      <c r="GA49" s="236"/>
      <c r="GB49" s="236"/>
      <c r="GC49" s="236"/>
      <c r="GD49" s="236"/>
      <c r="GE49" s="236"/>
      <c r="GF49" s="236"/>
      <c r="GG49" s="236"/>
      <c r="GH49" s="236"/>
      <c r="GI49" s="236"/>
      <c r="GJ49" s="236"/>
      <c r="GK49" s="236"/>
      <c r="GL49" s="236"/>
      <c r="GM49" s="236"/>
      <c r="GN49" s="236"/>
      <c r="GO49" s="236"/>
      <c r="GP49" s="236"/>
      <c r="GQ49" s="236"/>
      <c r="GR49" s="236"/>
      <c r="GS49" s="236"/>
      <c r="GT49" s="236"/>
      <c r="GU49" s="236"/>
      <c r="GV49" s="236"/>
      <c r="GW49" s="236"/>
      <c r="GX49" s="236"/>
      <c r="GY49" s="236"/>
      <c r="GZ49" s="236"/>
      <c r="HA49" s="236"/>
      <c r="HB49" s="236"/>
      <c r="HC49" s="236"/>
      <c r="HD49" s="236"/>
      <c r="HE49" s="236"/>
      <c r="HF49" s="236"/>
      <c r="HG49" s="236"/>
      <c r="HH49" s="236"/>
      <c r="HI49" s="236"/>
      <c r="HJ49" s="236"/>
      <c r="HK49" s="236"/>
      <c r="HL49" s="236"/>
      <c r="HM49" s="236"/>
      <c r="HN49" s="236"/>
      <c r="HO49" s="236"/>
      <c r="HP49" s="236"/>
      <c r="HQ49" s="236"/>
      <c r="HR49" s="236"/>
      <c r="HS49" s="236"/>
      <c r="HT49" s="236"/>
      <c r="HU49" s="236"/>
      <c r="HV49" s="236"/>
      <c r="HW49" s="236"/>
      <c r="HX49" s="236"/>
      <c r="HY49" s="236"/>
      <c r="HZ49" s="236"/>
      <c r="IA49" s="236"/>
      <c r="IB49" s="236"/>
      <c r="IC49" s="236"/>
      <c r="ID49" s="236"/>
      <c r="IE49" s="236"/>
      <c r="IF49" s="236"/>
      <c r="IG49" s="236"/>
      <c r="IH49" s="236"/>
      <c r="II49" s="236"/>
      <c r="IJ49" s="236"/>
      <c r="IK49" s="236"/>
      <c r="IL49" s="236"/>
      <c r="IM49" s="236"/>
      <c r="IN49" s="236"/>
      <c r="IO49" s="236"/>
      <c r="IP49" s="236"/>
      <c r="IQ49" s="236"/>
      <c r="IR49" s="236"/>
      <c r="IS49" s="236"/>
      <c r="IT49" s="236"/>
      <c r="IU49" s="236"/>
      <c r="IV49" s="236"/>
      <c r="IW49" s="236"/>
      <c r="IX49" s="236"/>
      <c r="IY49" s="236"/>
      <c r="IZ49" s="236"/>
      <c r="JA49" s="236"/>
      <c r="JB49" s="236"/>
      <c r="JC49" s="236"/>
      <c r="JD49" s="236"/>
      <c r="JE49" s="236"/>
      <c r="JF49" s="236"/>
      <c r="JG49" s="236"/>
      <c r="JH49" s="236"/>
      <c r="JI49" s="236"/>
      <c r="JJ49" s="236"/>
      <c r="JK49" s="236"/>
      <c r="JL49" s="236"/>
      <c r="JM49" s="236"/>
      <c r="JN49" s="236"/>
      <c r="JO49" s="236"/>
      <c r="JP49" s="236"/>
      <c r="JQ49" s="411"/>
      <c r="JR49" s="411"/>
      <c r="JS49" s="411"/>
      <c r="JT49" s="411"/>
      <c r="JU49" s="411"/>
      <c r="JV49" s="411"/>
      <c r="JW49" s="411"/>
      <c r="KH49" s="412">
        <f t="shared" si="17"/>
        <v>46</v>
      </c>
      <c r="KI49" s="413" t="str">
        <f t="shared" ca="1" si="6"/>
        <v/>
      </c>
      <c r="KJ49" s="413" t="str">
        <f t="shared" ca="1" si="18"/>
        <v/>
      </c>
      <c r="KK49" s="414" t="str">
        <f t="shared" ca="1" si="8"/>
        <v/>
      </c>
    </row>
    <row r="50" spans="3:297" ht="24" customHeight="1">
      <c r="C50"/>
      <c r="D50" s="57" t="str">
        <f ca="1">INDIRECT(ADDRESS(ROWS($D$3:D49)+6,D$3,1,1,"3_TIME SUM"))</f>
        <v>Repair Blow Out Preventer System (NPT)</v>
      </c>
      <c r="E50" s="81" t="str">
        <f ca="1">IF(INDIRECT(ADDRESS(ROWS($E$3:E49)+6,E$3,1,1,"3_TIME SUM"))=0,E49,INDIRECT(ADDRESS(ROWS($E$3:E49)+6,E$3,1,1,"3_TIME SUM")))</f>
        <v>Repair Rig</v>
      </c>
      <c r="F50" s="57" t="str">
        <f t="shared" ca="1" si="3"/>
        <v>Repair Rig : Repair Blow Out Preventer System (NPT)</v>
      </c>
      <c r="G50" s="58" t="str">
        <f ca="1">VLOOKUP($D50,INDIRECT(ADDRESS(7,5,1,1,"3_TIME SUM")):INDIRECT(ADDRESS(200,7,1,1,"3_TIME SUM")),2,FALSE)</f>
        <v>8e</v>
      </c>
      <c r="H50" s="58" t="str">
        <f ca="1">IF(VLOOKUP($D50,INDIRECT(ADDRESS(7,5,1,1,"3_TIME SUM")):INDIRECT(ADDRESS(200,7,1,1,"3_TIME SUM")),3,FALSE)="","PT",VLOOKUP($D50,INDIRECT(ADDRESS(7,5,1,1,"3_TIME SUM")):INDIRECT(ADDRESS(200,7,1,1,"3_TIME SUM")),3,FALSE))</f>
        <v>NPT</v>
      </c>
      <c r="I50" s="59">
        <f ca="1">IFERROR(IF(AND($D$2="NON PRODUCTIVE TIME",$H50="NPT"),SUMIF(INDIRECT(ADDRESS(8,COLUMN('2_DATA'!$M$9),1,1,"2_DATA")):INDIRECT(ADDRESS(3000,COLUMN('2_DATA'!$M$9),1,1,"2_DATA")),$G50,INDIRECT(ADDRESS(8,COLUMN('2_DATA'!$N$9),1,1,"2_DATA")):INDIRECT(ADDRESS(3000,COLUMN('2_DATA'!$N$9),1,1,"2_DATA"))),IF($D$2="ALL ACTIVITY",SUMIF(INDIRECT(ADDRESS(9,COLUMN('2_DATA'!$M$9),1,1,"2_DATA")):INDIRECT(ADDRESS(3000,COLUMN('2_DATA'!$M$9),1,1,"2_DATA")),$G50,INDIRECT(ADDRESS(9,COLUMN('2_DATA'!$N$9),1,1,"2_DATA")):INDIRECT(ADDRESS(3000,COLUMN('2_DATA'!$N$9),1,1,"2_DATA"))),SUMIF(INDIRECT(ADDRESS(OFFSET($A$3,MATCH($D$2,$A$4:$A$16,0)-1,1,,)+1,COLUMN('2_DATA'!$M$9),1,1,"2_DATA")):INDIRECT(ADDRESS(VLOOKUP($D$2,$A$4:$B$16,2,FALSE)-1,COLUMN('2_DATA'!$M$9),1,1,"2_DATA")),$G50,INDIRECT(ADDRESS(OFFSET($A$3,MATCH($D$2,$A$4:$A$16,0)-1,1,,)+1,COLUMN('2_DATA'!$N$9),1,1,"2_DATA")):INDIRECT(ADDRESS(VLOOKUP($D$2,$A$4:$B$16,2,FALSE)-1,COLUMN('2_DATA'!$N$9),1,1,"2_DATA"))))),0)</f>
        <v>0</v>
      </c>
      <c r="J50" s="58" t="str">
        <f ca="1">IF(I50=0,"",MAX($J$3:J49)+1)</f>
        <v/>
      </c>
      <c r="L50" s="55">
        <f t="shared" ca="1" si="0"/>
        <v>1000</v>
      </c>
      <c r="M50" s="55" t="str">
        <f t="shared" ca="1" si="4"/>
        <v/>
      </c>
      <c r="N50" s="55"/>
      <c r="O50" s="55" t="str">
        <f t="shared" ca="1" si="10"/>
        <v/>
      </c>
      <c r="P50" s="55">
        <f t="shared" ca="1" si="1"/>
        <v>0</v>
      </c>
      <c r="Q50" s="55" t="str">
        <f ca="1">IFERROR(INDEX($O$4:$P$226,MATCH(ROWS($Q$3:Q49),$P$4:$P$226,0),1),"-")</f>
        <v>-</v>
      </c>
      <c r="R50" s="62" t="str">
        <f t="shared" ca="1" si="2"/>
        <v/>
      </c>
      <c r="S50" s="55" t="str">
        <f t="shared" ca="1" si="5"/>
        <v/>
      </c>
      <c r="T50" s="67">
        <f t="shared" ca="1" si="19"/>
        <v>1015</v>
      </c>
      <c r="V50" s="68" t="str">
        <f t="shared" ca="1" si="11"/>
        <v/>
      </c>
      <c r="W50" s="69" t="str">
        <f t="shared" ca="1" si="12"/>
        <v/>
      </c>
      <c r="X50" s="70" t="s">
        <v>84</v>
      </c>
      <c r="Y50" s="68" t="str">
        <f t="shared" ca="1" si="16"/>
        <v/>
      </c>
      <c r="Z50" s="71" t="str">
        <f t="shared" ca="1" si="13"/>
        <v/>
      </c>
      <c r="AA50" s="72" t="str">
        <f t="shared" ca="1" si="14"/>
        <v/>
      </c>
      <c r="AB50" s="305" t="str">
        <f t="shared" ca="1" si="15"/>
        <v/>
      </c>
      <c r="AC50" s="236"/>
      <c r="AD50" s="236"/>
      <c r="AE50" s="236"/>
      <c r="AF50" s="236"/>
      <c r="AG50" s="236"/>
      <c r="AH50" s="236"/>
      <c r="AI50" s="236"/>
      <c r="AJ50" s="236"/>
      <c r="AK50" s="236"/>
      <c r="AL50" s="236"/>
      <c r="AM50" s="236"/>
      <c r="AN50" s="236"/>
      <c r="AO50" s="236"/>
      <c r="AP50" s="236"/>
      <c r="AQ50" s="236"/>
      <c r="AR50" s="236"/>
      <c r="AS50" s="236"/>
      <c r="AT50" s="236"/>
      <c r="AU50" s="236"/>
      <c r="AV50" s="236"/>
      <c r="AW50" s="236"/>
      <c r="AX50" s="236"/>
      <c r="AY50" s="236"/>
      <c r="AZ50" s="236"/>
      <c r="BA50" s="236"/>
      <c r="BB50" s="236"/>
      <c r="BC50" s="236"/>
      <c r="BD50" s="236"/>
      <c r="BE50" s="236"/>
      <c r="BF50" s="236"/>
      <c r="BG50" s="236"/>
      <c r="BH50" s="236"/>
      <c r="BI50" s="236"/>
      <c r="BJ50" s="236"/>
      <c r="BK50" s="236"/>
      <c r="BL50" s="236"/>
      <c r="BM50" s="236"/>
      <c r="BN50" s="236"/>
      <c r="BO50" s="236"/>
      <c r="BP50" s="236"/>
      <c r="BQ50" s="236"/>
      <c r="BR50" s="236"/>
      <c r="BS50" s="236"/>
      <c r="BT50" s="236"/>
      <c r="BU50" s="236"/>
      <c r="BV50" s="236"/>
      <c r="BW50" s="236"/>
      <c r="BX50" s="236"/>
      <c r="BY50" s="236"/>
      <c r="BZ50" s="236"/>
      <c r="CA50" s="236"/>
      <c r="CB50" s="236"/>
      <c r="CC50" s="236"/>
      <c r="CD50" s="236"/>
      <c r="CE50" s="236"/>
      <c r="CF50" s="236"/>
      <c r="CG50" s="236"/>
      <c r="CH50" s="236"/>
      <c r="CI50" s="236"/>
      <c r="CJ50" s="236"/>
      <c r="CK50" s="236"/>
      <c r="CL50" s="236"/>
      <c r="CM50" s="236"/>
      <c r="CN50" s="236"/>
      <c r="CO50" s="236"/>
      <c r="CP50" s="236"/>
      <c r="CQ50" s="236"/>
      <c r="CR50" s="236"/>
      <c r="CS50" s="236"/>
      <c r="CT50" s="236"/>
      <c r="CU50" s="236"/>
      <c r="CV50" s="236"/>
      <c r="CW50" s="236"/>
      <c r="CX50" s="236"/>
      <c r="CY50" s="236"/>
      <c r="CZ50" s="236"/>
      <c r="DA50" s="236"/>
      <c r="DB50" s="236"/>
      <c r="DC50" s="236"/>
      <c r="DD50" s="236"/>
      <c r="DE50" s="236"/>
      <c r="DF50" s="236"/>
      <c r="DG50" s="236"/>
      <c r="DH50" s="236"/>
      <c r="DI50" s="236"/>
      <c r="DJ50" s="236"/>
      <c r="DK50" s="236"/>
      <c r="DL50" s="236"/>
      <c r="DM50" s="236"/>
      <c r="DN50" s="236"/>
      <c r="DO50" s="236"/>
      <c r="DP50" s="236"/>
      <c r="DQ50" s="236"/>
      <c r="DR50" s="236"/>
      <c r="DS50" s="236"/>
      <c r="DT50" s="236"/>
      <c r="DU50" s="236"/>
      <c r="DV50" s="236"/>
      <c r="DW50" s="236"/>
      <c r="DX50" s="236"/>
      <c r="DY50" s="236"/>
      <c r="DZ50" s="236"/>
      <c r="EA50" s="236"/>
      <c r="EB50" s="236"/>
      <c r="EC50" s="236"/>
      <c r="ED50" s="236"/>
      <c r="EE50" s="236"/>
      <c r="EF50" s="236"/>
      <c r="EG50" s="236"/>
      <c r="EH50" s="236"/>
      <c r="EI50" s="236"/>
      <c r="EJ50" s="236"/>
      <c r="EK50" s="236"/>
      <c r="EL50" s="236"/>
      <c r="EM50" s="236"/>
      <c r="EN50" s="236"/>
      <c r="EO50" s="236"/>
      <c r="EP50" s="236"/>
      <c r="EQ50" s="236"/>
      <c r="ER50" s="236"/>
      <c r="ES50" s="236"/>
      <c r="ET50" s="236"/>
      <c r="EU50" s="236"/>
      <c r="EV50" s="236"/>
      <c r="EW50" s="236"/>
      <c r="EX50" s="236"/>
      <c r="EY50" s="236"/>
      <c r="EZ50" s="236"/>
      <c r="FA50" s="236"/>
      <c r="FB50" s="236"/>
      <c r="FC50" s="236"/>
      <c r="FD50" s="236"/>
      <c r="FE50" s="236"/>
      <c r="FF50" s="236"/>
      <c r="FG50" s="236"/>
      <c r="FH50" s="236"/>
      <c r="FI50" s="236"/>
      <c r="FJ50" s="236"/>
      <c r="FK50" s="236"/>
      <c r="FL50" s="236"/>
      <c r="FM50" s="236"/>
      <c r="FN50" s="236"/>
      <c r="FO50" s="236"/>
      <c r="FP50" s="236"/>
      <c r="FQ50" s="236"/>
      <c r="FR50" s="236"/>
      <c r="FS50" s="236"/>
      <c r="FT50" s="236"/>
      <c r="FU50" s="236"/>
      <c r="FV50" s="236"/>
      <c r="FW50" s="236"/>
      <c r="FX50" s="236"/>
      <c r="FY50" s="236"/>
      <c r="FZ50" s="236"/>
      <c r="GA50" s="236"/>
      <c r="GB50" s="236"/>
      <c r="GC50" s="236"/>
      <c r="GD50" s="236"/>
      <c r="GE50" s="236"/>
      <c r="GF50" s="236"/>
      <c r="GG50" s="236"/>
      <c r="GH50" s="236"/>
      <c r="GI50" s="236"/>
      <c r="GJ50" s="236"/>
      <c r="GK50" s="236"/>
      <c r="GL50" s="236"/>
      <c r="GM50" s="236"/>
      <c r="GN50" s="236"/>
      <c r="GO50" s="236"/>
      <c r="GP50" s="236"/>
      <c r="GQ50" s="236"/>
      <c r="GR50" s="236"/>
      <c r="GS50" s="236"/>
      <c r="GT50" s="236"/>
      <c r="GU50" s="236"/>
      <c r="GV50" s="236"/>
      <c r="GW50" s="236"/>
      <c r="GX50" s="236"/>
      <c r="GY50" s="236"/>
      <c r="GZ50" s="236"/>
      <c r="HA50" s="236"/>
      <c r="HB50" s="236"/>
      <c r="HC50" s="236"/>
      <c r="HD50" s="236"/>
      <c r="HE50" s="236"/>
      <c r="HF50" s="236"/>
      <c r="HG50" s="236"/>
      <c r="HH50" s="236"/>
      <c r="HI50" s="236"/>
      <c r="HJ50" s="236"/>
      <c r="HK50" s="236"/>
      <c r="HL50" s="236"/>
      <c r="HM50" s="236"/>
      <c r="HN50" s="236"/>
      <c r="HO50" s="236"/>
      <c r="HP50" s="236"/>
      <c r="HQ50" s="236"/>
      <c r="HR50" s="236"/>
      <c r="HS50" s="236"/>
      <c r="HT50" s="236"/>
      <c r="HU50" s="236"/>
      <c r="HV50" s="236"/>
      <c r="HW50" s="236"/>
      <c r="HX50" s="236"/>
      <c r="HY50" s="236"/>
      <c r="HZ50" s="236"/>
      <c r="IA50" s="236"/>
      <c r="IB50" s="236"/>
      <c r="IC50" s="236"/>
      <c r="ID50" s="236"/>
      <c r="IE50" s="236"/>
      <c r="IF50" s="236"/>
      <c r="IG50" s="236"/>
      <c r="IH50" s="236"/>
      <c r="II50" s="236"/>
      <c r="IJ50" s="236"/>
      <c r="IK50" s="236"/>
      <c r="IL50" s="236"/>
      <c r="IM50" s="236"/>
      <c r="IN50" s="236"/>
      <c r="IO50" s="236"/>
      <c r="IP50" s="236"/>
      <c r="IQ50" s="236"/>
      <c r="IR50" s="236"/>
      <c r="IS50" s="236"/>
      <c r="IT50" s="236"/>
      <c r="IU50" s="236"/>
      <c r="IV50" s="236"/>
      <c r="IW50" s="236"/>
      <c r="IX50" s="236"/>
      <c r="IY50" s="236"/>
      <c r="IZ50" s="236"/>
      <c r="JA50" s="236"/>
      <c r="JB50" s="236"/>
      <c r="JC50" s="236"/>
      <c r="JD50" s="236"/>
      <c r="JE50" s="236"/>
      <c r="JF50" s="236"/>
      <c r="JG50" s="236"/>
      <c r="JH50" s="236"/>
      <c r="JI50" s="236"/>
      <c r="JJ50" s="236"/>
      <c r="JK50" s="236"/>
      <c r="JL50" s="236"/>
      <c r="JM50" s="236"/>
      <c r="JN50" s="236"/>
      <c r="JO50" s="236"/>
      <c r="JP50" s="236"/>
      <c r="JQ50" s="411"/>
      <c r="JR50" s="411"/>
      <c r="JS50" s="411"/>
      <c r="JT50" s="411"/>
      <c r="JU50" s="411"/>
      <c r="JV50" s="411"/>
      <c r="JW50" s="411"/>
      <c r="KH50" s="412">
        <f t="shared" si="17"/>
        <v>47</v>
      </c>
      <c r="KI50" s="413" t="str">
        <f t="shared" ca="1" si="6"/>
        <v/>
      </c>
      <c r="KJ50" s="413" t="str">
        <f t="shared" ca="1" si="18"/>
        <v/>
      </c>
      <c r="KK50" s="414" t="str">
        <f t="shared" ca="1" si="8"/>
        <v/>
      </c>
    </row>
    <row r="51" spans="3:297" ht="24" customHeight="1">
      <c r="C51"/>
      <c r="D51" s="57" t="str">
        <f ca="1">INDIRECT(ADDRESS(ROWS($D$3:D50)+6,D$3,1,1,"3_TIME SUM"))</f>
        <v>Tubular Problem (NPT)</v>
      </c>
      <c r="E51" s="81" t="str">
        <f ca="1">IF(INDIRECT(ADDRESS(ROWS($E$3:E50)+6,E$3,1,1,"3_TIME SUM"))=0,E50,INDIRECT(ADDRESS(ROWS($E$3:E50)+6,E$3,1,1,"3_TIME SUM")))</f>
        <v>Repair Rig</v>
      </c>
      <c r="F51" s="57" t="str">
        <f t="shared" ca="1" si="3"/>
        <v>Repair Rig : Tubular Problem (NPT)</v>
      </c>
      <c r="G51" s="58" t="str">
        <f ca="1">VLOOKUP($D51,INDIRECT(ADDRESS(7,5,1,1,"3_TIME SUM")):INDIRECT(ADDRESS(200,7,1,1,"3_TIME SUM")),2,FALSE)</f>
        <v>8f</v>
      </c>
      <c r="H51" s="58" t="str">
        <f ca="1">IF(VLOOKUP($D51,INDIRECT(ADDRESS(7,5,1,1,"3_TIME SUM")):INDIRECT(ADDRESS(200,7,1,1,"3_TIME SUM")),3,FALSE)="","PT",VLOOKUP($D51,INDIRECT(ADDRESS(7,5,1,1,"3_TIME SUM")):INDIRECT(ADDRESS(200,7,1,1,"3_TIME SUM")),3,FALSE))</f>
        <v>NPT</v>
      </c>
      <c r="I51" s="59">
        <f ca="1">IFERROR(IF(AND($D$2="NON PRODUCTIVE TIME",$H51="NPT"),SUMIF(INDIRECT(ADDRESS(8,COLUMN('2_DATA'!$M$9),1,1,"2_DATA")):INDIRECT(ADDRESS(3000,COLUMN('2_DATA'!$M$9),1,1,"2_DATA")),$G51,INDIRECT(ADDRESS(8,COLUMN('2_DATA'!$N$9),1,1,"2_DATA")):INDIRECT(ADDRESS(3000,COLUMN('2_DATA'!$N$9),1,1,"2_DATA"))),IF($D$2="ALL ACTIVITY",SUMIF(INDIRECT(ADDRESS(9,COLUMN('2_DATA'!$M$9),1,1,"2_DATA")):INDIRECT(ADDRESS(3000,COLUMN('2_DATA'!$M$9),1,1,"2_DATA")),$G51,INDIRECT(ADDRESS(9,COLUMN('2_DATA'!$N$9),1,1,"2_DATA")):INDIRECT(ADDRESS(3000,COLUMN('2_DATA'!$N$9),1,1,"2_DATA"))),SUMIF(INDIRECT(ADDRESS(OFFSET($A$3,MATCH($D$2,$A$4:$A$16,0)-1,1,,)+1,COLUMN('2_DATA'!$M$9),1,1,"2_DATA")):INDIRECT(ADDRESS(VLOOKUP($D$2,$A$4:$B$16,2,FALSE)-1,COLUMN('2_DATA'!$M$9),1,1,"2_DATA")),$G51,INDIRECT(ADDRESS(OFFSET($A$3,MATCH($D$2,$A$4:$A$16,0)-1,1,,)+1,COLUMN('2_DATA'!$N$9),1,1,"2_DATA")):INDIRECT(ADDRESS(VLOOKUP($D$2,$A$4:$B$16,2,FALSE)-1,COLUMN('2_DATA'!$N$9),1,1,"2_DATA"))))),0)</f>
        <v>8</v>
      </c>
      <c r="J51" s="58">
        <f ca="1">IF(I51=0,"",MAX($J$3:J50)+1)</f>
        <v>12</v>
      </c>
      <c r="L51" s="55">
        <f t="shared" ca="1" si="0"/>
        <v>1000</v>
      </c>
      <c r="M51" s="55">
        <f t="shared" ca="1" si="4"/>
        <v>1012</v>
      </c>
      <c r="N51" s="55"/>
      <c r="O51" s="55" t="str">
        <f t="shared" ca="1" si="10"/>
        <v/>
      </c>
      <c r="P51" s="55">
        <f t="shared" ca="1" si="1"/>
        <v>0</v>
      </c>
      <c r="Q51" s="55" t="str">
        <f ca="1">IFERROR(INDEX($O$4:$P$226,MATCH(ROWS($Q$3:Q50),$P$4:$P$226,0),1),"-")</f>
        <v>-</v>
      </c>
      <c r="R51" s="62" t="str">
        <f t="shared" ca="1" si="2"/>
        <v/>
      </c>
      <c r="S51" s="55" t="str">
        <f t="shared" ca="1" si="5"/>
        <v/>
      </c>
      <c r="T51" s="67">
        <f t="shared" ca="1" si="19"/>
        <v>1016</v>
      </c>
      <c r="U51"/>
      <c r="V51" s="68" t="str">
        <f t="shared" ca="1" si="11"/>
        <v/>
      </c>
      <c r="W51" s="69" t="str">
        <f t="shared" ca="1" si="12"/>
        <v/>
      </c>
      <c r="X51" s="70" t="s">
        <v>84</v>
      </c>
      <c r="Y51" s="68" t="str">
        <f t="shared" ca="1" si="16"/>
        <v/>
      </c>
      <c r="Z51" s="71" t="str">
        <f t="shared" ca="1" si="13"/>
        <v/>
      </c>
      <c r="AA51" s="72" t="str">
        <f t="shared" ca="1" si="14"/>
        <v/>
      </c>
      <c r="AB51" s="305" t="str">
        <f t="shared" ca="1" si="15"/>
        <v/>
      </c>
      <c r="AC51" s="236"/>
      <c r="AD51" s="236"/>
      <c r="AE51" s="236"/>
      <c r="AF51" s="236"/>
      <c r="AG51" s="236"/>
      <c r="AH51" s="236"/>
      <c r="AI51" s="236"/>
      <c r="AJ51" s="236"/>
      <c r="AK51" s="236"/>
      <c r="AL51" s="236"/>
      <c r="AM51" s="236"/>
      <c r="AN51" s="236"/>
      <c r="AO51" s="236"/>
      <c r="AP51" s="236"/>
      <c r="AQ51" s="236"/>
      <c r="AR51" s="236"/>
      <c r="AS51" s="236"/>
      <c r="AT51" s="236"/>
      <c r="AU51" s="236"/>
      <c r="AV51" s="236"/>
      <c r="AW51" s="236"/>
      <c r="AX51" s="236"/>
      <c r="AY51" s="236"/>
      <c r="AZ51" s="236"/>
      <c r="BA51" s="236"/>
      <c r="BB51" s="236"/>
      <c r="BC51" s="236"/>
      <c r="BD51" s="236"/>
      <c r="BE51" s="236"/>
      <c r="BF51" s="236"/>
      <c r="BG51" s="236"/>
      <c r="BH51" s="236"/>
      <c r="BI51" s="236"/>
      <c r="BJ51" s="236"/>
      <c r="BK51" s="236"/>
      <c r="BL51" s="236"/>
      <c r="BM51" s="236"/>
      <c r="BN51" s="236"/>
      <c r="BO51" s="236"/>
      <c r="BP51" s="236"/>
      <c r="BQ51" s="236"/>
      <c r="BR51" s="236"/>
      <c r="BS51" s="236"/>
      <c r="BT51" s="236"/>
      <c r="BU51" s="236"/>
      <c r="BV51" s="236"/>
      <c r="BW51" s="236"/>
      <c r="BX51" s="236"/>
      <c r="BY51" s="236"/>
      <c r="BZ51" s="236"/>
      <c r="CA51" s="236"/>
      <c r="CB51" s="236"/>
      <c r="CC51" s="236"/>
      <c r="CD51" s="236"/>
      <c r="CE51" s="236"/>
      <c r="CF51" s="236"/>
      <c r="CG51" s="236"/>
      <c r="CH51" s="236"/>
      <c r="CI51" s="236"/>
      <c r="CJ51" s="236"/>
      <c r="CK51" s="236"/>
      <c r="CL51" s="236"/>
      <c r="CM51" s="236"/>
      <c r="CN51" s="236"/>
      <c r="CO51" s="236"/>
      <c r="CP51" s="236"/>
      <c r="CQ51" s="236"/>
      <c r="CR51" s="236"/>
      <c r="CS51" s="236"/>
      <c r="CT51" s="236"/>
      <c r="CU51" s="236"/>
      <c r="CV51" s="236"/>
      <c r="CW51" s="236"/>
      <c r="CX51" s="236"/>
      <c r="CY51" s="236"/>
      <c r="CZ51" s="236"/>
      <c r="DA51" s="236"/>
      <c r="DB51" s="236"/>
      <c r="DC51" s="236"/>
      <c r="DD51" s="236"/>
      <c r="DE51" s="236"/>
      <c r="DF51" s="236"/>
      <c r="DG51" s="236"/>
      <c r="DH51" s="236"/>
      <c r="DI51" s="236"/>
      <c r="DJ51" s="236"/>
      <c r="DK51" s="236"/>
      <c r="DL51" s="236"/>
      <c r="DM51" s="236"/>
      <c r="DN51" s="236"/>
      <c r="DO51" s="236"/>
      <c r="DP51" s="236"/>
      <c r="DQ51" s="236"/>
      <c r="DR51" s="236"/>
      <c r="DS51" s="236"/>
      <c r="DT51" s="236"/>
      <c r="DU51" s="236"/>
      <c r="DV51" s="236"/>
      <c r="DW51" s="236"/>
      <c r="DX51" s="236"/>
      <c r="DY51" s="236"/>
      <c r="DZ51" s="236"/>
      <c r="EA51" s="236"/>
      <c r="EB51" s="236"/>
      <c r="EC51" s="236"/>
      <c r="ED51" s="236"/>
      <c r="EE51" s="236"/>
      <c r="EF51" s="236"/>
      <c r="EG51" s="236"/>
      <c r="EH51" s="236"/>
      <c r="EI51" s="236"/>
      <c r="EJ51" s="236"/>
      <c r="EK51" s="236"/>
      <c r="EL51" s="236"/>
      <c r="EM51" s="236"/>
      <c r="EN51" s="236"/>
      <c r="EO51" s="236"/>
      <c r="EP51" s="236"/>
      <c r="EQ51" s="236"/>
      <c r="ER51" s="236"/>
      <c r="ES51" s="236"/>
      <c r="ET51" s="236"/>
      <c r="EU51" s="236"/>
      <c r="EV51" s="236"/>
      <c r="EW51" s="236"/>
      <c r="EX51" s="236"/>
      <c r="EY51" s="236"/>
      <c r="EZ51" s="236"/>
      <c r="FA51" s="236"/>
      <c r="FB51" s="236"/>
      <c r="FC51" s="236"/>
      <c r="FD51" s="236"/>
      <c r="FE51" s="236"/>
      <c r="FF51" s="236"/>
      <c r="FG51" s="236"/>
      <c r="FH51" s="236"/>
      <c r="FI51" s="236"/>
      <c r="FJ51" s="236"/>
      <c r="FK51" s="236"/>
      <c r="FL51" s="236"/>
      <c r="FM51" s="236"/>
      <c r="FN51" s="236"/>
      <c r="FO51" s="236"/>
      <c r="FP51" s="236"/>
      <c r="FQ51" s="236"/>
      <c r="FR51" s="236"/>
      <c r="FS51" s="236"/>
      <c r="FT51" s="236"/>
      <c r="FU51" s="236"/>
      <c r="FV51" s="236"/>
      <c r="FW51" s="236"/>
      <c r="FX51" s="236"/>
      <c r="FY51" s="236"/>
      <c r="FZ51" s="236"/>
      <c r="GA51" s="236"/>
      <c r="GB51" s="236"/>
      <c r="GC51" s="236"/>
      <c r="GD51" s="236"/>
      <c r="GE51" s="236"/>
      <c r="GF51" s="236"/>
      <c r="GG51" s="236"/>
      <c r="GH51" s="236"/>
      <c r="GI51" s="236"/>
      <c r="GJ51" s="236"/>
      <c r="GK51" s="236"/>
      <c r="GL51" s="236"/>
      <c r="GM51" s="236"/>
      <c r="GN51" s="236"/>
      <c r="GO51" s="236"/>
      <c r="GP51" s="236"/>
      <c r="GQ51" s="236"/>
      <c r="GR51" s="236"/>
      <c r="GS51" s="236"/>
      <c r="GT51" s="236"/>
      <c r="GU51" s="236"/>
      <c r="GV51" s="236"/>
      <c r="GW51" s="236"/>
      <c r="GX51" s="236"/>
      <c r="GY51" s="236"/>
      <c r="GZ51" s="236"/>
      <c r="HA51" s="236"/>
      <c r="HB51" s="236"/>
      <c r="HC51" s="236"/>
      <c r="HD51" s="236"/>
      <c r="HE51" s="236"/>
      <c r="HF51" s="236"/>
      <c r="HG51" s="236"/>
      <c r="HH51" s="236"/>
      <c r="HI51" s="236"/>
      <c r="HJ51" s="236"/>
      <c r="HK51" s="236"/>
      <c r="HL51" s="236"/>
      <c r="HM51" s="236"/>
      <c r="HN51" s="236"/>
      <c r="HO51" s="236"/>
      <c r="HP51" s="236"/>
      <c r="HQ51" s="236"/>
      <c r="HR51" s="236"/>
      <c r="HS51" s="236"/>
      <c r="HT51" s="236"/>
      <c r="HU51" s="236"/>
      <c r="HV51" s="236"/>
      <c r="HW51" s="236"/>
      <c r="HX51" s="236"/>
      <c r="HY51" s="236"/>
      <c r="HZ51" s="236"/>
      <c r="IA51" s="236"/>
      <c r="IB51" s="236"/>
      <c r="IC51" s="236"/>
      <c r="ID51" s="236"/>
      <c r="IE51" s="236"/>
      <c r="IF51" s="236"/>
      <c r="IG51" s="236"/>
      <c r="IH51" s="236"/>
      <c r="II51" s="236"/>
      <c r="IJ51" s="236"/>
      <c r="IK51" s="236"/>
      <c r="IL51" s="236"/>
      <c r="IM51" s="236"/>
      <c r="IN51" s="236"/>
      <c r="IO51" s="236"/>
      <c r="IP51" s="236"/>
      <c r="IQ51" s="236"/>
      <c r="IR51" s="236"/>
      <c r="IS51" s="236"/>
      <c r="IT51" s="236"/>
      <c r="IU51" s="236"/>
      <c r="IV51" s="236"/>
      <c r="IW51" s="236"/>
      <c r="IX51" s="236"/>
      <c r="IY51" s="236"/>
      <c r="IZ51" s="236"/>
      <c r="JA51" s="236"/>
      <c r="JB51" s="236"/>
      <c r="JC51" s="236"/>
      <c r="JD51" s="236"/>
      <c r="JE51" s="236"/>
      <c r="JF51" s="236"/>
      <c r="JG51" s="236"/>
      <c r="JH51" s="236"/>
      <c r="JI51" s="236"/>
      <c r="JJ51" s="236"/>
      <c r="JK51" s="236"/>
      <c r="JL51" s="236"/>
      <c r="JM51" s="236"/>
      <c r="JN51" s="236"/>
      <c r="JO51" s="236"/>
      <c r="JP51" s="236"/>
      <c r="JQ51" s="411"/>
      <c r="JR51" s="411"/>
      <c r="JS51" s="411"/>
      <c r="JT51" s="411"/>
      <c r="JU51" s="411"/>
      <c r="JV51" s="411"/>
      <c r="JW51" s="411"/>
      <c r="KH51" s="412">
        <f t="shared" si="17"/>
        <v>48</v>
      </c>
      <c r="KI51" s="413" t="str">
        <f t="shared" ca="1" si="6"/>
        <v/>
      </c>
      <c r="KJ51" s="413" t="str">
        <f t="shared" ca="1" si="18"/>
        <v/>
      </c>
      <c r="KK51" s="414" t="str">
        <f t="shared" ca="1" si="8"/>
        <v/>
      </c>
    </row>
    <row r="52" spans="3:297" ht="24" customHeight="1">
      <c r="C52"/>
      <c r="D52" s="57" t="str">
        <f ca="1">INDIRECT(ADDRESS(ROWS($D$3:D51)+6,D$3,1,1,"3_TIME SUM"))</f>
        <v>Personal Problem (NPT)</v>
      </c>
      <c r="E52" s="81" t="str">
        <f ca="1">IF(INDIRECT(ADDRESS(ROWS($E$3:E51)+6,E$3,1,1,"3_TIME SUM"))=0,E51,INDIRECT(ADDRESS(ROWS($E$3:E51)+6,E$3,1,1,"3_TIME SUM")))</f>
        <v>Repair Rig</v>
      </c>
      <c r="F52" s="57" t="str">
        <f t="shared" ca="1" si="3"/>
        <v>Repair Rig : Personal Problem (NPT)</v>
      </c>
      <c r="G52" s="58" t="str">
        <f ca="1">VLOOKUP($D52,INDIRECT(ADDRESS(7,5,1,1,"3_TIME SUM")):INDIRECT(ADDRESS(200,7,1,1,"3_TIME SUM")),2,FALSE)</f>
        <v>8g</v>
      </c>
      <c r="H52" s="58" t="str">
        <f ca="1">IF(VLOOKUP($D52,INDIRECT(ADDRESS(7,5,1,1,"3_TIME SUM")):INDIRECT(ADDRESS(200,7,1,1,"3_TIME SUM")),3,FALSE)="","PT",VLOOKUP($D52,INDIRECT(ADDRESS(7,5,1,1,"3_TIME SUM")):INDIRECT(ADDRESS(200,7,1,1,"3_TIME SUM")),3,FALSE))</f>
        <v>NPT</v>
      </c>
      <c r="I52" s="59">
        <f ca="1">IFERROR(IF(AND($D$2="NON PRODUCTIVE TIME",$H52="NPT"),SUMIF(INDIRECT(ADDRESS(8,COLUMN('2_DATA'!$M$9),1,1,"2_DATA")):INDIRECT(ADDRESS(3000,COLUMN('2_DATA'!$M$9),1,1,"2_DATA")),$G52,INDIRECT(ADDRESS(8,COLUMN('2_DATA'!$N$9),1,1,"2_DATA")):INDIRECT(ADDRESS(3000,COLUMN('2_DATA'!$N$9),1,1,"2_DATA"))),IF($D$2="ALL ACTIVITY",SUMIF(INDIRECT(ADDRESS(9,COLUMN('2_DATA'!$M$9),1,1,"2_DATA")):INDIRECT(ADDRESS(3000,COLUMN('2_DATA'!$M$9),1,1,"2_DATA")),$G52,INDIRECT(ADDRESS(9,COLUMN('2_DATA'!$N$9),1,1,"2_DATA")):INDIRECT(ADDRESS(3000,COLUMN('2_DATA'!$N$9),1,1,"2_DATA"))),SUMIF(INDIRECT(ADDRESS(OFFSET($A$3,MATCH($D$2,$A$4:$A$16,0)-1,1,,)+1,COLUMN('2_DATA'!$M$9),1,1,"2_DATA")):INDIRECT(ADDRESS(VLOOKUP($D$2,$A$4:$B$16,2,FALSE)-1,COLUMN('2_DATA'!$M$9),1,1,"2_DATA")),$G52,INDIRECT(ADDRESS(OFFSET($A$3,MATCH($D$2,$A$4:$A$16,0)-1,1,,)+1,COLUMN('2_DATA'!$N$9),1,1,"2_DATA")):INDIRECT(ADDRESS(VLOOKUP($D$2,$A$4:$B$16,2,FALSE)-1,COLUMN('2_DATA'!$N$9),1,1,"2_DATA"))))),0)</f>
        <v>0</v>
      </c>
      <c r="J52" s="58" t="str">
        <f ca="1">IF(I52=0,"",MAX($J$3:J51)+1)</f>
        <v/>
      </c>
      <c r="L52" s="55">
        <f t="shared" ca="1" si="0"/>
        <v>1000</v>
      </c>
      <c r="M52" s="55" t="str">
        <f t="shared" ca="1" si="4"/>
        <v/>
      </c>
      <c r="N52" s="55"/>
      <c r="O52" s="55">
        <f t="shared" ca="1" si="10"/>
        <v>1011</v>
      </c>
      <c r="P52" s="55">
        <f t="shared" ca="1" si="1"/>
        <v>12</v>
      </c>
      <c r="Q52" s="55" t="str">
        <f ca="1">IFERROR(INDEX($O$4:$P$226,MATCH(ROWS($Q$3:Q51),$P$4:$P$226,0),1),"-")</f>
        <v>-</v>
      </c>
      <c r="R52" s="62" t="str">
        <f t="shared" ca="1" si="2"/>
        <v/>
      </c>
      <c r="S52" s="55" t="str">
        <f t="shared" ca="1" si="5"/>
        <v/>
      </c>
      <c r="T52" s="67">
        <f t="shared" ca="1" si="19"/>
        <v>1017</v>
      </c>
      <c r="U52"/>
      <c r="V52" s="68" t="str">
        <f t="shared" ca="1" si="11"/>
        <v/>
      </c>
      <c r="W52" s="69" t="str">
        <f t="shared" ca="1" si="12"/>
        <v/>
      </c>
      <c r="X52" s="70" t="s">
        <v>84</v>
      </c>
      <c r="Y52" s="68" t="str">
        <f t="shared" ca="1" si="16"/>
        <v/>
      </c>
      <c r="Z52" s="71" t="str">
        <f t="shared" ca="1" si="13"/>
        <v/>
      </c>
      <c r="AA52" s="72" t="str">
        <f t="shared" ca="1" si="14"/>
        <v/>
      </c>
      <c r="AB52" s="305" t="str">
        <f t="shared" ca="1" si="15"/>
        <v/>
      </c>
      <c r="AC52" s="236"/>
      <c r="AD52" s="236"/>
      <c r="AE52" s="236"/>
      <c r="AF52" s="236"/>
      <c r="AG52" s="236"/>
      <c r="AH52" s="236"/>
      <c r="AI52" s="236"/>
      <c r="AJ52" s="236"/>
      <c r="AK52" s="236"/>
      <c r="AL52" s="236"/>
      <c r="AM52" s="236"/>
      <c r="AN52" s="236"/>
      <c r="AO52" s="236"/>
      <c r="AP52" s="236"/>
      <c r="AQ52" s="236"/>
      <c r="AR52" s="236"/>
      <c r="AS52" s="236"/>
      <c r="AT52" s="236"/>
      <c r="AU52" s="236"/>
      <c r="AV52" s="236"/>
      <c r="AW52" s="236"/>
      <c r="AX52" s="236"/>
      <c r="AY52" s="236"/>
      <c r="AZ52" s="236"/>
      <c r="BA52" s="236"/>
      <c r="BB52" s="236"/>
      <c r="BC52" s="236"/>
      <c r="BD52" s="236"/>
      <c r="BE52" s="236"/>
      <c r="BF52" s="236"/>
      <c r="BG52" s="236"/>
      <c r="BH52" s="236"/>
      <c r="BI52" s="236"/>
      <c r="BJ52" s="236"/>
      <c r="BK52" s="236"/>
      <c r="BL52" s="236"/>
      <c r="BM52" s="236"/>
      <c r="BN52" s="236"/>
      <c r="BO52" s="236"/>
      <c r="BP52" s="236"/>
      <c r="BQ52" s="236"/>
      <c r="BR52" s="236"/>
      <c r="BS52" s="236"/>
      <c r="BT52" s="236"/>
      <c r="BU52" s="236"/>
      <c r="BV52" s="236"/>
      <c r="BW52" s="236"/>
      <c r="BX52" s="236"/>
      <c r="BY52" s="236"/>
      <c r="BZ52" s="236"/>
      <c r="CA52" s="236"/>
      <c r="CB52" s="236"/>
      <c r="CC52" s="236"/>
      <c r="CD52" s="236"/>
      <c r="CE52" s="236"/>
      <c r="CF52" s="236"/>
      <c r="CG52" s="236"/>
      <c r="CH52" s="236"/>
      <c r="CI52" s="236"/>
      <c r="CJ52" s="236"/>
      <c r="CK52" s="236"/>
      <c r="CL52" s="236"/>
      <c r="CM52" s="236"/>
      <c r="CN52" s="236"/>
      <c r="CO52" s="236"/>
      <c r="CP52" s="236"/>
      <c r="CQ52" s="236"/>
      <c r="CR52" s="236"/>
      <c r="CS52" s="236"/>
      <c r="CT52" s="236"/>
      <c r="CU52" s="236"/>
      <c r="CV52" s="236"/>
      <c r="CW52" s="236"/>
      <c r="CX52" s="236"/>
      <c r="CY52" s="236"/>
      <c r="CZ52" s="236"/>
      <c r="DA52" s="236"/>
      <c r="DB52" s="236"/>
      <c r="DC52" s="236"/>
      <c r="DD52" s="236"/>
      <c r="DE52" s="236"/>
      <c r="DF52" s="236"/>
      <c r="DG52" s="236"/>
      <c r="DH52" s="236"/>
      <c r="DI52" s="236"/>
      <c r="DJ52" s="236"/>
      <c r="DK52" s="236"/>
      <c r="DL52" s="236"/>
      <c r="DM52" s="236"/>
      <c r="DN52" s="236"/>
      <c r="DO52" s="236"/>
      <c r="DP52" s="236"/>
      <c r="DQ52" s="236"/>
      <c r="DR52" s="236"/>
      <c r="DS52" s="236"/>
      <c r="DT52" s="236"/>
      <c r="DU52" s="236"/>
      <c r="DV52" s="236"/>
      <c r="DW52" s="236"/>
      <c r="DX52" s="236"/>
      <c r="DY52" s="236"/>
      <c r="DZ52" s="236"/>
      <c r="EA52" s="236"/>
      <c r="EB52" s="236"/>
      <c r="EC52" s="236"/>
      <c r="ED52" s="236"/>
      <c r="EE52" s="236"/>
      <c r="EF52" s="236"/>
      <c r="EG52" s="236"/>
      <c r="EH52" s="236"/>
      <c r="EI52" s="236"/>
      <c r="EJ52" s="236"/>
      <c r="EK52" s="236"/>
      <c r="EL52" s="236"/>
      <c r="EM52" s="236"/>
      <c r="EN52" s="236"/>
      <c r="EO52" s="236"/>
      <c r="EP52" s="236"/>
      <c r="EQ52" s="236"/>
      <c r="ER52" s="236"/>
      <c r="ES52" s="236"/>
      <c r="ET52" s="236"/>
      <c r="EU52" s="236"/>
      <c r="EV52" s="236"/>
      <c r="EW52" s="236"/>
      <c r="EX52" s="236"/>
      <c r="EY52" s="236"/>
      <c r="EZ52" s="236"/>
      <c r="FA52" s="236"/>
      <c r="FB52" s="236"/>
      <c r="FC52" s="236"/>
      <c r="FD52" s="236"/>
      <c r="FE52" s="236"/>
      <c r="FF52" s="236"/>
      <c r="FG52" s="236"/>
      <c r="FH52" s="236"/>
      <c r="FI52" s="236"/>
      <c r="FJ52" s="236"/>
      <c r="FK52" s="236"/>
      <c r="FL52" s="236"/>
      <c r="FM52" s="236"/>
      <c r="FN52" s="236"/>
      <c r="FO52" s="236"/>
      <c r="FP52" s="236"/>
      <c r="FQ52" s="236"/>
      <c r="FR52" s="236"/>
      <c r="FS52" s="236"/>
      <c r="FT52" s="236"/>
      <c r="FU52" s="236"/>
      <c r="FV52" s="236"/>
      <c r="FW52" s="236"/>
      <c r="FX52" s="236"/>
      <c r="FY52" s="236"/>
      <c r="FZ52" s="236"/>
      <c r="GA52" s="236"/>
      <c r="GB52" s="236"/>
      <c r="GC52" s="236"/>
      <c r="GD52" s="236"/>
      <c r="GE52" s="236"/>
      <c r="GF52" s="236"/>
      <c r="GG52" s="236"/>
      <c r="GH52" s="236"/>
      <c r="GI52" s="236"/>
      <c r="GJ52" s="236"/>
      <c r="GK52" s="236"/>
      <c r="GL52" s="236"/>
      <c r="GM52" s="236"/>
      <c r="GN52" s="236"/>
      <c r="GO52" s="236"/>
      <c r="GP52" s="236"/>
      <c r="GQ52" s="236"/>
      <c r="GR52" s="236"/>
      <c r="GS52" s="236"/>
      <c r="GT52" s="236"/>
      <c r="GU52" s="236"/>
      <c r="GV52" s="236"/>
      <c r="GW52" s="236"/>
      <c r="GX52" s="236"/>
      <c r="GY52" s="236"/>
      <c r="GZ52" s="236"/>
      <c r="HA52" s="236"/>
      <c r="HB52" s="236"/>
      <c r="HC52" s="236"/>
      <c r="HD52" s="236"/>
      <c r="HE52" s="236"/>
      <c r="HF52" s="236"/>
      <c r="HG52" s="236"/>
      <c r="HH52" s="236"/>
      <c r="HI52" s="236"/>
      <c r="HJ52" s="236"/>
      <c r="HK52" s="236"/>
      <c r="HL52" s="236"/>
      <c r="HM52" s="236"/>
      <c r="HN52" s="236"/>
      <c r="HO52" s="236"/>
      <c r="HP52" s="236"/>
      <c r="HQ52" s="236"/>
      <c r="HR52" s="236"/>
      <c r="HS52" s="236"/>
      <c r="HT52" s="236"/>
      <c r="HU52" s="236"/>
      <c r="HV52" s="236"/>
      <c r="HW52" s="236"/>
      <c r="HX52" s="236"/>
      <c r="HY52" s="236"/>
      <c r="HZ52" s="236"/>
      <c r="IA52" s="236"/>
      <c r="IB52" s="236"/>
      <c r="IC52" s="236"/>
      <c r="ID52" s="236"/>
      <c r="IE52" s="236"/>
      <c r="IF52" s="236"/>
      <c r="IG52" s="236"/>
      <c r="IH52" s="236"/>
      <c r="II52" s="236"/>
      <c r="IJ52" s="236"/>
      <c r="IK52" s="236"/>
      <c r="IL52" s="236"/>
      <c r="IM52" s="236"/>
      <c r="IN52" s="236"/>
      <c r="IO52" s="236"/>
      <c r="IP52" s="236"/>
      <c r="IQ52" s="236"/>
      <c r="IR52" s="236"/>
      <c r="IS52" s="236"/>
      <c r="IT52" s="236"/>
      <c r="IU52" s="236"/>
      <c r="IV52" s="236"/>
      <c r="IW52" s="236"/>
      <c r="IX52" s="236"/>
      <c r="IY52" s="236"/>
      <c r="IZ52" s="236"/>
      <c r="JA52" s="236"/>
      <c r="JB52" s="236"/>
      <c r="JC52" s="236"/>
      <c r="JD52" s="236"/>
      <c r="JE52" s="236"/>
      <c r="JF52" s="236"/>
      <c r="JG52" s="236"/>
      <c r="JH52" s="236"/>
      <c r="JI52" s="236"/>
      <c r="JJ52" s="236"/>
      <c r="JK52" s="236"/>
      <c r="JL52" s="236"/>
      <c r="JM52" s="236"/>
      <c r="JN52" s="236"/>
      <c r="JO52" s="236"/>
      <c r="JP52" s="236"/>
      <c r="JQ52" s="411"/>
      <c r="JR52" s="411"/>
      <c r="JS52" s="411"/>
      <c r="JT52" s="411"/>
      <c r="JU52" s="411"/>
      <c r="JV52" s="411"/>
      <c r="JW52" s="411"/>
      <c r="KH52" s="412">
        <f t="shared" si="17"/>
        <v>49</v>
      </c>
      <c r="KI52" s="413" t="str">
        <f t="shared" ca="1" si="6"/>
        <v/>
      </c>
      <c r="KJ52" s="413" t="str">
        <f t="shared" ca="1" si="18"/>
        <v/>
      </c>
      <c r="KK52" s="414" t="str">
        <f t="shared" ca="1" si="8"/>
        <v/>
      </c>
    </row>
    <row r="53" spans="3:297" ht="24" customHeight="1">
      <c r="C53"/>
      <c r="D53" s="57" t="str">
        <f ca="1">INDIRECT(ADDRESS(ROWS($D$3:D52)+6,D$3,1,1,"3_TIME SUM"))</f>
        <v>Slip and Cut Drill Line</v>
      </c>
      <c r="E53" s="81" t="str">
        <f ca="1">IF(INDIRECT(ADDRESS(ROWS($E$3:E52)+6,E$3,1,1,"3_TIME SUM"))=0,E52,INDIRECT(ADDRESS(ROWS($E$3:E52)+6,E$3,1,1,"3_TIME SUM")))</f>
        <v>Cut off Drilling Line</v>
      </c>
      <c r="F53" s="57" t="str">
        <f t="shared" ca="1" si="3"/>
        <v>Cut off Drilling Line : Slip and Cut Drill Line</v>
      </c>
      <c r="G53" s="58" t="str">
        <f ca="1">VLOOKUP($D53,INDIRECT(ADDRESS(7,5,1,1,"3_TIME SUM")):INDIRECT(ADDRESS(200,7,1,1,"3_TIME SUM")),2,FALSE)</f>
        <v>9a</v>
      </c>
      <c r="H53" s="58" t="str">
        <f ca="1">IF(VLOOKUP($D53,INDIRECT(ADDRESS(7,5,1,1,"3_TIME SUM")):INDIRECT(ADDRESS(200,7,1,1,"3_TIME SUM")),3,FALSE)="","PT",VLOOKUP($D53,INDIRECT(ADDRESS(7,5,1,1,"3_TIME SUM")):INDIRECT(ADDRESS(200,7,1,1,"3_TIME SUM")),3,FALSE))</f>
        <v>PT</v>
      </c>
      <c r="I53" s="59">
        <f ca="1">IFERROR(IF(AND($D$2="NON PRODUCTIVE TIME",$H53="NPT"),SUMIF(INDIRECT(ADDRESS(8,COLUMN('2_DATA'!$M$9),1,1,"2_DATA")):INDIRECT(ADDRESS(3000,COLUMN('2_DATA'!$M$9),1,1,"2_DATA")),$G53,INDIRECT(ADDRESS(8,COLUMN('2_DATA'!$N$9),1,1,"2_DATA")):INDIRECT(ADDRESS(3000,COLUMN('2_DATA'!$N$9),1,1,"2_DATA"))),IF($D$2="ALL ACTIVITY",SUMIF(INDIRECT(ADDRESS(9,COLUMN('2_DATA'!$M$9),1,1,"2_DATA")):INDIRECT(ADDRESS(3000,COLUMN('2_DATA'!$M$9),1,1,"2_DATA")),$G53,INDIRECT(ADDRESS(9,COLUMN('2_DATA'!$N$9),1,1,"2_DATA")):INDIRECT(ADDRESS(3000,COLUMN('2_DATA'!$N$9),1,1,"2_DATA"))),SUMIF(INDIRECT(ADDRESS(OFFSET($A$3,MATCH($D$2,$A$4:$A$16,0)-1,1,,)+1,COLUMN('2_DATA'!$M$9),1,1,"2_DATA")):INDIRECT(ADDRESS(VLOOKUP($D$2,$A$4:$B$16,2,FALSE)-1,COLUMN('2_DATA'!$M$9),1,1,"2_DATA")),$G53,INDIRECT(ADDRESS(OFFSET($A$3,MATCH($D$2,$A$4:$A$16,0)-1,1,,)+1,COLUMN('2_DATA'!$N$9),1,1,"2_DATA")):INDIRECT(ADDRESS(VLOOKUP($D$2,$A$4:$B$16,2,FALSE)-1,COLUMN('2_DATA'!$N$9),1,1,"2_DATA"))))),0)</f>
        <v>0</v>
      </c>
      <c r="J53" s="58" t="str">
        <f ca="1">IF(I53=0,"",MAX($J$3:J52)+1)</f>
        <v/>
      </c>
      <c r="L53" s="55">
        <f t="shared" ca="1" si="0"/>
        <v>1000</v>
      </c>
      <c r="M53" s="55" t="str">
        <f t="shared" ca="1" si="4"/>
        <v/>
      </c>
      <c r="N53" s="55"/>
      <c r="O53" s="55" t="str">
        <f t="shared" ca="1" si="10"/>
        <v/>
      </c>
      <c r="P53" s="55">
        <f t="shared" ca="1" si="1"/>
        <v>0</v>
      </c>
      <c r="Q53" s="55" t="str">
        <f ca="1">IFERROR(INDEX($O$4:$P$226,MATCH(ROWS($Q$3:Q52),$P$4:$P$226,0),1),"-")</f>
        <v>-</v>
      </c>
      <c r="R53" s="62" t="str">
        <f t="shared" ca="1" si="2"/>
        <v/>
      </c>
      <c r="S53" s="55" t="str">
        <f t="shared" ca="1" si="5"/>
        <v/>
      </c>
      <c r="T53" s="67">
        <f t="shared" ca="1" si="19"/>
        <v>1018</v>
      </c>
      <c r="U53"/>
      <c r="V53" s="68" t="str">
        <f t="shared" ca="1" si="11"/>
        <v/>
      </c>
      <c r="W53" s="69" t="str">
        <f t="shared" ca="1" si="12"/>
        <v/>
      </c>
      <c r="X53" s="70" t="s">
        <v>84</v>
      </c>
      <c r="Y53" s="68" t="str">
        <f t="shared" ca="1" si="16"/>
        <v/>
      </c>
      <c r="Z53" s="71" t="str">
        <f t="shared" ca="1" si="13"/>
        <v/>
      </c>
      <c r="AA53" s="72" t="str">
        <f t="shared" ca="1" si="14"/>
        <v/>
      </c>
      <c r="AB53" s="305" t="str">
        <f t="shared" ca="1" si="15"/>
        <v/>
      </c>
      <c r="AC53" s="236"/>
      <c r="AD53" s="236"/>
      <c r="AE53" s="236"/>
      <c r="AF53" s="236"/>
      <c r="AG53" s="236"/>
      <c r="AH53" s="236"/>
      <c r="AI53" s="236"/>
      <c r="AJ53" s="236"/>
      <c r="AK53" s="236"/>
      <c r="AL53" s="236"/>
      <c r="AM53" s="236"/>
      <c r="AN53" s="236"/>
      <c r="AO53" s="236"/>
      <c r="AP53" s="236"/>
      <c r="AQ53" s="236"/>
      <c r="AR53" s="236"/>
      <c r="AS53" s="236"/>
      <c r="AT53" s="236"/>
      <c r="AU53" s="236"/>
      <c r="AV53" s="236"/>
      <c r="AW53" s="236"/>
      <c r="AX53" s="236"/>
      <c r="AY53" s="236"/>
      <c r="AZ53" s="236"/>
      <c r="BA53" s="236"/>
      <c r="BB53" s="236"/>
      <c r="BC53" s="236"/>
      <c r="BD53" s="236"/>
      <c r="BE53" s="236"/>
      <c r="BF53" s="236"/>
      <c r="BG53" s="236"/>
      <c r="BH53" s="236"/>
      <c r="BI53" s="236"/>
      <c r="BJ53" s="236"/>
      <c r="BK53" s="236"/>
      <c r="BL53" s="236"/>
      <c r="BM53" s="236"/>
      <c r="BN53" s="236"/>
      <c r="BO53" s="236"/>
      <c r="BP53" s="236"/>
      <c r="BQ53" s="236"/>
      <c r="BR53" s="236"/>
      <c r="BS53" s="236"/>
      <c r="BT53" s="236"/>
      <c r="BU53" s="236"/>
      <c r="BV53" s="236"/>
      <c r="BW53" s="236"/>
      <c r="BX53" s="236"/>
      <c r="BY53" s="236"/>
      <c r="BZ53" s="236"/>
      <c r="CA53" s="236"/>
      <c r="CB53" s="236"/>
      <c r="CC53" s="236"/>
      <c r="CD53" s="236"/>
      <c r="CE53" s="236"/>
      <c r="CF53" s="236"/>
      <c r="CG53" s="236"/>
      <c r="CH53" s="236"/>
      <c r="CI53" s="236"/>
      <c r="CJ53" s="236"/>
      <c r="CK53" s="236"/>
      <c r="CL53" s="236"/>
      <c r="CM53" s="236"/>
      <c r="CN53" s="236"/>
      <c r="CO53" s="236"/>
      <c r="CP53" s="236"/>
      <c r="CQ53" s="236"/>
      <c r="CR53" s="236"/>
      <c r="CS53" s="236"/>
      <c r="CT53" s="236"/>
      <c r="CU53" s="236"/>
      <c r="CV53" s="236"/>
      <c r="CW53" s="236"/>
      <c r="CX53" s="236"/>
      <c r="CY53" s="236"/>
      <c r="CZ53" s="236"/>
      <c r="DA53" s="236"/>
      <c r="DB53" s="236"/>
      <c r="DC53" s="236"/>
      <c r="DD53" s="236"/>
      <c r="DE53" s="236"/>
      <c r="DF53" s="236"/>
      <c r="DG53" s="236"/>
      <c r="DH53" s="236"/>
      <c r="DI53" s="236"/>
      <c r="DJ53" s="236"/>
      <c r="DK53" s="236"/>
      <c r="DL53" s="236"/>
      <c r="DM53" s="236"/>
      <c r="DN53" s="236"/>
      <c r="DO53" s="236"/>
      <c r="DP53" s="236"/>
      <c r="DQ53" s="236"/>
      <c r="DR53" s="236"/>
      <c r="DS53" s="236"/>
      <c r="DT53" s="236"/>
      <c r="DU53" s="236"/>
      <c r="DV53" s="236"/>
      <c r="DW53" s="236"/>
      <c r="DX53" s="236"/>
      <c r="DY53" s="236"/>
      <c r="DZ53" s="236"/>
      <c r="EA53" s="236"/>
      <c r="EB53" s="236"/>
      <c r="EC53" s="236"/>
      <c r="ED53" s="236"/>
      <c r="EE53" s="236"/>
      <c r="EF53" s="236"/>
      <c r="EG53" s="236"/>
      <c r="EH53" s="236"/>
      <c r="EI53" s="236"/>
      <c r="EJ53" s="236"/>
      <c r="EK53" s="236"/>
      <c r="EL53" s="236"/>
      <c r="EM53" s="236"/>
      <c r="EN53" s="236"/>
      <c r="EO53" s="236"/>
      <c r="EP53" s="236"/>
      <c r="EQ53" s="236"/>
      <c r="ER53" s="236"/>
      <c r="ES53" s="236"/>
      <c r="ET53" s="236"/>
      <c r="EU53" s="236"/>
      <c r="EV53" s="236"/>
      <c r="EW53" s="236"/>
      <c r="EX53" s="236"/>
      <c r="EY53" s="236"/>
      <c r="EZ53" s="236"/>
      <c r="FA53" s="236"/>
      <c r="FB53" s="236"/>
      <c r="FC53" s="236"/>
      <c r="FD53" s="236"/>
      <c r="FE53" s="236"/>
      <c r="FF53" s="236"/>
      <c r="FG53" s="236"/>
      <c r="FH53" s="236"/>
      <c r="FI53" s="236"/>
      <c r="FJ53" s="236"/>
      <c r="FK53" s="236"/>
      <c r="FL53" s="236"/>
      <c r="FM53" s="236"/>
      <c r="FN53" s="236"/>
      <c r="FO53" s="236"/>
      <c r="FP53" s="236"/>
      <c r="FQ53" s="236"/>
      <c r="FR53" s="236"/>
      <c r="FS53" s="236"/>
      <c r="FT53" s="236"/>
      <c r="FU53" s="236"/>
      <c r="FV53" s="236"/>
      <c r="FW53" s="236"/>
      <c r="FX53" s="236"/>
      <c r="FY53" s="236"/>
      <c r="FZ53" s="236"/>
      <c r="GA53" s="236"/>
      <c r="GB53" s="236"/>
      <c r="GC53" s="236"/>
      <c r="GD53" s="236"/>
      <c r="GE53" s="236"/>
      <c r="GF53" s="236"/>
      <c r="GG53" s="236"/>
      <c r="GH53" s="236"/>
      <c r="GI53" s="236"/>
      <c r="GJ53" s="236"/>
      <c r="GK53" s="236"/>
      <c r="GL53" s="236"/>
      <c r="GM53" s="236"/>
      <c r="GN53" s="236"/>
      <c r="GO53" s="236"/>
      <c r="GP53" s="236"/>
      <c r="GQ53" s="236"/>
      <c r="GR53" s="236"/>
      <c r="GS53" s="236"/>
      <c r="GT53" s="236"/>
      <c r="GU53" s="236"/>
      <c r="GV53" s="236"/>
      <c r="GW53" s="236"/>
      <c r="GX53" s="236"/>
      <c r="GY53" s="236"/>
      <c r="GZ53" s="236"/>
      <c r="HA53" s="236"/>
      <c r="HB53" s="236"/>
      <c r="HC53" s="236"/>
      <c r="HD53" s="236"/>
      <c r="HE53" s="236"/>
      <c r="HF53" s="236"/>
      <c r="HG53" s="236"/>
      <c r="HH53" s="236"/>
      <c r="HI53" s="236"/>
      <c r="HJ53" s="236"/>
      <c r="HK53" s="236"/>
      <c r="HL53" s="236"/>
      <c r="HM53" s="236"/>
      <c r="HN53" s="236"/>
      <c r="HO53" s="236"/>
      <c r="HP53" s="236"/>
      <c r="HQ53" s="236"/>
      <c r="HR53" s="236"/>
      <c r="HS53" s="236"/>
      <c r="HT53" s="236"/>
      <c r="HU53" s="236"/>
      <c r="HV53" s="236"/>
      <c r="HW53" s="236"/>
      <c r="HX53" s="236"/>
      <c r="HY53" s="236"/>
      <c r="HZ53" s="236"/>
      <c r="IA53" s="236"/>
      <c r="IB53" s="236"/>
      <c r="IC53" s="236"/>
      <c r="ID53" s="236"/>
      <c r="IE53" s="236"/>
      <c r="IF53" s="236"/>
      <c r="IG53" s="236"/>
      <c r="IH53" s="236"/>
      <c r="II53" s="236"/>
      <c r="IJ53" s="236"/>
      <c r="IK53" s="236"/>
      <c r="IL53" s="236"/>
      <c r="IM53" s="236"/>
      <c r="IN53" s="236"/>
      <c r="IO53" s="236"/>
      <c r="IP53" s="236"/>
      <c r="IQ53" s="236"/>
      <c r="IR53" s="236"/>
      <c r="IS53" s="236"/>
      <c r="IT53" s="236"/>
      <c r="IU53" s="236"/>
      <c r="IV53" s="236"/>
      <c r="IW53" s="236"/>
      <c r="IX53" s="236"/>
      <c r="IY53" s="236"/>
      <c r="IZ53" s="236"/>
      <c r="JA53" s="236"/>
      <c r="JB53" s="236"/>
      <c r="JC53" s="236"/>
      <c r="JD53" s="236"/>
      <c r="JE53" s="236"/>
      <c r="JF53" s="236"/>
      <c r="JG53" s="236"/>
      <c r="JH53" s="236"/>
      <c r="JI53" s="236"/>
      <c r="JJ53" s="236"/>
      <c r="JK53" s="236"/>
      <c r="JL53" s="236"/>
      <c r="JM53" s="236"/>
      <c r="JN53" s="236"/>
      <c r="JO53" s="236"/>
      <c r="JP53" s="236"/>
      <c r="JQ53" s="411"/>
      <c r="JR53" s="411"/>
      <c r="JS53" s="411"/>
      <c r="JT53" s="411"/>
      <c r="JU53" s="411"/>
      <c r="JV53" s="411"/>
      <c r="JW53" s="411"/>
      <c r="KH53" s="412">
        <f t="shared" si="17"/>
        <v>50</v>
      </c>
      <c r="KI53" s="413" t="str">
        <f t="shared" ca="1" si="6"/>
        <v/>
      </c>
      <c r="KJ53" s="413" t="str">
        <f t="shared" ca="1" si="18"/>
        <v/>
      </c>
      <c r="KK53" s="414" t="str">
        <f t="shared" ca="1" si="8"/>
        <v/>
      </c>
    </row>
    <row r="54" spans="3:297" ht="24" customHeight="1">
      <c r="C54"/>
      <c r="D54" s="57" t="str">
        <f ca="1">INDIRECT(ADDRESS(ROWS($D$3:D53)+6,D$3,1,1,"3_TIME SUM"))</f>
        <v>Performing Survey Operations</v>
      </c>
      <c r="E54" s="81" t="str">
        <f ca="1">IF(INDIRECT(ADDRESS(ROWS($E$3:E53)+6,E$3,1,1,"3_TIME SUM"))=0,E53,INDIRECT(ADDRESS(ROWS($E$3:E53)+6,E$3,1,1,"3_TIME SUM")))</f>
        <v>Deviation Survey</v>
      </c>
      <c r="F54" s="57" t="str">
        <f t="shared" ca="1" si="3"/>
        <v>Deviation Survey : Performing Survey Operations</v>
      </c>
      <c r="G54" s="58" t="str">
        <f ca="1">VLOOKUP($D54,INDIRECT(ADDRESS(7,5,1,1,"3_TIME SUM")):INDIRECT(ADDRESS(200,7,1,1,"3_TIME SUM")),2,FALSE)</f>
        <v>10b</v>
      </c>
      <c r="H54" s="58" t="str">
        <f ca="1">IF(VLOOKUP($D54,INDIRECT(ADDRESS(7,5,1,1,"3_TIME SUM")):INDIRECT(ADDRESS(200,7,1,1,"3_TIME SUM")),3,FALSE)="","PT",VLOOKUP($D54,INDIRECT(ADDRESS(7,5,1,1,"3_TIME SUM")):INDIRECT(ADDRESS(200,7,1,1,"3_TIME SUM")),3,FALSE))</f>
        <v>PT</v>
      </c>
      <c r="I54" s="59">
        <f ca="1">IFERROR(IF(AND($D$2="NON PRODUCTIVE TIME",$H54="NPT"),SUMIF(INDIRECT(ADDRESS(8,COLUMN('2_DATA'!$M$9),1,1,"2_DATA")):INDIRECT(ADDRESS(3000,COLUMN('2_DATA'!$M$9),1,1,"2_DATA")),$G54,INDIRECT(ADDRESS(8,COLUMN('2_DATA'!$N$9),1,1,"2_DATA")):INDIRECT(ADDRESS(3000,COLUMN('2_DATA'!$N$9),1,1,"2_DATA"))),IF($D$2="ALL ACTIVITY",SUMIF(INDIRECT(ADDRESS(9,COLUMN('2_DATA'!$M$9),1,1,"2_DATA")):INDIRECT(ADDRESS(3000,COLUMN('2_DATA'!$M$9),1,1,"2_DATA")),$G54,INDIRECT(ADDRESS(9,COLUMN('2_DATA'!$N$9),1,1,"2_DATA")):INDIRECT(ADDRESS(3000,COLUMN('2_DATA'!$N$9),1,1,"2_DATA"))),SUMIF(INDIRECT(ADDRESS(OFFSET($A$3,MATCH($D$2,$A$4:$A$16,0)-1,1,,)+1,COLUMN('2_DATA'!$M$9),1,1,"2_DATA")):INDIRECT(ADDRESS(VLOOKUP($D$2,$A$4:$B$16,2,FALSE)-1,COLUMN('2_DATA'!$M$9),1,1,"2_DATA")),$G54,INDIRECT(ADDRESS(OFFSET($A$3,MATCH($D$2,$A$4:$A$16,0)-1,1,,)+1,COLUMN('2_DATA'!$N$9),1,1,"2_DATA")):INDIRECT(ADDRESS(VLOOKUP($D$2,$A$4:$B$16,2,FALSE)-1,COLUMN('2_DATA'!$N$9),1,1,"2_DATA"))))),0)</f>
        <v>0</v>
      </c>
      <c r="J54" s="58" t="str">
        <f ca="1">IF(I54=0,"",MAX($J$3:J53)+1)</f>
        <v/>
      </c>
      <c r="L54" s="55">
        <f t="shared" ca="1" si="0"/>
        <v>1000</v>
      </c>
      <c r="M54" s="55" t="str">
        <f t="shared" ca="1" si="4"/>
        <v/>
      </c>
      <c r="N54" s="55"/>
      <c r="O54" s="55">
        <f t="shared" ca="1" si="10"/>
        <v>1012</v>
      </c>
      <c r="P54" s="55">
        <f t="shared" ca="1" si="1"/>
        <v>13</v>
      </c>
      <c r="Q54" s="55" t="str">
        <f ca="1">IFERROR(INDEX($O$4:$P$226,MATCH(ROWS($Q$3:Q53),$P$4:$P$226,0),1),"-")</f>
        <v>-</v>
      </c>
      <c r="R54" s="62" t="str">
        <f t="shared" ca="1" si="2"/>
        <v/>
      </c>
      <c r="S54" s="55" t="str">
        <f t="shared" ca="1" si="5"/>
        <v/>
      </c>
      <c r="T54" s="67">
        <f t="shared" ca="1" si="19"/>
        <v>1019</v>
      </c>
      <c r="U54" s="16"/>
      <c r="V54" s="68" t="str">
        <f t="shared" ca="1" si="11"/>
        <v/>
      </c>
      <c r="W54" s="69" t="str">
        <f t="shared" ca="1" si="12"/>
        <v/>
      </c>
      <c r="X54" s="70" t="s">
        <v>84</v>
      </c>
      <c r="Y54" s="68" t="str">
        <f t="shared" ca="1" si="16"/>
        <v/>
      </c>
      <c r="Z54" s="71" t="str">
        <f t="shared" ca="1" si="13"/>
        <v/>
      </c>
      <c r="AA54" s="72" t="str">
        <f t="shared" ca="1" si="14"/>
        <v/>
      </c>
      <c r="AB54" s="305" t="str">
        <f t="shared" ca="1" si="15"/>
        <v/>
      </c>
      <c r="AC54" s="236"/>
      <c r="AD54" s="236"/>
      <c r="AE54" s="236"/>
      <c r="AF54" s="236"/>
      <c r="AG54" s="236"/>
      <c r="AH54" s="236"/>
      <c r="AI54" s="236"/>
      <c r="AJ54" s="236"/>
      <c r="AK54" s="236"/>
      <c r="AL54" s="236"/>
      <c r="AM54" s="236"/>
      <c r="AN54" s="236"/>
      <c r="AO54" s="236"/>
      <c r="AP54" s="236"/>
      <c r="AQ54" s="236"/>
      <c r="AR54" s="236"/>
      <c r="AS54" s="236"/>
      <c r="AT54" s="236"/>
      <c r="AU54" s="236"/>
      <c r="AV54" s="236"/>
      <c r="AW54" s="236"/>
      <c r="AX54" s="236"/>
      <c r="AY54" s="236"/>
      <c r="AZ54" s="236"/>
      <c r="BA54" s="236"/>
      <c r="BB54" s="236"/>
      <c r="BC54" s="236"/>
      <c r="BD54" s="236"/>
      <c r="BE54" s="236"/>
      <c r="BF54" s="236"/>
      <c r="BG54" s="236"/>
      <c r="BH54" s="236"/>
      <c r="BI54" s="236"/>
      <c r="BJ54" s="236"/>
      <c r="BK54" s="236"/>
      <c r="BL54" s="236"/>
      <c r="BM54" s="236"/>
      <c r="BN54" s="236"/>
      <c r="BO54" s="236"/>
      <c r="BP54" s="236"/>
      <c r="BQ54" s="236"/>
      <c r="BR54" s="236"/>
      <c r="BS54" s="236"/>
      <c r="BT54" s="236"/>
      <c r="BU54" s="236"/>
      <c r="BV54" s="236"/>
      <c r="BW54" s="236"/>
      <c r="BX54" s="236"/>
      <c r="BY54" s="236"/>
      <c r="BZ54" s="236"/>
      <c r="CA54" s="236"/>
      <c r="CB54" s="236"/>
      <c r="CC54" s="236"/>
      <c r="CD54" s="236"/>
      <c r="CE54" s="236"/>
      <c r="CF54" s="236"/>
      <c r="CG54" s="236"/>
      <c r="CH54" s="236"/>
      <c r="CI54" s="236"/>
      <c r="CJ54" s="236"/>
      <c r="CK54" s="236"/>
      <c r="CL54" s="236"/>
      <c r="CM54" s="236"/>
      <c r="CN54" s="236"/>
      <c r="CO54" s="236"/>
      <c r="CP54" s="236"/>
      <c r="CQ54" s="236"/>
      <c r="CR54" s="236"/>
      <c r="CS54" s="236"/>
      <c r="CT54" s="236"/>
      <c r="CU54" s="236"/>
      <c r="CV54" s="236"/>
      <c r="CW54" s="236"/>
      <c r="CX54" s="236"/>
      <c r="CY54" s="236"/>
      <c r="CZ54" s="236"/>
      <c r="DA54" s="236"/>
      <c r="DB54" s="236"/>
      <c r="DC54" s="236"/>
      <c r="DD54" s="236"/>
      <c r="DE54" s="236"/>
      <c r="DF54" s="236"/>
      <c r="DG54" s="236"/>
      <c r="DH54" s="236"/>
      <c r="DI54" s="236"/>
      <c r="DJ54" s="236"/>
      <c r="DK54" s="236"/>
      <c r="DL54" s="236"/>
      <c r="DM54" s="236"/>
      <c r="DN54" s="236"/>
      <c r="DO54" s="236"/>
      <c r="DP54" s="236"/>
      <c r="DQ54" s="236"/>
      <c r="DR54" s="236"/>
      <c r="DS54" s="236"/>
      <c r="DT54" s="236"/>
      <c r="DU54" s="236"/>
      <c r="DV54" s="236"/>
      <c r="DW54" s="236"/>
      <c r="DX54" s="236"/>
      <c r="DY54" s="236"/>
      <c r="DZ54" s="236"/>
      <c r="EA54" s="236"/>
      <c r="EB54" s="236"/>
      <c r="EC54" s="236"/>
      <c r="ED54" s="236"/>
      <c r="EE54" s="236"/>
      <c r="EF54" s="236"/>
      <c r="EG54" s="236"/>
      <c r="EH54" s="236"/>
      <c r="EI54" s="236"/>
      <c r="EJ54" s="236"/>
      <c r="EK54" s="236"/>
      <c r="EL54" s="236"/>
      <c r="EM54" s="236"/>
      <c r="EN54" s="236"/>
      <c r="EO54" s="236"/>
      <c r="EP54" s="236"/>
      <c r="EQ54" s="236"/>
      <c r="ER54" s="236"/>
      <c r="ES54" s="236"/>
      <c r="ET54" s="236"/>
      <c r="EU54" s="236"/>
      <c r="EV54" s="236"/>
      <c r="EW54" s="236"/>
      <c r="EX54" s="236"/>
      <c r="EY54" s="236"/>
      <c r="EZ54" s="236"/>
      <c r="FA54" s="236"/>
      <c r="FB54" s="236"/>
      <c r="FC54" s="236"/>
      <c r="FD54" s="236"/>
      <c r="FE54" s="236"/>
      <c r="FF54" s="236"/>
      <c r="FG54" s="236"/>
      <c r="FH54" s="236"/>
      <c r="FI54" s="236"/>
      <c r="FJ54" s="236"/>
      <c r="FK54" s="236"/>
      <c r="FL54" s="236"/>
      <c r="FM54" s="236"/>
      <c r="FN54" s="236"/>
      <c r="FO54" s="236"/>
      <c r="FP54" s="236"/>
      <c r="FQ54" s="236"/>
      <c r="FR54" s="236"/>
      <c r="FS54" s="236"/>
      <c r="FT54" s="236"/>
      <c r="FU54" s="236"/>
      <c r="FV54" s="236"/>
      <c r="FW54" s="236"/>
      <c r="FX54" s="236"/>
      <c r="FY54" s="236"/>
      <c r="FZ54" s="236"/>
      <c r="GA54" s="236"/>
      <c r="GB54" s="236"/>
      <c r="GC54" s="236"/>
      <c r="GD54" s="236"/>
      <c r="GE54" s="236"/>
      <c r="GF54" s="236"/>
      <c r="GG54" s="236"/>
      <c r="GH54" s="236"/>
      <c r="GI54" s="236"/>
      <c r="GJ54" s="236"/>
      <c r="GK54" s="236"/>
      <c r="GL54" s="236"/>
      <c r="GM54" s="236"/>
      <c r="GN54" s="236"/>
      <c r="GO54" s="236"/>
      <c r="GP54" s="236"/>
      <c r="GQ54" s="236"/>
      <c r="GR54" s="236"/>
      <c r="GS54" s="236"/>
      <c r="GT54" s="236"/>
      <c r="GU54" s="236"/>
      <c r="GV54" s="236"/>
      <c r="GW54" s="236"/>
      <c r="GX54" s="236"/>
      <c r="GY54" s="236"/>
      <c r="GZ54" s="236"/>
      <c r="HA54" s="236"/>
      <c r="HB54" s="236"/>
      <c r="HC54" s="236"/>
      <c r="HD54" s="236"/>
      <c r="HE54" s="236"/>
      <c r="HF54" s="236"/>
      <c r="HG54" s="236"/>
      <c r="HH54" s="236"/>
      <c r="HI54" s="236"/>
      <c r="HJ54" s="236"/>
      <c r="HK54" s="236"/>
      <c r="HL54" s="236"/>
      <c r="HM54" s="236"/>
      <c r="HN54" s="236"/>
      <c r="HO54" s="236"/>
      <c r="HP54" s="236"/>
      <c r="HQ54" s="236"/>
      <c r="HR54" s="236"/>
      <c r="HS54" s="236"/>
      <c r="HT54" s="236"/>
      <c r="HU54" s="236"/>
      <c r="HV54" s="236"/>
      <c r="HW54" s="236"/>
      <c r="HX54" s="236"/>
      <c r="HY54" s="236"/>
      <c r="HZ54" s="236"/>
      <c r="IA54" s="236"/>
      <c r="IB54" s="236"/>
      <c r="IC54" s="236"/>
      <c r="ID54" s="236"/>
      <c r="IE54" s="236"/>
      <c r="IF54" s="236"/>
      <c r="IG54" s="236"/>
      <c r="IH54" s="236"/>
      <c r="II54" s="236"/>
      <c r="IJ54" s="236"/>
      <c r="IK54" s="236"/>
      <c r="IL54" s="236"/>
      <c r="IM54" s="236"/>
      <c r="IN54" s="236"/>
      <c r="IO54" s="236"/>
      <c r="IP54" s="236"/>
      <c r="IQ54" s="236"/>
      <c r="IR54" s="236"/>
      <c r="IS54" s="236"/>
      <c r="IT54" s="236"/>
      <c r="IU54" s="236"/>
      <c r="IV54" s="236"/>
      <c r="IW54" s="236"/>
      <c r="IX54" s="236"/>
      <c r="IY54" s="236"/>
      <c r="IZ54" s="236"/>
      <c r="JA54" s="236"/>
      <c r="JB54" s="236"/>
      <c r="JC54" s="236"/>
      <c r="JD54" s="236"/>
      <c r="JE54" s="236"/>
      <c r="JF54" s="236"/>
      <c r="JG54" s="236"/>
      <c r="JH54" s="236"/>
      <c r="JI54" s="236"/>
      <c r="JJ54" s="236"/>
      <c r="JK54" s="236"/>
      <c r="JL54" s="236"/>
      <c r="JM54" s="236"/>
      <c r="JN54" s="236"/>
      <c r="JO54" s="236"/>
      <c r="JP54" s="236"/>
      <c r="JQ54" s="411"/>
      <c r="JR54" s="411"/>
      <c r="JS54" s="411"/>
      <c r="JT54" s="411"/>
      <c r="JU54" s="411"/>
      <c r="JV54" s="411"/>
      <c r="JW54" s="411"/>
      <c r="KH54" s="412">
        <f t="shared" si="17"/>
        <v>51</v>
      </c>
      <c r="KI54" s="413" t="str">
        <f t="shared" ca="1" si="6"/>
        <v/>
      </c>
      <c r="KJ54" s="413" t="str">
        <f t="shared" ref="KJ54:KJ85" ca="1" si="20">IFERROR(IF(KI54="","",IF(ISNA(INDEX($N$4:$O$5,MATCH(KI54,$O$4:$O$5,0),1)),INDEX($F$4:$M$226,MATCH(KI54,$M$4:$M$226,0),1),INDEX($N$4:$O$5,MATCH(KI54,$O$4:$O$5,0),1))),"")</f>
        <v/>
      </c>
      <c r="KK54" s="414" t="str">
        <f t="shared" ca="1" si="8"/>
        <v/>
      </c>
    </row>
    <row r="55" spans="3:297" ht="24" customHeight="1">
      <c r="C55"/>
      <c r="D55" s="57" t="str">
        <f ca="1">INDIRECT(ADDRESS(ROWS($D$3:D54)+6,D$3,1,1,"3_TIME SUM"))</f>
        <v xml:space="preserve">Wireline Logging / Drill Pipe conveyed </v>
      </c>
      <c r="E55" s="81" t="str">
        <f ca="1">IF(INDIRECT(ADDRESS(ROWS($E$3:E54)+6,E$3,1,1,"3_TIME SUM"))=0,E54,INDIRECT(ADDRESS(ROWS($E$3:E54)+6,E$3,1,1,"3_TIME SUM")))</f>
        <v>Wireline Logs</v>
      </c>
      <c r="F55" s="57" t="str">
        <f t="shared" ca="1" si="3"/>
        <v xml:space="preserve">Wireline Logs : Wireline Logging / Drill Pipe conveyed </v>
      </c>
      <c r="G55" s="58" t="str">
        <f ca="1">VLOOKUP($D55,INDIRECT(ADDRESS(7,5,1,1,"3_TIME SUM")):INDIRECT(ADDRESS(200,7,1,1,"3_TIME SUM")),2,FALSE)</f>
        <v>11a</v>
      </c>
      <c r="H55" s="58" t="str">
        <f ca="1">IF(VLOOKUP($D55,INDIRECT(ADDRESS(7,5,1,1,"3_TIME SUM")):INDIRECT(ADDRESS(200,7,1,1,"3_TIME SUM")),3,FALSE)="","PT",VLOOKUP($D55,INDIRECT(ADDRESS(7,5,1,1,"3_TIME SUM")):INDIRECT(ADDRESS(200,7,1,1,"3_TIME SUM")),3,FALSE))</f>
        <v>PT</v>
      </c>
      <c r="I55" s="59">
        <f ca="1">IFERROR(IF(AND($D$2="NON PRODUCTIVE TIME",$H55="NPT"),SUMIF(INDIRECT(ADDRESS(8,COLUMN('2_DATA'!$M$9),1,1,"2_DATA")):INDIRECT(ADDRESS(3000,COLUMN('2_DATA'!$M$9),1,1,"2_DATA")),$G55,INDIRECT(ADDRESS(8,COLUMN('2_DATA'!$N$9),1,1,"2_DATA")):INDIRECT(ADDRESS(3000,COLUMN('2_DATA'!$N$9),1,1,"2_DATA"))),IF($D$2="ALL ACTIVITY",SUMIF(INDIRECT(ADDRESS(9,COLUMN('2_DATA'!$M$9),1,1,"2_DATA")):INDIRECT(ADDRESS(3000,COLUMN('2_DATA'!$M$9),1,1,"2_DATA")),$G55,INDIRECT(ADDRESS(9,COLUMN('2_DATA'!$N$9),1,1,"2_DATA")):INDIRECT(ADDRESS(3000,COLUMN('2_DATA'!$N$9),1,1,"2_DATA"))),SUMIF(INDIRECT(ADDRESS(OFFSET($A$3,MATCH($D$2,$A$4:$A$16,0)-1,1,,)+1,COLUMN('2_DATA'!$M$9),1,1,"2_DATA")):INDIRECT(ADDRESS(VLOOKUP($D$2,$A$4:$B$16,2,FALSE)-1,COLUMN('2_DATA'!$M$9),1,1,"2_DATA")),$G55,INDIRECT(ADDRESS(OFFSET($A$3,MATCH($D$2,$A$4:$A$16,0)-1,1,,)+1,COLUMN('2_DATA'!$N$9),1,1,"2_DATA")):INDIRECT(ADDRESS(VLOOKUP($D$2,$A$4:$B$16,2,FALSE)-1,COLUMN('2_DATA'!$N$9),1,1,"2_DATA"))))),0)</f>
        <v>14.5</v>
      </c>
      <c r="J55" s="58">
        <f ca="1">IF(I55=0,"",MAX($J$3:J54)+1)</f>
        <v>13</v>
      </c>
      <c r="L55" s="55">
        <f t="shared" ca="1" si="0"/>
        <v>1000</v>
      </c>
      <c r="M55" s="55">
        <f t="shared" ca="1" si="4"/>
        <v>1013</v>
      </c>
      <c r="N55" s="55"/>
      <c r="O55" s="55" t="str">
        <f t="shared" ca="1" si="10"/>
        <v/>
      </c>
      <c r="P55" s="55">
        <f t="shared" ca="1" si="1"/>
        <v>0</v>
      </c>
      <c r="Q55" s="55" t="str">
        <f ca="1">IFERROR(INDEX($O$4:$P$226,MATCH(ROWS($Q$3:Q54),$P$4:$P$226,0),1),"-")</f>
        <v>-</v>
      </c>
      <c r="R55" s="62" t="str">
        <f t="shared" ca="1" si="2"/>
        <v/>
      </c>
      <c r="S55" s="55" t="str">
        <f t="shared" ca="1" si="5"/>
        <v/>
      </c>
      <c r="T55" s="67">
        <f t="shared" ca="1" si="19"/>
        <v>1020</v>
      </c>
      <c r="U55"/>
      <c r="V55" s="68" t="str">
        <f t="shared" ca="1" si="11"/>
        <v/>
      </c>
      <c r="W55" s="69" t="str">
        <f t="shared" ca="1" si="12"/>
        <v/>
      </c>
      <c r="X55" s="70" t="s">
        <v>84</v>
      </c>
      <c r="Y55" s="68" t="str">
        <f t="shared" ca="1" si="16"/>
        <v/>
      </c>
      <c r="Z55" s="71" t="str">
        <f t="shared" ca="1" si="13"/>
        <v/>
      </c>
      <c r="AA55" s="72" t="str">
        <f t="shared" ca="1" si="14"/>
        <v/>
      </c>
      <c r="AB55" s="305" t="str">
        <f t="shared" ca="1" si="15"/>
        <v/>
      </c>
      <c r="AC55" s="236"/>
      <c r="AD55" s="236"/>
      <c r="AE55" s="236"/>
      <c r="AF55" s="236"/>
      <c r="AG55" s="236"/>
      <c r="AH55" s="236"/>
      <c r="AI55" s="236"/>
      <c r="AJ55" s="236"/>
      <c r="AK55" s="236"/>
      <c r="AL55" s="236"/>
      <c r="AM55" s="236"/>
      <c r="AN55" s="236"/>
      <c r="AO55" s="236"/>
      <c r="AP55" s="236"/>
      <c r="AQ55" s="236"/>
      <c r="AR55" s="236"/>
      <c r="AS55" s="236"/>
      <c r="AT55" s="236"/>
      <c r="AU55" s="236"/>
      <c r="AV55" s="236"/>
      <c r="AW55" s="236"/>
      <c r="AX55" s="236"/>
      <c r="AY55" s="236"/>
      <c r="AZ55" s="236"/>
      <c r="BA55" s="236"/>
      <c r="BB55" s="236"/>
      <c r="BC55" s="236"/>
      <c r="BD55" s="236"/>
      <c r="BE55" s="236"/>
      <c r="BF55" s="236"/>
      <c r="BG55" s="236"/>
      <c r="BH55" s="236"/>
      <c r="BI55" s="236"/>
      <c r="BJ55" s="236"/>
      <c r="BK55" s="236"/>
      <c r="BL55" s="236"/>
      <c r="BM55" s="236"/>
      <c r="BN55" s="236"/>
      <c r="BO55" s="236"/>
      <c r="BP55" s="236"/>
      <c r="BQ55" s="236"/>
      <c r="BR55" s="236"/>
      <c r="BS55" s="236"/>
      <c r="BT55" s="236"/>
      <c r="BU55" s="236"/>
      <c r="BV55" s="236"/>
      <c r="BW55" s="236"/>
      <c r="BX55" s="236"/>
      <c r="BY55" s="236"/>
      <c r="BZ55" s="236"/>
      <c r="CA55" s="236"/>
      <c r="CB55" s="236"/>
      <c r="CC55" s="236"/>
      <c r="CD55" s="236"/>
      <c r="CE55" s="236"/>
      <c r="CF55" s="236"/>
      <c r="CG55" s="236"/>
      <c r="CH55" s="236"/>
      <c r="CI55" s="236"/>
      <c r="CJ55" s="236"/>
      <c r="CK55" s="236"/>
      <c r="CL55" s="236"/>
      <c r="CM55" s="236"/>
      <c r="CN55" s="236"/>
      <c r="CO55" s="236"/>
      <c r="CP55" s="236"/>
      <c r="CQ55" s="236"/>
      <c r="CR55" s="236"/>
      <c r="CS55" s="236"/>
      <c r="CT55" s="236"/>
      <c r="CU55" s="236"/>
      <c r="CV55" s="236"/>
      <c r="CW55" s="236"/>
      <c r="CX55" s="236"/>
      <c r="CY55" s="236"/>
      <c r="CZ55" s="236"/>
      <c r="DA55" s="236"/>
      <c r="DB55" s="236"/>
      <c r="DC55" s="236"/>
      <c r="DD55" s="236"/>
      <c r="DE55" s="236"/>
      <c r="DF55" s="236"/>
      <c r="DG55" s="236"/>
      <c r="DH55" s="236"/>
      <c r="DI55" s="236"/>
      <c r="DJ55" s="236"/>
      <c r="DK55" s="236"/>
      <c r="DL55" s="236"/>
      <c r="DM55" s="236"/>
      <c r="DN55" s="236"/>
      <c r="DO55" s="236"/>
      <c r="DP55" s="236"/>
      <c r="DQ55" s="236"/>
      <c r="DR55" s="236"/>
      <c r="DS55" s="236"/>
      <c r="DT55" s="236"/>
      <c r="DU55" s="236"/>
      <c r="DV55" s="236"/>
      <c r="DW55" s="236"/>
      <c r="DX55" s="236"/>
      <c r="DY55" s="236"/>
      <c r="DZ55" s="236"/>
      <c r="EA55" s="236"/>
      <c r="EB55" s="236"/>
      <c r="EC55" s="236"/>
      <c r="ED55" s="236"/>
      <c r="EE55" s="236"/>
      <c r="EF55" s="236"/>
      <c r="EG55" s="236"/>
      <c r="EH55" s="236"/>
      <c r="EI55" s="236"/>
      <c r="EJ55" s="236"/>
      <c r="EK55" s="236"/>
      <c r="EL55" s="236"/>
      <c r="EM55" s="236"/>
      <c r="EN55" s="236"/>
      <c r="EO55" s="236"/>
      <c r="EP55" s="236"/>
      <c r="EQ55" s="236"/>
      <c r="ER55" s="236"/>
      <c r="ES55" s="236"/>
      <c r="ET55" s="236"/>
      <c r="EU55" s="236"/>
      <c r="EV55" s="236"/>
      <c r="EW55" s="236"/>
      <c r="EX55" s="236"/>
      <c r="EY55" s="236"/>
      <c r="EZ55" s="236"/>
      <c r="FA55" s="236"/>
      <c r="FB55" s="236"/>
      <c r="FC55" s="236"/>
      <c r="FD55" s="236"/>
      <c r="FE55" s="236"/>
      <c r="FF55" s="236"/>
      <c r="FG55" s="236"/>
      <c r="FH55" s="236"/>
      <c r="FI55" s="236"/>
      <c r="FJ55" s="236"/>
      <c r="FK55" s="236"/>
      <c r="FL55" s="236"/>
      <c r="FM55" s="236"/>
      <c r="FN55" s="236"/>
      <c r="FO55" s="236"/>
      <c r="FP55" s="236"/>
      <c r="FQ55" s="236"/>
      <c r="FR55" s="236"/>
      <c r="FS55" s="236"/>
      <c r="FT55" s="236"/>
      <c r="FU55" s="236"/>
      <c r="FV55" s="236"/>
      <c r="FW55" s="236"/>
      <c r="FX55" s="236"/>
      <c r="FY55" s="236"/>
      <c r="FZ55" s="236"/>
      <c r="GA55" s="236"/>
      <c r="GB55" s="236"/>
      <c r="GC55" s="236"/>
      <c r="GD55" s="236"/>
      <c r="GE55" s="236"/>
      <c r="GF55" s="236"/>
      <c r="GG55" s="236"/>
      <c r="GH55" s="236"/>
      <c r="GI55" s="236"/>
      <c r="GJ55" s="236"/>
      <c r="GK55" s="236"/>
      <c r="GL55" s="236"/>
      <c r="GM55" s="236"/>
      <c r="GN55" s="236"/>
      <c r="GO55" s="236"/>
      <c r="GP55" s="236"/>
      <c r="GQ55" s="236"/>
      <c r="GR55" s="236"/>
      <c r="GS55" s="236"/>
      <c r="GT55" s="236"/>
      <c r="GU55" s="236"/>
      <c r="GV55" s="236"/>
      <c r="GW55" s="236"/>
      <c r="GX55" s="236"/>
      <c r="GY55" s="236"/>
      <c r="GZ55" s="236"/>
      <c r="HA55" s="236"/>
      <c r="HB55" s="236"/>
      <c r="HC55" s="236"/>
      <c r="HD55" s="236"/>
      <c r="HE55" s="236"/>
      <c r="HF55" s="236"/>
      <c r="HG55" s="236"/>
      <c r="HH55" s="236"/>
      <c r="HI55" s="236"/>
      <c r="HJ55" s="236"/>
      <c r="HK55" s="236"/>
      <c r="HL55" s="236"/>
      <c r="HM55" s="236"/>
      <c r="HN55" s="236"/>
      <c r="HO55" s="236"/>
      <c r="HP55" s="236"/>
      <c r="HQ55" s="236"/>
      <c r="HR55" s="236"/>
      <c r="HS55" s="236"/>
      <c r="HT55" s="236"/>
      <c r="HU55" s="236"/>
      <c r="HV55" s="236"/>
      <c r="HW55" s="236"/>
      <c r="HX55" s="236"/>
      <c r="HY55" s="236"/>
      <c r="HZ55" s="236"/>
      <c r="IA55" s="236"/>
      <c r="IB55" s="236"/>
      <c r="IC55" s="236"/>
      <c r="ID55" s="236"/>
      <c r="IE55" s="236"/>
      <c r="IF55" s="236"/>
      <c r="IG55" s="236"/>
      <c r="IH55" s="236"/>
      <c r="II55" s="236"/>
      <c r="IJ55" s="236"/>
      <c r="IK55" s="236"/>
      <c r="IL55" s="236"/>
      <c r="IM55" s="236"/>
      <c r="IN55" s="236"/>
      <c r="IO55" s="236"/>
      <c r="IP55" s="236"/>
      <c r="IQ55" s="236"/>
      <c r="IR55" s="236"/>
      <c r="IS55" s="236"/>
      <c r="IT55" s="236"/>
      <c r="IU55" s="236"/>
      <c r="IV55" s="236"/>
      <c r="IW55" s="236"/>
      <c r="IX55" s="236"/>
      <c r="IY55" s="236"/>
      <c r="IZ55" s="236"/>
      <c r="JA55" s="236"/>
      <c r="JB55" s="236"/>
      <c r="JC55" s="236"/>
      <c r="JD55" s="236"/>
      <c r="JE55" s="236"/>
      <c r="JF55" s="236"/>
      <c r="JG55" s="236"/>
      <c r="JH55" s="236"/>
      <c r="JI55" s="236"/>
      <c r="JJ55" s="236"/>
      <c r="JK55" s="236"/>
      <c r="JL55" s="236"/>
      <c r="JM55" s="236"/>
      <c r="JN55" s="236"/>
      <c r="JO55" s="236"/>
      <c r="JP55" s="236"/>
      <c r="JQ55" s="411"/>
      <c r="JR55" s="411"/>
      <c r="JS55" s="411"/>
      <c r="JT55" s="411"/>
      <c r="JU55" s="411"/>
      <c r="JV55" s="411"/>
      <c r="JW55" s="411"/>
      <c r="KH55" s="412">
        <f t="shared" si="17"/>
        <v>52</v>
      </c>
      <c r="KI55" s="413" t="str">
        <f t="shared" ca="1" si="6"/>
        <v/>
      </c>
      <c r="KJ55" s="413" t="str">
        <f t="shared" ca="1" si="20"/>
        <v/>
      </c>
      <c r="KK55" s="414" t="str">
        <f t="shared" ca="1" si="8"/>
        <v/>
      </c>
    </row>
    <row r="56" spans="3:297" ht="24" customHeight="1">
      <c r="C56"/>
      <c r="D56" s="57" t="str">
        <f ca="1">INDIRECT(ADDRESS(ROWS($D$3:D55)+6,D$3,1,1,"3_TIME SUM"))</f>
        <v>Wireline Work Other</v>
      </c>
      <c r="E56" s="81" t="str">
        <f ca="1">IF(INDIRECT(ADDRESS(ROWS($E$3:E55)+6,E$3,1,1,"3_TIME SUM"))=0,E55,INDIRECT(ADDRESS(ROWS($E$3:E55)+6,E$3,1,1,"3_TIME SUM")))</f>
        <v>Wireline Logs</v>
      </c>
      <c r="F56" s="57" t="str">
        <f t="shared" ca="1" si="3"/>
        <v>Wireline Logs : Wireline Work Other</v>
      </c>
      <c r="G56" s="58" t="str">
        <f ca="1">VLOOKUP($D56,INDIRECT(ADDRESS(7,5,1,1,"3_TIME SUM")):INDIRECT(ADDRESS(200,7,1,1,"3_TIME SUM")),2,FALSE)</f>
        <v>11b</v>
      </c>
      <c r="H56" s="58" t="str">
        <f ca="1">IF(VLOOKUP($D56,INDIRECT(ADDRESS(7,5,1,1,"3_TIME SUM")):INDIRECT(ADDRESS(200,7,1,1,"3_TIME SUM")),3,FALSE)="","PT",VLOOKUP($D56,INDIRECT(ADDRESS(7,5,1,1,"3_TIME SUM")):INDIRECT(ADDRESS(200,7,1,1,"3_TIME SUM")),3,FALSE))</f>
        <v>PT</v>
      </c>
      <c r="I56" s="59">
        <f ca="1">IFERROR(IF(AND($D$2="NON PRODUCTIVE TIME",$H56="NPT"),SUMIF(INDIRECT(ADDRESS(8,COLUMN('2_DATA'!$M$9),1,1,"2_DATA")):INDIRECT(ADDRESS(3000,COLUMN('2_DATA'!$M$9),1,1,"2_DATA")),$G56,INDIRECT(ADDRESS(8,COLUMN('2_DATA'!$N$9),1,1,"2_DATA")):INDIRECT(ADDRESS(3000,COLUMN('2_DATA'!$N$9),1,1,"2_DATA"))),IF($D$2="ALL ACTIVITY",SUMIF(INDIRECT(ADDRESS(9,COLUMN('2_DATA'!$M$9),1,1,"2_DATA")):INDIRECT(ADDRESS(3000,COLUMN('2_DATA'!$M$9),1,1,"2_DATA")),$G56,INDIRECT(ADDRESS(9,COLUMN('2_DATA'!$N$9),1,1,"2_DATA")):INDIRECT(ADDRESS(3000,COLUMN('2_DATA'!$N$9),1,1,"2_DATA"))),SUMIF(INDIRECT(ADDRESS(OFFSET($A$3,MATCH($D$2,$A$4:$A$16,0)-1,1,,)+1,COLUMN('2_DATA'!$M$9),1,1,"2_DATA")):INDIRECT(ADDRESS(VLOOKUP($D$2,$A$4:$B$16,2,FALSE)-1,COLUMN('2_DATA'!$M$9),1,1,"2_DATA")),$G56,INDIRECT(ADDRESS(OFFSET($A$3,MATCH($D$2,$A$4:$A$16,0)-1,1,,)+1,COLUMN('2_DATA'!$N$9),1,1,"2_DATA")):INDIRECT(ADDRESS(VLOOKUP($D$2,$A$4:$B$16,2,FALSE)-1,COLUMN('2_DATA'!$N$9),1,1,"2_DATA"))))),0)</f>
        <v>1</v>
      </c>
      <c r="J56" s="58">
        <f ca="1">IF(I56=0,"",MAX($J$3:J55)+1)</f>
        <v>14</v>
      </c>
      <c r="L56" s="55">
        <f t="shared" ca="1" si="0"/>
        <v>1000</v>
      </c>
      <c r="M56" s="55">
        <f t="shared" ca="1" si="4"/>
        <v>1014</v>
      </c>
      <c r="N56" s="55"/>
      <c r="O56" s="55" t="str">
        <f t="shared" ca="1" si="10"/>
        <v/>
      </c>
      <c r="P56" s="55">
        <f t="shared" ca="1" si="1"/>
        <v>0</v>
      </c>
      <c r="Q56" s="55" t="str">
        <f ca="1">IFERROR(INDEX($O$4:$P$226,MATCH(ROWS($Q$3:Q55),$P$4:$P$226,0),1),"-")</f>
        <v>-</v>
      </c>
      <c r="R56" s="62" t="str">
        <f t="shared" ca="1" si="2"/>
        <v/>
      </c>
      <c r="S56" s="55" t="str">
        <f t="shared" ca="1" si="5"/>
        <v/>
      </c>
      <c r="T56" s="67">
        <f t="shared" ca="1" si="19"/>
        <v>1021</v>
      </c>
      <c r="V56" s="68" t="str">
        <f t="shared" ca="1" si="11"/>
        <v/>
      </c>
      <c r="W56" s="69" t="str">
        <f t="shared" ca="1" si="12"/>
        <v/>
      </c>
      <c r="X56" s="70" t="s">
        <v>84</v>
      </c>
      <c r="Y56" s="68" t="str">
        <f t="shared" ca="1" si="16"/>
        <v/>
      </c>
      <c r="Z56" s="71" t="str">
        <f t="shared" ca="1" si="13"/>
        <v/>
      </c>
      <c r="AA56" s="72" t="str">
        <f t="shared" ca="1" si="14"/>
        <v/>
      </c>
      <c r="AB56" s="305" t="str">
        <f t="shared" ca="1" si="15"/>
        <v/>
      </c>
      <c r="AC56" s="236"/>
      <c r="AD56" s="236"/>
      <c r="AE56" s="236"/>
      <c r="AF56" s="236"/>
      <c r="AG56" s="236"/>
      <c r="AH56" s="236"/>
      <c r="AI56" s="236"/>
      <c r="AJ56" s="236"/>
      <c r="AK56" s="236"/>
      <c r="AL56" s="236"/>
      <c r="AM56" s="236"/>
      <c r="AN56" s="236"/>
      <c r="AO56" s="236"/>
      <c r="AP56" s="236"/>
      <c r="AQ56" s="236"/>
      <c r="AR56" s="236"/>
      <c r="AS56" s="236"/>
      <c r="AT56" s="236"/>
      <c r="AU56" s="236"/>
      <c r="AV56" s="236"/>
      <c r="AW56" s="236"/>
      <c r="AX56" s="236"/>
      <c r="AY56" s="236"/>
      <c r="AZ56" s="236"/>
      <c r="BA56" s="236"/>
      <c r="BB56" s="236"/>
      <c r="BC56" s="236"/>
      <c r="BD56" s="236"/>
      <c r="BE56" s="236"/>
      <c r="BF56" s="236"/>
      <c r="BG56" s="236"/>
      <c r="BH56" s="236"/>
      <c r="BI56" s="236"/>
      <c r="BJ56" s="236"/>
      <c r="BK56" s="236"/>
      <c r="BL56" s="236"/>
      <c r="BM56" s="236"/>
      <c r="BN56" s="236"/>
      <c r="BO56" s="236"/>
      <c r="BP56" s="236"/>
      <c r="BQ56" s="236"/>
      <c r="BR56" s="236"/>
      <c r="BS56" s="236"/>
      <c r="BT56" s="236"/>
      <c r="BU56" s="236"/>
      <c r="BV56" s="236"/>
      <c r="BW56" s="236"/>
      <c r="BX56" s="236"/>
      <c r="BY56" s="236"/>
      <c r="BZ56" s="236"/>
      <c r="CA56" s="236"/>
      <c r="CB56" s="236"/>
      <c r="CC56" s="236"/>
      <c r="CD56" s="236"/>
      <c r="CE56" s="236"/>
      <c r="CF56" s="236"/>
      <c r="CG56" s="236"/>
      <c r="CH56" s="236"/>
      <c r="CI56" s="236"/>
      <c r="CJ56" s="236"/>
      <c r="CK56" s="236"/>
      <c r="CL56" s="236"/>
      <c r="CM56" s="236"/>
      <c r="CN56" s="236"/>
      <c r="CO56" s="236"/>
      <c r="CP56" s="236"/>
      <c r="CQ56" s="236"/>
      <c r="CR56" s="236"/>
      <c r="CS56" s="236"/>
      <c r="CT56" s="236"/>
      <c r="CU56" s="236"/>
      <c r="CV56" s="236"/>
      <c r="CW56" s="236"/>
      <c r="CX56" s="236"/>
      <c r="CY56" s="236"/>
      <c r="CZ56" s="236"/>
      <c r="DA56" s="236"/>
      <c r="DB56" s="236"/>
      <c r="DC56" s="236"/>
      <c r="DD56" s="236"/>
      <c r="DE56" s="236"/>
      <c r="DF56" s="236"/>
      <c r="DG56" s="236"/>
      <c r="DH56" s="236"/>
      <c r="DI56" s="236"/>
      <c r="DJ56" s="236"/>
      <c r="DK56" s="236"/>
      <c r="DL56" s="236"/>
      <c r="DM56" s="236"/>
      <c r="DN56" s="236"/>
      <c r="DO56" s="236"/>
      <c r="DP56" s="236"/>
      <c r="DQ56" s="236"/>
      <c r="DR56" s="236"/>
      <c r="DS56" s="236"/>
      <c r="DT56" s="236"/>
      <c r="DU56" s="236"/>
      <c r="DV56" s="236"/>
      <c r="DW56" s="236"/>
      <c r="DX56" s="236"/>
      <c r="DY56" s="236"/>
      <c r="DZ56" s="236"/>
      <c r="EA56" s="236"/>
      <c r="EB56" s="236"/>
      <c r="EC56" s="236"/>
      <c r="ED56" s="236"/>
      <c r="EE56" s="236"/>
      <c r="EF56" s="236"/>
      <c r="EG56" s="236"/>
      <c r="EH56" s="236"/>
      <c r="EI56" s="236"/>
      <c r="EJ56" s="236"/>
      <c r="EK56" s="236"/>
      <c r="EL56" s="236"/>
      <c r="EM56" s="236"/>
      <c r="EN56" s="236"/>
      <c r="EO56" s="236"/>
      <c r="EP56" s="236"/>
      <c r="EQ56" s="236"/>
      <c r="ER56" s="236"/>
      <c r="ES56" s="236"/>
      <c r="ET56" s="236"/>
      <c r="EU56" s="236"/>
      <c r="EV56" s="236"/>
      <c r="EW56" s="236"/>
      <c r="EX56" s="236"/>
      <c r="EY56" s="236"/>
      <c r="EZ56" s="236"/>
      <c r="FA56" s="236"/>
      <c r="FB56" s="236"/>
      <c r="FC56" s="236"/>
      <c r="FD56" s="236"/>
      <c r="FE56" s="236"/>
      <c r="FF56" s="236"/>
      <c r="FG56" s="236"/>
      <c r="FH56" s="236"/>
      <c r="FI56" s="236"/>
      <c r="FJ56" s="236"/>
      <c r="FK56" s="236"/>
      <c r="FL56" s="236"/>
      <c r="FM56" s="236"/>
      <c r="FN56" s="236"/>
      <c r="FO56" s="236"/>
      <c r="FP56" s="236"/>
      <c r="FQ56" s="236"/>
      <c r="FR56" s="236"/>
      <c r="FS56" s="236"/>
      <c r="FT56" s="236"/>
      <c r="FU56" s="236"/>
      <c r="FV56" s="236"/>
      <c r="FW56" s="236"/>
      <c r="FX56" s="236"/>
      <c r="FY56" s="236"/>
      <c r="FZ56" s="236"/>
      <c r="GA56" s="236"/>
      <c r="GB56" s="236"/>
      <c r="GC56" s="236"/>
      <c r="GD56" s="236"/>
      <c r="GE56" s="236"/>
      <c r="GF56" s="236"/>
      <c r="GG56" s="236"/>
      <c r="GH56" s="236"/>
      <c r="GI56" s="236"/>
      <c r="GJ56" s="236"/>
      <c r="GK56" s="236"/>
      <c r="GL56" s="236"/>
      <c r="GM56" s="236"/>
      <c r="GN56" s="236"/>
      <c r="GO56" s="236"/>
      <c r="GP56" s="236"/>
      <c r="GQ56" s="236"/>
      <c r="GR56" s="236"/>
      <c r="GS56" s="236"/>
      <c r="GT56" s="236"/>
      <c r="GU56" s="236"/>
      <c r="GV56" s="236"/>
      <c r="GW56" s="236"/>
      <c r="GX56" s="236"/>
      <c r="GY56" s="236"/>
      <c r="GZ56" s="236"/>
      <c r="HA56" s="236"/>
      <c r="HB56" s="236"/>
      <c r="HC56" s="236"/>
      <c r="HD56" s="236"/>
      <c r="HE56" s="236"/>
      <c r="HF56" s="236"/>
      <c r="HG56" s="236"/>
      <c r="HH56" s="236"/>
      <c r="HI56" s="236"/>
      <c r="HJ56" s="236"/>
      <c r="HK56" s="236"/>
      <c r="HL56" s="236"/>
      <c r="HM56" s="236"/>
      <c r="HN56" s="236"/>
      <c r="HO56" s="236"/>
      <c r="HP56" s="236"/>
      <c r="HQ56" s="236"/>
      <c r="HR56" s="236"/>
      <c r="HS56" s="236"/>
      <c r="HT56" s="236"/>
      <c r="HU56" s="236"/>
      <c r="HV56" s="236"/>
      <c r="HW56" s="236"/>
      <c r="HX56" s="236"/>
      <c r="HY56" s="236"/>
      <c r="HZ56" s="236"/>
      <c r="IA56" s="236"/>
      <c r="IB56" s="236"/>
      <c r="IC56" s="236"/>
      <c r="ID56" s="236"/>
      <c r="IE56" s="236"/>
      <c r="IF56" s="236"/>
      <c r="IG56" s="236"/>
      <c r="IH56" s="236"/>
      <c r="II56" s="236"/>
      <c r="IJ56" s="236"/>
      <c r="IK56" s="236"/>
      <c r="IL56" s="236"/>
      <c r="IM56" s="236"/>
      <c r="IN56" s="236"/>
      <c r="IO56" s="236"/>
      <c r="IP56" s="236"/>
      <c r="IQ56" s="236"/>
      <c r="IR56" s="236"/>
      <c r="IS56" s="236"/>
      <c r="IT56" s="236"/>
      <c r="IU56" s="236"/>
      <c r="IV56" s="236"/>
      <c r="IW56" s="236"/>
      <c r="IX56" s="236"/>
      <c r="IY56" s="236"/>
      <c r="IZ56" s="236"/>
      <c r="JA56" s="236"/>
      <c r="JB56" s="236"/>
      <c r="JC56" s="236"/>
      <c r="JD56" s="236"/>
      <c r="JE56" s="236"/>
      <c r="JF56" s="236"/>
      <c r="JG56" s="236"/>
      <c r="JH56" s="236"/>
      <c r="JI56" s="236"/>
      <c r="JJ56" s="236"/>
      <c r="JK56" s="236"/>
      <c r="JL56" s="236"/>
      <c r="JM56" s="236"/>
      <c r="JN56" s="236"/>
      <c r="JO56" s="236"/>
      <c r="JP56" s="236"/>
      <c r="JQ56" s="411"/>
      <c r="JR56" s="411"/>
      <c r="JS56" s="411"/>
      <c r="JT56" s="411"/>
      <c r="JU56" s="411"/>
      <c r="JV56" s="411"/>
      <c r="JW56" s="411"/>
      <c r="KH56" s="412">
        <f t="shared" si="17"/>
        <v>53</v>
      </c>
      <c r="KI56" s="413" t="str">
        <f t="shared" ca="1" si="6"/>
        <v/>
      </c>
      <c r="KJ56" s="413" t="str">
        <f t="shared" ca="1" si="20"/>
        <v/>
      </c>
      <c r="KK56" s="414" t="str">
        <f t="shared" ca="1" si="8"/>
        <v/>
      </c>
    </row>
    <row r="57" spans="3:297" ht="24" customHeight="1">
      <c r="C57"/>
      <c r="D57" s="57" t="str">
        <f ca="1">INDIRECT(ADDRESS(ROWS($D$3:D56)+6,D$3,1,1,"3_TIME SUM"))</f>
        <v>Slick Line Job</v>
      </c>
      <c r="E57" s="81" t="str">
        <f ca="1">IF(INDIRECT(ADDRESS(ROWS($E$3:E56)+6,E$3,1,1,"3_TIME SUM"))=0,E56,INDIRECT(ADDRESS(ROWS($E$3:E56)+6,E$3,1,1,"3_TIME SUM")))</f>
        <v>Wireline Logs</v>
      </c>
      <c r="F57" s="57" t="str">
        <f t="shared" ca="1" si="3"/>
        <v>Wireline Logs : Slick Line Job</v>
      </c>
      <c r="G57" s="58" t="str">
        <f ca="1">VLOOKUP($D57,INDIRECT(ADDRESS(7,5,1,1,"3_TIME SUM")):INDIRECT(ADDRESS(200,7,1,1,"3_TIME SUM")),2,FALSE)</f>
        <v>11c</v>
      </c>
      <c r="H57" s="58" t="str">
        <f ca="1">IF(VLOOKUP($D57,INDIRECT(ADDRESS(7,5,1,1,"3_TIME SUM")):INDIRECT(ADDRESS(200,7,1,1,"3_TIME SUM")),3,FALSE)="","PT",VLOOKUP($D57,INDIRECT(ADDRESS(7,5,1,1,"3_TIME SUM")):INDIRECT(ADDRESS(200,7,1,1,"3_TIME SUM")),3,FALSE))</f>
        <v>PT</v>
      </c>
      <c r="I57" s="59">
        <f ca="1">IFERROR(IF(AND($D$2="NON PRODUCTIVE TIME",$H57="NPT"),SUMIF(INDIRECT(ADDRESS(8,COLUMN('2_DATA'!$M$9),1,1,"2_DATA")):INDIRECT(ADDRESS(3000,COLUMN('2_DATA'!$M$9),1,1,"2_DATA")),$G57,INDIRECT(ADDRESS(8,COLUMN('2_DATA'!$N$9),1,1,"2_DATA")):INDIRECT(ADDRESS(3000,COLUMN('2_DATA'!$N$9),1,1,"2_DATA"))),IF($D$2="ALL ACTIVITY",SUMIF(INDIRECT(ADDRESS(9,COLUMN('2_DATA'!$M$9),1,1,"2_DATA")):INDIRECT(ADDRESS(3000,COLUMN('2_DATA'!$M$9),1,1,"2_DATA")),$G57,INDIRECT(ADDRESS(9,COLUMN('2_DATA'!$N$9),1,1,"2_DATA")):INDIRECT(ADDRESS(3000,COLUMN('2_DATA'!$N$9),1,1,"2_DATA"))),SUMIF(INDIRECT(ADDRESS(OFFSET($A$3,MATCH($D$2,$A$4:$A$16,0)-1,1,,)+1,COLUMN('2_DATA'!$M$9),1,1,"2_DATA")):INDIRECT(ADDRESS(VLOOKUP($D$2,$A$4:$B$16,2,FALSE)-1,COLUMN('2_DATA'!$M$9),1,1,"2_DATA")),$G57,INDIRECT(ADDRESS(OFFSET($A$3,MATCH($D$2,$A$4:$A$16,0)-1,1,,)+1,COLUMN('2_DATA'!$N$9),1,1,"2_DATA")):INDIRECT(ADDRESS(VLOOKUP($D$2,$A$4:$B$16,2,FALSE)-1,COLUMN('2_DATA'!$N$9),1,1,"2_DATA"))))),0)</f>
        <v>0</v>
      </c>
      <c r="J57" s="58" t="str">
        <f ca="1">IF(I57=0,"",MAX($J$3:J56)+1)</f>
        <v/>
      </c>
      <c r="L57" s="55">
        <f t="shared" ca="1" si="0"/>
        <v>1000</v>
      </c>
      <c r="M57" s="55" t="str">
        <f t="shared" ca="1" si="4"/>
        <v/>
      </c>
      <c r="N57" s="55"/>
      <c r="O57" s="55" t="str">
        <f t="shared" ca="1" si="10"/>
        <v/>
      </c>
      <c r="P57" s="55">
        <f t="shared" ca="1" si="1"/>
        <v>0</v>
      </c>
      <c r="Q57" s="55" t="str">
        <f ca="1">IFERROR(INDEX($O$4:$P$226,MATCH(ROWS($Q$3:Q56),$P$4:$P$226,0),1),"-")</f>
        <v>-</v>
      </c>
      <c r="R57" s="62" t="str">
        <f t="shared" ca="1" si="2"/>
        <v/>
      </c>
      <c r="S57" s="55" t="str">
        <f t="shared" ca="1" si="5"/>
        <v/>
      </c>
      <c r="T57" s="67">
        <f t="shared" ca="1" si="19"/>
        <v>1022</v>
      </c>
      <c r="V57" s="68" t="str">
        <f t="shared" ca="1" si="11"/>
        <v/>
      </c>
      <c r="W57" s="69" t="str">
        <f t="shared" ca="1" si="12"/>
        <v/>
      </c>
      <c r="X57" s="70" t="s">
        <v>84</v>
      </c>
      <c r="Y57" s="68" t="str">
        <f t="shared" ca="1" si="16"/>
        <v/>
      </c>
      <c r="Z57" s="71" t="str">
        <f t="shared" ca="1" si="13"/>
        <v/>
      </c>
      <c r="AA57" s="72" t="str">
        <f t="shared" ca="1" si="14"/>
        <v/>
      </c>
      <c r="AB57" s="305" t="str">
        <f t="shared" ca="1" si="15"/>
        <v/>
      </c>
      <c r="AC57" s="236"/>
      <c r="AD57" s="236"/>
      <c r="AE57" s="236"/>
      <c r="AF57" s="236"/>
      <c r="AG57" s="236"/>
      <c r="AH57" s="236"/>
      <c r="AI57" s="236"/>
      <c r="AJ57" s="236"/>
      <c r="AK57" s="236"/>
      <c r="AL57" s="236"/>
      <c r="AM57" s="236"/>
      <c r="AN57" s="236"/>
      <c r="AO57" s="236"/>
      <c r="AP57" s="236"/>
      <c r="AQ57" s="236"/>
      <c r="AR57" s="236"/>
      <c r="AS57" s="236"/>
      <c r="AT57" s="236"/>
      <c r="AU57" s="236"/>
      <c r="AV57" s="236"/>
      <c r="AW57" s="236"/>
      <c r="AX57" s="236"/>
      <c r="AY57" s="236"/>
      <c r="AZ57" s="236"/>
      <c r="BA57" s="236"/>
      <c r="BB57" s="236"/>
      <c r="BC57" s="236"/>
      <c r="BD57" s="236"/>
      <c r="BE57" s="236"/>
      <c r="BF57" s="236"/>
      <c r="BG57" s="236"/>
      <c r="BH57" s="236"/>
      <c r="BI57" s="236"/>
      <c r="BJ57" s="236"/>
      <c r="BK57" s="236"/>
      <c r="BL57" s="236"/>
      <c r="BM57" s="236"/>
      <c r="BN57" s="236"/>
      <c r="BO57" s="236"/>
      <c r="BP57" s="236"/>
      <c r="BQ57" s="236"/>
      <c r="BR57" s="236"/>
      <c r="BS57" s="236"/>
      <c r="BT57" s="236"/>
      <c r="BU57" s="236"/>
      <c r="BV57" s="236"/>
      <c r="BW57" s="236"/>
      <c r="BX57" s="236"/>
      <c r="BY57" s="236"/>
      <c r="BZ57" s="236"/>
      <c r="CA57" s="236"/>
      <c r="CB57" s="236"/>
      <c r="CC57" s="236"/>
      <c r="CD57" s="236"/>
      <c r="CE57" s="236"/>
      <c r="CF57" s="236"/>
      <c r="CG57" s="236"/>
      <c r="CH57" s="236"/>
      <c r="CI57" s="236"/>
      <c r="CJ57" s="236"/>
      <c r="CK57" s="236"/>
      <c r="CL57" s="236"/>
      <c r="CM57" s="236"/>
      <c r="CN57" s="236"/>
      <c r="CO57" s="236"/>
      <c r="CP57" s="236"/>
      <c r="CQ57" s="236"/>
      <c r="CR57" s="236"/>
      <c r="CS57" s="236"/>
      <c r="CT57" s="236"/>
      <c r="CU57" s="236"/>
      <c r="CV57" s="236"/>
      <c r="CW57" s="236"/>
      <c r="CX57" s="236"/>
      <c r="CY57" s="236"/>
      <c r="CZ57" s="236"/>
      <c r="DA57" s="236"/>
      <c r="DB57" s="236"/>
      <c r="DC57" s="236"/>
      <c r="DD57" s="236"/>
      <c r="DE57" s="236"/>
      <c r="DF57" s="236"/>
      <c r="DG57" s="236"/>
      <c r="DH57" s="236"/>
      <c r="DI57" s="236"/>
      <c r="DJ57" s="236"/>
      <c r="DK57" s="236"/>
      <c r="DL57" s="236"/>
      <c r="DM57" s="236"/>
      <c r="DN57" s="236"/>
      <c r="DO57" s="236"/>
      <c r="DP57" s="236"/>
      <c r="DQ57" s="236"/>
      <c r="DR57" s="236"/>
      <c r="DS57" s="236"/>
      <c r="DT57" s="236"/>
      <c r="DU57" s="236"/>
      <c r="DV57" s="236"/>
      <c r="DW57" s="236"/>
      <c r="DX57" s="236"/>
      <c r="DY57" s="236"/>
      <c r="DZ57" s="236"/>
      <c r="EA57" s="236"/>
      <c r="EB57" s="236"/>
      <c r="EC57" s="236"/>
      <c r="ED57" s="236"/>
      <c r="EE57" s="236"/>
      <c r="EF57" s="236"/>
      <c r="EG57" s="236"/>
      <c r="EH57" s="236"/>
      <c r="EI57" s="236"/>
      <c r="EJ57" s="236"/>
      <c r="EK57" s="236"/>
      <c r="EL57" s="236"/>
      <c r="EM57" s="236"/>
      <c r="EN57" s="236"/>
      <c r="EO57" s="236"/>
      <c r="EP57" s="236"/>
      <c r="EQ57" s="236"/>
      <c r="ER57" s="236"/>
      <c r="ES57" s="236"/>
      <c r="ET57" s="236"/>
      <c r="EU57" s="236"/>
      <c r="EV57" s="236"/>
      <c r="EW57" s="236"/>
      <c r="EX57" s="236"/>
      <c r="EY57" s="236"/>
      <c r="EZ57" s="236"/>
      <c r="FA57" s="236"/>
      <c r="FB57" s="236"/>
      <c r="FC57" s="236"/>
      <c r="FD57" s="236"/>
      <c r="FE57" s="236"/>
      <c r="FF57" s="236"/>
      <c r="FG57" s="236"/>
      <c r="FH57" s="236"/>
      <c r="FI57" s="236"/>
      <c r="FJ57" s="236"/>
      <c r="FK57" s="236"/>
      <c r="FL57" s="236"/>
      <c r="FM57" s="236"/>
      <c r="FN57" s="236"/>
      <c r="FO57" s="236"/>
      <c r="FP57" s="236"/>
      <c r="FQ57" s="236"/>
      <c r="FR57" s="236"/>
      <c r="FS57" s="236"/>
      <c r="FT57" s="236"/>
      <c r="FU57" s="236"/>
      <c r="FV57" s="236"/>
      <c r="FW57" s="236"/>
      <c r="FX57" s="236"/>
      <c r="FY57" s="236"/>
      <c r="FZ57" s="236"/>
      <c r="GA57" s="236"/>
      <c r="GB57" s="236"/>
      <c r="GC57" s="236"/>
      <c r="GD57" s="236"/>
      <c r="GE57" s="236"/>
      <c r="GF57" s="236"/>
      <c r="GG57" s="236"/>
      <c r="GH57" s="236"/>
      <c r="GI57" s="236"/>
      <c r="GJ57" s="236"/>
      <c r="GK57" s="236"/>
      <c r="GL57" s="236"/>
      <c r="GM57" s="236"/>
      <c r="GN57" s="236"/>
      <c r="GO57" s="236"/>
      <c r="GP57" s="236"/>
      <c r="GQ57" s="236"/>
      <c r="GR57" s="236"/>
      <c r="GS57" s="236"/>
      <c r="GT57" s="236"/>
      <c r="GU57" s="236"/>
      <c r="GV57" s="236"/>
      <c r="GW57" s="236"/>
      <c r="GX57" s="236"/>
      <c r="GY57" s="236"/>
      <c r="GZ57" s="236"/>
      <c r="HA57" s="236"/>
      <c r="HB57" s="236"/>
      <c r="HC57" s="236"/>
      <c r="HD57" s="236"/>
      <c r="HE57" s="236"/>
      <c r="HF57" s="236"/>
      <c r="HG57" s="236"/>
      <c r="HH57" s="236"/>
      <c r="HI57" s="236"/>
      <c r="HJ57" s="236"/>
      <c r="HK57" s="236"/>
      <c r="HL57" s="236"/>
      <c r="HM57" s="236"/>
      <c r="HN57" s="236"/>
      <c r="HO57" s="236"/>
      <c r="HP57" s="236"/>
      <c r="HQ57" s="236"/>
      <c r="HR57" s="236"/>
      <c r="HS57" s="236"/>
      <c r="HT57" s="236"/>
      <c r="HU57" s="236"/>
      <c r="HV57" s="236"/>
      <c r="HW57" s="236"/>
      <c r="HX57" s="236"/>
      <c r="HY57" s="236"/>
      <c r="HZ57" s="236"/>
      <c r="IA57" s="236"/>
      <c r="IB57" s="236"/>
      <c r="IC57" s="236"/>
      <c r="ID57" s="236"/>
      <c r="IE57" s="236"/>
      <c r="IF57" s="236"/>
      <c r="IG57" s="236"/>
      <c r="IH57" s="236"/>
      <c r="II57" s="236"/>
      <c r="IJ57" s="236"/>
      <c r="IK57" s="236"/>
      <c r="IL57" s="236"/>
      <c r="IM57" s="236"/>
      <c r="IN57" s="236"/>
      <c r="IO57" s="236"/>
      <c r="IP57" s="236"/>
      <c r="IQ57" s="236"/>
      <c r="IR57" s="236"/>
      <c r="IS57" s="236"/>
      <c r="IT57" s="236"/>
      <c r="IU57" s="236"/>
      <c r="IV57" s="236"/>
      <c r="IW57" s="236"/>
      <c r="IX57" s="236"/>
      <c r="IY57" s="236"/>
      <c r="IZ57" s="236"/>
      <c r="JA57" s="236"/>
      <c r="JB57" s="236"/>
      <c r="JC57" s="236"/>
      <c r="JD57" s="236"/>
      <c r="JE57" s="236"/>
      <c r="JF57" s="236"/>
      <c r="JG57" s="236"/>
      <c r="JH57" s="236"/>
      <c r="JI57" s="236"/>
      <c r="JJ57" s="236"/>
      <c r="JK57" s="236"/>
      <c r="JL57" s="236"/>
      <c r="JM57" s="236"/>
      <c r="JN57" s="236"/>
      <c r="JO57" s="236"/>
      <c r="JP57" s="236"/>
      <c r="JQ57" s="411"/>
      <c r="JR57" s="411"/>
      <c r="JS57" s="411"/>
      <c r="JT57" s="411"/>
      <c r="JU57" s="411"/>
      <c r="JV57" s="411"/>
      <c r="JW57" s="411"/>
      <c r="KH57" s="412">
        <f t="shared" si="17"/>
        <v>54</v>
      </c>
      <c r="KI57" s="413" t="str">
        <f t="shared" ca="1" si="6"/>
        <v/>
      </c>
      <c r="KJ57" s="413" t="str">
        <f t="shared" ca="1" si="20"/>
        <v/>
      </c>
      <c r="KK57" s="414" t="str">
        <f t="shared" ca="1" si="8"/>
        <v/>
      </c>
    </row>
    <row r="58" spans="3:297" ht="24" customHeight="1">
      <c r="C58"/>
      <c r="D58" s="57" t="str">
        <f ca="1">INDIRECT(ADDRESS(ROWS($D$3:D57)+6,D$3,1,1,"3_TIME SUM"))</f>
        <v>Wireline/Slick Line Job Unplanned (NPT)</v>
      </c>
      <c r="E58" s="81" t="str">
        <f ca="1">IF(INDIRECT(ADDRESS(ROWS($E$3:E57)+6,E$3,1,1,"3_TIME SUM"))=0,E57,INDIRECT(ADDRESS(ROWS($E$3:E57)+6,E$3,1,1,"3_TIME SUM")))</f>
        <v>Wireline Logs</v>
      </c>
      <c r="F58" s="57" t="str">
        <f t="shared" ca="1" si="3"/>
        <v>Wireline Logs : Wireline/Slick Line Job Unplanned (NPT)</v>
      </c>
      <c r="G58" s="58" t="str">
        <f ca="1">VLOOKUP($D58,INDIRECT(ADDRESS(7,5,1,1,"3_TIME SUM")):INDIRECT(ADDRESS(200,7,1,1,"3_TIME SUM")),2,FALSE)</f>
        <v>11d</v>
      </c>
      <c r="H58" s="58" t="str">
        <f ca="1">IF(VLOOKUP($D58,INDIRECT(ADDRESS(7,5,1,1,"3_TIME SUM")):INDIRECT(ADDRESS(200,7,1,1,"3_TIME SUM")),3,FALSE)="","PT",VLOOKUP($D58,INDIRECT(ADDRESS(7,5,1,1,"3_TIME SUM")):INDIRECT(ADDRESS(200,7,1,1,"3_TIME SUM")),3,FALSE))</f>
        <v>NPT</v>
      </c>
      <c r="I58" s="59">
        <f ca="1">IFERROR(IF(AND($D$2="NON PRODUCTIVE TIME",$H58="NPT"),SUMIF(INDIRECT(ADDRESS(8,COLUMN('2_DATA'!$M$9),1,1,"2_DATA")):INDIRECT(ADDRESS(3000,COLUMN('2_DATA'!$M$9),1,1,"2_DATA")),$G58,INDIRECT(ADDRESS(8,COLUMN('2_DATA'!$N$9),1,1,"2_DATA")):INDIRECT(ADDRESS(3000,COLUMN('2_DATA'!$N$9),1,1,"2_DATA"))),IF($D$2="ALL ACTIVITY",SUMIF(INDIRECT(ADDRESS(9,COLUMN('2_DATA'!$M$9),1,1,"2_DATA")):INDIRECT(ADDRESS(3000,COLUMN('2_DATA'!$M$9),1,1,"2_DATA")),$G58,INDIRECT(ADDRESS(9,COLUMN('2_DATA'!$N$9),1,1,"2_DATA")):INDIRECT(ADDRESS(3000,COLUMN('2_DATA'!$N$9),1,1,"2_DATA"))),SUMIF(INDIRECT(ADDRESS(OFFSET($A$3,MATCH($D$2,$A$4:$A$16,0)-1,1,,)+1,COLUMN('2_DATA'!$M$9),1,1,"2_DATA")):INDIRECT(ADDRESS(VLOOKUP($D$2,$A$4:$B$16,2,FALSE)-1,COLUMN('2_DATA'!$M$9),1,1,"2_DATA")),$G58,INDIRECT(ADDRESS(OFFSET($A$3,MATCH($D$2,$A$4:$A$16,0)-1,1,,)+1,COLUMN('2_DATA'!$N$9),1,1,"2_DATA")):INDIRECT(ADDRESS(VLOOKUP($D$2,$A$4:$B$16,2,FALSE)-1,COLUMN('2_DATA'!$N$9),1,1,"2_DATA"))))),0)</f>
        <v>0</v>
      </c>
      <c r="J58" s="58" t="str">
        <f ca="1">IF(I58=0,"",MAX($J$3:J57)+1)</f>
        <v/>
      </c>
      <c r="L58" s="55">
        <f t="shared" ca="1" si="0"/>
        <v>1000</v>
      </c>
      <c r="M58" s="55" t="str">
        <f t="shared" ca="1" si="4"/>
        <v/>
      </c>
      <c r="N58" s="55"/>
      <c r="O58" s="55">
        <f t="shared" ca="1" si="10"/>
        <v>1013</v>
      </c>
      <c r="P58" s="55">
        <f t="shared" ca="1" si="1"/>
        <v>14</v>
      </c>
      <c r="Q58" s="55" t="str">
        <f ca="1">IFERROR(INDEX($O$4:$P$226,MATCH(ROWS($Q$3:Q57),$P$4:$P$226,0),1),"-")</f>
        <v>-</v>
      </c>
      <c r="R58" s="62" t="str">
        <f t="shared" ca="1" si="2"/>
        <v/>
      </c>
      <c r="S58" s="55" t="str">
        <f t="shared" ca="1" si="5"/>
        <v/>
      </c>
      <c r="T58" s="67">
        <f t="shared" ca="1" si="19"/>
        <v>1023</v>
      </c>
      <c r="V58" s="68" t="str">
        <f t="shared" ca="1" si="11"/>
        <v/>
      </c>
      <c r="W58" s="69" t="str">
        <f t="shared" ca="1" si="12"/>
        <v/>
      </c>
      <c r="X58" s="70" t="s">
        <v>84</v>
      </c>
      <c r="Y58" s="68" t="str">
        <f t="shared" ca="1" si="16"/>
        <v/>
      </c>
      <c r="Z58" s="71" t="str">
        <f t="shared" ca="1" si="13"/>
        <v/>
      </c>
      <c r="AA58" s="72" t="str">
        <f t="shared" ca="1" si="14"/>
        <v/>
      </c>
      <c r="AB58" s="305" t="str">
        <f t="shared" ca="1" si="15"/>
        <v/>
      </c>
      <c r="AC58" s="236"/>
      <c r="AD58" s="236"/>
      <c r="AE58" s="236"/>
      <c r="AF58" s="236"/>
      <c r="AG58" s="236"/>
      <c r="AH58" s="236"/>
      <c r="AI58" s="236"/>
      <c r="AJ58" s="236"/>
      <c r="AK58" s="236"/>
      <c r="AL58" s="236"/>
      <c r="AM58" s="236"/>
      <c r="AN58" s="236"/>
      <c r="AO58" s="236"/>
      <c r="AP58" s="236"/>
      <c r="AQ58" s="236"/>
      <c r="AR58" s="236"/>
      <c r="AS58" s="236"/>
      <c r="AT58" s="236"/>
      <c r="AU58" s="236"/>
      <c r="AV58" s="236"/>
      <c r="AW58" s="236"/>
      <c r="AX58" s="236"/>
      <c r="AY58" s="236"/>
      <c r="AZ58" s="236"/>
      <c r="BA58" s="236"/>
      <c r="BB58" s="236"/>
      <c r="BC58" s="236"/>
      <c r="BD58" s="236"/>
      <c r="BE58" s="236"/>
      <c r="BF58" s="236"/>
      <c r="BG58" s="236"/>
      <c r="BH58" s="236"/>
      <c r="BI58" s="236"/>
      <c r="BJ58" s="236"/>
      <c r="BK58" s="236"/>
      <c r="BL58" s="236"/>
      <c r="BM58" s="236"/>
      <c r="BN58" s="236"/>
      <c r="BO58" s="236"/>
      <c r="BP58" s="236"/>
      <c r="BQ58" s="236"/>
      <c r="BR58" s="236"/>
      <c r="BS58" s="236"/>
      <c r="BT58" s="236"/>
      <c r="BU58" s="236"/>
      <c r="BV58" s="236"/>
      <c r="BW58" s="236"/>
      <c r="BX58" s="236"/>
      <c r="BY58" s="236"/>
      <c r="BZ58" s="236"/>
      <c r="CA58" s="236"/>
      <c r="CB58" s="236"/>
      <c r="CC58" s="236"/>
      <c r="CD58" s="236"/>
      <c r="CE58" s="236"/>
      <c r="CF58" s="236"/>
      <c r="CG58" s="236"/>
      <c r="CH58" s="236"/>
      <c r="CI58" s="236"/>
      <c r="CJ58" s="236"/>
      <c r="CK58" s="236"/>
      <c r="CL58" s="236"/>
      <c r="CM58" s="236"/>
      <c r="CN58" s="236"/>
      <c r="CO58" s="236"/>
      <c r="CP58" s="236"/>
      <c r="CQ58" s="236"/>
      <c r="CR58" s="236"/>
      <c r="CS58" s="236"/>
      <c r="CT58" s="236"/>
      <c r="CU58" s="236"/>
      <c r="CV58" s="236"/>
      <c r="CW58" s="236"/>
      <c r="CX58" s="236"/>
      <c r="CY58" s="236"/>
      <c r="CZ58" s="236"/>
      <c r="DA58" s="236"/>
      <c r="DB58" s="236"/>
      <c r="DC58" s="236"/>
      <c r="DD58" s="236"/>
      <c r="DE58" s="236"/>
      <c r="DF58" s="236"/>
      <c r="DG58" s="236"/>
      <c r="DH58" s="236"/>
      <c r="DI58" s="236"/>
      <c r="DJ58" s="236"/>
      <c r="DK58" s="236"/>
      <c r="DL58" s="236"/>
      <c r="DM58" s="236"/>
      <c r="DN58" s="236"/>
      <c r="DO58" s="236"/>
      <c r="DP58" s="236"/>
      <c r="DQ58" s="236"/>
      <c r="DR58" s="236"/>
      <c r="DS58" s="236"/>
      <c r="DT58" s="236"/>
      <c r="DU58" s="236"/>
      <c r="DV58" s="236"/>
      <c r="DW58" s="236"/>
      <c r="DX58" s="236"/>
      <c r="DY58" s="236"/>
      <c r="DZ58" s="236"/>
      <c r="EA58" s="236"/>
      <c r="EB58" s="236"/>
      <c r="EC58" s="236"/>
      <c r="ED58" s="236"/>
      <c r="EE58" s="236"/>
      <c r="EF58" s="236"/>
      <c r="EG58" s="236"/>
      <c r="EH58" s="236"/>
      <c r="EI58" s="236"/>
      <c r="EJ58" s="236"/>
      <c r="EK58" s="236"/>
      <c r="EL58" s="236"/>
      <c r="EM58" s="236"/>
      <c r="EN58" s="236"/>
      <c r="EO58" s="236"/>
      <c r="EP58" s="236"/>
      <c r="EQ58" s="236"/>
      <c r="ER58" s="236"/>
      <c r="ES58" s="236"/>
      <c r="ET58" s="236"/>
      <c r="EU58" s="236"/>
      <c r="EV58" s="236"/>
      <c r="EW58" s="236"/>
      <c r="EX58" s="236"/>
      <c r="EY58" s="236"/>
      <c r="EZ58" s="236"/>
      <c r="FA58" s="236"/>
      <c r="FB58" s="236"/>
      <c r="FC58" s="236"/>
      <c r="FD58" s="236"/>
      <c r="FE58" s="236"/>
      <c r="FF58" s="236"/>
      <c r="FG58" s="236"/>
      <c r="FH58" s="236"/>
      <c r="FI58" s="236"/>
      <c r="FJ58" s="236"/>
      <c r="FK58" s="236"/>
      <c r="FL58" s="236"/>
      <c r="FM58" s="236"/>
      <c r="FN58" s="236"/>
      <c r="FO58" s="236"/>
      <c r="FP58" s="236"/>
      <c r="FQ58" s="236"/>
      <c r="FR58" s="236"/>
      <c r="FS58" s="236"/>
      <c r="FT58" s="236"/>
      <c r="FU58" s="236"/>
      <c r="FV58" s="236"/>
      <c r="FW58" s="236"/>
      <c r="FX58" s="236"/>
      <c r="FY58" s="236"/>
      <c r="FZ58" s="236"/>
      <c r="GA58" s="236"/>
      <c r="GB58" s="236"/>
      <c r="GC58" s="236"/>
      <c r="GD58" s="236"/>
      <c r="GE58" s="236"/>
      <c r="GF58" s="236"/>
      <c r="GG58" s="236"/>
      <c r="GH58" s="236"/>
      <c r="GI58" s="236"/>
      <c r="GJ58" s="236"/>
      <c r="GK58" s="236"/>
      <c r="GL58" s="236"/>
      <c r="GM58" s="236"/>
      <c r="GN58" s="236"/>
      <c r="GO58" s="236"/>
      <c r="GP58" s="236"/>
      <c r="GQ58" s="236"/>
      <c r="GR58" s="236"/>
      <c r="GS58" s="236"/>
      <c r="GT58" s="236"/>
      <c r="GU58" s="236"/>
      <c r="GV58" s="236"/>
      <c r="GW58" s="236"/>
      <c r="GX58" s="236"/>
      <c r="GY58" s="236"/>
      <c r="GZ58" s="236"/>
      <c r="HA58" s="236"/>
      <c r="HB58" s="236"/>
      <c r="HC58" s="236"/>
      <c r="HD58" s="236"/>
      <c r="HE58" s="236"/>
      <c r="HF58" s="236"/>
      <c r="HG58" s="236"/>
      <c r="HH58" s="236"/>
      <c r="HI58" s="236"/>
      <c r="HJ58" s="236"/>
      <c r="HK58" s="236"/>
      <c r="HL58" s="236"/>
      <c r="HM58" s="236"/>
      <c r="HN58" s="236"/>
      <c r="HO58" s="236"/>
      <c r="HP58" s="236"/>
      <c r="HQ58" s="236"/>
      <c r="HR58" s="236"/>
      <c r="HS58" s="236"/>
      <c r="HT58" s="236"/>
      <c r="HU58" s="236"/>
      <c r="HV58" s="236"/>
      <c r="HW58" s="236"/>
      <c r="HX58" s="236"/>
      <c r="HY58" s="236"/>
      <c r="HZ58" s="236"/>
      <c r="IA58" s="236"/>
      <c r="IB58" s="236"/>
      <c r="IC58" s="236"/>
      <c r="ID58" s="236"/>
      <c r="IE58" s="236"/>
      <c r="IF58" s="236"/>
      <c r="IG58" s="236"/>
      <c r="IH58" s="236"/>
      <c r="II58" s="236"/>
      <c r="IJ58" s="236"/>
      <c r="IK58" s="236"/>
      <c r="IL58" s="236"/>
      <c r="IM58" s="236"/>
      <c r="IN58" s="236"/>
      <c r="IO58" s="236"/>
      <c r="IP58" s="236"/>
      <c r="IQ58" s="236"/>
      <c r="IR58" s="236"/>
      <c r="IS58" s="236"/>
      <c r="IT58" s="236"/>
      <c r="IU58" s="236"/>
      <c r="IV58" s="236"/>
      <c r="IW58" s="236"/>
      <c r="IX58" s="236"/>
      <c r="IY58" s="236"/>
      <c r="IZ58" s="236"/>
      <c r="JA58" s="236"/>
      <c r="JB58" s="236"/>
      <c r="JC58" s="236"/>
      <c r="JD58" s="236"/>
      <c r="JE58" s="236"/>
      <c r="JF58" s="236"/>
      <c r="JG58" s="236"/>
      <c r="JH58" s="236"/>
      <c r="JI58" s="236"/>
      <c r="JJ58" s="236"/>
      <c r="JK58" s="236"/>
      <c r="JL58" s="236"/>
      <c r="JM58" s="236"/>
      <c r="JN58" s="236"/>
      <c r="JO58" s="236"/>
      <c r="JP58" s="236"/>
      <c r="JQ58" s="411"/>
      <c r="JR58" s="411"/>
      <c r="JS58" s="411"/>
      <c r="JT58" s="411"/>
      <c r="JU58" s="411"/>
      <c r="JV58" s="411"/>
      <c r="JW58" s="411"/>
      <c r="KH58" s="412">
        <f t="shared" si="17"/>
        <v>55</v>
      </c>
      <c r="KI58" s="413" t="str">
        <f t="shared" ca="1" si="6"/>
        <v/>
      </c>
      <c r="KJ58" s="413" t="str">
        <f t="shared" ca="1" si="20"/>
        <v/>
      </c>
      <c r="KK58" s="414" t="str">
        <f t="shared" ca="1" si="8"/>
        <v/>
      </c>
    </row>
    <row r="59" spans="3:297" ht="24" customHeight="1">
      <c r="C59"/>
      <c r="D59" s="57" t="str">
        <f ca="1">INDIRECT(ADDRESS(ROWS($D$3:D58)+6,D$3,1,1,"3_TIME SUM"))</f>
        <v>Change Rams</v>
      </c>
      <c r="E59" s="81" t="str">
        <f ca="1">IF(INDIRECT(ADDRESS(ROWS($E$3:E58)+6,E$3,1,1,"3_TIME SUM"))=0,E58,INDIRECT(ADDRESS(ROWS($E$3:E58)+6,E$3,1,1,"3_TIME SUM")))</f>
        <v>Run Casing and Cement</v>
      </c>
      <c r="F59" s="57" t="str">
        <f t="shared" ca="1" si="3"/>
        <v>Run Casing and Cement : Change Rams</v>
      </c>
      <c r="G59" s="58" t="str">
        <f ca="1">VLOOKUP($D59,INDIRECT(ADDRESS(7,5,1,1,"3_TIME SUM")):INDIRECT(ADDRESS(200,7,1,1,"3_TIME SUM")),2,FALSE)</f>
        <v>12a</v>
      </c>
      <c r="H59" s="58" t="str">
        <f ca="1">IF(VLOOKUP($D59,INDIRECT(ADDRESS(7,5,1,1,"3_TIME SUM")):INDIRECT(ADDRESS(200,7,1,1,"3_TIME SUM")),3,FALSE)="","PT",VLOOKUP($D59,INDIRECT(ADDRESS(7,5,1,1,"3_TIME SUM")):INDIRECT(ADDRESS(200,7,1,1,"3_TIME SUM")),3,FALSE))</f>
        <v>PT</v>
      </c>
      <c r="I59" s="59">
        <f ca="1">IFERROR(IF(AND($D$2="NON PRODUCTIVE TIME",$H59="NPT"),SUMIF(INDIRECT(ADDRESS(8,COLUMN('2_DATA'!$M$9),1,1,"2_DATA")):INDIRECT(ADDRESS(3000,COLUMN('2_DATA'!$M$9),1,1,"2_DATA")),$G59,INDIRECT(ADDRESS(8,COLUMN('2_DATA'!$N$9),1,1,"2_DATA")):INDIRECT(ADDRESS(3000,COLUMN('2_DATA'!$N$9),1,1,"2_DATA"))),IF($D$2="ALL ACTIVITY",SUMIF(INDIRECT(ADDRESS(9,COLUMN('2_DATA'!$M$9),1,1,"2_DATA")):INDIRECT(ADDRESS(3000,COLUMN('2_DATA'!$M$9),1,1,"2_DATA")),$G59,INDIRECT(ADDRESS(9,COLUMN('2_DATA'!$N$9),1,1,"2_DATA")):INDIRECT(ADDRESS(3000,COLUMN('2_DATA'!$N$9),1,1,"2_DATA"))),SUMIF(INDIRECT(ADDRESS(OFFSET($A$3,MATCH($D$2,$A$4:$A$16,0)-1,1,,)+1,COLUMN('2_DATA'!$M$9),1,1,"2_DATA")):INDIRECT(ADDRESS(VLOOKUP($D$2,$A$4:$B$16,2,FALSE)-1,COLUMN('2_DATA'!$M$9),1,1,"2_DATA")),$G59,INDIRECT(ADDRESS(OFFSET($A$3,MATCH($D$2,$A$4:$A$16,0)-1,1,,)+1,COLUMN('2_DATA'!$N$9),1,1,"2_DATA")):INDIRECT(ADDRESS(VLOOKUP($D$2,$A$4:$B$16,2,FALSE)-1,COLUMN('2_DATA'!$N$9),1,1,"2_DATA"))))),0)</f>
        <v>1</v>
      </c>
      <c r="J59" s="58">
        <f ca="1">IF(I59=0,"",MAX($J$3:J58)+1)</f>
        <v>15</v>
      </c>
      <c r="L59" s="55">
        <f t="shared" ca="1" si="0"/>
        <v>1000</v>
      </c>
      <c r="M59" s="55">
        <f t="shared" ca="1" si="4"/>
        <v>1015</v>
      </c>
      <c r="N59" s="55"/>
      <c r="O59" s="55">
        <f t="shared" ca="1" si="10"/>
        <v>1014</v>
      </c>
      <c r="P59" s="55">
        <f t="shared" ca="1" si="1"/>
        <v>15</v>
      </c>
      <c r="Q59" s="55" t="str">
        <f ca="1">IFERROR(INDEX($O$4:$P$226,MATCH(ROWS($Q$3:Q58),$P$4:$P$226,0),1),"-")</f>
        <v>-</v>
      </c>
      <c r="R59" s="62" t="str">
        <f t="shared" ca="1" si="2"/>
        <v/>
      </c>
      <c r="S59" s="55" t="str">
        <f t="shared" ca="1" si="5"/>
        <v/>
      </c>
      <c r="T59" s="67">
        <f t="shared" ca="1" si="19"/>
        <v>1024</v>
      </c>
      <c r="V59" s="68" t="str">
        <f t="shared" ca="1" si="11"/>
        <v/>
      </c>
      <c r="W59" s="69" t="str">
        <f t="shared" ca="1" si="12"/>
        <v/>
      </c>
      <c r="X59" s="70" t="s">
        <v>84</v>
      </c>
      <c r="Y59" s="68" t="str">
        <f t="shared" ca="1" si="16"/>
        <v/>
      </c>
      <c r="Z59" s="71" t="str">
        <f t="shared" ca="1" si="13"/>
        <v/>
      </c>
      <c r="AA59" s="72" t="str">
        <f t="shared" ca="1" si="14"/>
        <v/>
      </c>
      <c r="AB59" s="305" t="str">
        <f ca="1">IFERROR(AA59/24,"")</f>
        <v/>
      </c>
      <c r="AC59" s="236"/>
      <c r="AD59" s="236"/>
      <c r="AE59" s="236"/>
      <c r="AF59" s="236"/>
      <c r="AG59" s="236"/>
      <c r="AH59" s="236"/>
      <c r="AI59" s="236"/>
      <c r="AJ59" s="236"/>
      <c r="AK59" s="236"/>
      <c r="AL59" s="236"/>
      <c r="AM59" s="236"/>
      <c r="AN59" s="236"/>
      <c r="AO59" s="236"/>
      <c r="AP59" s="236"/>
      <c r="AQ59" s="236"/>
      <c r="AR59" s="236"/>
      <c r="AS59" s="236"/>
      <c r="AT59" s="236"/>
      <c r="AU59" s="236"/>
      <c r="AV59" s="236"/>
      <c r="AW59" s="236"/>
      <c r="AX59" s="236"/>
      <c r="AY59" s="236"/>
      <c r="AZ59" s="236"/>
      <c r="BA59" s="236"/>
      <c r="BB59" s="236"/>
      <c r="BC59" s="236"/>
      <c r="BD59" s="236"/>
      <c r="BE59" s="236"/>
      <c r="BF59" s="236"/>
      <c r="BG59" s="236"/>
      <c r="BH59" s="236"/>
      <c r="BI59" s="236"/>
      <c r="BJ59" s="236"/>
      <c r="BK59" s="236"/>
      <c r="BL59" s="236"/>
      <c r="BM59" s="236"/>
      <c r="BN59" s="236"/>
      <c r="BO59" s="236"/>
      <c r="BP59" s="236"/>
      <c r="BQ59" s="236"/>
      <c r="BR59" s="236"/>
      <c r="BS59" s="236"/>
      <c r="BT59" s="236"/>
      <c r="BU59" s="236"/>
      <c r="BV59" s="236"/>
      <c r="BW59" s="236"/>
      <c r="BX59" s="236"/>
      <c r="BY59" s="236"/>
      <c r="BZ59" s="236"/>
      <c r="CA59" s="236"/>
      <c r="CB59" s="236"/>
      <c r="CC59" s="236"/>
      <c r="CD59" s="236"/>
      <c r="CE59" s="236"/>
      <c r="CF59" s="236"/>
      <c r="CG59" s="236"/>
      <c r="CH59" s="236"/>
      <c r="CI59" s="236"/>
      <c r="CJ59" s="236"/>
      <c r="CK59" s="236"/>
      <c r="CL59" s="236"/>
      <c r="CM59" s="236"/>
      <c r="CN59" s="236"/>
      <c r="CO59" s="236"/>
      <c r="CP59" s="236"/>
      <c r="CQ59" s="236"/>
      <c r="CR59" s="236"/>
      <c r="CS59" s="236"/>
      <c r="CT59" s="236"/>
      <c r="CU59" s="236"/>
      <c r="CV59" s="236"/>
      <c r="CW59" s="236"/>
      <c r="CX59" s="236"/>
      <c r="CY59" s="236"/>
      <c r="CZ59" s="236"/>
      <c r="DA59" s="236"/>
      <c r="DB59" s="236"/>
      <c r="DC59" s="236"/>
      <c r="DD59" s="236"/>
      <c r="DE59" s="236"/>
      <c r="DF59" s="236"/>
      <c r="DG59" s="236"/>
      <c r="DH59" s="236"/>
      <c r="DI59" s="236"/>
      <c r="DJ59" s="236"/>
      <c r="DK59" s="236"/>
      <c r="DL59" s="236"/>
      <c r="DM59" s="236"/>
      <c r="DN59" s="236"/>
      <c r="DO59" s="236"/>
      <c r="DP59" s="236"/>
      <c r="DQ59" s="236"/>
      <c r="DR59" s="236"/>
      <c r="DS59" s="236"/>
      <c r="DT59" s="236"/>
      <c r="DU59" s="236"/>
      <c r="DV59" s="236"/>
      <c r="DW59" s="236"/>
      <c r="DX59" s="236"/>
      <c r="DY59" s="236"/>
      <c r="DZ59" s="236"/>
      <c r="EA59" s="236"/>
      <c r="EB59" s="236"/>
      <c r="EC59" s="236"/>
      <c r="ED59" s="236"/>
      <c r="EE59" s="236"/>
      <c r="EF59" s="236"/>
      <c r="EG59" s="236"/>
      <c r="EH59" s="236"/>
      <c r="EI59" s="236"/>
      <c r="EJ59" s="236"/>
      <c r="EK59" s="236"/>
      <c r="EL59" s="236"/>
      <c r="EM59" s="236"/>
      <c r="EN59" s="236"/>
      <c r="EO59" s="236"/>
      <c r="EP59" s="236"/>
      <c r="EQ59" s="236"/>
      <c r="ER59" s="236"/>
      <c r="ES59" s="236"/>
      <c r="ET59" s="236"/>
      <c r="EU59" s="236"/>
      <c r="EV59" s="236"/>
      <c r="EW59" s="236"/>
      <c r="EX59" s="236"/>
      <c r="EY59" s="236"/>
      <c r="EZ59" s="236"/>
      <c r="FA59" s="236"/>
      <c r="FB59" s="236"/>
      <c r="FC59" s="236"/>
      <c r="FD59" s="236"/>
      <c r="FE59" s="236"/>
      <c r="FF59" s="236"/>
      <c r="FG59" s="236"/>
      <c r="FH59" s="236"/>
      <c r="FI59" s="236"/>
      <c r="FJ59" s="236"/>
      <c r="FK59" s="236"/>
      <c r="FL59" s="236"/>
      <c r="FM59" s="236"/>
      <c r="FN59" s="236"/>
      <c r="FO59" s="236"/>
      <c r="FP59" s="236"/>
      <c r="FQ59" s="236"/>
      <c r="FR59" s="236"/>
      <c r="FS59" s="236"/>
      <c r="FT59" s="236"/>
      <c r="FU59" s="236"/>
      <c r="FV59" s="236"/>
      <c r="FW59" s="236"/>
      <c r="FX59" s="236"/>
      <c r="FY59" s="236"/>
      <c r="FZ59" s="236"/>
      <c r="GA59" s="236"/>
      <c r="GB59" s="236"/>
      <c r="GC59" s="236"/>
      <c r="GD59" s="236"/>
      <c r="GE59" s="236"/>
      <c r="GF59" s="236"/>
      <c r="GG59" s="236"/>
      <c r="GH59" s="236"/>
      <c r="GI59" s="236"/>
      <c r="GJ59" s="236"/>
      <c r="GK59" s="236"/>
      <c r="GL59" s="236"/>
      <c r="GM59" s="236"/>
      <c r="GN59" s="236"/>
      <c r="GO59" s="236"/>
      <c r="GP59" s="236"/>
      <c r="GQ59" s="236"/>
      <c r="GR59" s="236"/>
      <c r="GS59" s="236"/>
      <c r="GT59" s="236"/>
      <c r="GU59" s="236"/>
      <c r="GV59" s="236"/>
      <c r="GW59" s="236"/>
      <c r="GX59" s="236"/>
      <c r="GY59" s="236"/>
      <c r="GZ59" s="236"/>
      <c r="HA59" s="236"/>
      <c r="HB59" s="236"/>
      <c r="HC59" s="236"/>
      <c r="HD59" s="236"/>
      <c r="HE59" s="236"/>
      <c r="HF59" s="236"/>
      <c r="HG59" s="236"/>
      <c r="HH59" s="236"/>
      <c r="HI59" s="236"/>
      <c r="HJ59" s="236"/>
      <c r="HK59" s="236"/>
      <c r="HL59" s="236"/>
      <c r="HM59" s="236"/>
      <c r="HN59" s="236"/>
      <c r="HO59" s="236"/>
      <c r="HP59" s="236"/>
      <c r="HQ59" s="236"/>
      <c r="HR59" s="236"/>
      <c r="HS59" s="236"/>
      <c r="HT59" s="236"/>
      <c r="HU59" s="236"/>
      <c r="HV59" s="236"/>
      <c r="HW59" s="236"/>
      <c r="HX59" s="236"/>
      <c r="HY59" s="236"/>
      <c r="HZ59" s="236"/>
      <c r="IA59" s="236"/>
      <c r="IB59" s="236"/>
      <c r="IC59" s="236"/>
      <c r="ID59" s="236"/>
      <c r="IE59" s="236"/>
      <c r="IF59" s="236"/>
      <c r="IG59" s="236"/>
      <c r="IH59" s="236"/>
      <c r="II59" s="236"/>
      <c r="IJ59" s="236"/>
      <c r="IK59" s="236"/>
      <c r="IL59" s="236"/>
      <c r="IM59" s="236"/>
      <c r="IN59" s="236"/>
      <c r="IO59" s="236"/>
      <c r="IP59" s="236"/>
      <c r="IQ59" s="236"/>
      <c r="IR59" s="236"/>
      <c r="IS59" s="236"/>
      <c r="IT59" s="236"/>
      <c r="IU59" s="236"/>
      <c r="IV59" s="236"/>
      <c r="IW59" s="236"/>
      <c r="IX59" s="236"/>
      <c r="IY59" s="236"/>
      <c r="IZ59" s="236"/>
      <c r="JA59" s="236"/>
      <c r="JB59" s="236"/>
      <c r="JC59" s="236"/>
      <c r="JD59" s="236"/>
      <c r="JE59" s="236"/>
      <c r="JF59" s="236"/>
      <c r="JG59" s="236"/>
      <c r="JH59" s="236"/>
      <c r="JI59" s="236"/>
      <c r="JJ59" s="236"/>
      <c r="JK59" s="236"/>
      <c r="JL59" s="236"/>
      <c r="JM59" s="236"/>
      <c r="JN59" s="236"/>
      <c r="JO59" s="236"/>
      <c r="JP59" s="236"/>
      <c r="JQ59" s="411"/>
      <c r="JR59" s="411"/>
      <c r="JS59" s="411"/>
      <c r="JT59" s="411"/>
      <c r="JU59" s="411"/>
      <c r="JV59" s="411"/>
      <c r="JW59" s="411"/>
      <c r="KH59" s="412">
        <f t="shared" si="17"/>
        <v>56</v>
      </c>
      <c r="KI59" s="413" t="str">
        <f t="shared" ca="1" si="6"/>
        <v/>
      </c>
      <c r="KJ59" s="413" t="str">
        <f t="shared" ca="1" si="20"/>
        <v/>
      </c>
      <c r="KK59" s="414" t="str">
        <f t="shared" ca="1" si="8"/>
        <v/>
      </c>
    </row>
    <row r="60" spans="3:297" ht="24" customHeight="1">
      <c r="C60"/>
      <c r="D60" s="57" t="str">
        <f ca="1">INDIRECT(ADDRESS(ROWS($D$3:D59)+6,D$3,1,1,"3_TIME SUM"))</f>
        <v>Rig Up/Rig Down Casing Running, Running Tools, Hammer for Drive Pipe</v>
      </c>
      <c r="E60" s="81" t="str">
        <f ca="1">IF(INDIRECT(ADDRESS(ROWS($E$3:E59)+6,E$3,1,1,"3_TIME SUM"))=0,E59,INDIRECT(ADDRESS(ROWS($E$3:E59)+6,E$3,1,1,"3_TIME SUM")))</f>
        <v>Run Casing and Cement</v>
      </c>
      <c r="F60" s="57" t="str">
        <f t="shared" ca="1" si="3"/>
        <v>Run Casing and Cement : Rig Up/Rig Down Casing Running, Running Tools, Hammer for Drive Pipe</v>
      </c>
      <c r="G60" s="58" t="str">
        <f ca="1">VLOOKUP($D60,INDIRECT(ADDRESS(7,5,1,1,"3_TIME SUM")):INDIRECT(ADDRESS(200,7,1,1,"3_TIME SUM")),2,FALSE)</f>
        <v>12b</v>
      </c>
      <c r="H60" s="58" t="str">
        <f ca="1">IF(VLOOKUP($D60,INDIRECT(ADDRESS(7,5,1,1,"3_TIME SUM")):INDIRECT(ADDRESS(200,7,1,1,"3_TIME SUM")),3,FALSE)="","PT",VLOOKUP($D60,INDIRECT(ADDRESS(7,5,1,1,"3_TIME SUM")):INDIRECT(ADDRESS(200,7,1,1,"3_TIME SUM")),3,FALSE))</f>
        <v>PT</v>
      </c>
      <c r="I60" s="59">
        <f ca="1">IFERROR(IF(AND($D$2="NON PRODUCTIVE TIME",$H60="NPT"),SUMIF(INDIRECT(ADDRESS(8,COLUMN('2_DATA'!$M$9),1,1,"2_DATA")):INDIRECT(ADDRESS(3000,COLUMN('2_DATA'!$M$9),1,1,"2_DATA")),$G60,INDIRECT(ADDRESS(8,COLUMN('2_DATA'!$N$9),1,1,"2_DATA")):INDIRECT(ADDRESS(3000,COLUMN('2_DATA'!$N$9),1,1,"2_DATA"))),IF($D$2="ALL ACTIVITY",SUMIF(INDIRECT(ADDRESS(9,COLUMN('2_DATA'!$M$9),1,1,"2_DATA")):INDIRECT(ADDRESS(3000,COLUMN('2_DATA'!$M$9),1,1,"2_DATA")),$G60,INDIRECT(ADDRESS(9,COLUMN('2_DATA'!$N$9),1,1,"2_DATA")):INDIRECT(ADDRESS(3000,COLUMN('2_DATA'!$N$9),1,1,"2_DATA"))),SUMIF(INDIRECT(ADDRESS(OFFSET($A$3,MATCH($D$2,$A$4:$A$16,0)-1,1,,)+1,COLUMN('2_DATA'!$M$9),1,1,"2_DATA")):INDIRECT(ADDRESS(VLOOKUP($D$2,$A$4:$B$16,2,FALSE)-1,COLUMN('2_DATA'!$M$9),1,1,"2_DATA")),$G60,INDIRECT(ADDRESS(OFFSET($A$3,MATCH($D$2,$A$4:$A$16,0)-1,1,,)+1,COLUMN('2_DATA'!$N$9),1,1,"2_DATA")):INDIRECT(ADDRESS(VLOOKUP($D$2,$A$4:$B$16,2,FALSE)-1,COLUMN('2_DATA'!$N$9),1,1,"2_DATA"))))),0)</f>
        <v>0</v>
      </c>
      <c r="J60" s="58" t="str">
        <f ca="1">IF(I60=0,"",MAX($J$3:J59)+1)</f>
        <v/>
      </c>
      <c r="L60" s="55">
        <f t="shared" ca="1" si="0"/>
        <v>1000</v>
      </c>
      <c r="M60" s="55" t="str">
        <f t="shared" ca="1" si="4"/>
        <v/>
      </c>
      <c r="N60" s="55"/>
      <c r="O60" s="55" t="str">
        <f t="shared" ca="1" si="10"/>
        <v/>
      </c>
      <c r="P60" s="55">
        <f t="shared" ca="1" si="1"/>
        <v>0</v>
      </c>
      <c r="Q60" s="55" t="str">
        <f ca="1">IFERROR(INDEX($O$4:$P$226,MATCH(ROWS($Q$3:Q59),$P$4:$P$226,0),1),"-")</f>
        <v>-</v>
      </c>
      <c r="R60" s="62" t="str">
        <f t="shared" ca="1" si="2"/>
        <v/>
      </c>
      <c r="S60" s="55" t="str">
        <f t="shared" ca="1" si="5"/>
        <v/>
      </c>
      <c r="T60" s="67">
        <f t="shared" ca="1" si="19"/>
        <v>1025</v>
      </c>
      <c r="V60" s="68" t="str">
        <f t="shared" ca="1" si="11"/>
        <v/>
      </c>
      <c r="W60" s="69" t="str">
        <f t="shared" ca="1" si="12"/>
        <v/>
      </c>
      <c r="X60" s="70" t="s">
        <v>84</v>
      </c>
      <c r="Y60" s="68" t="str">
        <f t="shared" ca="1" si="16"/>
        <v/>
      </c>
      <c r="Z60" s="71" t="str">
        <f t="shared" ca="1" si="13"/>
        <v/>
      </c>
      <c r="AA60" s="72" t="str">
        <f t="shared" ca="1" si="14"/>
        <v/>
      </c>
      <c r="AB60" s="305" t="str">
        <f ca="1">IFERROR(AA60/24,"")</f>
        <v/>
      </c>
      <c r="AC60" s="236"/>
      <c r="AD60" s="236"/>
      <c r="AE60" s="236"/>
      <c r="AF60" s="236"/>
      <c r="AG60" s="236"/>
      <c r="AH60" s="236"/>
      <c r="AI60" s="236"/>
      <c r="AJ60" s="236"/>
      <c r="AK60" s="236"/>
      <c r="AL60" s="236"/>
      <c r="AM60" s="236"/>
      <c r="AN60" s="236"/>
      <c r="AO60" s="236"/>
      <c r="AP60" s="236"/>
      <c r="AQ60" s="236"/>
      <c r="AR60" s="236"/>
      <c r="AS60" s="236"/>
      <c r="AT60" s="236"/>
      <c r="AU60" s="236"/>
      <c r="AV60" s="236"/>
      <c r="AW60" s="236"/>
      <c r="AX60" s="236"/>
      <c r="AY60" s="236"/>
      <c r="AZ60" s="236"/>
      <c r="BA60" s="236"/>
      <c r="BB60" s="236"/>
      <c r="BC60" s="236"/>
      <c r="BD60" s="236"/>
      <c r="BE60" s="236"/>
      <c r="BF60" s="236"/>
      <c r="BG60" s="236"/>
      <c r="BH60" s="236"/>
      <c r="BI60" s="236"/>
      <c r="BJ60" s="236"/>
      <c r="BK60" s="236"/>
      <c r="BL60" s="236"/>
      <c r="BM60" s="236"/>
      <c r="BN60" s="236"/>
      <c r="BO60" s="236"/>
      <c r="BP60" s="236"/>
      <c r="BQ60" s="236"/>
      <c r="BR60" s="236"/>
      <c r="BS60" s="236"/>
      <c r="BT60" s="236"/>
      <c r="BU60" s="236"/>
      <c r="BV60" s="236"/>
      <c r="BW60" s="236"/>
      <c r="BX60" s="236"/>
      <c r="BY60" s="236"/>
      <c r="BZ60" s="236"/>
      <c r="CA60" s="236"/>
      <c r="CB60" s="236"/>
      <c r="CC60" s="236"/>
      <c r="CD60" s="236"/>
      <c r="CE60" s="236"/>
      <c r="CF60" s="236"/>
      <c r="CG60" s="236"/>
      <c r="CH60" s="236"/>
      <c r="CI60" s="236"/>
      <c r="CJ60" s="236"/>
      <c r="CK60" s="236"/>
      <c r="CL60" s="236"/>
      <c r="CM60" s="236"/>
      <c r="CN60" s="236"/>
      <c r="CO60" s="236"/>
      <c r="CP60" s="236"/>
      <c r="CQ60" s="236"/>
      <c r="CR60" s="236"/>
      <c r="CS60" s="236"/>
      <c r="CT60" s="236"/>
      <c r="CU60" s="236"/>
      <c r="CV60" s="236"/>
      <c r="CW60" s="236"/>
      <c r="CX60" s="236"/>
      <c r="CY60" s="236"/>
      <c r="CZ60" s="236"/>
      <c r="DA60" s="236"/>
      <c r="DB60" s="236"/>
      <c r="DC60" s="236"/>
      <c r="DD60" s="236"/>
      <c r="DE60" s="236"/>
      <c r="DF60" s="236"/>
      <c r="DG60" s="236"/>
      <c r="DH60" s="236"/>
      <c r="DI60" s="236"/>
      <c r="DJ60" s="236"/>
      <c r="DK60" s="236"/>
      <c r="DL60" s="236"/>
      <c r="DM60" s="236"/>
      <c r="DN60" s="236"/>
      <c r="DO60" s="236"/>
      <c r="DP60" s="236"/>
      <c r="DQ60" s="236"/>
      <c r="DR60" s="236"/>
      <c r="DS60" s="236"/>
      <c r="DT60" s="236"/>
      <c r="DU60" s="236"/>
      <c r="DV60" s="236"/>
      <c r="DW60" s="236"/>
      <c r="DX60" s="236"/>
      <c r="DY60" s="236"/>
      <c r="DZ60" s="236"/>
      <c r="EA60" s="236"/>
      <c r="EB60" s="236"/>
      <c r="EC60" s="236"/>
      <c r="ED60" s="236"/>
      <c r="EE60" s="236"/>
      <c r="EF60" s="236"/>
      <c r="EG60" s="236"/>
      <c r="EH60" s="236"/>
      <c r="EI60" s="236"/>
      <c r="EJ60" s="236"/>
      <c r="EK60" s="236"/>
      <c r="EL60" s="236"/>
      <c r="EM60" s="236"/>
      <c r="EN60" s="236"/>
      <c r="EO60" s="236"/>
      <c r="EP60" s="236"/>
      <c r="EQ60" s="236"/>
      <c r="ER60" s="236"/>
      <c r="ES60" s="236"/>
      <c r="ET60" s="236"/>
      <c r="EU60" s="236"/>
      <c r="EV60" s="236"/>
      <c r="EW60" s="236"/>
      <c r="EX60" s="236"/>
      <c r="EY60" s="236"/>
      <c r="EZ60" s="236"/>
      <c r="FA60" s="236"/>
      <c r="FB60" s="236"/>
      <c r="FC60" s="236"/>
      <c r="FD60" s="236"/>
      <c r="FE60" s="236"/>
      <c r="FF60" s="236"/>
      <c r="FG60" s="236"/>
      <c r="FH60" s="236"/>
      <c r="FI60" s="236"/>
      <c r="FJ60" s="236"/>
      <c r="FK60" s="236"/>
      <c r="FL60" s="236"/>
      <c r="FM60" s="236"/>
      <c r="FN60" s="236"/>
      <c r="FO60" s="236"/>
      <c r="FP60" s="236"/>
      <c r="FQ60" s="236"/>
      <c r="FR60" s="236"/>
      <c r="FS60" s="236"/>
      <c r="FT60" s="236"/>
      <c r="FU60" s="236"/>
      <c r="FV60" s="236"/>
      <c r="FW60" s="236"/>
      <c r="FX60" s="236"/>
      <c r="FY60" s="236"/>
      <c r="FZ60" s="236"/>
      <c r="GA60" s="236"/>
      <c r="GB60" s="236"/>
      <c r="GC60" s="236"/>
      <c r="GD60" s="236"/>
      <c r="GE60" s="236"/>
      <c r="GF60" s="236"/>
      <c r="GG60" s="236"/>
      <c r="GH60" s="236"/>
      <c r="GI60" s="236"/>
      <c r="GJ60" s="236"/>
      <c r="GK60" s="236"/>
      <c r="GL60" s="236"/>
      <c r="GM60" s="236"/>
      <c r="GN60" s="236"/>
      <c r="GO60" s="236"/>
      <c r="GP60" s="236"/>
      <c r="GQ60" s="236"/>
      <c r="GR60" s="236"/>
      <c r="GS60" s="236"/>
      <c r="GT60" s="236"/>
      <c r="GU60" s="236"/>
      <c r="GV60" s="236"/>
      <c r="GW60" s="236"/>
      <c r="GX60" s="236"/>
      <c r="GY60" s="236"/>
      <c r="GZ60" s="236"/>
      <c r="HA60" s="236"/>
      <c r="HB60" s="236"/>
      <c r="HC60" s="236"/>
      <c r="HD60" s="236"/>
      <c r="HE60" s="236"/>
      <c r="HF60" s="236"/>
      <c r="HG60" s="236"/>
      <c r="HH60" s="236"/>
      <c r="HI60" s="236"/>
      <c r="HJ60" s="236"/>
      <c r="HK60" s="236"/>
      <c r="HL60" s="236"/>
      <c r="HM60" s="236"/>
      <c r="HN60" s="236"/>
      <c r="HO60" s="236"/>
      <c r="HP60" s="236"/>
      <c r="HQ60" s="236"/>
      <c r="HR60" s="236"/>
      <c r="HS60" s="236"/>
      <c r="HT60" s="236"/>
      <c r="HU60" s="236"/>
      <c r="HV60" s="236"/>
      <c r="HW60" s="236"/>
      <c r="HX60" s="236"/>
      <c r="HY60" s="236"/>
      <c r="HZ60" s="236"/>
      <c r="IA60" s="236"/>
      <c r="IB60" s="236"/>
      <c r="IC60" s="236"/>
      <c r="ID60" s="236"/>
      <c r="IE60" s="236"/>
      <c r="IF60" s="236"/>
      <c r="IG60" s="236"/>
      <c r="IH60" s="236"/>
      <c r="II60" s="236"/>
      <c r="IJ60" s="236"/>
      <c r="IK60" s="236"/>
      <c r="IL60" s="236"/>
      <c r="IM60" s="236"/>
      <c r="IN60" s="236"/>
      <c r="IO60" s="236"/>
      <c r="IP60" s="236"/>
      <c r="IQ60" s="236"/>
      <c r="IR60" s="236"/>
      <c r="IS60" s="236"/>
      <c r="IT60" s="236"/>
      <c r="IU60" s="236"/>
      <c r="IV60" s="236"/>
      <c r="IW60" s="236"/>
      <c r="IX60" s="236"/>
      <c r="IY60" s="236"/>
      <c r="IZ60" s="236"/>
      <c r="JA60" s="236"/>
      <c r="JB60" s="236"/>
      <c r="JC60" s="236"/>
      <c r="JD60" s="236"/>
      <c r="JE60" s="236"/>
      <c r="JF60" s="236"/>
      <c r="JG60" s="236"/>
      <c r="JH60" s="236"/>
      <c r="JI60" s="236"/>
      <c r="JJ60" s="236"/>
      <c r="JK60" s="236"/>
      <c r="JL60" s="236"/>
      <c r="JM60" s="236"/>
      <c r="JN60" s="236"/>
      <c r="JO60" s="236"/>
      <c r="JP60" s="236"/>
      <c r="JQ60" s="411"/>
      <c r="JR60" s="411"/>
      <c r="JS60" s="411"/>
      <c r="JT60" s="411"/>
      <c r="JU60" s="411"/>
      <c r="JV60" s="411"/>
      <c r="JW60" s="411"/>
      <c r="KH60" s="412">
        <f t="shared" si="17"/>
        <v>57</v>
      </c>
      <c r="KI60" s="413" t="str">
        <f t="shared" ca="1" si="6"/>
        <v/>
      </c>
      <c r="KJ60" s="413" t="str">
        <f t="shared" ca="1" si="20"/>
        <v/>
      </c>
      <c r="KK60" s="414" t="str">
        <f t="shared" ca="1" si="8"/>
        <v/>
      </c>
    </row>
    <row r="61" spans="3:297" ht="24" customHeight="1">
      <c r="C61"/>
      <c r="D61" s="57" t="str">
        <f ca="1">INDIRECT(ADDRESS(ROWS($D$3:D60)+6,D$3,1,1,"3_TIME SUM"))</f>
        <v>Make Up Floating Equipment</v>
      </c>
      <c r="E61" s="81" t="str">
        <f ca="1">IF(INDIRECT(ADDRESS(ROWS($E$3:E60)+6,E$3,1,1,"3_TIME SUM"))=0,E60,INDIRECT(ADDRESS(ROWS($E$3:E60)+6,E$3,1,1,"3_TIME SUM")))</f>
        <v>Run Casing and Cement</v>
      </c>
      <c r="F61" s="57" t="str">
        <f t="shared" ca="1" si="3"/>
        <v>Run Casing and Cement : Make Up Floating Equipment</v>
      </c>
      <c r="G61" s="58" t="str">
        <f ca="1">VLOOKUP($D61,INDIRECT(ADDRESS(7,5,1,1,"3_TIME SUM")):INDIRECT(ADDRESS(200,7,1,1,"3_TIME SUM")),2,FALSE)</f>
        <v>12c</v>
      </c>
      <c r="H61" s="58" t="str">
        <f ca="1">IF(VLOOKUP($D61,INDIRECT(ADDRESS(7,5,1,1,"3_TIME SUM")):INDIRECT(ADDRESS(200,7,1,1,"3_TIME SUM")),3,FALSE)="","PT",VLOOKUP($D61,INDIRECT(ADDRESS(7,5,1,1,"3_TIME SUM")):INDIRECT(ADDRESS(200,7,1,1,"3_TIME SUM")),3,FALSE))</f>
        <v>PT</v>
      </c>
      <c r="I61" s="59">
        <f ca="1">IFERROR(IF(AND($D$2="NON PRODUCTIVE TIME",$H61="NPT"),SUMIF(INDIRECT(ADDRESS(8,COLUMN('2_DATA'!$M$9),1,1,"2_DATA")):INDIRECT(ADDRESS(3000,COLUMN('2_DATA'!$M$9),1,1,"2_DATA")),$G61,INDIRECT(ADDRESS(8,COLUMN('2_DATA'!$N$9),1,1,"2_DATA")):INDIRECT(ADDRESS(3000,COLUMN('2_DATA'!$N$9),1,1,"2_DATA"))),IF($D$2="ALL ACTIVITY",SUMIF(INDIRECT(ADDRESS(9,COLUMN('2_DATA'!$M$9),1,1,"2_DATA")):INDIRECT(ADDRESS(3000,COLUMN('2_DATA'!$M$9),1,1,"2_DATA")),$G61,INDIRECT(ADDRESS(9,COLUMN('2_DATA'!$N$9),1,1,"2_DATA")):INDIRECT(ADDRESS(3000,COLUMN('2_DATA'!$N$9),1,1,"2_DATA"))),SUMIF(INDIRECT(ADDRESS(OFFSET($A$3,MATCH($D$2,$A$4:$A$16,0)-1,1,,)+1,COLUMN('2_DATA'!$M$9),1,1,"2_DATA")):INDIRECT(ADDRESS(VLOOKUP($D$2,$A$4:$B$16,2,FALSE)-1,COLUMN('2_DATA'!$M$9),1,1,"2_DATA")),$G61,INDIRECT(ADDRESS(OFFSET($A$3,MATCH($D$2,$A$4:$A$16,0)-1,1,,)+1,COLUMN('2_DATA'!$N$9),1,1,"2_DATA")):INDIRECT(ADDRESS(VLOOKUP($D$2,$A$4:$B$16,2,FALSE)-1,COLUMN('2_DATA'!$N$9),1,1,"2_DATA"))))),0)</f>
        <v>0</v>
      </c>
      <c r="J61" s="58" t="str">
        <f ca="1">IF(I61=0,"",MAX($J$3:J60)+1)</f>
        <v/>
      </c>
      <c r="L61" s="55">
        <f t="shared" ca="1" si="0"/>
        <v>1000</v>
      </c>
      <c r="M61" s="55" t="str">
        <f t="shared" ca="1" si="4"/>
        <v/>
      </c>
      <c r="N61" s="55"/>
      <c r="O61" s="55" t="str">
        <f t="shared" ca="1" si="10"/>
        <v/>
      </c>
      <c r="P61" s="55">
        <f t="shared" ca="1" si="1"/>
        <v>0</v>
      </c>
      <c r="Q61" s="55" t="str">
        <f ca="1">IFERROR(INDEX($O$4:$P$226,MATCH(ROWS($Q$3:Q60),$P$4:$P$226,0),1),"-")</f>
        <v>-</v>
      </c>
      <c r="R61" s="62" t="str">
        <f t="shared" ca="1" si="2"/>
        <v/>
      </c>
      <c r="S61" s="55" t="str">
        <f t="shared" ca="1" si="5"/>
        <v/>
      </c>
      <c r="T61" s="67">
        <f t="shared" ca="1" si="19"/>
        <v>1026</v>
      </c>
      <c r="V61" s="68" t="str">
        <f t="shared" ca="1" si="11"/>
        <v/>
      </c>
      <c r="W61" s="69" t="str">
        <f t="shared" ca="1" si="12"/>
        <v/>
      </c>
      <c r="X61" s="70" t="s">
        <v>84</v>
      </c>
      <c r="Y61" s="68" t="str">
        <f t="shared" ca="1" si="16"/>
        <v/>
      </c>
      <c r="Z61" s="71" t="str">
        <f t="shared" ca="1" si="13"/>
        <v/>
      </c>
      <c r="AA61" s="72" t="str">
        <f t="shared" ca="1" si="14"/>
        <v/>
      </c>
      <c r="AB61" s="305" t="str">
        <f t="shared" ca="1" si="15"/>
        <v/>
      </c>
      <c r="AC61" s="236"/>
      <c r="AD61" s="236"/>
      <c r="AE61" s="236"/>
      <c r="AF61" s="236"/>
      <c r="AG61" s="236"/>
      <c r="AH61" s="236"/>
      <c r="AI61" s="236"/>
      <c r="AJ61" s="236"/>
      <c r="AK61" s="236"/>
      <c r="AL61" s="236"/>
      <c r="AM61" s="236"/>
      <c r="AN61" s="236"/>
      <c r="AO61" s="236"/>
      <c r="AP61" s="236"/>
      <c r="AQ61" s="236"/>
      <c r="AR61" s="236"/>
      <c r="AS61" s="236"/>
      <c r="AT61" s="236"/>
      <c r="AU61" s="236"/>
      <c r="AV61" s="236"/>
      <c r="AW61" s="236"/>
      <c r="AX61" s="236"/>
      <c r="AY61" s="236"/>
      <c r="AZ61" s="236"/>
      <c r="BA61" s="236"/>
      <c r="BB61" s="236"/>
      <c r="BC61" s="236"/>
      <c r="BD61" s="236"/>
      <c r="BE61" s="236"/>
      <c r="BF61" s="236"/>
      <c r="BG61" s="236"/>
      <c r="BH61" s="236"/>
      <c r="BI61" s="236"/>
      <c r="BJ61" s="236"/>
      <c r="BK61" s="236"/>
      <c r="BL61" s="236"/>
      <c r="BM61" s="236"/>
      <c r="BN61" s="236"/>
      <c r="BO61" s="236"/>
      <c r="BP61" s="236"/>
      <c r="BQ61" s="236"/>
      <c r="BR61" s="236"/>
      <c r="BS61" s="236"/>
      <c r="BT61" s="236"/>
      <c r="BU61" s="236"/>
      <c r="BV61" s="236"/>
      <c r="BW61" s="236"/>
      <c r="BX61" s="236"/>
      <c r="BY61" s="236"/>
      <c r="BZ61" s="236"/>
      <c r="CA61" s="236"/>
      <c r="CB61" s="236"/>
      <c r="CC61" s="236"/>
      <c r="CD61" s="236"/>
      <c r="CE61" s="236"/>
      <c r="CF61" s="236"/>
      <c r="CG61" s="236"/>
      <c r="CH61" s="236"/>
      <c r="CI61" s="236"/>
      <c r="CJ61" s="236"/>
      <c r="CK61" s="236"/>
      <c r="CL61" s="236"/>
      <c r="CM61" s="236"/>
      <c r="CN61" s="236"/>
      <c r="CO61" s="236"/>
      <c r="CP61" s="236"/>
      <c r="CQ61" s="236"/>
      <c r="CR61" s="236"/>
      <c r="CS61" s="236"/>
      <c r="CT61" s="236"/>
      <c r="CU61" s="236"/>
      <c r="CV61" s="236"/>
      <c r="CW61" s="236"/>
      <c r="CX61" s="236"/>
      <c r="CY61" s="236"/>
      <c r="CZ61" s="236"/>
      <c r="DA61" s="236"/>
      <c r="DB61" s="236"/>
      <c r="DC61" s="236"/>
      <c r="DD61" s="236"/>
      <c r="DE61" s="236"/>
      <c r="DF61" s="236"/>
      <c r="DG61" s="236"/>
      <c r="DH61" s="236"/>
      <c r="DI61" s="236"/>
      <c r="DJ61" s="236"/>
      <c r="DK61" s="236"/>
      <c r="DL61" s="236"/>
      <c r="DM61" s="236"/>
      <c r="DN61" s="236"/>
      <c r="DO61" s="236"/>
      <c r="DP61" s="236"/>
      <c r="DQ61" s="236"/>
      <c r="DR61" s="236"/>
      <c r="DS61" s="236"/>
      <c r="DT61" s="236"/>
      <c r="DU61" s="236"/>
      <c r="DV61" s="236"/>
      <c r="DW61" s="236"/>
      <c r="DX61" s="236"/>
      <c r="DY61" s="236"/>
      <c r="DZ61" s="236"/>
      <c r="EA61" s="236"/>
      <c r="EB61" s="236"/>
      <c r="EC61" s="236"/>
      <c r="ED61" s="236"/>
      <c r="EE61" s="236"/>
      <c r="EF61" s="236"/>
      <c r="EG61" s="236"/>
      <c r="EH61" s="236"/>
      <c r="EI61" s="236"/>
      <c r="EJ61" s="236"/>
      <c r="EK61" s="236"/>
      <c r="EL61" s="236"/>
      <c r="EM61" s="236"/>
      <c r="EN61" s="236"/>
      <c r="EO61" s="236"/>
      <c r="EP61" s="236"/>
      <c r="EQ61" s="236"/>
      <c r="ER61" s="236"/>
      <c r="ES61" s="236"/>
      <c r="ET61" s="236"/>
      <c r="EU61" s="236"/>
      <c r="EV61" s="236"/>
      <c r="EW61" s="236"/>
      <c r="EX61" s="236"/>
      <c r="EY61" s="236"/>
      <c r="EZ61" s="236"/>
      <c r="FA61" s="236"/>
      <c r="FB61" s="236"/>
      <c r="FC61" s="236"/>
      <c r="FD61" s="236"/>
      <c r="FE61" s="236"/>
      <c r="FF61" s="236"/>
      <c r="FG61" s="236"/>
      <c r="FH61" s="236"/>
      <c r="FI61" s="236"/>
      <c r="FJ61" s="236"/>
      <c r="FK61" s="236"/>
      <c r="FL61" s="236"/>
      <c r="FM61" s="236"/>
      <c r="FN61" s="236"/>
      <c r="FO61" s="236"/>
      <c r="FP61" s="236"/>
      <c r="FQ61" s="236"/>
      <c r="FR61" s="236"/>
      <c r="FS61" s="236"/>
      <c r="FT61" s="236"/>
      <c r="FU61" s="236"/>
      <c r="FV61" s="236"/>
      <c r="FW61" s="236"/>
      <c r="FX61" s="236"/>
      <c r="FY61" s="236"/>
      <c r="FZ61" s="236"/>
      <c r="GA61" s="236"/>
      <c r="GB61" s="236"/>
      <c r="GC61" s="236"/>
      <c r="GD61" s="236"/>
      <c r="GE61" s="236"/>
      <c r="GF61" s="236"/>
      <c r="GG61" s="236"/>
      <c r="GH61" s="236"/>
      <c r="GI61" s="236"/>
      <c r="GJ61" s="236"/>
      <c r="GK61" s="236"/>
      <c r="GL61" s="236"/>
      <c r="GM61" s="236"/>
      <c r="GN61" s="236"/>
      <c r="GO61" s="236"/>
      <c r="GP61" s="236"/>
      <c r="GQ61" s="236"/>
      <c r="GR61" s="236"/>
      <c r="GS61" s="236"/>
      <c r="GT61" s="236"/>
      <c r="GU61" s="236"/>
      <c r="GV61" s="236"/>
      <c r="GW61" s="236"/>
      <c r="GX61" s="236"/>
      <c r="GY61" s="236"/>
      <c r="GZ61" s="236"/>
      <c r="HA61" s="236"/>
      <c r="HB61" s="236"/>
      <c r="HC61" s="236"/>
      <c r="HD61" s="236"/>
      <c r="HE61" s="236"/>
      <c r="HF61" s="236"/>
      <c r="HG61" s="236"/>
      <c r="HH61" s="236"/>
      <c r="HI61" s="236"/>
      <c r="HJ61" s="236"/>
      <c r="HK61" s="236"/>
      <c r="HL61" s="236"/>
      <c r="HM61" s="236"/>
      <c r="HN61" s="236"/>
      <c r="HO61" s="236"/>
      <c r="HP61" s="236"/>
      <c r="HQ61" s="236"/>
      <c r="HR61" s="236"/>
      <c r="HS61" s="236"/>
      <c r="HT61" s="236"/>
      <c r="HU61" s="236"/>
      <c r="HV61" s="236"/>
      <c r="HW61" s="236"/>
      <c r="HX61" s="236"/>
      <c r="HY61" s="236"/>
      <c r="HZ61" s="236"/>
      <c r="IA61" s="236"/>
      <c r="IB61" s="236"/>
      <c r="IC61" s="236"/>
      <c r="ID61" s="236"/>
      <c r="IE61" s="236"/>
      <c r="IF61" s="236"/>
      <c r="IG61" s="236"/>
      <c r="IH61" s="236"/>
      <c r="II61" s="236"/>
      <c r="IJ61" s="236"/>
      <c r="IK61" s="236"/>
      <c r="IL61" s="236"/>
      <c r="IM61" s="236"/>
      <c r="IN61" s="236"/>
      <c r="IO61" s="236"/>
      <c r="IP61" s="236"/>
      <c r="IQ61" s="236"/>
      <c r="IR61" s="236"/>
      <c r="IS61" s="236"/>
      <c r="IT61" s="236"/>
      <c r="IU61" s="236"/>
      <c r="IV61" s="236"/>
      <c r="IW61" s="236"/>
      <c r="IX61" s="236"/>
      <c r="IY61" s="236"/>
      <c r="IZ61" s="236"/>
      <c r="JA61" s="236"/>
      <c r="JB61" s="236"/>
      <c r="JC61" s="236"/>
      <c r="JD61" s="236"/>
      <c r="JE61" s="236"/>
      <c r="JF61" s="236"/>
      <c r="JG61" s="236"/>
      <c r="JH61" s="236"/>
      <c r="JI61" s="236"/>
      <c r="JJ61" s="236"/>
      <c r="JK61" s="236"/>
      <c r="JL61" s="236"/>
      <c r="JM61" s="236"/>
      <c r="JN61" s="236"/>
      <c r="JO61" s="236"/>
      <c r="JP61" s="236"/>
      <c r="JQ61" s="236"/>
      <c r="JR61" s="236"/>
      <c r="JS61" s="236"/>
      <c r="JT61" s="236"/>
      <c r="JU61" s="236"/>
      <c r="JV61" s="236"/>
      <c r="JW61" s="236"/>
      <c r="JX61" s="409"/>
      <c r="JY61" s="409"/>
      <c r="JZ61" s="409"/>
      <c r="KA61" s="409"/>
      <c r="KB61" s="409"/>
      <c r="KC61" s="409"/>
      <c r="KD61" s="409"/>
      <c r="KE61" s="409"/>
      <c r="KF61" s="409"/>
      <c r="KG61" s="410"/>
      <c r="KH61" s="412">
        <f t="shared" si="17"/>
        <v>58</v>
      </c>
      <c r="KI61" s="413" t="str">
        <f t="shared" ca="1" si="6"/>
        <v/>
      </c>
      <c r="KJ61" s="413" t="str">
        <f t="shared" ca="1" si="20"/>
        <v/>
      </c>
      <c r="KK61" s="414" t="str">
        <f t="shared" ca="1" si="8"/>
        <v/>
      </c>
    </row>
    <row r="62" spans="3:297" ht="24" customHeight="1">
      <c r="C62"/>
      <c r="D62" s="57" t="str">
        <f ca="1">INDIRECT(ADDRESS(ROWS($D$3:D61)+6,D$3,1,1,"3_TIME SUM"))</f>
        <v xml:space="preserve">Run Casing / Liner / Accessories Lainya  </v>
      </c>
      <c r="E62" s="81" t="str">
        <f ca="1">IF(INDIRECT(ADDRESS(ROWS($E$3:E61)+6,E$3,1,1,"3_TIME SUM"))=0,E61,INDIRECT(ADDRESS(ROWS($E$3:E61)+6,E$3,1,1,"3_TIME SUM")))</f>
        <v>Run Casing and Cement</v>
      </c>
      <c r="F62" s="57" t="str">
        <f t="shared" ca="1" si="3"/>
        <v xml:space="preserve">Run Casing and Cement : Run Casing / Liner / Accessories Lainya  </v>
      </c>
      <c r="G62" s="58" t="str">
        <f ca="1">VLOOKUP($D62,INDIRECT(ADDRESS(7,5,1,1,"3_TIME SUM")):INDIRECT(ADDRESS(200,7,1,1,"3_TIME SUM")),2,FALSE)</f>
        <v>12d</v>
      </c>
      <c r="H62" s="58" t="str">
        <f ca="1">IF(VLOOKUP($D62,INDIRECT(ADDRESS(7,5,1,1,"3_TIME SUM")):INDIRECT(ADDRESS(200,7,1,1,"3_TIME SUM")),3,FALSE)="","PT",VLOOKUP($D62,INDIRECT(ADDRESS(7,5,1,1,"3_TIME SUM")):INDIRECT(ADDRESS(200,7,1,1,"3_TIME SUM")),3,FALSE))</f>
        <v>PT</v>
      </c>
      <c r="I62" s="59">
        <f ca="1">IFERROR(IF(AND($D$2="NON PRODUCTIVE TIME",$H62="NPT"),SUMIF(INDIRECT(ADDRESS(8,COLUMN('2_DATA'!$M$9),1,1,"2_DATA")):INDIRECT(ADDRESS(3000,COLUMN('2_DATA'!$M$9),1,1,"2_DATA")),$G62,INDIRECT(ADDRESS(8,COLUMN('2_DATA'!$N$9),1,1,"2_DATA")):INDIRECT(ADDRESS(3000,COLUMN('2_DATA'!$N$9),1,1,"2_DATA"))),IF($D$2="ALL ACTIVITY",SUMIF(INDIRECT(ADDRESS(9,COLUMN('2_DATA'!$M$9),1,1,"2_DATA")):INDIRECT(ADDRESS(3000,COLUMN('2_DATA'!$M$9),1,1,"2_DATA")),$G62,INDIRECT(ADDRESS(9,COLUMN('2_DATA'!$N$9),1,1,"2_DATA")):INDIRECT(ADDRESS(3000,COLUMN('2_DATA'!$N$9),1,1,"2_DATA"))),SUMIF(INDIRECT(ADDRESS(OFFSET($A$3,MATCH($D$2,$A$4:$A$16,0)-1,1,,)+1,COLUMN('2_DATA'!$M$9),1,1,"2_DATA")):INDIRECT(ADDRESS(VLOOKUP($D$2,$A$4:$B$16,2,FALSE)-1,COLUMN('2_DATA'!$M$9),1,1,"2_DATA")),$G62,INDIRECT(ADDRESS(OFFSET($A$3,MATCH($D$2,$A$4:$A$16,0)-1,1,,)+1,COLUMN('2_DATA'!$N$9),1,1,"2_DATA")):INDIRECT(ADDRESS(VLOOKUP($D$2,$A$4:$B$16,2,FALSE)-1,COLUMN('2_DATA'!$N$9),1,1,"2_DATA"))))),0)</f>
        <v>0</v>
      </c>
      <c r="J62" s="58" t="str">
        <f ca="1">IF(I62=0,"",MAX($J$3:J61)+1)</f>
        <v/>
      </c>
      <c r="L62" s="55">
        <f t="shared" ca="1" si="0"/>
        <v>1000</v>
      </c>
      <c r="M62" s="55" t="str">
        <f t="shared" ca="1" si="4"/>
        <v/>
      </c>
      <c r="N62" s="55"/>
      <c r="O62" s="55">
        <f t="shared" ca="1" si="10"/>
        <v>1015</v>
      </c>
      <c r="P62" s="55">
        <f t="shared" ca="1" si="1"/>
        <v>16</v>
      </c>
      <c r="Q62" s="55" t="str">
        <f ca="1">IFERROR(INDEX($O$4:$P$226,MATCH(ROWS($Q$3:Q61),$P$4:$P$226,0),1),"-")</f>
        <v>-</v>
      </c>
      <c r="R62" s="62" t="str">
        <f t="shared" ca="1" si="2"/>
        <v/>
      </c>
      <c r="S62" s="55" t="str">
        <f t="shared" ca="1" si="5"/>
        <v/>
      </c>
      <c r="T62" s="67">
        <f t="shared" ca="1" si="19"/>
        <v>1027</v>
      </c>
      <c r="V62" s="68" t="str">
        <f t="shared" ca="1" si="11"/>
        <v/>
      </c>
      <c r="W62" s="69" t="str">
        <f t="shared" ca="1" si="12"/>
        <v/>
      </c>
      <c r="X62" s="70" t="s">
        <v>84</v>
      </c>
      <c r="Y62" s="68" t="str">
        <f t="shared" ca="1" si="16"/>
        <v/>
      </c>
      <c r="Z62" s="71" t="str">
        <f t="shared" ca="1" si="13"/>
        <v/>
      </c>
      <c r="AA62" s="72" t="str">
        <f t="shared" ca="1" si="14"/>
        <v/>
      </c>
      <c r="AB62" s="305" t="str">
        <f t="shared" ca="1" si="15"/>
        <v/>
      </c>
      <c r="AC62" s="236"/>
      <c r="AD62" s="236"/>
      <c r="AE62" s="236"/>
      <c r="AF62" s="236"/>
      <c r="AG62" s="236"/>
      <c r="AH62" s="236"/>
      <c r="AI62" s="236"/>
      <c r="AJ62" s="236"/>
      <c r="AK62" s="236"/>
      <c r="AL62" s="236"/>
      <c r="AM62" s="236"/>
      <c r="AN62" s="236"/>
      <c r="AO62" s="236"/>
      <c r="AP62" s="236"/>
      <c r="AQ62" s="236"/>
      <c r="AR62" s="236"/>
      <c r="AS62" s="236"/>
      <c r="AT62" s="236"/>
      <c r="AU62" s="236"/>
      <c r="AV62" s="236"/>
      <c r="AW62" s="236"/>
      <c r="AX62" s="236"/>
      <c r="AY62" s="236"/>
      <c r="AZ62" s="236"/>
      <c r="BA62" s="236"/>
      <c r="BB62" s="236"/>
      <c r="BC62" s="236"/>
      <c r="BD62" s="236"/>
      <c r="BE62" s="236"/>
      <c r="BF62" s="236"/>
      <c r="BG62" s="236"/>
      <c r="BH62" s="236"/>
      <c r="BI62" s="236"/>
      <c r="BJ62" s="236"/>
      <c r="BK62" s="236"/>
      <c r="BL62" s="236"/>
      <c r="BM62" s="236"/>
      <c r="BN62" s="236"/>
      <c r="BO62" s="236"/>
      <c r="BP62" s="236"/>
      <c r="BQ62" s="236"/>
      <c r="BR62" s="236"/>
      <c r="BS62" s="236"/>
      <c r="BT62" s="236"/>
      <c r="BU62" s="236"/>
      <c r="BV62" s="236"/>
      <c r="BW62" s="236"/>
      <c r="BX62" s="236"/>
      <c r="BY62" s="236"/>
      <c r="BZ62" s="236"/>
      <c r="CA62" s="236"/>
      <c r="CB62" s="236"/>
      <c r="CC62" s="236"/>
      <c r="CD62" s="236"/>
      <c r="CE62" s="236"/>
      <c r="CF62" s="236"/>
      <c r="CG62" s="236"/>
      <c r="CH62" s="236"/>
      <c r="CI62" s="236"/>
      <c r="CJ62" s="236"/>
      <c r="CK62" s="236"/>
      <c r="CL62" s="236"/>
      <c r="CM62" s="236"/>
      <c r="CN62" s="236"/>
      <c r="CO62" s="236"/>
      <c r="CP62" s="236"/>
      <c r="CQ62" s="236"/>
      <c r="CR62" s="236"/>
      <c r="CS62" s="236"/>
      <c r="CT62" s="236"/>
      <c r="CU62" s="236"/>
      <c r="CV62" s="236"/>
      <c r="CW62" s="236"/>
      <c r="CX62" s="236"/>
      <c r="CY62" s="236"/>
      <c r="CZ62" s="236"/>
      <c r="DA62" s="236"/>
      <c r="DB62" s="236"/>
      <c r="DC62" s="236"/>
      <c r="DD62" s="236"/>
      <c r="DE62" s="236"/>
      <c r="DF62" s="236"/>
      <c r="DG62" s="236"/>
      <c r="DH62" s="236"/>
      <c r="DI62" s="236"/>
      <c r="DJ62" s="236"/>
      <c r="DK62" s="236"/>
      <c r="DL62" s="236"/>
      <c r="DM62" s="236"/>
      <c r="DN62" s="236"/>
      <c r="DO62" s="236"/>
      <c r="DP62" s="236"/>
      <c r="DQ62" s="236"/>
      <c r="DR62" s="236"/>
      <c r="DS62" s="236"/>
      <c r="DT62" s="236"/>
      <c r="DU62" s="236"/>
      <c r="DV62" s="236"/>
      <c r="DW62" s="236"/>
      <c r="DX62" s="236"/>
      <c r="DY62" s="236"/>
      <c r="DZ62" s="236"/>
      <c r="EA62" s="236"/>
      <c r="EB62" s="236"/>
      <c r="EC62" s="236"/>
      <c r="ED62" s="236"/>
      <c r="EE62" s="236"/>
      <c r="EF62" s="236"/>
      <c r="EG62" s="236"/>
      <c r="EH62" s="236"/>
      <c r="EI62" s="236"/>
      <c r="EJ62" s="236"/>
      <c r="EK62" s="236"/>
      <c r="EL62" s="236"/>
      <c r="EM62" s="236"/>
      <c r="EN62" s="236"/>
      <c r="EO62" s="236"/>
      <c r="EP62" s="236"/>
      <c r="EQ62" s="236"/>
      <c r="ER62" s="236"/>
      <c r="ES62" s="236"/>
      <c r="ET62" s="236"/>
      <c r="EU62" s="236"/>
      <c r="EV62" s="236"/>
      <c r="EW62" s="236"/>
      <c r="EX62" s="236"/>
      <c r="EY62" s="236"/>
      <c r="EZ62" s="236"/>
      <c r="FA62" s="236"/>
      <c r="FB62" s="236"/>
      <c r="FC62" s="236"/>
      <c r="FD62" s="236"/>
      <c r="FE62" s="236"/>
      <c r="FF62" s="236"/>
      <c r="FG62" s="236"/>
      <c r="FH62" s="236"/>
      <c r="FI62" s="236"/>
      <c r="FJ62" s="236"/>
      <c r="FK62" s="236"/>
      <c r="FL62" s="236"/>
      <c r="FM62" s="236"/>
      <c r="FN62" s="236"/>
      <c r="FO62" s="236"/>
      <c r="FP62" s="236"/>
      <c r="FQ62" s="236"/>
      <c r="FR62" s="236"/>
      <c r="FS62" s="236"/>
      <c r="FT62" s="236"/>
      <c r="FU62" s="236"/>
      <c r="FV62" s="236"/>
      <c r="FW62" s="236"/>
      <c r="FX62" s="236"/>
      <c r="FY62" s="236"/>
      <c r="FZ62" s="236"/>
      <c r="GA62" s="236"/>
      <c r="GB62" s="236"/>
      <c r="GC62" s="236"/>
      <c r="GD62" s="236"/>
      <c r="GE62" s="236"/>
      <c r="GF62" s="236"/>
      <c r="GG62" s="236"/>
      <c r="GH62" s="236"/>
      <c r="GI62" s="236"/>
      <c r="GJ62" s="236"/>
      <c r="GK62" s="236"/>
      <c r="GL62" s="236"/>
      <c r="GM62" s="236"/>
      <c r="GN62" s="236"/>
      <c r="GO62" s="236"/>
      <c r="GP62" s="236"/>
      <c r="GQ62" s="236"/>
      <c r="GR62" s="236"/>
      <c r="GS62" s="236"/>
      <c r="GT62" s="236"/>
      <c r="GU62" s="236"/>
      <c r="GV62" s="236"/>
      <c r="GW62" s="236"/>
      <c r="GX62" s="236"/>
      <c r="GY62" s="236"/>
      <c r="GZ62" s="236"/>
      <c r="HA62" s="236"/>
      <c r="HB62" s="236"/>
      <c r="HC62" s="236"/>
      <c r="HD62" s="236"/>
      <c r="HE62" s="236"/>
      <c r="HF62" s="236"/>
      <c r="HG62" s="236"/>
      <c r="HH62" s="236"/>
      <c r="HI62" s="236"/>
      <c r="HJ62" s="236"/>
      <c r="HK62" s="236"/>
      <c r="HL62" s="236"/>
      <c r="HM62" s="236"/>
      <c r="HN62" s="236"/>
      <c r="HO62" s="236"/>
      <c r="HP62" s="236"/>
      <c r="HQ62" s="236"/>
      <c r="HR62" s="236"/>
      <c r="HS62" s="236"/>
      <c r="HT62" s="236"/>
      <c r="HU62" s="236"/>
      <c r="HV62" s="236"/>
      <c r="HW62" s="236"/>
      <c r="HX62" s="236"/>
      <c r="HY62" s="236"/>
      <c r="HZ62" s="236"/>
      <c r="IA62" s="236"/>
      <c r="IB62" s="236"/>
      <c r="IC62" s="236"/>
      <c r="ID62" s="236"/>
      <c r="IE62" s="236"/>
      <c r="IF62" s="236"/>
      <c r="IG62" s="236"/>
      <c r="IH62" s="236"/>
      <c r="II62" s="236"/>
      <c r="IJ62" s="236"/>
      <c r="IK62" s="236"/>
      <c r="IL62" s="236"/>
      <c r="IM62" s="236"/>
      <c r="IN62" s="236"/>
      <c r="IO62" s="236"/>
      <c r="IP62" s="236"/>
      <c r="IQ62" s="236"/>
      <c r="IR62" s="236"/>
      <c r="IS62" s="236"/>
      <c r="IT62" s="236"/>
      <c r="IU62" s="236"/>
      <c r="IV62" s="236"/>
      <c r="IW62" s="236"/>
      <c r="IX62" s="236"/>
      <c r="IY62" s="236"/>
      <c r="IZ62" s="236"/>
      <c r="JA62" s="236"/>
      <c r="JB62" s="236"/>
      <c r="JC62" s="236"/>
      <c r="JD62" s="236"/>
      <c r="JE62" s="236"/>
      <c r="JF62" s="236"/>
      <c r="JG62" s="236"/>
      <c r="JH62" s="236"/>
      <c r="JI62" s="236"/>
      <c r="JJ62" s="236"/>
      <c r="JK62" s="236"/>
      <c r="JL62" s="236"/>
      <c r="JM62" s="236"/>
      <c r="JN62" s="236"/>
      <c r="JO62" s="236"/>
      <c r="JP62" s="236"/>
      <c r="JQ62" s="236"/>
      <c r="JR62" s="236"/>
      <c r="JS62" s="236"/>
      <c r="JT62" s="236"/>
      <c r="JU62" s="236"/>
      <c r="JV62" s="236"/>
      <c r="JW62" s="236"/>
      <c r="JX62" s="409"/>
      <c r="JY62" s="409"/>
      <c r="JZ62" s="409"/>
      <c r="KA62" s="409"/>
      <c r="KB62" s="409"/>
      <c r="KC62" s="409"/>
      <c r="KD62" s="409"/>
      <c r="KE62" s="409"/>
      <c r="KF62" s="409"/>
      <c r="KG62" s="410"/>
      <c r="KH62" s="412">
        <f t="shared" si="17"/>
        <v>59</v>
      </c>
      <c r="KI62" s="413" t="str">
        <f t="shared" ca="1" si="6"/>
        <v/>
      </c>
      <c r="KJ62" s="413" t="str">
        <f t="shared" ca="1" si="20"/>
        <v/>
      </c>
      <c r="KK62" s="414" t="str">
        <f t="shared" ca="1" si="8"/>
        <v/>
      </c>
    </row>
    <row r="63" spans="3:297" ht="24" customHeight="1">
      <c r="C63"/>
      <c r="D63" s="57" t="str">
        <f ca="1">INDIRECT(ADDRESS(ROWS($D$3:D62)+6,D$3,1,1,"3_TIME SUM"))</f>
        <v xml:space="preserve">Cement Casing / Liner  </v>
      </c>
      <c r="E63" s="81" t="str">
        <f ca="1">IF(INDIRECT(ADDRESS(ROWS($E$3:E62)+6,E$3,1,1,"3_TIME SUM"))=0,E62,INDIRECT(ADDRESS(ROWS($E$3:E62)+6,E$3,1,1,"3_TIME SUM")))</f>
        <v>Run Casing and Cement</v>
      </c>
      <c r="F63" s="57" t="str">
        <f t="shared" ca="1" si="3"/>
        <v xml:space="preserve">Run Casing and Cement : Cement Casing / Liner  </v>
      </c>
      <c r="G63" s="58" t="str">
        <f ca="1">VLOOKUP($D63,INDIRECT(ADDRESS(7,5,1,1,"3_TIME SUM")):INDIRECT(ADDRESS(200,7,1,1,"3_TIME SUM")),2,FALSE)</f>
        <v>12e</v>
      </c>
      <c r="H63" s="58" t="str">
        <f ca="1">IF(VLOOKUP($D63,INDIRECT(ADDRESS(7,5,1,1,"3_TIME SUM")):INDIRECT(ADDRESS(200,7,1,1,"3_TIME SUM")),3,FALSE)="","PT",VLOOKUP($D63,INDIRECT(ADDRESS(7,5,1,1,"3_TIME SUM")):INDIRECT(ADDRESS(200,7,1,1,"3_TIME SUM")),3,FALSE))</f>
        <v>PT</v>
      </c>
      <c r="I63" s="59">
        <f ca="1">IFERROR(IF(AND($D$2="NON PRODUCTIVE TIME",$H63="NPT"),SUMIF(INDIRECT(ADDRESS(8,COLUMN('2_DATA'!$M$9),1,1,"2_DATA")):INDIRECT(ADDRESS(3000,COLUMN('2_DATA'!$M$9),1,1,"2_DATA")),$G63,INDIRECT(ADDRESS(8,COLUMN('2_DATA'!$N$9),1,1,"2_DATA")):INDIRECT(ADDRESS(3000,COLUMN('2_DATA'!$N$9),1,1,"2_DATA"))),IF($D$2="ALL ACTIVITY",SUMIF(INDIRECT(ADDRESS(9,COLUMN('2_DATA'!$M$9),1,1,"2_DATA")):INDIRECT(ADDRESS(3000,COLUMN('2_DATA'!$M$9),1,1,"2_DATA")),$G63,INDIRECT(ADDRESS(9,COLUMN('2_DATA'!$N$9),1,1,"2_DATA")):INDIRECT(ADDRESS(3000,COLUMN('2_DATA'!$N$9),1,1,"2_DATA"))),SUMIF(INDIRECT(ADDRESS(OFFSET($A$3,MATCH($D$2,$A$4:$A$16,0)-1,1,,)+1,COLUMN('2_DATA'!$M$9),1,1,"2_DATA")):INDIRECT(ADDRESS(VLOOKUP($D$2,$A$4:$B$16,2,FALSE)-1,COLUMN('2_DATA'!$M$9),1,1,"2_DATA")),$G63,INDIRECT(ADDRESS(OFFSET($A$3,MATCH($D$2,$A$4:$A$16,0)-1,1,,)+1,COLUMN('2_DATA'!$N$9),1,1,"2_DATA")):INDIRECT(ADDRESS(VLOOKUP($D$2,$A$4:$B$16,2,FALSE)-1,COLUMN('2_DATA'!$N$9),1,1,"2_DATA"))))),0)</f>
        <v>0</v>
      </c>
      <c r="J63" s="58" t="str">
        <f ca="1">IF(I63=0,"",MAX($J$3:J62)+1)</f>
        <v/>
      </c>
      <c r="L63" s="55">
        <f t="shared" ca="1" si="0"/>
        <v>1000</v>
      </c>
      <c r="M63" s="55" t="str">
        <f t="shared" ca="1" si="4"/>
        <v/>
      </c>
      <c r="N63" s="55"/>
      <c r="O63" s="55" t="str">
        <f t="shared" ca="1" si="10"/>
        <v/>
      </c>
      <c r="P63" s="55">
        <f t="shared" ca="1" si="1"/>
        <v>0</v>
      </c>
      <c r="Q63" s="55" t="str">
        <f ca="1">IFERROR(INDEX($O$4:$P$226,MATCH(ROWS($Q$3:Q62),$P$4:$P$226,0),1),"-")</f>
        <v>-</v>
      </c>
      <c r="R63" s="62" t="str">
        <f t="shared" ca="1" si="2"/>
        <v/>
      </c>
      <c r="S63" s="55" t="str">
        <f t="shared" ca="1" si="5"/>
        <v/>
      </c>
      <c r="T63" s="67" t="str">
        <f t="shared" ca="1" si="19"/>
        <v>-</v>
      </c>
      <c r="V63" s="68" t="str">
        <f t="shared" ca="1" si="11"/>
        <v/>
      </c>
      <c r="W63" s="69" t="str">
        <f t="shared" ca="1" si="12"/>
        <v/>
      </c>
      <c r="X63" s="70" t="s">
        <v>84</v>
      </c>
      <c r="Y63" s="68" t="str">
        <f t="shared" ca="1" si="16"/>
        <v/>
      </c>
      <c r="Z63" s="71" t="str">
        <f t="shared" ca="1" si="13"/>
        <v/>
      </c>
      <c r="AA63" s="72" t="str">
        <f t="shared" ca="1" si="14"/>
        <v/>
      </c>
      <c r="AB63" s="305" t="str">
        <f t="shared" ca="1" si="15"/>
        <v/>
      </c>
      <c r="AC63" s="236"/>
      <c r="AD63" s="236"/>
      <c r="AE63" s="236"/>
      <c r="AF63" s="236"/>
      <c r="AG63" s="236"/>
      <c r="AH63" s="236"/>
      <c r="AI63" s="236"/>
      <c r="AJ63" s="236"/>
      <c r="AK63" s="236"/>
      <c r="AL63" s="236"/>
      <c r="AM63" s="236"/>
      <c r="AN63" s="236"/>
      <c r="AO63" s="236"/>
      <c r="AP63" s="236"/>
      <c r="AQ63" s="236"/>
      <c r="AR63" s="236"/>
      <c r="AS63" s="236"/>
      <c r="AT63" s="236"/>
      <c r="AU63" s="236"/>
      <c r="AV63" s="236"/>
      <c r="AW63" s="236"/>
      <c r="AX63" s="236"/>
      <c r="AY63" s="236"/>
      <c r="AZ63" s="236"/>
      <c r="BA63" s="236"/>
      <c r="BB63" s="236"/>
      <c r="BC63" s="236"/>
      <c r="BD63" s="236"/>
      <c r="BE63" s="236"/>
      <c r="BF63" s="236"/>
      <c r="BG63" s="236"/>
      <c r="BH63" s="236"/>
      <c r="BI63" s="236"/>
      <c r="BJ63" s="236"/>
      <c r="BK63" s="236"/>
      <c r="BL63" s="236"/>
      <c r="BM63" s="236"/>
      <c r="BN63" s="236"/>
      <c r="BO63" s="236"/>
      <c r="BP63" s="236"/>
      <c r="BQ63" s="236"/>
      <c r="BR63" s="236"/>
      <c r="BS63" s="236"/>
      <c r="BT63" s="236"/>
      <c r="BU63" s="236"/>
      <c r="BV63" s="236"/>
      <c r="BW63" s="236"/>
      <c r="BX63" s="236"/>
      <c r="BY63" s="236"/>
      <c r="BZ63" s="236"/>
      <c r="CA63" s="236"/>
      <c r="CB63" s="236"/>
      <c r="CC63" s="236"/>
      <c r="CD63" s="236"/>
      <c r="CE63" s="236"/>
      <c r="CF63" s="236"/>
      <c r="CG63" s="236"/>
      <c r="CH63" s="236"/>
      <c r="CI63" s="236"/>
      <c r="CJ63" s="236"/>
      <c r="CK63" s="236"/>
      <c r="CL63" s="236"/>
      <c r="CM63" s="236"/>
      <c r="CN63" s="236"/>
      <c r="CO63" s="236"/>
      <c r="CP63" s="236"/>
      <c r="CQ63" s="236"/>
      <c r="CR63" s="236"/>
      <c r="CS63" s="236"/>
      <c r="CT63" s="236"/>
      <c r="CU63" s="236"/>
      <c r="CV63" s="236"/>
      <c r="CW63" s="236"/>
      <c r="CX63" s="236"/>
      <c r="CY63" s="236"/>
      <c r="CZ63" s="236"/>
      <c r="DA63" s="236"/>
      <c r="DB63" s="236"/>
      <c r="DC63" s="236"/>
      <c r="DD63" s="236"/>
      <c r="DE63" s="236"/>
      <c r="DF63" s="236"/>
      <c r="DG63" s="236"/>
      <c r="DH63" s="236"/>
      <c r="DI63" s="236"/>
      <c r="DJ63" s="236"/>
      <c r="DK63" s="236"/>
      <c r="DL63" s="236"/>
      <c r="DM63" s="236"/>
      <c r="DN63" s="236"/>
      <c r="DO63" s="236"/>
      <c r="DP63" s="236"/>
      <c r="DQ63" s="236"/>
      <c r="DR63" s="236"/>
      <c r="DS63" s="236"/>
      <c r="DT63" s="236"/>
      <c r="DU63" s="236"/>
      <c r="DV63" s="236"/>
      <c r="DW63" s="236"/>
      <c r="DX63" s="236"/>
      <c r="DY63" s="236"/>
      <c r="DZ63" s="236"/>
      <c r="EA63" s="236"/>
      <c r="EB63" s="236"/>
      <c r="EC63" s="236"/>
      <c r="ED63" s="236"/>
      <c r="EE63" s="236"/>
      <c r="EF63" s="236"/>
      <c r="EG63" s="236"/>
      <c r="EH63" s="236"/>
      <c r="EI63" s="236"/>
      <c r="EJ63" s="236"/>
      <c r="EK63" s="236"/>
      <c r="EL63" s="236"/>
      <c r="EM63" s="236"/>
      <c r="EN63" s="236"/>
      <c r="EO63" s="236"/>
      <c r="EP63" s="236"/>
      <c r="EQ63" s="236"/>
      <c r="ER63" s="236"/>
      <c r="ES63" s="236"/>
      <c r="ET63" s="236"/>
      <c r="EU63" s="236"/>
      <c r="EV63" s="236"/>
      <c r="EW63" s="236"/>
      <c r="EX63" s="236"/>
      <c r="EY63" s="236"/>
      <c r="EZ63" s="236"/>
      <c r="FA63" s="236"/>
      <c r="FB63" s="236"/>
      <c r="FC63" s="236"/>
      <c r="FD63" s="236"/>
      <c r="FE63" s="236"/>
      <c r="FF63" s="236"/>
      <c r="FG63" s="236"/>
      <c r="FH63" s="236"/>
      <c r="FI63" s="236"/>
      <c r="FJ63" s="236"/>
      <c r="FK63" s="236"/>
      <c r="FL63" s="236"/>
      <c r="FM63" s="236"/>
      <c r="FN63" s="236"/>
      <c r="FO63" s="236"/>
      <c r="FP63" s="236"/>
      <c r="FQ63" s="236"/>
      <c r="FR63" s="236"/>
      <c r="FS63" s="236"/>
      <c r="FT63" s="236"/>
      <c r="FU63" s="236"/>
      <c r="FV63" s="236"/>
      <c r="FW63" s="236"/>
      <c r="FX63" s="236"/>
      <c r="FY63" s="236"/>
      <c r="FZ63" s="236"/>
      <c r="GA63" s="236"/>
      <c r="GB63" s="236"/>
      <c r="GC63" s="236"/>
      <c r="GD63" s="236"/>
      <c r="GE63" s="236"/>
      <c r="GF63" s="236"/>
      <c r="GG63" s="236"/>
      <c r="GH63" s="236"/>
      <c r="GI63" s="236"/>
      <c r="GJ63" s="236"/>
      <c r="GK63" s="236"/>
      <c r="GL63" s="236"/>
      <c r="GM63" s="236"/>
      <c r="GN63" s="236"/>
      <c r="GO63" s="236"/>
      <c r="GP63" s="236"/>
      <c r="GQ63" s="236"/>
      <c r="GR63" s="236"/>
      <c r="GS63" s="236"/>
      <c r="GT63" s="236"/>
      <c r="GU63" s="236"/>
      <c r="GV63" s="236"/>
      <c r="GW63" s="236"/>
      <c r="GX63" s="236"/>
      <c r="GY63" s="236"/>
      <c r="GZ63" s="236"/>
      <c r="HA63" s="236"/>
      <c r="HB63" s="236"/>
      <c r="HC63" s="236"/>
      <c r="HD63" s="236"/>
      <c r="HE63" s="236"/>
      <c r="HF63" s="236"/>
      <c r="HG63" s="236"/>
      <c r="HH63" s="236"/>
      <c r="HI63" s="236"/>
      <c r="HJ63" s="236"/>
      <c r="HK63" s="236"/>
      <c r="HL63" s="236"/>
      <c r="HM63" s="236"/>
      <c r="HN63" s="236"/>
      <c r="HO63" s="236"/>
      <c r="HP63" s="236"/>
      <c r="HQ63" s="236"/>
      <c r="HR63" s="236"/>
      <c r="HS63" s="236"/>
      <c r="HT63" s="236"/>
      <c r="HU63" s="236"/>
      <c r="HV63" s="236"/>
      <c r="HW63" s="236"/>
      <c r="HX63" s="236"/>
      <c r="HY63" s="236"/>
      <c r="HZ63" s="236"/>
      <c r="IA63" s="236"/>
      <c r="IB63" s="236"/>
      <c r="IC63" s="236"/>
      <c r="ID63" s="236"/>
      <c r="IE63" s="236"/>
      <c r="IF63" s="236"/>
      <c r="IG63" s="236"/>
      <c r="IH63" s="236"/>
      <c r="II63" s="236"/>
      <c r="IJ63" s="236"/>
      <c r="IK63" s="236"/>
      <c r="IL63" s="236"/>
      <c r="IM63" s="236"/>
      <c r="IN63" s="236"/>
      <c r="IO63" s="236"/>
      <c r="IP63" s="236"/>
      <c r="IQ63" s="236"/>
      <c r="IR63" s="236"/>
      <c r="IS63" s="236"/>
      <c r="IT63" s="236"/>
      <c r="IU63" s="236"/>
      <c r="IV63" s="236"/>
      <c r="IW63" s="236"/>
      <c r="IX63" s="236"/>
      <c r="IY63" s="236"/>
      <c r="IZ63" s="236"/>
      <c r="JA63" s="236"/>
      <c r="JB63" s="236"/>
      <c r="JC63" s="236"/>
      <c r="JD63" s="236"/>
      <c r="JE63" s="236"/>
      <c r="JF63" s="236"/>
      <c r="JG63" s="236"/>
      <c r="JH63" s="236"/>
      <c r="JI63" s="236"/>
      <c r="JJ63" s="236"/>
      <c r="JK63" s="236"/>
      <c r="JL63" s="236"/>
      <c r="JM63" s="236"/>
      <c r="JN63" s="236"/>
      <c r="JO63" s="236"/>
      <c r="JP63" s="236"/>
      <c r="JQ63" s="236"/>
      <c r="JR63" s="236"/>
      <c r="JS63" s="236"/>
      <c r="JT63" s="236"/>
      <c r="JU63" s="236"/>
      <c r="JV63" s="236"/>
      <c r="JW63" s="236"/>
      <c r="JX63" s="409"/>
      <c r="JY63" s="409"/>
      <c r="JZ63" s="409"/>
      <c r="KA63" s="409"/>
      <c r="KB63" s="409"/>
      <c r="KC63" s="409"/>
      <c r="KD63" s="409"/>
      <c r="KE63" s="409"/>
      <c r="KF63" s="409"/>
      <c r="KG63" s="410"/>
      <c r="KH63" s="412">
        <f t="shared" si="17"/>
        <v>60</v>
      </c>
      <c r="KI63" s="413" t="str">
        <f t="shared" ca="1" si="6"/>
        <v/>
      </c>
      <c r="KJ63" s="413" t="str">
        <f t="shared" ca="1" si="20"/>
        <v/>
      </c>
      <c r="KK63" s="414" t="str">
        <f t="shared" ca="1" si="8"/>
        <v/>
      </c>
    </row>
    <row r="64" spans="3:297" ht="24" customHeight="1">
      <c r="C64"/>
      <c r="D64" s="57" t="str">
        <f ca="1">INDIRECT(ADDRESS(ROWS($D$3:D63)+6,D$3,1,1,"3_TIME SUM"))</f>
        <v>Run Casing / Liner Problem (NPT)</v>
      </c>
      <c r="E64" s="81" t="str">
        <f ca="1">IF(INDIRECT(ADDRESS(ROWS($E$3:E63)+6,E$3,1,1,"3_TIME SUM"))=0,E63,INDIRECT(ADDRESS(ROWS($E$3:E63)+6,E$3,1,1,"3_TIME SUM")))</f>
        <v>Run Casing and Cement</v>
      </c>
      <c r="F64" s="57" t="str">
        <f t="shared" ca="1" si="3"/>
        <v>Run Casing and Cement : Run Casing / Liner Problem (NPT)</v>
      </c>
      <c r="G64" s="58" t="str">
        <f ca="1">VLOOKUP($D64,INDIRECT(ADDRESS(7,5,1,1,"3_TIME SUM")):INDIRECT(ADDRESS(200,7,1,1,"3_TIME SUM")),2,FALSE)</f>
        <v>12f</v>
      </c>
      <c r="H64" s="58" t="str">
        <f ca="1">IF(VLOOKUP($D64,INDIRECT(ADDRESS(7,5,1,1,"3_TIME SUM")):INDIRECT(ADDRESS(200,7,1,1,"3_TIME SUM")),3,FALSE)="","PT",VLOOKUP($D64,INDIRECT(ADDRESS(7,5,1,1,"3_TIME SUM")):INDIRECT(ADDRESS(200,7,1,1,"3_TIME SUM")),3,FALSE))</f>
        <v>NPT</v>
      </c>
      <c r="I64" s="59">
        <f ca="1">IFERROR(IF(AND($D$2="NON PRODUCTIVE TIME",$H64="NPT"),SUMIF(INDIRECT(ADDRESS(8,COLUMN('2_DATA'!$M$9),1,1,"2_DATA")):INDIRECT(ADDRESS(3000,COLUMN('2_DATA'!$M$9),1,1,"2_DATA")),$G64,INDIRECT(ADDRESS(8,COLUMN('2_DATA'!$N$9),1,1,"2_DATA")):INDIRECT(ADDRESS(3000,COLUMN('2_DATA'!$N$9),1,1,"2_DATA"))),IF($D$2="ALL ACTIVITY",SUMIF(INDIRECT(ADDRESS(9,COLUMN('2_DATA'!$M$9),1,1,"2_DATA")):INDIRECT(ADDRESS(3000,COLUMN('2_DATA'!$M$9),1,1,"2_DATA")),$G64,INDIRECT(ADDRESS(9,COLUMN('2_DATA'!$N$9),1,1,"2_DATA")):INDIRECT(ADDRESS(3000,COLUMN('2_DATA'!$N$9),1,1,"2_DATA"))),SUMIF(INDIRECT(ADDRESS(OFFSET($A$3,MATCH($D$2,$A$4:$A$16,0)-1,1,,)+1,COLUMN('2_DATA'!$M$9),1,1,"2_DATA")):INDIRECT(ADDRESS(VLOOKUP($D$2,$A$4:$B$16,2,FALSE)-1,COLUMN('2_DATA'!$M$9),1,1,"2_DATA")),$G64,INDIRECT(ADDRESS(OFFSET($A$3,MATCH($D$2,$A$4:$A$16,0)-1,1,,)+1,COLUMN('2_DATA'!$N$9),1,1,"2_DATA")):INDIRECT(ADDRESS(VLOOKUP($D$2,$A$4:$B$16,2,FALSE)-1,COLUMN('2_DATA'!$N$9),1,1,"2_DATA"))))),0)</f>
        <v>0</v>
      </c>
      <c r="J64" s="58" t="str">
        <f ca="1">IF(I64=0,"",MAX($J$3:J63)+1)</f>
        <v/>
      </c>
      <c r="L64" s="55">
        <f t="shared" ca="1" si="0"/>
        <v>1000</v>
      </c>
      <c r="M64" s="55" t="str">
        <f t="shared" ca="1" si="4"/>
        <v/>
      </c>
      <c r="N64" s="55"/>
      <c r="O64" s="55" t="str">
        <f t="shared" ca="1" si="10"/>
        <v/>
      </c>
      <c r="P64" s="55">
        <f t="shared" ca="1" si="1"/>
        <v>0</v>
      </c>
      <c r="Q64" s="55" t="str">
        <f ca="1">IFERROR(INDEX($O$4:$P$226,MATCH(ROWS($Q$3:Q63),$P$4:$P$226,0),1),"-")</f>
        <v>-</v>
      </c>
      <c r="R64" s="62" t="str">
        <f t="shared" ca="1" si="2"/>
        <v/>
      </c>
      <c r="S64" s="55" t="str">
        <f t="shared" ca="1" si="5"/>
        <v/>
      </c>
      <c r="T64" s="67" t="str">
        <f t="shared" ca="1" si="19"/>
        <v>-</v>
      </c>
      <c r="V64" s="68" t="str">
        <f t="shared" ca="1" si="11"/>
        <v/>
      </c>
      <c r="W64" s="69" t="str">
        <f t="shared" ca="1" si="12"/>
        <v/>
      </c>
      <c r="X64" s="70" t="s">
        <v>84</v>
      </c>
      <c r="Y64" s="68" t="str">
        <f t="shared" ca="1" si="16"/>
        <v/>
      </c>
      <c r="Z64" s="71" t="str">
        <f t="shared" ca="1" si="13"/>
        <v/>
      </c>
      <c r="AA64" s="72" t="str">
        <f t="shared" ca="1" si="14"/>
        <v/>
      </c>
      <c r="AB64" s="305" t="str">
        <f t="shared" ca="1" si="15"/>
        <v/>
      </c>
      <c r="AC64" s="236"/>
      <c r="AD64" s="236"/>
      <c r="AE64" s="236"/>
      <c r="AF64" s="236"/>
      <c r="AG64" s="236"/>
      <c r="AH64" s="236"/>
      <c r="AI64" s="236"/>
      <c r="AJ64" s="236"/>
      <c r="AK64" s="236"/>
      <c r="AL64" s="236"/>
      <c r="AM64" s="236"/>
      <c r="AN64" s="236"/>
      <c r="AO64" s="236"/>
      <c r="AP64" s="236"/>
      <c r="AQ64" s="236"/>
      <c r="AR64" s="236"/>
      <c r="AS64" s="236"/>
      <c r="AT64" s="236"/>
      <c r="AU64" s="236"/>
      <c r="AV64" s="236"/>
      <c r="AW64" s="236"/>
      <c r="AX64" s="236"/>
      <c r="AY64" s="236"/>
      <c r="AZ64" s="236"/>
      <c r="BA64" s="236"/>
      <c r="BB64" s="236"/>
      <c r="BC64" s="236"/>
      <c r="BD64" s="236"/>
      <c r="BE64" s="236"/>
      <c r="BF64" s="236"/>
      <c r="BG64" s="236"/>
      <c r="BH64" s="236"/>
      <c r="BI64" s="236"/>
      <c r="BJ64" s="236"/>
      <c r="BK64" s="236"/>
      <c r="BL64" s="236"/>
      <c r="BM64" s="236"/>
      <c r="BN64" s="236"/>
      <c r="BO64" s="236"/>
      <c r="BP64" s="236"/>
      <c r="BQ64" s="236"/>
      <c r="BR64" s="236"/>
      <c r="BS64" s="236"/>
      <c r="BT64" s="236"/>
      <c r="BU64" s="236"/>
      <c r="BV64" s="236"/>
      <c r="BW64" s="236"/>
      <c r="BX64" s="236"/>
      <c r="BY64" s="236"/>
      <c r="BZ64" s="236"/>
      <c r="CA64" s="236"/>
      <c r="CB64" s="236"/>
      <c r="CC64" s="236"/>
      <c r="CD64" s="236"/>
      <c r="CE64" s="236"/>
      <c r="CF64" s="236"/>
      <c r="CG64" s="236"/>
      <c r="CH64" s="236"/>
      <c r="CI64" s="236"/>
      <c r="CJ64" s="236"/>
      <c r="CK64" s="236"/>
      <c r="CL64" s="236"/>
      <c r="CM64" s="236"/>
      <c r="CN64" s="236"/>
      <c r="CO64" s="236"/>
      <c r="CP64" s="236"/>
      <c r="CQ64" s="236"/>
      <c r="CR64" s="236"/>
      <c r="CS64" s="236"/>
      <c r="CT64" s="236"/>
      <c r="CU64" s="236"/>
      <c r="CV64" s="236"/>
      <c r="CW64" s="236"/>
      <c r="CX64" s="236"/>
      <c r="CY64" s="236"/>
      <c r="CZ64" s="236"/>
      <c r="DA64" s="236"/>
      <c r="DB64" s="236"/>
      <c r="DC64" s="236"/>
      <c r="DD64" s="236"/>
      <c r="DE64" s="236"/>
      <c r="DF64" s="236"/>
      <c r="DG64" s="236"/>
      <c r="DH64" s="236"/>
      <c r="DI64" s="236"/>
      <c r="DJ64" s="236"/>
      <c r="DK64" s="236"/>
      <c r="DL64" s="236"/>
      <c r="DM64" s="236"/>
      <c r="DN64" s="236"/>
      <c r="DO64" s="236"/>
      <c r="DP64" s="236"/>
      <c r="DQ64" s="236"/>
      <c r="DR64" s="236"/>
      <c r="DS64" s="236"/>
      <c r="DT64" s="236"/>
      <c r="DU64" s="236"/>
      <c r="DV64" s="236"/>
      <c r="DW64" s="236"/>
      <c r="DX64" s="236"/>
      <c r="DY64" s="236"/>
      <c r="DZ64" s="236"/>
      <c r="EA64" s="236"/>
      <c r="EB64" s="236"/>
      <c r="EC64" s="236"/>
      <c r="ED64" s="236"/>
      <c r="EE64" s="236"/>
      <c r="EF64" s="236"/>
      <c r="EG64" s="236"/>
      <c r="EH64" s="236"/>
      <c r="EI64" s="236"/>
      <c r="EJ64" s="236"/>
      <c r="EK64" s="236"/>
      <c r="EL64" s="236"/>
      <c r="EM64" s="236"/>
      <c r="EN64" s="236"/>
      <c r="EO64" s="236"/>
      <c r="EP64" s="236"/>
      <c r="EQ64" s="236"/>
      <c r="ER64" s="236"/>
      <c r="ES64" s="236"/>
      <c r="ET64" s="236"/>
      <c r="EU64" s="236"/>
      <c r="EV64" s="236"/>
      <c r="EW64" s="236"/>
      <c r="EX64" s="236"/>
      <c r="EY64" s="236"/>
      <c r="EZ64" s="236"/>
      <c r="FA64" s="236"/>
      <c r="FB64" s="236"/>
      <c r="FC64" s="236"/>
      <c r="FD64" s="236"/>
      <c r="FE64" s="236"/>
      <c r="FF64" s="236"/>
      <c r="FG64" s="236"/>
      <c r="FH64" s="236"/>
      <c r="FI64" s="236"/>
      <c r="FJ64" s="236"/>
      <c r="FK64" s="236"/>
      <c r="FL64" s="236"/>
      <c r="FM64" s="236"/>
      <c r="FN64" s="236"/>
      <c r="FO64" s="236"/>
      <c r="FP64" s="236"/>
      <c r="FQ64" s="236"/>
      <c r="FR64" s="236"/>
      <c r="FS64" s="236"/>
      <c r="FT64" s="236"/>
      <c r="FU64" s="236"/>
      <c r="FV64" s="236"/>
      <c r="FW64" s="236"/>
      <c r="FX64" s="236"/>
      <c r="FY64" s="236"/>
      <c r="FZ64" s="236"/>
      <c r="GA64" s="236"/>
      <c r="GB64" s="236"/>
      <c r="GC64" s="236"/>
      <c r="GD64" s="236"/>
      <c r="GE64" s="236"/>
      <c r="GF64" s="236"/>
      <c r="GG64" s="236"/>
      <c r="GH64" s="236"/>
      <c r="GI64" s="236"/>
      <c r="GJ64" s="236"/>
      <c r="GK64" s="236"/>
      <c r="GL64" s="236"/>
      <c r="GM64" s="236"/>
      <c r="GN64" s="236"/>
      <c r="GO64" s="236"/>
      <c r="GP64" s="236"/>
      <c r="GQ64" s="236"/>
      <c r="GR64" s="236"/>
      <c r="GS64" s="236"/>
      <c r="GT64" s="236"/>
      <c r="GU64" s="236"/>
      <c r="GV64" s="236"/>
      <c r="GW64" s="236"/>
      <c r="GX64" s="236"/>
      <c r="GY64" s="236"/>
      <c r="GZ64" s="236"/>
      <c r="HA64" s="236"/>
      <c r="HB64" s="236"/>
      <c r="HC64" s="236"/>
      <c r="HD64" s="236"/>
      <c r="HE64" s="236"/>
      <c r="HF64" s="236"/>
      <c r="HG64" s="236"/>
      <c r="HH64" s="236"/>
      <c r="HI64" s="236"/>
      <c r="HJ64" s="236"/>
      <c r="HK64" s="236"/>
      <c r="HL64" s="236"/>
      <c r="HM64" s="236"/>
      <c r="HN64" s="236"/>
      <c r="HO64" s="236"/>
      <c r="HP64" s="236"/>
      <c r="HQ64" s="236"/>
      <c r="HR64" s="236"/>
      <c r="HS64" s="236"/>
      <c r="HT64" s="236"/>
      <c r="HU64" s="236"/>
      <c r="HV64" s="236"/>
      <c r="HW64" s="236"/>
      <c r="HX64" s="236"/>
      <c r="HY64" s="236"/>
      <c r="HZ64" s="236"/>
      <c r="IA64" s="236"/>
      <c r="IB64" s="236"/>
      <c r="IC64" s="236"/>
      <c r="ID64" s="236"/>
      <c r="IE64" s="236"/>
      <c r="IF64" s="236"/>
      <c r="IG64" s="236"/>
      <c r="IH64" s="236"/>
      <c r="II64" s="236"/>
      <c r="IJ64" s="236"/>
      <c r="IK64" s="236"/>
      <c r="IL64" s="236"/>
      <c r="IM64" s="236"/>
      <c r="IN64" s="236"/>
      <c r="IO64" s="236"/>
      <c r="IP64" s="236"/>
      <c r="IQ64" s="236"/>
      <c r="IR64" s="236"/>
      <c r="IS64" s="236"/>
      <c r="IT64" s="236"/>
      <c r="IU64" s="236"/>
      <c r="IV64" s="236"/>
      <c r="IW64" s="236"/>
      <c r="IX64" s="236"/>
      <c r="IY64" s="236"/>
      <c r="IZ64" s="236"/>
      <c r="JA64" s="236"/>
      <c r="JB64" s="236"/>
      <c r="JC64" s="236"/>
      <c r="JD64" s="236"/>
      <c r="JE64" s="236"/>
      <c r="JF64" s="236"/>
      <c r="JG64" s="236"/>
      <c r="JH64" s="236"/>
      <c r="JI64" s="236"/>
      <c r="JJ64" s="236"/>
      <c r="JK64" s="236"/>
      <c r="JL64" s="236"/>
      <c r="JM64" s="236"/>
      <c r="JN64" s="236"/>
      <c r="JO64" s="236"/>
      <c r="JP64" s="236"/>
      <c r="JQ64" s="236"/>
      <c r="JR64" s="236"/>
      <c r="JS64" s="236"/>
      <c r="JT64" s="236"/>
      <c r="JU64" s="236"/>
      <c r="JV64" s="236"/>
      <c r="JW64" s="236"/>
      <c r="JX64" s="409"/>
      <c r="JY64" s="409"/>
      <c r="JZ64" s="409"/>
      <c r="KA64" s="409"/>
      <c r="KB64" s="409"/>
      <c r="KC64" s="409"/>
      <c r="KD64" s="409"/>
      <c r="KE64" s="409"/>
      <c r="KF64" s="409"/>
      <c r="KG64" s="410"/>
      <c r="KH64" s="412">
        <f t="shared" si="17"/>
        <v>61</v>
      </c>
      <c r="KI64" s="413" t="str">
        <f t="shared" ca="1" si="6"/>
        <v/>
      </c>
      <c r="KJ64" s="413" t="str">
        <f t="shared" ca="1" si="20"/>
        <v/>
      </c>
      <c r="KK64" s="414" t="str">
        <f t="shared" ca="1" si="8"/>
        <v/>
      </c>
    </row>
    <row r="65" spans="3:297" ht="24" customHeight="1">
      <c r="C65"/>
      <c r="D65" s="57" t="str">
        <f ca="1">INDIRECT(ADDRESS(ROWS($D$3:D64)+6,D$3,1,1,"3_TIME SUM"))</f>
        <v>Waiting on Cement</v>
      </c>
      <c r="E65" s="81" t="str">
        <f ca="1">IF(INDIRECT(ADDRESS(ROWS($E$3:E64)+6,E$3,1,1,"3_TIME SUM"))=0,E64,INDIRECT(ADDRESS(ROWS($E$3:E64)+6,E$3,1,1,"3_TIME SUM")))</f>
        <v>Wait on Cement</v>
      </c>
      <c r="F65" s="57" t="str">
        <f t="shared" ca="1" si="3"/>
        <v>Wait on Cement : Waiting on Cement</v>
      </c>
      <c r="G65" s="58" t="str">
        <f ca="1">VLOOKUP($D65,INDIRECT(ADDRESS(7,5,1,1,"3_TIME SUM")):INDIRECT(ADDRESS(200,7,1,1,"3_TIME SUM")),2,FALSE)</f>
        <v>13a</v>
      </c>
      <c r="H65" s="58" t="str">
        <f ca="1">IF(VLOOKUP($D65,INDIRECT(ADDRESS(7,5,1,1,"3_TIME SUM")):INDIRECT(ADDRESS(200,7,1,1,"3_TIME SUM")),3,FALSE)="","PT",VLOOKUP($D65,INDIRECT(ADDRESS(7,5,1,1,"3_TIME SUM")):INDIRECT(ADDRESS(200,7,1,1,"3_TIME SUM")),3,FALSE))</f>
        <v>PT</v>
      </c>
      <c r="I65" s="59">
        <f ca="1">IFERROR(IF(AND($D$2="NON PRODUCTIVE TIME",$H65="NPT"),SUMIF(INDIRECT(ADDRESS(8,COLUMN('2_DATA'!$M$9),1,1,"2_DATA")):INDIRECT(ADDRESS(3000,COLUMN('2_DATA'!$M$9),1,1,"2_DATA")),$G65,INDIRECT(ADDRESS(8,COLUMN('2_DATA'!$N$9),1,1,"2_DATA")):INDIRECT(ADDRESS(3000,COLUMN('2_DATA'!$N$9),1,1,"2_DATA"))),IF($D$2="ALL ACTIVITY",SUMIF(INDIRECT(ADDRESS(9,COLUMN('2_DATA'!$M$9),1,1,"2_DATA")):INDIRECT(ADDRESS(3000,COLUMN('2_DATA'!$M$9),1,1,"2_DATA")),$G65,INDIRECT(ADDRESS(9,COLUMN('2_DATA'!$N$9),1,1,"2_DATA")):INDIRECT(ADDRESS(3000,COLUMN('2_DATA'!$N$9),1,1,"2_DATA"))),SUMIF(INDIRECT(ADDRESS(OFFSET($A$3,MATCH($D$2,$A$4:$A$16,0)-1,1,,)+1,COLUMN('2_DATA'!$M$9),1,1,"2_DATA")):INDIRECT(ADDRESS(VLOOKUP($D$2,$A$4:$B$16,2,FALSE)-1,COLUMN('2_DATA'!$M$9),1,1,"2_DATA")),$G65,INDIRECT(ADDRESS(OFFSET($A$3,MATCH($D$2,$A$4:$A$16,0)-1,1,,)+1,COLUMN('2_DATA'!$N$9),1,1,"2_DATA")):INDIRECT(ADDRESS(VLOOKUP($D$2,$A$4:$B$16,2,FALSE)-1,COLUMN('2_DATA'!$N$9),1,1,"2_DATA"))))),0)</f>
        <v>52.5</v>
      </c>
      <c r="J65" s="58">
        <f ca="1">IF(I65=0,"",MAX($J$3:J64)+1)</f>
        <v>16</v>
      </c>
      <c r="L65" s="55">
        <f t="shared" ca="1" si="0"/>
        <v>1000</v>
      </c>
      <c r="M65" s="55">
        <f t="shared" ca="1" si="4"/>
        <v>1016</v>
      </c>
      <c r="N65" s="55"/>
      <c r="O65" s="55" t="str">
        <f t="shared" ca="1" si="10"/>
        <v/>
      </c>
      <c r="P65" s="55">
        <f t="shared" ca="1" si="1"/>
        <v>0</v>
      </c>
      <c r="Q65" s="55" t="str">
        <f ca="1">IFERROR(INDEX($O$4:$P$226,MATCH(ROWS($Q$3:Q64),$P$4:$P$226,0),1),"-")</f>
        <v>-</v>
      </c>
      <c r="R65" s="62" t="str">
        <f t="shared" ca="1" si="2"/>
        <v/>
      </c>
      <c r="S65" s="55" t="str">
        <f t="shared" ca="1" si="5"/>
        <v/>
      </c>
      <c r="T65" s="67" t="str">
        <f t="shared" ca="1" si="19"/>
        <v>-</v>
      </c>
      <c r="V65" s="68" t="str">
        <f t="shared" ca="1" si="11"/>
        <v/>
      </c>
      <c r="W65" s="69" t="str">
        <f t="shared" ca="1" si="12"/>
        <v/>
      </c>
      <c r="X65" s="70" t="s">
        <v>84</v>
      </c>
      <c r="Y65" s="68" t="str">
        <f t="shared" ca="1" si="16"/>
        <v/>
      </c>
      <c r="Z65" s="71" t="str">
        <f t="shared" ca="1" si="13"/>
        <v/>
      </c>
      <c r="AA65" s="72" t="str">
        <f t="shared" ca="1" si="14"/>
        <v/>
      </c>
      <c r="AB65" s="305" t="str">
        <f t="shared" ca="1" si="15"/>
        <v/>
      </c>
      <c r="AC65" s="236"/>
      <c r="AD65" s="236"/>
      <c r="AE65" s="236"/>
      <c r="AF65" s="236"/>
      <c r="AG65" s="236"/>
      <c r="AH65" s="236"/>
      <c r="AI65" s="236"/>
      <c r="AJ65" s="236"/>
      <c r="AK65" s="236"/>
      <c r="AL65" s="236"/>
      <c r="AM65" s="236"/>
      <c r="AN65" s="236"/>
      <c r="AO65" s="236"/>
      <c r="AP65" s="236"/>
      <c r="AQ65" s="236"/>
      <c r="AR65" s="236"/>
      <c r="AS65" s="236"/>
      <c r="AT65" s="236"/>
      <c r="AU65" s="236"/>
      <c r="AV65" s="236"/>
      <c r="AW65" s="236"/>
      <c r="AX65" s="236"/>
      <c r="AY65" s="236"/>
      <c r="AZ65" s="236"/>
      <c r="BA65" s="236"/>
      <c r="BB65" s="236"/>
      <c r="BC65" s="236"/>
      <c r="BD65" s="236"/>
      <c r="BE65" s="236"/>
      <c r="BF65" s="236"/>
      <c r="BG65" s="236"/>
      <c r="BH65" s="236"/>
      <c r="BI65" s="236"/>
      <c r="BJ65" s="236"/>
      <c r="BK65" s="236"/>
      <c r="BL65" s="236"/>
      <c r="BM65" s="236"/>
      <c r="BN65" s="236"/>
      <c r="BO65" s="236"/>
      <c r="BP65" s="236"/>
      <c r="BQ65" s="236"/>
      <c r="BR65" s="236"/>
      <c r="BS65" s="236"/>
      <c r="BT65" s="236"/>
      <c r="BU65" s="236"/>
      <c r="BV65" s="236"/>
      <c r="BW65" s="236"/>
      <c r="BX65" s="236"/>
      <c r="BY65" s="236"/>
      <c r="BZ65" s="236"/>
      <c r="CA65" s="236"/>
      <c r="CB65" s="236"/>
      <c r="CC65" s="236"/>
      <c r="CD65" s="236"/>
      <c r="CE65" s="236"/>
      <c r="CF65" s="236"/>
      <c r="CG65" s="236"/>
      <c r="CH65" s="236"/>
      <c r="CI65" s="236"/>
      <c r="CJ65" s="236"/>
      <c r="CK65" s="236"/>
      <c r="CL65" s="236"/>
      <c r="CM65" s="236"/>
      <c r="CN65" s="236"/>
      <c r="CO65" s="236"/>
      <c r="CP65" s="236"/>
      <c r="CQ65" s="236"/>
      <c r="CR65" s="236"/>
      <c r="CS65" s="236"/>
      <c r="CT65" s="236"/>
      <c r="CU65" s="236"/>
      <c r="CV65" s="236"/>
      <c r="CW65" s="236"/>
      <c r="CX65" s="236"/>
      <c r="CY65" s="236"/>
      <c r="CZ65" s="236"/>
      <c r="DA65" s="236"/>
      <c r="DB65" s="236"/>
      <c r="DC65" s="236"/>
      <c r="DD65" s="236"/>
      <c r="DE65" s="236"/>
      <c r="DF65" s="236"/>
      <c r="DG65" s="236"/>
      <c r="DH65" s="236"/>
      <c r="DI65" s="236"/>
      <c r="DJ65" s="236"/>
      <c r="DK65" s="236"/>
      <c r="DL65" s="236"/>
      <c r="DM65" s="236"/>
      <c r="DN65" s="236"/>
      <c r="DO65" s="236"/>
      <c r="DP65" s="236"/>
      <c r="DQ65" s="236"/>
      <c r="DR65" s="236"/>
      <c r="DS65" s="236"/>
      <c r="DT65" s="236"/>
      <c r="DU65" s="236"/>
      <c r="DV65" s="236"/>
      <c r="DW65" s="236"/>
      <c r="DX65" s="236"/>
      <c r="DY65" s="236"/>
      <c r="DZ65" s="236"/>
      <c r="EA65" s="236"/>
      <c r="EB65" s="236"/>
      <c r="EC65" s="236"/>
      <c r="ED65" s="236"/>
      <c r="EE65" s="236"/>
      <c r="EF65" s="236"/>
      <c r="EG65" s="236"/>
      <c r="EH65" s="236"/>
      <c r="EI65" s="236"/>
      <c r="EJ65" s="236"/>
      <c r="EK65" s="236"/>
      <c r="EL65" s="236"/>
      <c r="EM65" s="236"/>
      <c r="EN65" s="236"/>
      <c r="EO65" s="236"/>
      <c r="EP65" s="236"/>
      <c r="EQ65" s="236"/>
      <c r="ER65" s="236"/>
      <c r="ES65" s="236"/>
      <c r="ET65" s="236"/>
      <c r="EU65" s="236"/>
      <c r="EV65" s="236"/>
      <c r="EW65" s="236"/>
      <c r="EX65" s="236"/>
      <c r="EY65" s="236"/>
      <c r="EZ65" s="236"/>
      <c r="FA65" s="236"/>
      <c r="FB65" s="236"/>
      <c r="FC65" s="236"/>
      <c r="FD65" s="236"/>
      <c r="FE65" s="236"/>
      <c r="FF65" s="236"/>
      <c r="FG65" s="236"/>
      <c r="FH65" s="236"/>
      <c r="FI65" s="236"/>
      <c r="FJ65" s="236"/>
      <c r="FK65" s="236"/>
      <c r="FL65" s="236"/>
      <c r="FM65" s="236"/>
      <c r="FN65" s="236"/>
      <c r="FO65" s="236"/>
      <c r="FP65" s="236"/>
      <c r="FQ65" s="236"/>
      <c r="FR65" s="236"/>
      <c r="FS65" s="236"/>
      <c r="FT65" s="236"/>
      <c r="FU65" s="236"/>
      <c r="FV65" s="236"/>
      <c r="FW65" s="236"/>
      <c r="FX65" s="236"/>
      <c r="FY65" s="236"/>
      <c r="FZ65" s="236"/>
      <c r="GA65" s="236"/>
      <c r="GB65" s="236"/>
      <c r="GC65" s="236"/>
      <c r="GD65" s="236"/>
      <c r="GE65" s="236"/>
      <c r="GF65" s="236"/>
      <c r="GG65" s="236"/>
      <c r="GH65" s="236"/>
      <c r="GI65" s="236"/>
      <c r="GJ65" s="236"/>
      <c r="GK65" s="236"/>
      <c r="GL65" s="236"/>
      <c r="GM65" s="236"/>
      <c r="GN65" s="236"/>
      <c r="GO65" s="236"/>
      <c r="GP65" s="236"/>
      <c r="GQ65" s="236"/>
      <c r="GR65" s="236"/>
      <c r="GS65" s="236"/>
      <c r="GT65" s="236"/>
      <c r="GU65" s="236"/>
      <c r="GV65" s="236"/>
      <c r="GW65" s="236"/>
      <c r="GX65" s="236"/>
      <c r="GY65" s="236"/>
      <c r="GZ65" s="236"/>
      <c r="HA65" s="236"/>
      <c r="HB65" s="236"/>
      <c r="HC65" s="236"/>
      <c r="HD65" s="236"/>
      <c r="HE65" s="236"/>
      <c r="HF65" s="236"/>
      <c r="HG65" s="236"/>
      <c r="HH65" s="236"/>
      <c r="HI65" s="236"/>
      <c r="HJ65" s="236"/>
      <c r="HK65" s="236"/>
      <c r="HL65" s="236"/>
      <c r="HM65" s="236"/>
      <c r="HN65" s="236"/>
      <c r="HO65" s="236"/>
      <c r="HP65" s="236"/>
      <c r="HQ65" s="236"/>
      <c r="HR65" s="236"/>
      <c r="HS65" s="236"/>
      <c r="HT65" s="236"/>
      <c r="HU65" s="236"/>
      <c r="HV65" s="236"/>
      <c r="HW65" s="236"/>
      <c r="HX65" s="236"/>
      <c r="HY65" s="236"/>
      <c r="HZ65" s="236"/>
      <c r="IA65" s="236"/>
      <c r="IB65" s="236"/>
      <c r="IC65" s="236"/>
      <c r="ID65" s="236"/>
      <c r="IE65" s="236"/>
      <c r="IF65" s="236"/>
      <c r="IG65" s="236"/>
      <c r="IH65" s="236"/>
      <c r="II65" s="236"/>
      <c r="IJ65" s="236"/>
      <c r="IK65" s="236"/>
      <c r="IL65" s="236"/>
      <c r="IM65" s="236"/>
      <c r="IN65" s="236"/>
      <c r="IO65" s="236"/>
      <c r="IP65" s="236"/>
      <c r="IQ65" s="236"/>
      <c r="IR65" s="236"/>
      <c r="IS65" s="236"/>
      <c r="IT65" s="236"/>
      <c r="IU65" s="236"/>
      <c r="IV65" s="236"/>
      <c r="IW65" s="236"/>
      <c r="IX65" s="236"/>
      <c r="IY65" s="236"/>
      <c r="IZ65" s="236"/>
      <c r="JA65" s="236"/>
      <c r="JB65" s="236"/>
      <c r="JC65" s="236"/>
      <c r="JD65" s="236"/>
      <c r="JE65" s="236"/>
      <c r="JF65" s="236"/>
      <c r="JG65" s="236"/>
      <c r="JH65" s="236"/>
      <c r="JI65" s="236"/>
      <c r="JJ65" s="236"/>
      <c r="JK65" s="236"/>
      <c r="JL65" s="236"/>
      <c r="JM65" s="236"/>
      <c r="JN65" s="236"/>
      <c r="JO65" s="236"/>
      <c r="JP65" s="236"/>
      <c r="JQ65" s="236"/>
      <c r="JR65" s="236"/>
      <c r="JS65" s="236"/>
      <c r="JT65" s="236"/>
      <c r="JU65" s="236"/>
      <c r="JV65" s="236"/>
      <c r="JW65" s="236"/>
      <c r="JX65" s="409"/>
      <c r="JY65" s="409"/>
      <c r="JZ65" s="409"/>
      <c r="KA65" s="409"/>
      <c r="KB65" s="409"/>
      <c r="KC65" s="409"/>
      <c r="KD65" s="409"/>
      <c r="KE65" s="409"/>
      <c r="KF65" s="409"/>
      <c r="KG65" s="410"/>
      <c r="KH65" s="412">
        <f t="shared" si="17"/>
        <v>62</v>
      </c>
      <c r="KI65" s="413" t="str">
        <f t="shared" ca="1" si="6"/>
        <v/>
      </c>
      <c r="KJ65" s="413" t="str">
        <f t="shared" ca="1" si="20"/>
        <v/>
      </c>
      <c r="KK65" s="414" t="str">
        <f t="shared" ca="1" si="8"/>
        <v/>
      </c>
    </row>
    <row r="66" spans="3:297" ht="24" customHeight="1">
      <c r="C66"/>
      <c r="D66" s="57" t="str">
        <f ca="1">INDIRECT(ADDRESS(ROWS($D$3:D65)+6,D$3,1,1,"3_TIME SUM"))</f>
        <v>Install / Remove or Change Wellhead and Riser (spool) include final casing cut / dressing stub</v>
      </c>
      <c r="E66" s="81" t="str">
        <f ca="1">IF(INDIRECT(ADDRESS(ROWS($E$3:E65)+6,E$3,1,1,"3_TIME SUM"))=0,E65,INDIRECT(ADDRESS(ROWS($E$3:E65)+6,E$3,1,1,"3_TIME SUM")))</f>
        <v>Nipple Up BOP</v>
      </c>
      <c r="F66" s="57" t="str">
        <f t="shared" ca="1" si="3"/>
        <v>Nipple Up BOP : Install / Remove or Change Wellhead and Riser (spool) include final casing cut / dressing stub</v>
      </c>
      <c r="G66" s="58" t="str">
        <f ca="1">VLOOKUP($D66,INDIRECT(ADDRESS(7,5,1,1,"3_TIME SUM")):INDIRECT(ADDRESS(200,7,1,1,"3_TIME SUM")),2,FALSE)</f>
        <v>14a</v>
      </c>
      <c r="H66" s="58" t="str">
        <f ca="1">IF(VLOOKUP($D66,INDIRECT(ADDRESS(7,5,1,1,"3_TIME SUM")):INDIRECT(ADDRESS(200,7,1,1,"3_TIME SUM")),3,FALSE)="","PT",VLOOKUP($D66,INDIRECT(ADDRESS(7,5,1,1,"3_TIME SUM")):INDIRECT(ADDRESS(200,7,1,1,"3_TIME SUM")),3,FALSE))</f>
        <v>PT</v>
      </c>
      <c r="I66" s="59">
        <f ca="1">IFERROR(IF(AND($D$2="NON PRODUCTIVE TIME",$H66="NPT"),SUMIF(INDIRECT(ADDRESS(8,COLUMN('2_DATA'!$M$9),1,1,"2_DATA")):INDIRECT(ADDRESS(3000,COLUMN('2_DATA'!$M$9),1,1,"2_DATA")),$G66,INDIRECT(ADDRESS(8,COLUMN('2_DATA'!$N$9),1,1,"2_DATA")):INDIRECT(ADDRESS(3000,COLUMN('2_DATA'!$N$9),1,1,"2_DATA"))),IF($D$2="ALL ACTIVITY",SUMIF(INDIRECT(ADDRESS(9,COLUMN('2_DATA'!$M$9),1,1,"2_DATA")):INDIRECT(ADDRESS(3000,COLUMN('2_DATA'!$M$9),1,1,"2_DATA")),$G66,INDIRECT(ADDRESS(9,COLUMN('2_DATA'!$N$9),1,1,"2_DATA")):INDIRECT(ADDRESS(3000,COLUMN('2_DATA'!$N$9),1,1,"2_DATA"))),SUMIF(INDIRECT(ADDRESS(OFFSET($A$3,MATCH($D$2,$A$4:$A$16,0)-1,1,,)+1,COLUMN('2_DATA'!$M$9),1,1,"2_DATA")):INDIRECT(ADDRESS(VLOOKUP($D$2,$A$4:$B$16,2,FALSE)-1,COLUMN('2_DATA'!$M$9),1,1,"2_DATA")),$G66,INDIRECT(ADDRESS(OFFSET($A$3,MATCH($D$2,$A$4:$A$16,0)-1,1,,)+1,COLUMN('2_DATA'!$N$9),1,1,"2_DATA")):INDIRECT(ADDRESS(VLOOKUP($D$2,$A$4:$B$16,2,FALSE)-1,COLUMN('2_DATA'!$N$9),1,1,"2_DATA"))))),0)</f>
        <v>5</v>
      </c>
      <c r="J66" s="58">
        <f ca="1">IF(I66=0,"",MAX($J$3:J65)+1)</f>
        <v>17</v>
      </c>
      <c r="L66" s="55">
        <f t="shared" ca="1" si="0"/>
        <v>1000</v>
      </c>
      <c r="M66" s="55">
        <f t="shared" ca="1" si="4"/>
        <v>1017</v>
      </c>
      <c r="N66" s="55"/>
      <c r="O66" s="55" t="str">
        <f t="shared" ca="1" si="10"/>
        <v/>
      </c>
      <c r="P66" s="55">
        <f t="shared" ca="1" si="1"/>
        <v>0</v>
      </c>
      <c r="Q66" s="55" t="str">
        <f ca="1">IFERROR(INDEX($O$4:$P$226,MATCH(ROWS($Q$3:Q65),$P$4:$P$226,0),1),"-")</f>
        <v>-</v>
      </c>
      <c r="R66" s="62" t="str">
        <f t="shared" ca="1" si="2"/>
        <v/>
      </c>
      <c r="S66" s="55" t="str">
        <f t="shared" ca="1" si="5"/>
        <v/>
      </c>
      <c r="T66" s="67" t="str">
        <f t="shared" ca="1" si="19"/>
        <v>-</v>
      </c>
      <c r="V66" s="68" t="str">
        <f t="shared" ca="1" si="11"/>
        <v/>
      </c>
      <c r="W66" s="69" t="str">
        <f t="shared" ca="1" si="12"/>
        <v/>
      </c>
      <c r="X66" s="70" t="s">
        <v>84</v>
      </c>
      <c r="Y66" s="68" t="str">
        <f t="shared" ca="1" si="16"/>
        <v/>
      </c>
      <c r="Z66" s="71" t="str">
        <f t="shared" ca="1" si="13"/>
        <v/>
      </c>
      <c r="AA66" s="72" t="str">
        <f t="shared" ca="1" si="14"/>
        <v/>
      </c>
      <c r="AB66" s="305" t="str">
        <f t="shared" ca="1" si="15"/>
        <v/>
      </c>
      <c r="AC66" s="236"/>
      <c r="AD66" s="236"/>
      <c r="AE66" s="236"/>
      <c r="AF66" s="236"/>
      <c r="AG66" s="236"/>
      <c r="AH66" s="236"/>
      <c r="AI66" s="236"/>
      <c r="AJ66" s="236"/>
      <c r="AK66" s="236"/>
      <c r="AL66" s="236"/>
      <c r="AM66" s="236"/>
      <c r="AN66" s="236"/>
      <c r="AO66" s="236"/>
      <c r="AP66" s="236"/>
      <c r="AQ66" s="236"/>
      <c r="AR66" s="236"/>
      <c r="AS66" s="236"/>
      <c r="AT66" s="236"/>
      <c r="AU66" s="236"/>
      <c r="AV66" s="236"/>
      <c r="AW66" s="236"/>
      <c r="AX66" s="236"/>
      <c r="AY66" s="236"/>
      <c r="AZ66" s="236"/>
      <c r="BA66" s="236"/>
      <c r="BB66" s="236"/>
      <c r="BC66" s="236"/>
      <c r="BD66" s="236"/>
      <c r="BE66" s="236"/>
      <c r="BF66" s="236"/>
      <c r="BG66" s="236"/>
      <c r="BH66" s="236"/>
      <c r="BI66" s="236"/>
      <c r="BJ66" s="236"/>
      <c r="BK66" s="236"/>
      <c r="BL66" s="236"/>
      <c r="BM66" s="236"/>
      <c r="BN66" s="236"/>
      <c r="BO66" s="236"/>
      <c r="BP66" s="236"/>
      <c r="BQ66" s="236"/>
      <c r="BR66" s="236"/>
      <c r="BS66" s="236"/>
      <c r="BT66" s="236"/>
      <c r="BU66" s="236"/>
      <c r="BV66" s="236"/>
      <c r="BW66" s="236"/>
      <c r="BX66" s="236"/>
      <c r="BY66" s="236"/>
      <c r="BZ66" s="236"/>
      <c r="CA66" s="236"/>
      <c r="CB66" s="236"/>
      <c r="CC66" s="236"/>
      <c r="CD66" s="236"/>
      <c r="CE66" s="236"/>
      <c r="CF66" s="236"/>
      <c r="CG66" s="236"/>
      <c r="CH66" s="236"/>
      <c r="CI66" s="236"/>
      <c r="CJ66" s="236"/>
      <c r="CK66" s="236"/>
      <c r="CL66" s="236"/>
      <c r="CM66" s="236"/>
      <c r="CN66" s="236"/>
      <c r="CO66" s="236"/>
      <c r="CP66" s="236"/>
      <c r="CQ66" s="236"/>
      <c r="CR66" s="236"/>
      <c r="CS66" s="236"/>
      <c r="CT66" s="236"/>
      <c r="CU66" s="236"/>
      <c r="CV66" s="236"/>
      <c r="CW66" s="236"/>
      <c r="CX66" s="236"/>
      <c r="CY66" s="236"/>
      <c r="CZ66" s="236"/>
      <c r="DA66" s="236"/>
      <c r="DB66" s="236"/>
      <c r="DC66" s="236"/>
      <c r="DD66" s="236"/>
      <c r="DE66" s="236"/>
      <c r="DF66" s="236"/>
      <c r="DG66" s="236"/>
      <c r="DH66" s="236"/>
      <c r="DI66" s="236"/>
      <c r="DJ66" s="236"/>
      <c r="DK66" s="236"/>
      <c r="DL66" s="236"/>
      <c r="DM66" s="236"/>
      <c r="DN66" s="236"/>
      <c r="DO66" s="236"/>
      <c r="DP66" s="236"/>
      <c r="DQ66" s="236"/>
      <c r="DR66" s="236"/>
      <c r="DS66" s="236"/>
      <c r="DT66" s="236"/>
      <c r="DU66" s="236"/>
      <c r="DV66" s="236"/>
      <c r="DW66" s="236"/>
      <c r="DX66" s="236"/>
      <c r="DY66" s="236"/>
      <c r="DZ66" s="236"/>
      <c r="EA66" s="236"/>
      <c r="EB66" s="236"/>
      <c r="EC66" s="236"/>
      <c r="ED66" s="236"/>
      <c r="EE66" s="236"/>
      <c r="EF66" s="236"/>
      <c r="EG66" s="236"/>
      <c r="EH66" s="236"/>
      <c r="EI66" s="236"/>
      <c r="EJ66" s="236"/>
      <c r="EK66" s="236"/>
      <c r="EL66" s="236"/>
      <c r="EM66" s="236"/>
      <c r="EN66" s="236"/>
      <c r="EO66" s="236"/>
      <c r="EP66" s="236"/>
      <c r="EQ66" s="236"/>
      <c r="ER66" s="236"/>
      <c r="ES66" s="236"/>
      <c r="ET66" s="236"/>
      <c r="EU66" s="236"/>
      <c r="EV66" s="236"/>
      <c r="EW66" s="236"/>
      <c r="EX66" s="236"/>
      <c r="EY66" s="236"/>
      <c r="EZ66" s="236"/>
      <c r="FA66" s="236"/>
      <c r="FB66" s="236"/>
      <c r="FC66" s="236"/>
      <c r="FD66" s="236"/>
      <c r="FE66" s="236"/>
      <c r="FF66" s="236"/>
      <c r="FG66" s="236"/>
      <c r="FH66" s="236"/>
      <c r="FI66" s="236"/>
      <c r="FJ66" s="236"/>
      <c r="FK66" s="236"/>
      <c r="FL66" s="236"/>
      <c r="FM66" s="236"/>
      <c r="FN66" s="236"/>
      <c r="FO66" s="236"/>
      <c r="FP66" s="236"/>
      <c r="FQ66" s="236"/>
      <c r="FR66" s="236"/>
      <c r="FS66" s="236"/>
      <c r="FT66" s="236"/>
      <c r="FU66" s="236"/>
      <c r="FV66" s="236"/>
      <c r="FW66" s="236"/>
      <c r="FX66" s="236"/>
      <c r="FY66" s="236"/>
      <c r="FZ66" s="236"/>
      <c r="GA66" s="236"/>
      <c r="GB66" s="236"/>
      <c r="GC66" s="236"/>
      <c r="GD66" s="236"/>
      <c r="GE66" s="236"/>
      <c r="GF66" s="236"/>
      <c r="GG66" s="236"/>
      <c r="GH66" s="236"/>
      <c r="GI66" s="236"/>
      <c r="GJ66" s="236"/>
      <c r="GK66" s="236"/>
      <c r="GL66" s="236"/>
      <c r="GM66" s="236"/>
      <c r="GN66" s="236"/>
      <c r="GO66" s="236"/>
      <c r="GP66" s="236"/>
      <c r="GQ66" s="236"/>
      <c r="GR66" s="236"/>
      <c r="GS66" s="236"/>
      <c r="GT66" s="236"/>
      <c r="GU66" s="236"/>
      <c r="GV66" s="236"/>
      <c r="GW66" s="236"/>
      <c r="GX66" s="236"/>
      <c r="GY66" s="236"/>
      <c r="GZ66" s="236"/>
      <c r="HA66" s="236"/>
      <c r="HB66" s="236"/>
      <c r="HC66" s="236"/>
      <c r="HD66" s="236"/>
      <c r="HE66" s="236"/>
      <c r="HF66" s="236"/>
      <c r="HG66" s="236"/>
      <c r="HH66" s="236"/>
      <c r="HI66" s="236"/>
      <c r="HJ66" s="236"/>
      <c r="HK66" s="236"/>
      <c r="HL66" s="236"/>
      <c r="HM66" s="236"/>
      <c r="HN66" s="236"/>
      <c r="HO66" s="236"/>
      <c r="HP66" s="236"/>
      <c r="HQ66" s="236"/>
      <c r="HR66" s="236"/>
      <c r="HS66" s="236"/>
      <c r="HT66" s="236"/>
      <c r="HU66" s="236"/>
      <c r="HV66" s="236"/>
      <c r="HW66" s="236"/>
      <c r="HX66" s="236"/>
      <c r="HY66" s="236"/>
      <c r="HZ66" s="236"/>
      <c r="IA66" s="236"/>
      <c r="IB66" s="236"/>
      <c r="IC66" s="236"/>
      <c r="ID66" s="236"/>
      <c r="IE66" s="236"/>
      <c r="IF66" s="236"/>
      <c r="IG66" s="236"/>
      <c r="IH66" s="236"/>
      <c r="II66" s="236"/>
      <c r="IJ66" s="236"/>
      <c r="IK66" s="236"/>
      <c r="IL66" s="236"/>
      <c r="IM66" s="236"/>
      <c r="IN66" s="236"/>
      <c r="IO66" s="236"/>
      <c r="IP66" s="236"/>
      <c r="IQ66" s="236"/>
      <c r="IR66" s="236"/>
      <c r="IS66" s="236"/>
      <c r="IT66" s="236"/>
      <c r="IU66" s="236"/>
      <c r="IV66" s="236"/>
      <c r="IW66" s="236"/>
      <c r="IX66" s="236"/>
      <c r="IY66" s="236"/>
      <c r="IZ66" s="236"/>
      <c r="JA66" s="236"/>
      <c r="JB66" s="236"/>
      <c r="JC66" s="236"/>
      <c r="JD66" s="236"/>
      <c r="JE66" s="236"/>
      <c r="JF66" s="236"/>
      <c r="JG66" s="236"/>
      <c r="JH66" s="236"/>
      <c r="JI66" s="236"/>
      <c r="JJ66" s="236"/>
      <c r="JK66" s="236"/>
      <c r="JL66" s="236"/>
      <c r="JM66" s="236"/>
      <c r="JN66" s="236"/>
      <c r="JO66" s="236"/>
      <c r="JP66" s="236"/>
      <c r="JQ66" s="236"/>
      <c r="JR66" s="236"/>
      <c r="JS66" s="236"/>
      <c r="JT66" s="236"/>
      <c r="JU66" s="236"/>
      <c r="JV66" s="236"/>
      <c r="JW66" s="236"/>
      <c r="JX66" s="409"/>
      <c r="JY66" s="409"/>
      <c r="JZ66" s="409"/>
      <c r="KA66" s="409"/>
      <c r="KB66" s="409"/>
      <c r="KC66" s="409"/>
      <c r="KD66" s="409"/>
      <c r="KE66" s="409"/>
      <c r="KF66" s="409"/>
      <c r="KG66" s="410"/>
      <c r="KH66" s="412">
        <f t="shared" si="17"/>
        <v>63</v>
      </c>
      <c r="KI66" s="413" t="str">
        <f t="shared" ca="1" si="6"/>
        <v/>
      </c>
      <c r="KJ66" s="413" t="str">
        <f t="shared" ca="1" si="20"/>
        <v/>
      </c>
      <c r="KK66" s="414" t="str">
        <f t="shared" ca="1" si="8"/>
        <v/>
      </c>
    </row>
    <row r="67" spans="3:297" ht="24" customHeight="1">
      <c r="C67"/>
      <c r="D67" s="57" t="str">
        <f ca="1">INDIRECT(ADDRESS(ROWS($D$3:D66)+6,D$3,1,1,"3_TIME SUM"))</f>
        <v>N/U BOP, N/U &amp; Install Diverter, Install Bell Nipple and Flowline or mandrel</v>
      </c>
      <c r="E67" s="81" t="str">
        <f ca="1">IF(INDIRECT(ADDRESS(ROWS($E$3:E66)+6,E$3,1,1,"3_TIME SUM"))=0,E66,INDIRECT(ADDRESS(ROWS($E$3:E66)+6,E$3,1,1,"3_TIME SUM")))</f>
        <v>Nipple Up BOP</v>
      </c>
      <c r="F67" s="57" t="str">
        <f t="shared" ca="1" si="3"/>
        <v>Nipple Up BOP : N/U BOP, N/U &amp; Install Diverter, Install Bell Nipple and Flowline or mandrel</v>
      </c>
      <c r="G67" s="58" t="str">
        <f ca="1">VLOOKUP($D67,INDIRECT(ADDRESS(7,5,1,1,"3_TIME SUM")):INDIRECT(ADDRESS(200,7,1,1,"3_TIME SUM")),2,FALSE)</f>
        <v>14b</v>
      </c>
      <c r="H67" s="58" t="str">
        <f ca="1">IF(VLOOKUP($D67,INDIRECT(ADDRESS(7,5,1,1,"3_TIME SUM")):INDIRECT(ADDRESS(200,7,1,1,"3_TIME SUM")),3,FALSE)="","PT",VLOOKUP($D67,INDIRECT(ADDRESS(7,5,1,1,"3_TIME SUM")):INDIRECT(ADDRESS(200,7,1,1,"3_TIME SUM")),3,FALSE))</f>
        <v>PT</v>
      </c>
      <c r="I67" s="59">
        <f ca="1">IFERROR(IF(AND($D$2="NON PRODUCTIVE TIME",$H67="NPT"),SUMIF(INDIRECT(ADDRESS(8,COLUMN('2_DATA'!$M$9),1,1,"2_DATA")):INDIRECT(ADDRESS(3000,COLUMN('2_DATA'!$M$9),1,1,"2_DATA")),$G67,INDIRECT(ADDRESS(8,COLUMN('2_DATA'!$N$9),1,1,"2_DATA")):INDIRECT(ADDRESS(3000,COLUMN('2_DATA'!$N$9),1,1,"2_DATA"))),IF($D$2="ALL ACTIVITY",SUMIF(INDIRECT(ADDRESS(9,COLUMN('2_DATA'!$M$9),1,1,"2_DATA")):INDIRECT(ADDRESS(3000,COLUMN('2_DATA'!$M$9),1,1,"2_DATA")),$G67,INDIRECT(ADDRESS(9,COLUMN('2_DATA'!$N$9),1,1,"2_DATA")):INDIRECT(ADDRESS(3000,COLUMN('2_DATA'!$N$9),1,1,"2_DATA"))),SUMIF(INDIRECT(ADDRESS(OFFSET($A$3,MATCH($D$2,$A$4:$A$16,0)-1,1,,)+1,COLUMN('2_DATA'!$M$9),1,1,"2_DATA")):INDIRECT(ADDRESS(VLOOKUP($D$2,$A$4:$B$16,2,FALSE)-1,COLUMN('2_DATA'!$M$9),1,1,"2_DATA")),$G67,INDIRECT(ADDRESS(OFFSET($A$3,MATCH($D$2,$A$4:$A$16,0)-1,1,,)+1,COLUMN('2_DATA'!$N$9),1,1,"2_DATA")):INDIRECT(ADDRESS(VLOOKUP($D$2,$A$4:$B$16,2,FALSE)-1,COLUMN('2_DATA'!$N$9),1,1,"2_DATA"))))),0)</f>
        <v>3.5</v>
      </c>
      <c r="J67" s="58">
        <f ca="1">IF(I67=0,"",MAX($J$3:J66)+1)</f>
        <v>18</v>
      </c>
      <c r="L67" s="55">
        <f t="shared" ca="1" si="0"/>
        <v>1000</v>
      </c>
      <c r="M67" s="55">
        <f t="shared" ca="1" si="4"/>
        <v>1018</v>
      </c>
      <c r="N67" s="55"/>
      <c r="O67" s="55" t="str">
        <f t="shared" ca="1" si="10"/>
        <v/>
      </c>
      <c r="P67" s="55">
        <f t="shared" ca="1" si="1"/>
        <v>0</v>
      </c>
      <c r="Q67" s="55" t="str">
        <f ca="1">IFERROR(INDEX($O$4:$P$226,MATCH(ROWS($Q$3:Q66),$P$4:$P$226,0),1),"-")</f>
        <v>-</v>
      </c>
      <c r="R67" s="62" t="str">
        <f t="shared" ca="1" si="2"/>
        <v/>
      </c>
      <c r="S67" s="55" t="str">
        <f t="shared" ca="1" si="5"/>
        <v/>
      </c>
      <c r="T67" s="67" t="str">
        <f t="shared" ca="1" si="19"/>
        <v>-</v>
      </c>
      <c r="V67" s="68" t="str">
        <f t="shared" ca="1" si="11"/>
        <v/>
      </c>
      <c r="W67" s="69" t="str">
        <f t="shared" ca="1" si="12"/>
        <v/>
      </c>
      <c r="X67" s="70" t="s">
        <v>84</v>
      </c>
      <c r="Y67" s="68" t="str">
        <f t="shared" ca="1" si="16"/>
        <v/>
      </c>
      <c r="Z67" s="71" t="str">
        <f t="shared" ca="1" si="13"/>
        <v/>
      </c>
      <c r="AA67" s="72" t="str">
        <f t="shared" ca="1" si="14"/>
        <v/>
      </c>
      <c r="AB67" s="305" t="str">
        <f t="shared" ca="1" si="15"/>
        <v/>
      </c>
      <c r="AC67" s="236"/>
      <c r="AD67" s="236"/>
      <c r="AE67" s="236"/>
      <c r="AF67" s="236"/>
      <c r="AG67" s="236"/>
      <c r="AH67" s="236"/>
      <c r="AI67" s="236"/>
      <c r="AJ67" s="236"/>
      <c r="AK67" s="236"/>
      <c r="AL67" s="236"/>
      <c r="AM67" s="236"/>
      <c r="AN67" s="236"/>
      <c r="AO67" s="236"/>
      <c r="AP67" s="236"/>
      <c r="AQ67" s="236"/>
      <c r="AR67" s="236"/>
      <c r="AS67" s="236"/>
      <c r="AT67" s="236"/>
      <c r="AU67" s="236"/>
      <c r="AV67" s="236"/>
      <c r="AW67" s="236"/>
      <c r="AX67" s="236"/>
      <c r="AY67" s="236"/>
      <c r="AZ67" s="236"/>
      <c r="BA67" s="236"/>
      <c r="BB67" s="236"/>
      <c r="BC67" s="236"/>
      <c r="BD67" s="236"/>
      <c r="BE67" s="236"/>
      <c r="BF67" s="236"/>
      <c r="BG67" s="236"/>
      <c r="BH67" s="236"/>
      <c r="BI67" s="236"/>
      <c r="BJ67" s="236"/>
      <c r="BK67" s="236"/>
      <c r="BL67" s="236"/>
      <c r="BM67" s="236"/>
      <c r="BN67" s="236"/>
      <c r="BO67" s="236"/>
      <c r="BP67" s="236"/>
      <c r="BQ67" s="236"/>
      <c r="BR67" s="236"/>
      <c r="BS67" s="236"/>
      <c r="BT67" s="236"/>
      <c r="BU67" s="236"/>
      <c r="BV67" s="236"/>
      <c r="BW67" s="236"/>
      <c r="BX67" s="236"/>
      <c r="BY67" s="236"/>
      <c r="BZ67" s="236"/>
      <c r="CA67" s="236"/>
      <c r="CB67" s="236"/>
      <c r="CC67" s="236"/>
      <c r="CD67" s="236"/>
      <c r="CE67" s="236"/>
      <c r="CF67" s="236"/>
      <c r="CG67" s="236"/>
      <c r="CH67" s="236"/>
      <c r="CI67" s="236"/>
      <c r="CJ67" s="236"/>
      <c r="CK67" s="236"/>
      <c r="CL67" s="236"/>
      <c r="CM67" s="236"/>
      <c r="CN67" s="236"/>
      <c r="CO67" s="236"/>
      <c r="CP67" s="236"/>
      <c r="CQ67" s="236"/>
      <c r="CR67" s="236"/>
      <c r="CS67" s="236"/>
      <c r="CT67" s="236"/>
      <c r="CU67" s="236"/>
      <c r="CV67" s="236"/>
      <c r="CW67" s="236"/>
      <c r="CX67" s="236"/>
      <c r="CY67" s="236"/>
      <c r="CZ67" s="236"/>
      <c r="DA67" s="236"/>
      <c r="DB67" s="236"/>
      <c r="DC67" s="236"/>
      <c r="DD67" s="236"/>
      <c r="DE67" s="236"/>
      <c r="DF67" s="236"/>
      <c r="DG67" s="236"/>
      <c r="DH67" s="236"/>
      <c r="DI67" s="236"/>
      <c r="DJ67" s="236"/>
      <c r="DK67" s="236"/>
      <c r="DL67" s="236"/>
      <c r="DM67" s="236"/>
      <c r="DN67" s="236"/>
      <c r="DO67" s="236"/>
      <c r="DP67" s="236"/>
      <c r="DQ67" s="236"/>
      <c r="DR67" s="236"/>
      <c r="DS67" s="236"/>
      <c r="DT67" s="236"/>
      <c r="DU67" s="236"/>
      <c r="DV67" s="236"/>
      <c r="DW67" s="236"/>
      <c r="DX67" s="236"/>
      <c r="DY67" s="236"/>
      <c r="DZ67" s="236"/>
      <c r="EA67" s="236"/>
      <c r="EB67" s="236"/>
      <c r="EC67" s="236"/>
      <c r="ED67" s="236"/>
      <c r="EE67" s="236"/>
      <c r="EF67" s="236"/>
      <c r="EG67" s="236"/>
      <c r="EH67" s="236"/>
      <c r="EI67" s="236"/>
      <c r="EJ67" s="236"/>
      <c r="EK67" s="236"/>
      <c r="EL67" s="236"/>
      <c r="EM67" s="236"/>
      <c r="EN67" s="236"/>
      <c r="EO67" s="236"/>
      <c r="EP67" s="236"/>
      <c r="EQ67" s="236"/>
      <c r="ER67" s="236"/>
      <c r="ES67" s="236"/>
      <c r="ET67" s="236"/>
      <c r="EU67" s="236"/>
      <c r="EV67" s="236"/>
      <c r="EW67" s="236"/>
      <c r="EX67" s="236"/>
      <c r="EY67" s="236"/>
      <c r="EZ67" s="236"/>
      <c r="FA67" s="236"/>
      <c r="FB67" s="236"/>
      <c r="FC67" s="236"/>
      <c r="FD67" s="236"/>
      <c r="FE67" s="236"/>
      <c r="FF67" s="236"/>
      <c r="FG67" s="236"/>
      <c r="FH67" s="236"/>
      <c r="FI67" s="236"/>
      <c r="FJ67" s="236"/>
      <c r="FK67" s="236"/>
      <c r="FL67" s="236"/>
      <c r="FM67" s="236"/>
      <c r="FN67" s="236"/>
      <c r="FO67" s="236"/>
      <c r="FP67" s="236"/>
      <c r="FQ67" s="236"/>
      <c r="FR67" s="236"/>
      <c r="FS67" s="236"/>
      <c r="FT67" s="236"/>
      <c r="FU67" s="236"/>
      <c r="FV67" s="236"/>
      <c r="FW67" s="236"/>
      <c r="FX67" s="236"/>
      <c r="FY67" s="236"/>
      <c r="FZ67" s="236"/>
      <c r="GA67" s="236"/>
      <c r="GB67" s="236"/>
      <c r="GC67" s="236"/>
      <c r="GD67" s="236"/>
      <c r="GE67" s="236"/>
      <c r="GF67" s="236"/>
      <c r="GG67" s="236"/>
      <c r="GH67" s="236"/>
      <c r="GI67" s="236"/>
      <c r="GJ67" s="236"/>
      <c r="GK67" s="236"/>
      <c r="GL67" s="236"/>
      <c r="GM67" s="236"/>
      <c r="GN67" s="236"/>
      <c r="GO67" s="236"/>
      <c r="GP67" s="236"/>
      <c r="GQ67" s="236"/>
      <c r="GR67" s="236"/>
      <c r="GS67" s="236"/>
      <c r="GT67" s="236"/>
      <c r="GU67" s="236"/>
      <c r="GV67" s="236"/>
      <c r="GW67" s="236"/>
      <c r="GX67" s="236"/>
      <c r="GY67" s="236"/>
      <c r="GZ67" s="236"/>
      <c r="HA67" s="236"/>
      <c r="HB67" s="236"/>
      <c r="HC67" s="236"/>
      <c r="HD67" s="236"/>
      <c r="HE67" s="236"/>
      <c r="HF67" s="236"/>
      <c r="HG67" s="236"/>
      <c r="HH67" s="236"/>
      <c r="HI67" s="236"/>
      <c r="HJ67" s="236"/>
      <c r="HK67" s="236"/>
      <c r="HL67" s="236"/>
      <c r="HM67" s="236"/>
      <c r="HN67" s="236"/>
      <c r="HO67" s="236"/>
      <c r="HP67" s="236"/>
      <c r="HQ67" s="236"/>
      <c r="HR67" s="236"/>
      <c r="HS67" s="236"/>
      <c r="HT67" s="236"/>
      <c r="HU67" s="236"/>
      <c r="HV67" s="236"/>
      <c r="HW67" s="236"/>
      <c r="HX67" s="236"/>
      <c r="HY67" s="236"/>
      <c r="HZ67" s="236"/>
      <c r="IA67" s="236"/>
      <c r="IB67" s="236"/>
      <c r="IC67" s="236"/>
      <c r="ID67" s="236"/>
      <c r="IE67" s="236"/>
      <c r="IF67" s="236"/>
      <c r="IG67" s="236"/>
      <c r="IH67" s="236"/>
      <c r="II67" s="236"/>
      <c r="IJ67" s="236"/>
      <c r="IK67" s="236"/>
      <c r="IL67" s="236"/>
      <c r="IM67" s="236"/>
      <c r="IN67" s="236"/>
      <c r="IO67" s="236"/>
      <c r="IP67" s="236"/>
      <c r="IQ67" s="236"/>
      <c r="IR67" s="236"/>
      <c r="IS67" s="236"/>
      <c r="IT67" s="236"/>
      <c r="IU67" s="236"/>
      <c r="IV67" s="236"/>
      <c r="IW67" s="236"/>
      <c r="IX67" s="236"/>
      <c r="IY67" s="236"/>
      <c r="IZ67" s="236"/>
      <c r="JA67" s="236"/>
      <c r="JB67" s="236"/>
      <c r="JC67" s="236"/>
      <c r="JD67" s="236"/>
      <c r="JE67" s="236"/>
      <c r="JF67" s="236"/>
      <c r="JG67" s="236"/>
      <c r="JH67" s="236"/>
      <c r="JI67" s="236"/>
      <c r="JJ67" s="236"/>
      <c r="JK67" s="236"/>
      <c r="JL67" s="236"/>
      <c r="JM67" s="236"/>
      <c r="JN67" s="236"/>
      <c r="JO67" s="236"/>
      <c r="JP67" s="236"/>
      <c r="JQ67" s="236"/>
      <c r="JR67" s="236"/>
      <c r="JS67" s="236"/>
      <c r="JT67" s="236"/>
      <c r="JU67" s="236"/>
      <c r="JV67" s="236"/>
      <c r="JW67" s="236"/>
      <c r="JX67" s="409"/>
      <c r="JY67" s="409"/>
      <c r="JZ67" s="409"/>
      <c r="KA67" s="409"/>
      <c r="KB67" s="409"/>
      <c r="KC67" s="409"/>
      <c r="KD67" s="409"/>
      <c r="KE67" s="409"/>
      <c r="KF67" s="409"/>
      <c r="KG67" s="410"/>
      <c r="KH67" s="412">
        <f t="shared" si="17"/>
        <v>64</v>
      </c>
      <c r="KI67" s="413" t="str">
        <f t="shared" ca="1" si="6"/>
        <v/>
      </c>
      <c r="KJ67" s="413" t="str">
        <f t="shared" ca="1" si="20"/>
        <v/>
      </c>
      <c r="KK67" s="414" t="str">
        <f t="shared" ca="1" si="8"/>
        <v/>
      </c>
    </row>
    <row r="68" spans="3:297" ht="24" customHeight="1">
      <c r="C68"/>
      <c r="D68" s="57" t="str">
        <f ca="1">INDIRECT(ADDRESS(ROWS($D$3:D67)+6,D$3,1,1,"3_TIME SUM"))</f>
        <v>N/D BOP, N/D  Diverter, N/D Bell Nipple and Flowline or mandrel</v>
      </c>
      <c r="E68" s="81" t="str">
        <f ca="1">IF(INDIRECT(ADDRESS(ROWS($E$3:E67)+6,E$3,1,1,"3_TIME SUM"))=0,E67,INDIRECT(ADDRESS(ROWS($E$3:E67)+6,E$3,1,1,"3_TIME SUM")))</f>
        <v>Nipple Up BOP</v>
      </c>
      <c r="F68" s="57" t="str">
        <f t="shared" ca="1" si="3"/>
        <v>Nipple Up BOP : N/D BOP, N/D  Diverter, N/D Bell Nipple and Flowline or mandrel</v>
      </c>
      <c r="G68" s="58" t="str">
        <f ca="1">VLOOKUP($D68,INDIRECT(ADDRESS(7,5,1,1,"3_TIME SUM")):INDIRECT(ADDRESS(200,7,1,1,"3_TIME SUM")),2,FALSE)</f>
        <v>14c</v>
      </c>
      <c r="H68" s="58" t="str">
        <f ca="1">IF(VLOOKUP($D68,INDIRECT(ADDRESS(7,5,1,1,"3_TIME SUM")):INDIRECT(ADDRESS(200,7,1,1,"3_TIME SUM")),3,FALSE)="","PT",VLOOKUP($D68,INDIRECT(ADDRESS(7,5,1,1,"3_TIME SUM")):INDIRECT(ADDRESS(200,7,1,1,"3_TIME SUM")),3,FALSE))</f>
        <v>PT</v>
      </c>
      <c r="I68" s="59">
        <f ca="1">IFERROR(IF(AND($D$2="NON PRODUCTIVE TIME",$H68="NPT"),SUMIF(INDIRECT(ADDRESS(8,COLUMN('2_DATA'!$M$9),1,1,"2_DATA")):INDIRECT(ADDRESS(3000,COLUMN('2_DATA'!$M$9),1,1,"2_DATA")),$G68,INDIRECT(ADDRESS(8,COLUMN('2_DATA'!$N$9),1,1,"2_DATA")):INDIRECT(ADDRESS(3000,COLUMN('2_DATA'!$N$9),1,1,"2_DATA"))),IF($D$2="ALL ACTIVITY",SUMIF(INDIRECT(ADDRESS(9,COLUMN('2_DATA'!$M$9),1,1,"2_DATA")):INDIRECT(ADDRESS(3000,COLUMN('2_DATA'!$M$9),1,1,"2_DATA")),$G68,INDIRECT(ADDRESS(9,COLUMN('2_DATA'!$N$9),1,1,"2_DATA")):INDIRECT(ADDRESS(3000,COLUMN('2_DATA'!$N$9),1,1,"2_DATA"))),SUMIF(INDIRECT(ADDRESS(OFFSET($A$3,MATCH($D$2,$A$4:$A$16,0)-1,1,,)+1,COLUMN('2_DATA'!$M$9),1,1,"2_DATA")):INDIRECT(ADDRESS(VLOOKUP($D$2,$A$4:$B$16,2,FALSE)-1,COLUMN('2_DATA'!$M$9),1,1,"2_DATA")),$G68,INDIRECT(ADDRESS(OFFSET($A$3,MATCH($D$2,$A$4:$A$16,0)-1,1,,)+1,COLUMN('2_DATA'!$N$9),1,1,"2_DATA")):INDIRECT(ADDRESS(VLOOKUP($D$2,$A$4:$B$16,2,FALSE)-1,COLUMN('2_DATA'!$N$9),1,1,"2_DATA"))))),0)</f>
        <v>4</v>
      </c>
      <c r="J68" s="58">
        <f ca="1">IF(I68=0,"",MAX($J$3:J67)+1)</f>
        <v>19</v>
      </c>
      <c r="L68" s="55">
        <f t="shared" ref="L68:L131" ca="1" si="21">IF(ISNUMBER((LEFT($G68,1))/1),1000,IF(ISTEXT((LEFT($G68,1))),2000,""))</f>
        <v>1000</v>
      </c>
      <c r="M68" s="55">
        <f t="shared" ca="1" si="4"/>
        <v>1019</v>
      </c>
      <c r="N68" s="55"/>
      <c r="O68" s="55">
        <f t="shared" ca="1" si="10"/>
        <v>1016</v>
      </c>
      <c r="P68" s="55">
        <f t="shared" ref="P68:P131" ca="1" si="22">COUNTIF($O$4:$O$226,"&lt;="&amp;O68)</f>
        <v>17</v>
      </c>
      <c r="Q68" s="55" t="str">
        <f ca="1">IFERROR(INDEX($O$4:$P$226,MATCH(ROWS($Q$3:Q67),$P$4:$P$226,0),1),"-")</f>
        <v>-</v>
      </c>
      <c r="R68" s="62" t="str">
        <f t="shared" ref="R68:R131" ca="1" si="23">IFERROR(IF(ISNA(INDEX($N$4:$O$5,MATCH(Q68,$O$4:$O$5,0),1)),INDEX($F$4:$M$226,MATCH(Q68,$M$4:$M$226,0),1),INDEX($N$4:$O$5,MATCH(Q68,$O$4:$O$5,0),1)),"")</f>
        <v/>
      </c>
      <c r="S68" s="55" t="str">
        <f t="shared" ca="1" si="5"/>
        <v/>
      </c>
      <c r="T68" s="67" t="str">
        <f t="shared" ca="1" si="19"/>
        <v>-</v>
      </c>
      <c r="V68" s="68" t="str">
        <f t="shared" ca="1" si="11"/>
        <v/>
      </c>
      <c r="W68" s="69" t="str">
        <f t="shared" ca="1" si="12"/>
        <v/>
      </c>
      <c r="X68" s="70" t="s">
        <v>84</v>
      </c>
      <c r="Y68" s="68" t="str">
        <f t="shared" ca="1" si="16"/>
        <v/>
      </c>
      <c r="Z68" s="71" t="str">
        <f t="shared" ca="1" si="13"/>
        <v/>
      </c>
      <c r="AA68" s="72" t="str">
        <f t="shared" ca="1" si="14"/>
        <v/>
      </c>
      <c r="AB68" s="305" t="str">
        <f t="shared" ca="1" si="15"/>
        <v/>
      </c>
      <c r="AC68" s="236"/>
      <c r="AD68" s="236"/>
      <c r="AE68" s="236"/>
      <c r="AF68" s="236"/>
      <c r="AG68" s="236"/>
      <c r="AH68" s="236"/>
      <c r="AI68" s="236"/>
      <c r="AJ68" s="236"/>
      <c r="AK68" s="236"/>
      <c r="AL68" s="236"/>
      <c r="AM68" s="236"/>
      <c r="AN68" s="236"/>
      <c r="AO68" s="236"/>
      <c r="AP68" s="236"/>
      <c r="AQ68" s="236"/>
      <c r="AR68" s="236"/>
      <c r="AS68" s="236"/>
      <c r="AT68" s="236"/>
      <c r="AU68" s="236"/>
      <c r="AV68" s="236"/>
      <c r="AW68" s="236"/>
      <c r="AX68" s="236"/>
      <c r="AY68" s="236"/>
      <c r="AZ68" s="236"/>
      <c r="BA68" s="236"/>
      <c r="BB68" s="236"/>
      <c r="BC68" s="236"/>
      <c r="BD68" s="236"/>
      <c r="BE68" s="236"/>
      <c r="BF68" s="236"/>
      <c r="BG68" s="236"/>
      <c r="BH68" s="236"/>
      <c r="BI68" s="236"/>
      <c r="BJ68" s="236"/>
      <c r="BK68" s="236"/>
      <c r="BL68" s="236"/>
      <c r="BM68" s="236"/>
      <c r="BN68" s="236"/>
      <c r="BO68" s="236"/>
      <c r="BP68" s="236"/>
      <c r="BQ68" s="236"/>
      <c r="BR68" s="236"/>
      <c r="BS68" s="236"/>
      <c r="BT68" s="236"/>
      <c r="BU68" s="236"/>
      <c r="BV68" s="236"/>
      <c r="BW68" s="236"/>
      <c r="BX68" s="236"/>
      <c r="BY68" s="236"/>
      <c r="BZ68" s="236"/>
      <c r="CA68" s="236"/>
      <c r="CB68" s="236"/>
      <c r="CC68" s="236"/>
      <c r="CD68" s="236"/>
      <c r="CE68" s="236"/>
      <c r="CF68" s="236"/>
      <c r="CG68" s="236"/>
      <c r="CH68" s="236"/>
      <c r="CI68" s="236"/>
      <c r="CJ68" s="236"/>
      <c r="CK68" s="236"/>
      <c r="CL68" s="236"/>
      <c r="CM68" s="236"/>
      <c r="CN68" s="236"/>
      <c r="CO68" s="236"/>
      <c r="CP68" s="236"/>
      <c r="CQ68" s="236"/>
      <c r="CR68" s="236"/>
      <c r="CS68" s="236"/>
      <c r="CT68" s="236"/>
      <c r="CU68" s="236"/>
      <c r="CV68" s="236"/>
      <c r="CW68" s="236"/>
      <c r="CX68" s="236"/>
      <c r="CY68" s="236"/>
      <c r="CZ68" s="236"/>
      <c r="DA68" s="236"/>
      <c r="DB68" s="236"/>
      <c r="DC68" s="236"/>
      <c r="DD68" s="236"/>
      <c r="DE68" s="236"/>
      <c r="DF68" s="236"/>
      <c r="DG68" s="236"/>
      <c r="DH68" s="236"/>
      <c r="DI68" s="236"/>
      <c r="DJ68" s="236"/>
      <c r="DK68" s="236"/>
      <c r="DL68" s="236"/>
      <c r="DM68" s="236"/>
      <c r="DN68" s="236"/>
      <c r="DO68" s="236"/>
      <c r="DP68" s="236"/>
      <c r="DQ68" s="236"/>
      <c r="DR68" s="236"/>
      <c r="DS68" s="236"/>
      <c r="DT68" s="236"/>
      <c r="DU68" s="236"/>
      <c r="DV68" s="236"/>
      <c r="DW68" s="236"/>
      <c r="DX68" s="236"/>
      <c r="DY68" s="236"/>
      <c r="DZ68" s="236"/>
      <c r="EA68" s="236"/>
      <c r="EB68" s="236"/>
      <c r="EC68" s="236"/>
      <c r="ED68" s="236"/>
      <c r="EE68" s="236"/>
      <c r="EF68" s="236"/>
      <c r="EG68" s="236"/>
      <c r="EH68" s="236"/>
      <c r="EI68" s="236"/>
      <c r="EJ68" s="236"/>
      <c r="EK68" s="236"/>
      <c r="EL68" s="236"/>
      <c r="EM68" s="236"/>
      <c r="EN68" s="236"/>
      <c r="EO68" s="236"/>
      <c r="EP68" s="236"/>
      <c r="EQ68" s="236"/>
      <c r="ER68" s="236"/>
      <c r="ES68" s="236"/>
      <c r="ET68" s="236"/>
      <c r="EU68" s="236"/>
      <c r="EV68" s="236"/>
      <c r="EW68" s="236"/>
      <c r="EX68" s="236"/>
      <c r="EY68" s="236"/>
      <c r="EZ68" s="236"/>
      <c r="FA68" s="236"/>
      <c r="FB68" s="236"/>
      <c r="FC68" s="236"/>
      <c r="FD68" s="236"/>
      <c r="FE68" s="236"/>
      <c r="FF68" s="236"/>
      <c r="FG68" s="236"/>
      <c r="FH68" s="236"/>
      <c r="FI68" s="236"/>
      <c r="FJ68" s="236"/>
      <c r="FK68" s="236"/>
      <c r="FL68" s="236"/>
      <c r="FM68" s="236"/>
      <c r="FN68" s="236"/>
      <c r="FO68" s="236"/>
      <c r="FP68" s="236"/>
      <c r="FQ68" s="236"/>
      <c r="FR68" s="236"/>
      <c r="FS68" s="236"/>
      <c r="FT68" s="236"/>
      <c r="FU68" s="236"/>
      <c r="FV68" s="236"/>
      <c r="FW68" s="236"/>
      <c r="FX68" s="236"/>
      <c r="FY68" s="236"/>
      <c r="FZ68" s="236"/>
      <c r="GA68" s="236"/>
      <c r="GB68" s="236"/>
      <c r="GC68" s="236"/>
      <c r="GD68" s="236"/>
      <c r="GE68" s="236"/>
      <c r="GF68" s="236"/>
      <c r="GG68" s="236"/>
      <c r="GH68" s="236"/>
      <c r="GI68" s="236"/>
      <c r="GJ68" s="236"/>
      <c r="GK68" s="236"/>
      <c r="GL68" s="236"/>
      <c r="GM68" s="236"/>
      <c r="GN68" s="236"/>
      <c r="GO68" s="236"/>
      <c r="GP68" s="236"/>
      <c r="GQ68" s="236"/>
      <c r="GR68" s="236"/>
      <c r="GS68" s="236"/>
      <c r="GT68" s="236"/>
      <c r="GU68" s="236"/>
      <c r="GV68" s="236"/>
      <c r="GW68" s="236"/>
      <c r="GX68" s="236"/>
      <c r="GY68" s="236"/>
      <c r="GZ68" s="236"/>
      <c r="HA68" s="236"/>
      <c r="HB68" s="236"/>
      <c r="HC68" s="236"/>
      <c r="HD68" s="236"/>
      <c r="HE68" s="236"/>
      <c r="HF68" s="236"/>
      <c r="HG68" s="236"/>
      <c r="HH68" s="236"/>
      <c r="HI68" s="236"/>
      <c r="HJ68" s="236"/>
      <c r="HK68" s="236"/>
      <c r="HL68" s="236"/>
      <c r="HM68" s="236"/>
      <c r="HN68" s="236"/>
      <c r="HO68" s="236"/>
      <c r="HP68" s="236"/>
      <c r="HQ68" s="236"/>
      <c r="HR68" s="236"/>
      <c r="HS68" s="236"/>
      <c r="HT68" s="236"/>
      <c r="HU68" s="236"/>
      <c r="HV68" s="236"/>
      <c r="HW68" s="236"/>
      <c r="HX68" s="236"/>
      <c r="HY68" s="236"/>
      <c r="HZ68" s="236"/>
      <c r="IA68" s="236"/>
      <c r="IB68" s="236"/>
      <c r="IC68" s="236"/>
      <c r="ID68" s="236"/>
      <c r="IE68" s="236"/>
      <c r="IF68" s="236"/>
      <c r="IG68" s="236"/>
      <c r="IH68" s="236"/>
      <c r="II68" s="236"/>
      <c r="IJ68" s="236"/>
      <c r="IK68" s="236"/>
      <c r="IL68" s="236"/>
      <c r="IM68" s="236"/>
      <c r="IN68" s="236"/>
      <c r="IO68" s="236"/>
      <c r="IP68" s="236"/>
      <c r="IQ68" s="236"/>
      <c r="IR68" s="236"/>
      <c r="IS68" s="236"/>
      <c r="IT68" s="236"/>
      <c r="IU68" s="236"/>
      <c r="IV68" s="236"/>
      <c r="IW68" s="236"/>
      <c r="IX68" s="236"/>
      <c r="IY68" s="236"/>
      <c r="IZ68" s="236"/>
      <c r="JA68" s="236"/>
      <c r="JB68" s="236"/>
      <c r="JC68" s="236"/>
      <c r="JD68" s="236"/>
      <c r="JE68" s="236"/>
      <c r="JF68" s="236"/>
      <c r="JG68" s="236"/>
      <c r="JH68" s="236"/>
      <c r="JI68" s="236"/>
      <c r="JJ68" s="236"/>
      <c r="JK68" s="236"/>
      <c r="JL68" s="236"/>
      <c r="JM68" s="236"/>
      <c r="JN68" s="236"/>
      <c r="JO68" s="236"/>
      <c r="JP68" s="236"/>
      <c r="JQ68" s="236"/>
      <c r="JR68" s="236"/>
      <c r="JS68" s="236"/>
      <c r="JT68" s="236"/>
      <c r="JU68" s="236"/>
      <c r="JV68" s="236"/>
      <c r="JW68" s="236"/>
      <c r="JX68" s="409"/>
      <c r="JY68" s="409"/>
      <c r="JZ68" s="409"/>
      <c r="KA68" s="409"/>
      <c r="KB68" s="409"/>
      <c r="KC68" s="409"/>
      <c r="KD68" s="409"/>
      <c r="KE68" s="409"/>
      <c r="KF68" s="409"/>
      <c r="KG68" s="410"/>
      <c r="KH68" s="412">
        <f t="shared" si="17"/>
        <v>65</v>
      </c>
      <c r="KI68" s="413" t="str">
        <f t="shared" ca="1" si="6"/>
        <v/>
      </c>
      <c r="KJ68" s="413" t="str">
        <f t="shared" ca="1" si="20"/>
        <v/>
      </c>
      <c r="KK68" s="414" t="str">
        <f t="shared" ca="1" si="8"/>
        <v/>
      </c>
    </row>
    <row r="69" spans="3:297" ht="24" customHeight="1">
      <c r="C69"/>
      <c r="D69" s="57" t="str">
        <f ca="1">INDIRECT(ADDRESS(ROWS($D$3:D68)+6,D$3,1,1,"3_TIME SUM"))</f>
        <v>Other BOP Operation</v>
      </c>
      <c r="E69" s="81" t="str">
        <f ca="1">IF(INDIRECT(ADDRESS(ROWS($E$3:E68)+6,E$3,1,1,"3_TIME SUM"))=0,E68,INDIRECT(ADDRESS(ROWS($E$3:E68)+6,E$3,1,1,"3_TIME SUM")))</f>
        <v>Nipple Up BOP</v>
      </c>
      <c r="F69" s="57" t="str">
        <f t="shared" ref="F69:F132" ca="1" si="24">IF(D69="","",""&amp;E69&amp;" : "&amp;D69&amp;"")</f>
        <v>Nipple Up BOP : Other BOP Operation</v>
      </c>
      <c r="G69" s="58" t="str">
        <f ca="1">VLOOKUP($D69,INDIRECT(ADDRESS(7,5,1,1,"3_TIME SUM")):INDIRECT(ADDRESS(200,7,1,1,"3_TIME SUM")),2,FALSE)</f>
        <v>14d</v>
      </c>
      <c r="H69" s="58" t="str">
        <f ca="1">IF(VLOOKUP($D69,INDIRECT(ADDRESS(7,5,1,1,"3_TIME SUM")):INDIRECT(ADDRESS(200,7,1,1,"3_TIME SUM")),3,FALSE)="","PT",VLOOKUP($D69,INDIRECT(ADDRESS(7,5,1,1,"3_TIME SUM")):INDIRECT(ADDRESS(200,7,1,1,"3_TIME SUM")),3,FALSE))</f>
        <v>PT</v>
      </c>
      <c r="I69" s="59">
        <f ca="1">IFERROR(IF(AND($D$2="NON PRODUCTIVE TIME",$H69="NPT"),SUMIF(INDIRECT(ADDRESS(8,COLUMN('2_DATA'!$M$9),1,1,"2_DATA")):INDIRECT(ADDRESS(3000,COLUMN('2_DATA'!$M$9),1,1,"2_DATA")),$G69,INDIRECT(ADDRESS(8,COLUMN('2_DATA'!$N$9),1,1,"2_DATA")):INDIRECT(ADDRESS(3000,COLUMN('2_DATA'!$N$9),1,1,"2_DATA"))),IF($D$2="ALL ACTIVITY",SUMIF(INDIRECT(ADDRESS(9,COLUMN('2_DATA'!$M$9),1,1,"2_DATA")):INDIRECT(ADDRESS(3000,COLUMN('2_DATA'!$M$9),1,1,"2_DATA")),$G69,INDIRECT(ADDRESS(9,COLUMN('2_DATA'!$N$9),1,1,"2_DATA")):INDIRECT(ADDRESS(3000,COLUMN('2_DATA'!$N$9),1,1,"2_DATA"))),SUMIF(INDIRECT(ADDRESS(OFFSET($A$3,MATCH($D$2,$A$4:$A$16,0)-1,1,,)+1,COLUMN('2_DATA'!$M$9),1,1,"2_DATA")):INDIRECT(ADDRESS(VLOOKUP($D$2,$A$4:$B$16,2,FALSE)-1,COLUMN('2_DATA'!$M$9),1,1,"2_DATA")),$G69,INDIRECT(ADDRESS(OFFSET($A$3,MATCH($D$2,$A$4:$A$16,0)-1,1,,)+1,COLUMN('2_DATA'!$N$9),1,1,"2_DATA")):INDIRECT(ADDRESS(VLOOKUP($D$2,$A$4:$B$16,2,FALSE)-1,COLUMN('2_DATA'!$N$9),1,1,"2_DATA"))))),0)</f>
        <v>0</v>
      </c>
      <c r="J69" s="58" t="str">
        <f ca="1">IF(I69=0,"",MAX($J$3:J68)+1)</f>
        <v/>
      </c>
      <c r="L69" s="55">
        <f t="shared" ca="1" si="21"/>
        <v>1000</v>
      </c>
      <c r="M69" s="55" t="str">
        <f t="shared" ref="M69:M132" ca="1" si="25">IFERROR(L69+J69,"")</f>
        <v/>
      </c>
      <c r="N69" s="55"/>
      <c r="O69" s="55">
        <f t="shared" ca="1" si="10"/>
        <v>1017</v>
      </c>
      <c r="P69" s="55">
        <f t="shared" ca="1" si="22"/>
        <v>18</v>
      </c>
      <c r="Q69" s="55" t="str">
        <f ca="1">IFERROR(INDEX($O$4:$P$226,MATCH(ROWS($Q$3:Q68),$P$4:$P$226,0),1),"-")</f>
        <v>-</v>
      </c>
      <c r="R69" s="62" t="str">
        <f t="shared" ca="1" si="23"/>
        <v/>
      </c>
      <c r="S69" s="55" t="str">
        <f t="shared" ref="S69:S132" ca="1" si="26">IFERROR(Q69-ROUND(Q69/1000,0)*1000,"")</f>
        <v/>
      </c>
      <c r="T69" s="67" t="str">
        <f t="shared" ca="1" si="19"/>
        <v>-</v>
      </c>
      <c r="V69" s="68" t="str">
        <f t="shared" ca="1" si="11"/>
        <v/>
      </c>
      <c r="W69" s="69" t="str">
        <f t="shared" ca="1" si="12"/>
        <v/>
      </c>
      <c r="X69" s="70" t="s">
        <v>84</v>
      </c>
      <c r="Y69" s="68" t="str">
        <f t="shared" ca="1" si="16"/>
        <v/>
      </c>
      <c r="Z69" s="71" t="str">
        <f t="shared" ca="1" si="13"/>
        <v/>
      </c>
      <c r="AA69" s="72" t="str">
        <f t="shared" ca="1" si="14"/>
        <v/>
      </c>
      <c r="AB69" s="305" t="str">
        <f t="shared" ca="1" si="15"/>
        <v/>
      </c>
      <c r="AC69" s="236"/>
      <c r="AD69" s="236"/>
      <c r="AE69" s="236"/>
      <c r="AF69" s="236"/>
      <c r="AG69" s="236"/>
      <c r="AH69" s="236"/>
      <c r="AI69" s="236"/>
      <c r="AJ69" s="236"/>
      <c r="AK69" s="236"/>
      <c r="AL69" s="236"/>
      <c r="AM69" s="236"/>
      <c r="AN69" s="236"/>
      <c r="AO69" s="236"/>
      <c r="AP69" s="236"/>
      <c r="AQ69" s="236"/>
      <c r="AR69" s="236"/>
      <c r="AS69" s="236"/>
      <c r="AT69" s="236"/>
      <c r="AU69" s="236"/>
      <c r="AV69" s="236"/>
      <c r="AW69" s="236"/>
      <c r="AX69" s="236"/>
      <c r="AY69" s="236"/>
      <c r="AZ69" s="236"/>
      <c r="BA69" s="236"/>
      <c r="BB69" s="236"/>
      <c r="BC69" s="236"/>
      <c r="BD69" s="236"/>
      <c r="BE69" s="236"/>
      <c r="BF69" s="236"/>
      <c r="BG69" s="236"/>
      <c r="BH69" s="236"/>
      <c r="BI69" s="236"/>
      <c r="BJ69" s="236"/>
      <c r="BK69" s="236"/>
      <c r="BL69" s="236"/>
      <c r="BM69" s="236"/>
      <c r="BN69" s="236"/>
      <c r="BO69" s="236"/>
      <c r="BP69" s="236"/>
      <c r="BQ69" s="236"/>
      <c r="BR69" s="236"/>
      <c r="BS69" s="236"/>
      <c r="BT69" s="236"/>
      <c r="BU69" s="236"/>
      <c r="BV69" s="236"/>
      <c r="BW69" s="236"/>
      <c r="BX69" s="236"/>
      <c r="BY69" s="236"/>
      <c r="BZ69" s="236"/>
      <c r="CA69" s="236"/>
      <c r="CB69" s="236"/>
      <c r="CC69" s="236"/>
      <c r="CD69" s="236"/>
      <c r="CE69" s="236"/>
      <c r="CF69" s="236"/>
      <c r="CG69" s="236"/>
      <c r="CH69" s="236"/>
      <c r="CI69" s="236"/>
      <c r="CJ69" s="236"/>
      <c r="CK69" s="236"/>
      <c r="CL69" s="236"/>
      <c r="CM69" s="236"/>
      <c r="CN69" s="236"/>
      <c r="CO69" s="236"/>
      <c r="CP69" s="236"/>
      <c r="CQ69" s="236"/>
      <c r="CR69" s="236"/>
      <c r="CS69" s="236"/>
      <c r="CT69" s="236"/>
      <c r="CU69" s="236"/>
      <c r="CV69" s="236"/>
      <c r="CW69" s="236"/>
      <c r="CX69" s="236"/>
      <c r="CY69" s="236"/>
      <c r="CZ69" s="236"/>
      <c r="DA69" s="236"/>
      <c r="DB69" s="236"/>
      <c r="DC69" s="236"/>
      <c r="DD69" s="236"/>
      <c r="DE69" s="236"/>
      <c r="DF69" s="236"/>
      <c r="DG69" s="236"/>
      <c r="DH69" s="236"/>
      <c r="DI69" s="236"/>
      <c r="DJ69" s="236"/>
      <c r="DK69" s="236"/>
      <c r="DL69" s="236"/>
      <c r="DM69" s="236"/>
      <c r="DN69" s="236"/>
      <c r="DO69" s="236"/>
      <c r="DP69" s="236"/>
      <c r="DQ69" s="236"/>
      <c r="DR69" s="236"/>
      <c r="DS69" s="236"/>
      <c r="DT69" s="236"/>
      <c r="DU69" s="236"/>
      <c r="DV69" s="236"/>
      <c r="DW69" s="236"/>
      <c r="DX69" s="236"/>
      <c r="DY69" s="236"/>
      <c r="DZ69" s="236"/>
      <c r="EA69" s="236"/>
      <c r="EB69" s="236"/>
      <c r="EC69" s="236"/>
      <c r="ED69" s="236"/>
      <c r="EE69" s="236"/>
      <c r="EF69" s="236"/>
      <c r="EG69" s="236"/>
      <c r="EH69" s="236"/>
      <c r="EI69" s="236"/>
      <c r="EJ69" s="236"/>
      <c r="EK69" s="236"/>
      <c r="EL69" s="236"/>
      <c r="EM69" s="236"/>
      <c r="EN69" s="236"/>
      <c r="EO69" s="236"/>
      <c r="EP69" s="236"/>
      <c r="EQ69" s="236"/>
      <c r="ER69" s="236"/>
      <c r="ES69" s="236"/>
      <c r="ET69" s="236"/>
      <c r="EU69" s="236"/>
      <c r="EV69" s="236"/>
      <c r="EW69" s="236"/>
      <c r="EX69" s="236"/>
      <c r="EY69" s="236"/>
      <c r="EZ69" s="236"/>
      <c r="FA69" s="236"/>
      <c r="FB69" s="236"/>
      <c r="FC69" s="236"/>
      <c r="FD69" s="236"/>
      <c r="FE69" s="236"/>
      <c r="FF69" s="236"/>
      <c r="FG69" s="236"/>
      <c r="FH69" s="236"/>
      <c r="FI69" s="236"/>
      <c r="FJ69" s="236"/>
      <c r="FK69" s="236"/>
      <c r="FL69" s="236"/>
      <c r="FM69" s="236"/>
      <c r="FN69" s="236"/>
      <c r="FO69" s="236"/>
      <c r="FP69" s="236"/>
      <c r="FQ69" s="236"/>
      <c r="FR69" s="236"/>
      <c r="FS69" s="236"/>
      <c r="FT69" s="236"/>
      <c r="FU69" s="236"/>
      <c r="FV69" s="236"/>
      <c r="FW69" s="236"/>
      <c r="FX69" s="236"/>
      <c r="FY69" s="236"/>
      <c r="FZ69" s="236"/>
      <c r="GA69" s="236"/>
      <c r="GB69" s="236"/>
      <c r="GC69" s="236"/>
      <c r="GD69" s="236"/>
      <c r="GE69" s="236"/>
      <c r="GF69" s="236"/>
      <c r="GG69" s="236"/>
      <c r="GH69" s="236"/>
      <c r="GI69" s="236"/>
      <c r="GJ69" s="236"/>
      <c r="GK69" s="236"/>
      <c r="GL69" s="236"/>
      <c r="GM69" s="236"/>
      <c r="GN69" s="236"/>
      <c r="GO69" s="236"/>
      <c r="GP69" s="236"/>
      <c r="GQ69" s="236"/>
      <c r="GR69" s="236"/>
      <c r="GS69" s="236"/>
      <c r="GT69" s="236"/>
      <c r="GU69" s="236"/>
      <c r="GV69" s="236"/>
      <c r="GW69" s="236"/>
      <c r="GX69" s="236"/>
      <c r="GY69" s="236"/>
      <c r="GZ69" s="236"/>
      <c r="HA69" s="236"/>
      <c r="HB69" s="236"/>
      <c r="HC69" s="236"/>
      <c r="HD69" s="236"/>
      <c r="HE69" s="236"/>
      <c r="HF69" s="236"/>
      <c r="HG69" s="236"/>
      <c r="HH69" s="236"/>
      <c r="HI69" s="236"/>
      <c r="HJ69" s="236"/>
      <c r="HK69" s="236"/>
      <c r="HL69" s="236"/>
      <c r="HM69" s="236"/>
      <c r="HN69" s="236"/>
      <c r="HO69" s="236"/>
      <c r="HP69" s="236"/>
      <c r="HQ69" s="236"/>
      <c r="HR69" s="236"/>
      <c r="HS69" s="236"/>
      <c r="HT69" s="236"/>
      <c r="HU69" s="236"/>
      <c r="HV69" s="236"/>
      <c r="HW69" s="236"/>
      <c r="HX69" s="236"/>
      <c r="HY69" s="236"/>
      <c r="HZ69" s="236"/>
      <c r="IA69" s="236"/>
      <c r="IB69" s="236"/>
      <c r="IC69" s="236"/>
      <c r="ID69" s="236"/>
      <c r="IE69" s="236"/>
      <c r="IF69" s="236"/>
      <c r="IG69" s="236"/>
      <c r="IH69" s="236"/>
      <c r="II69" s="236"/>
      <c r="IJ69" s="236"/>
      <c r="IK69" s="236"/>
      <c r="IL69" s="236"/>
      <c r="IM69" s="236"/>
      <c r="IN69" s="236"/>
      <c r="IO69" s="236"/>
      <c r="IP69" s="236"/>
      <c r="IQ69" s="236"/>
      <c r="IR69" s="236"/>
      <c r="IS69" s="236"/>
      <c r="IT69" s="236"/>
      <c r="IU69" s="236"/>
      <c r="IV69" s="236"/>
      <c r="IW69" s="236"/>
      <c r="IX69" s="236"/>
      <c r="IY69" s="236"/>
      <c r="IZ69" s="236"/>
      <c r="JA69" s="236"/>
      <c r="JB69" s="236"/>
      <c r="JC69" s="236"/>
      <c r="JD69" s="236"/>
      <c r="JE69" s="236"/>
      <c r="JF69" s="236"/>
      <c r="JG69" s="236"/>
      <c r="JH69" s="236"/>
      <c r="JI69" s="236"/>
      <c r="JJ69" s="236"/>
      <c r="JK69" s="236"/>
      <c r="JL69" s="236"/>
      <c r="JM69" s="236"/>
      <c r="JN69" s="236"/>
      <c r="JO69" s="236"/>
      <c r="JP69" s="236"/>
      <c r="JQ69" s="236"/>
      <c r="JR69" s="236"/>
      <c r="JS69" s="236"/>
      <c r="JT69" s="236"/>
      <c r="JU69" s="236"/>
      <c r="JV69" s="236"/>
      <c r="JW69" s="236"/>
      <c r="JX69" s="409"/>
      <c r="JY69" s="409"/>
      <c r="JZ69" s="409"/>
      <c r="KA69" s="409"/>
      <c r="KB69" s="409"/>
      <c r="KC69" s="409"/>
      <c r="KD69" s="409"/>
      <c r="KE69" s="409"/>
      <c r="KF69" s="409"/>
      <c r="KG69" s="410"/>
      <c r="KH69" s="412">
        <f t="shared" si="17"/>
        <v>66</v>
      </c>
      <c r="KI69" s="413" t="str">
        <f t="shared" ref="KI69:KI106" ca="1" si="27">IFERROR(INDEX($Q$4:$S$226,MATCH($KH69,$S$4:$S$226,0),1),"")</f>
        <v/>
      </c>
      <c r="KJ69" s="413" t="str">
        <f t="shared" ca="1" si="20"/>
        <v/>
      </c>
      <c r="KK69" s="414" t="str">
        <f t="shared" ref="KK69:KK106" ca="1" si="28">IFERROR(IF($KI69="","",IF(ISNA(INDEX($N$4:$O$5,MATCH($KI69,$O$4:$O$5,0),1)),INDEX($I$4:$M$226,MATCH($KI69,$M$4:$M$226,0),1),INDEX($N$4:$O$5,MATCH($KI69,$O$4:$O$5,0),1))/24),"")</f>
        <v/>
      </c>
    </row>
    <row r="70" spans="3:297" ht="24" customHeight="1">
      <c r="C70"/>
      <c r="D70" s="57" t="str">
        <f ca="1">INDIRECT(ADDRESS(ROWS($D$3:D69)+6,D$3,1,1,"3_TIME SUM"))</f>
        <v>Function &amp; Pressure Test of BOP's</v>
      </c>
      <c r="E70" s="81" t="str">
        <f ca="1">IF(INDIRECT(ADDRESS(ROWS($E$3:E69)+6,E$3,1,1,"3_TIME SUM"))=0,E69,INDIRECT(ADDRESS(ROWS($E$3:E69)+6,E$3,1,1,"3_TIME SUM")))</f>
        <v>Test BOP</v>
      </c>
      <c r="F70" s="57" t="str">
        <f t="shared" ca="1" si="24"/>
        <v>Test BOP : Function &amp; Pressure Test of BOP's</v>
      </c>
      <c r="G70" s="58" t="str">
        <f ca="1">VLOOKUP($D70,INDIRECT(ADDRESS(7,5,1,1,"3_TIME SUM")):INDIRECT(ADDRESS(200,7,1,1,"3_TIME SUM")),2,FALSE)</f>
        <v>15a</v>
      </c>
      <c r="H70" s="58" t="str">
        <f ca="1">IF(VLOOKUP($D70,INDIRECT(ADDRESS(7,5,1,1,"3_TIME SUM")):INDIRECT(ADDRESS(200,7,1,1,"3_TIME SUM")),3,FALSE)="","PT",VLOOKUP($D70,INDIRECT(ADDRESS(7,5,1,1,"3_TIME SUM")):INDIRECT(ADDRESS(200,7,1,1,"3_TIME SUM")),3,FALSE))</f>
        <v>PT</v>
      </c>
      <c r="I70" s="59">
        <f ca="1">IFERROR(IF(AND($D$2="NON PRODUCTIVE TIME",$H70="NPT"),SUMIF(INDIRECT(ADDRESS(8,COLUMN('2_DATA'!$M$9),1,1,"2_DATA")):INDIRECT(ADDRESS(3000,COLUMN('2_DATA'!$M$9),1,1,"2_DATA")),$G70,INDIRECT(ADDRESS(8,COLUMN('2_DATA'!$N$9),1,1,"2_DATA")):INDIRECT(ADDRESS(3000,COLUMN('2_DATA'!$N$9),1,1,"2_DATA"))),IF($D$2="ALL ACTIVITY",SUMIF(INDIRECT(ADDRESS(9,COLUMN('2_DATA'!$M$9),1,1,"2_DATA")):INDIRECT(ADDRESS(3000,COLUMN('2_DATA'!$M$9),1,1,"2_DATA")),$G70,INDIRECT(ADDRESS(9,COLUMN('2_DATA'!$N$9),1,1,"2_DATA")):INDIRECT(ADDRESS(3000,COLUMN('2_DATA'!$N$9),1,1,"2_DATA"))),SUMIF(INDIRECT(ADDRESS(OFFSET($A$3,MATCH($D$2,$A$4:$A$16,0)-1,1,,)+1,COLUMN('2_DATA'!$M$9),1,1,"2_DATA")):INDIRECT(ADDRESS(VLOOKUP($D$2,$A$4:$B$16,2,FALSE)-1,COLUMN('2_DATA'!$M$9),1,1,"2_DATA")),$G70,INDIRECT(ADDRESS(OFFSET($A$3,MATCH($D$2,$A$4:$A$16,0)-1,1,,)+1,COLUMN('2_DATA'!$N$9),1,1,"2_DATA")):INDIRECT(ADDRESS(VLOOKUP($D$2,$A$4:$B$16,2,FALSE)-1,COLUMN('2_DATA'!$N$9),1,1,"2_DATA"))))),0)</f>
        <v>1</v>
      </c>
      <c r="J70" s="58">
        <f ca="1">IF(I70=0,"",MAX($J$3:J69)+1)</f>
        <v>20</v>
      </c>
      <c r="L70" s="55">
        <f t="shared" ca="1" si="21"/>
        <v>1000</v>
      </c>
      <c r="M70" s="55">
        <f t="shared" ca="1" si="25"/>
        <v>1020</v>
      </c>
      <c r="N70" s="55"/>
      <c r="O70" s="55">
        <f t="shared" ca="1" si="10"/>
        <v>1018</v>
      </c>
      <c r="P70" s="55">
        <f t="shared" ca="1" si="22"/>
        <v>19</v>
      </c>
      <c r="Q70" s="55" t="str">
        <f ca="1">IFERROR(INDEX($O$4:$P$226,MATCH(ROWS($Q$3:Q69),$P$4:$P$226,0),1),"-")</f>
        <v>-</v>
      </c>
      <c r="R70" s="62" t="str">
        <f t="shared" ca="1" si="23"/>
        <v/>
      </c>
      <c r="S70" s="55" t="str">
        <f t="shared" ca="1" si="26"/>
        <v/>
      </c>
      <c r="T70" s="67" t="str">
        <f t="shared" ca="1" si="19"/>
        <v>-</v>
      </c>
      <c r="V70" s="68" t="str">
        <f t="shared" ca="1" si="11"/>
        <v/>
      </c>
      <c r="W70" s="69" t="str">
        <f t="shared" ca="1" si="12"/>
        <v/>
      </c>
      <c r="X70" s="70" t="s">
        <v>84</v>
      </c>
      <c r="Y70" s="68" t="str">
        <f t="shared" ca="1" si="16"/>
        <v/>
      </c>
      <c r="Z70" s="71" t="str">
        <f t="shared" ca="1" si="13"/>
        <v/>
      </c>
      <c r="AA70" s="72" t="str">
        <f t="shared" ca="1" si="14"/>
        <v/>
      </c>
      <c r="AB70" s="305" t="str">
        <f t="shared" ca="1" si="15"/>
        <v/>
      </c>
      <c r="AC70" s="236"/>
      <c r="AD70" s="236"/>
      <c r="AE70" s="236"/>
      <c r="AF70" s="236"/>
      <c r="AG70" s="236"/>
      <c r="AH70" s="236"/>
      <c r="AI70" s="236"/>
      <c r="AJ70" s="236"/>
      <c r="AK70" s="236"/>
      <c r="AL70" s="236"/>
      <c r="AM70" s="236"/>
      <c r="AN70" s="236"/>
      <c r="AO70" s="236"/>
      <c r="AP70" s="236"/>
      <c r="AQ70" s="236"/>
      <c r="AR70" s="236"/>
      <c r="AS70" s="236"/>
      <c r="AT70" s="236"/>
      <c r="AU70" s="236"/>
      <c r="AV70" s="236"/>
      <c r="AW70" s="236"/>
      <c r="AX70" s="236"/>
      <c r="AY70" s="236"/>
      <c r="AZ70" s="236"/>
      <c r="BA70" s="236"/>
      <c r="BB70" s="236"/>
      <c r="BC70" s="236"/>
      <c r="BD70" s="236"/>
      <c r="BE70" s="236"/>
      <c r="BF70" s="236"/>
      <c r="BG70" s="236"/>
      <c r="BH70" s="236"/>
      <c r="BI70" s="236"/>
      <c r="BJ70" s="236"/>
      <c r="BK70" s="236"/>
      <c r="BL70" s="236"/>
      <c r="BM70" s="236"/>
      <c r="BN70" s="236"/>
      <c r="BO70" s="236"/>
      <c r="BP70" s="236"/>
      <c r="BQ70" s="236"/>
      <c r="BR70" s="236"/>
      <c r="BS70" s="236"/>
      <c r="BT70" s="236"/>
      <c r="BU70" s="236"/>
      <c r="BV70" s="236"/>
      <c r="BW70" s="236"/>
      <c r="BX70" s="236"/>
      <c r="BY70" s="236"/>
      <c r="BZ70" s="236"/>
      <c r="CA70" s="236"/>
      <c r="CB70" s="236"/>
      <c r="CC70" s="236"/>
      <c r="CD70" s="236"/>
      <c r="CE70" s="236"/>
      <c r="CF70" s="236"/>
      <c r="CG70" s="236"/>
      <c r="CH70" s="236"/>
      <c r="CI70" s="236"/>
      <c r="CJ70" s="236"/>
      <c r="CK70" s="236"/>
      <c r="CL70" s="236"/>
      <c r="CM70" s="236"/>
      <c r="CN70" s="236"/>
      <c r="CO70" s="236"/>
      <c r="CP70" s="236"/>
      <c r="CQ70" s="236"/>
      <c r="CR70" s="236"/>
      <c r="CS70" s="236"/>
      <c r="CT70" s="236"/>
      <c r="CU70" s="236"/>
      <c r="CV70" s="236"/>
      <c r="CW70" s="236"/>
      <c r="CX70" s="236"/>
      <c r="CY70" s="236"/>
      <c r="CZ70" s="236"/>
      <c r="DA70" s="236"/>
      <c r="DB70" s="236"/>
      <c r="DC70" s="236"/>
      <c r="DD70" s="236"/>
      <c r="DE70" s="236"/>
      <c r="DF70" s="236"/>
      <c r="DG70" s="236"/>
      <c r="DH70" s="236"/>
      <c r="DI70" s="236"/>
      <c r="DJ70" s="236"/>
      <c r="DK70" s="236"/>
      <c r="DL70" s="236"/>
      <c r="DM70" s="236"/>
      <c r="DN70" s="236"/>
      <c r="DO70" s="236"/>
      <c r="DP70" s="236"/>
      <c r="DQ70" s="236"/>
      <c r="DR70" s="236"/>
      <c r="DS70" s="236"/>
      <c r="DT70" s="236"/>
      <c r="DU70" s="236"/>
      <c r="DV70" s="236"/>
      <c r="DW70" s="236"/>
      <c r="DX70" s="236"/>
      <c r="DY70" s="236"/>
      <c r="DZ70" s="236"/>
      <c r="EA70" s="236"/>
      <c r="EB70" s="236"/>
      <c r="EC70" s="236"/>
      <c r="ED70" s="236"/>
      <c r="EE70" s="236"/>
      <c r="EF70" s="236"/>
      <c r="EG70" s="236"/>
      <c r="EH70" s="236"/>
      <c r="EI70" s="236"/>
      <c r="EJ70" s="236"/>
      <c r="EK70" s="236"/>
      <c r="EL70" s="236"/>
      <c r="EM70" s="236"/>
      <c r="EN70" s="236"/>
      <c r="EO70" s="236"/>
      <c r="EP70" s="236"/>
      <c r="EQ70" s="236"/>
      <c r="ER70" s="236"/>
      <c r="ES70" s="236"/>
      <c r="ET70" s="236"/>
      <c r="EU70" s="236"/>
      <c r="EV70" s="236"/>
      <c r="EW70" s="236"/>
      <c r="EX70" s="236"/>
      <c r="EY70" s="236"/>
      <c r="EZ70" s="236"/>
      <c r="FA70" s="236"/>
      <c r="FB70" s="236"/>
      <c r="FC70" s="236"/>
      <c r="FD70" s="236"/>
      <c r="FE70" s="236"/>
      <c r="FF70" s="236"/>
      <c r="FG70" s="236"/>
      <c r="FH70" s="236"/>
      <c r="FI70" s="236"/>
      <c r="FJ70" s="236"/>
      <c r="FK70" s="236"/>
      <c r="FL70" s="236"/>
      <c r="FM70" s="236"/>
      <c r="FN70" s="236"/>
      <c r="FO70" s="236"/>
      <c r="FP70" s="236"/>
      <c r="FQ70" s="236"/>
      <c r="FR70" s="236"/>
      <c r="FS70" s="236"/>
      <c r="FT70" s="236"/>
      <c r="FU70" s="236"/>
      <c r="FV70" s="236"/>
      <c r="FW70" s="236"/>
      <c r="FX70" s="236"/>
      <c r="FY70" s="236"/>
      <c r="FZ70" s="236"/>
      <c r="GA70" s="236"/>
      <c r="GB70" s="236"/>
      <c r="GC70" s="236"/>
      <c r="GD70" s="236"/>
      <c r="GE70" s="236"/>
      <c r="GF70" s="236"/>
      <c r="GG70" s="236"/>
      <c r="GH70" s="236"/>
      <c r="GI70" s="236"/>
      <c r="GJ70" s="236"/>
      <c r="GK70" s="236"/>
      <c r="GL70" s="236"/>
      <c r="GM70" s="236"/>
      <c r="GN70" s="236"/>
      <c r="GO70" s="236"/>
      <c r="GP70" s="236"/>
      <c r="GQ70" s="236"/>
      <c r="GR70" s="236"/>
      <c r="GS70" s="236"/>
      <c r="GT70" s="236"/>
      <c r="GU70" s="236"/>
      <c r="GV70" s="236"/>
      <c r="GW70" s="236"/>
      <c r="GX70" s="236"/>
      <c r="GY70" s="236"/>
      <c r="GZ70" s="236"/>
      <c r="HA70" s="236"/>
      <c r="HB70" s="236"/>
      <c r="HC70" s="236"/>
      <c r="HD70" s="236"/>
      <c r="HE70" s="236"/>
      <c r="HF70" s="236"/>
      <c r="HG70" s="236"/>
      <c r="HH70" s="236"/>
      <c r="HI70" s="236"/>
      <c r="HJ70" s="236"/>
      <c r="HK70" s="236"/>
      <c r="HL70" s="236"/>
      <c r="HM70" s="236"/>
      <c r="HN70" s="236"/>
      <c r="HO70" s="236"/>
      <c r="HP70" s="236"/>
      <c r="HQ70" s="236"/>
      <c r="HR70" s="236"/>
      <c r="HS70" s="236"/>
      <c r="HT70" s="236"/>
      <c r="HU70" s="236"/>
      <c r="HV70" s="236"/>
      <c r="HW70" s="236"/>
      <c r="HX70" s="236"/>
      <c r="HY70" s="236"/>
      <c r="HZ70" s="236"/>
      <c r="IA70" s="236"/>
      <c r="IB70" s="236"/>
      <c r="IC70" s="236"/>
      <c r="ID70" s="236"/>
      <c r="IE70" s="236"/>
      <c r="IF70" s="236"/>
      <c r="IG70" s="236"/>
      <c r="IH70" s="236"/>
      <c r="II70" s="236"/>
      <c r="IJ70" s="236"/>
      <c r="IK70" s="236"/>
      <c r="IL70" s="236"/>
      <c r="IM70" s="236"/>
      <c r="IN70" s="236"/>
      <c r="IO70" s="236"/>
      <c r="IP70" s="236"/>
      <c r="IQ70" s="236"/>
      <c r="IR70" s="236"/>
      <c r="IS70" s="236"/>
      <c r="IT70" s="236"/>
      <c r="IU70" s="236"/>
      <c r="IV70" s="236"/>
      <c r="IW70" s="236"/>
      <c r="IX70" s="236"/>
      <c r="IY70" s="236"/>
      <c r="IZ70" s="236"/>
      <c r="JA70" s="236"/>
      <c r="JB70" s="236"/>
      <c r="JC70" s="236"/>
      <c r="JD70" s="236"/>
      <c r="JE70" s="236"/>
      <c r="JF70" s="236"/>
      <c r="JG70" s="236"/>
      <c r="JH70" s="236"/>
      <c r="JI70" s="236"/>
      <c r="JJ70" s="236"/>
      <c r="JK70" s="236"/>
      <c r="JL70" s="236"/>
      <c r="JM70" s="236"/>
      <c r="JN70" s="236"/>
      <c r="JO70" s="236"/>
      <c r="JP70" s="236"/>
      <c r="JQ70" s="236"/>
      <c r="JR70" s="236"/>
      <c r="JS70" s="236"/>
      <c r="JT70" s="236"/>
      <c r="JU70" s="236"/>
      <c r="JV70" s="236"/>
      <c r="JW70" s="236"/>
      <c r="JX70" s="409"/>
      <c r="JY70" s="409"/>
      <c r="JZ70" s="409"/>
      <c r="KA70" s="409"/>
      <c r="KB70" s="409"/>
      <c r="KC70" s="409"/>
      <c r="KD70" s="409"/>
      <c r="KE70" s="409"/>
      <c r="KF70" s="409"/>
      <c r="KG70" s="410"/>
      <c r="KH70" s="412">
        <f t="shared" si="17"/>
        <v>67</v>
      </c>
      <c r="KI70" s="413" t="str">
        <f t="shared" ca="1" si="27"/>
        <v/>
      </c>
      <c r="KJ70" s="413" t="str">
        <f t="shared" ca="1" si="20"/>
        <v/>
      </c>
      <c r="KK70" s="414" t="str">
        <f t="shared" ca="1" si="28"/>
        <v/>
      </c>
    </row>
    <row r="71" spans="3:297" ht="24" customHeight="1">
      <c r="C71"/>
      <c r="D71" s="57" t="str">
        <f ca="1">INDIRECT(ADDRESS(ROWS($D$3:D70)+6,D$3,1,1,"3_TIME SUM"))</f>
        <v>Drill Stem Test</v>
      </c>
      <c r="E71" s="81" t="str">
        <f ca="1">IF(INDIRECT(ADDRESS(ROWS($E$3:E70)+6,E$3,1,1,"3_TIME SUM"))=0,E70,INDIRECT(ADDRESS(ROWS($E$3:E70)+6,E$3,1,1,"3_TIME SUM")))</f>
        <v>Drill Stem Test / WCT (Well Completion Test di PGE)</v>
      </c>
      <c r="F71" s="57" t="str">
        <f t="shared" ca="1" si="24"/>
        <v>Drill Stem Test / WCT (Well Completion Test di PGE) : Drill Stem Test</v>
      </c>
      <c r="G71" s="58" t="str">
        <f ca="1">VLOOKUP($D71,INDIRECT(ADDRESS(7,5,1,1,"3_TIME SUM")):INDIRECT(ADDRESS(200,7,1,1,"3_TIME SUM")),2,FALSE)</f>
        <v>16a</v>
      </c>
      <c r="H71" s="58" t="str">
        <f ca="1">IF(VLOOKUP($D71,INDIRECT(ADDRESS(7,5,1,1,"3_TIME SUM")):INDIRECT(ADDRESS(200,7,1,1,"3_TIME SUM")),3,FALSE)="","PT",VLOOKUP($D71,INDIRECT(ADDRESS(7,5,1,1,"3_TIME SUM")):INDIRECT(ADDRESS(200,7,1,1,"3_TIME SUM")),3,FALSE))</f>
        <v>PT</v>
      </c>
      <c r="I71" s="59">
        <f ca="1">IFERROR(IF(AND($D$2="NON PRODUCTIVE TIME",$H71="NPT"),SUMIF(INDIRECT(ADDRESS(8,COLUMN('2_DATA'!$M$9),1,1,"2_DATA")):INDIRECT(ADDRESS(3000,COLUMN('2_DATA'!$M$9),1,1,"2_DATA")),$G71,INDIRECT(ADDRESS(8,COLUMN('2_DATA'!$N$9),1,1,"2_DATA")):INDIRECT(ADDRESS(3000,COLUMN('2_DATA'!$N$9),1,1,"2_DATA"))),IF($D$2="ALL ACTIVITY",SUMIF(INDIRECT(ADDRESS(9,COLUMN('2_DATA'!$M$9),1,1,"2_DATA")):INDIRECT(ADDRESS(3000,COLUMN('2_DATA'!$M$9),1,1,"2_DATA")),$G71,INDIRECT(ADDRESS(9,COLUMN('2_DATA'!$N$9),1,1,"2_DATA")):INDIRECT(ADDRESS(3000,COLUMN('2_DATA'!$N$9),1,1,"2_DATA"))),SUMIF(INDIRECT(ADDRESS(OFFSET($A$3,MATCH($D$2,$A$4:$A$16,0)-1,1,,)+1,COLUMN('2_DATA'!$M$9),1,1,"2_DATA")):INDIRECT(ADDRESS(VLOOKUP($D$2,$A$4:$B$16,2,FALSE)-1,COLUMN('2_DATA'!$M$9),1,1,"2_DATA")),$G71,INDIRECT(ADDRESS(OFFSET($A$3,MATCH($D$2,$A$4:$A$16,0)-1,1,,)+1,COLUMN('2_DATA'!$N$9),1,1,"2_DATA")):INDIRECT(ADDRESS(VLOOKUP($D$2,$A$4:$B$16,2,FALSE)-1,COLUMN('2_DATA'!$N$9),1,1,"2_DATA"))))),0)</f>
        <v>0</v>
      </c>
      <c r="J71" s="58" t="str">
        <f ca="1">IF(I71=0,"",MAX($J$3:J70)+1)</f>
        <v/>
      </c>
      <c r="L71" s="55">
        <f t="shared" ca="1" si="21"/>
        <v>1000</v>
      </c>
      <c r="M71" s="55" t="str">
        <f t="shared" ca="1" si="25"/>
        <v/>
      </c>
      <c r="N71" s="55"/>
      <c r="O71" s="55">
        <f t="shared" ca="1" si="10"/>
        <v>1019</v>
      </c>
      <c r="P71" s="55">
        <f t="shared" ca="1" si="22"/>
        <v>20</v>
      </c>
      <c r="Q71" s="55" t="str">
        <f ca="1">IFERROR(INDEX($O$4:$P$226,MATCH(ROWS($Q$3:Q70),$P$4:$P$226,0),1),"-")</f>
        <v>-</v>
      </c>
      <c r="R71" s="62" t="str">
        <f t="shared" ca="1" si="23"/>
        <v/>
      </c>
      <c r="S71" s="55" t="str">
        <f t="shared" ca="1" si="26"/>
        <v/>
      </c>
      <c r="T71" s="67" t="str">
        <f t="shared" ca="1" si="19"/>
        <v>-</v>
      </c>
      <c r="V71" s="68" t="str">
        <f t="shared" ca="1" si="11"/>
        <v/>
      </c>
      <c r="W71" s="69" t="str">
        <f t="shared" ca="1" si="12"/>
        <v/>
      </c>
      <c r="X71" s="70" t="s">
        <v>84</v>
      </c>
      <c r="Y71" s="68" t="str">
        <f t="shared" ca="1" si="16"/>
        <v/>
      </c>
      <c r="Z71" s="71" t="str">
        <f t="shared" ca="1" si="13"/>
        <v/>
      </c>
      <c r="AA71" s="72" t="str">
        <f t="shared" ca="1" si="14"/>
        <v/>
      </c>
      <c r="AB71" s="305" t="str">
        <f t="shared" ca="1" si="15"/>
        <v/>
      </c>
      <c r="AC71" s="236"/>
      <c r="AD71" s="236"/>
      <c r="AE71" s="236"/>
      <c r="AF71" s="236"/>
      <c r="AG71" s="236"/>
      <c r="AH71" s="236"/>
      <c r="AI71" s="236"/>
      <c r="AJ71" s="236"/>
      <c r="AK71" s="236"/>
      <c r="AL71" s="236"/>
      <c r="AM71" s="236"/>
      <c r="AN71" s="236"/>
      <c r="AO71" s="236"/>
      <c r="AP71" s="236"/>
      <c r="AQ71" s="236"/>
      <c r="AR71" s="236"/>
      <c r="AS71" s="236"/>
      <c r="AT71" s="236"/>
      <c r="AU71" s="236"/>
      <c r="AV71" s="236"/>
      <c r="AW71" s="236"/>
      <c r="AX71" s="236"/>
      <c r="AY71" s="236"/>
      <c r="AZ71" s="236"/>
      <c r="BA71" s="236"/>
      <c r="BB71" s="236"/>
      <c r="BC71" s="236"/>
      <c r="BD71" s="236"/>
      <c r="BE71" s="236"/>
      <c r="BF71" s="236"/>
      <c r="BG71" s="236"/>
      <c r="BH71" s="236"/>
      <c r="BI71" s="236"/>
      <c r="BJ71" s="236"/>
      <c r="BK71" s="236"/>
      <c r="BL71" s="236"/>
      <c r="BM71" s="236"/>
      <c r="BN71" s="236"/>
      <c r="BO71" s="236"/>
      <c r="BP71" s="236"/>
      <c r="BQ71" s="236"/>
      <c r="BR71" s="236"/>
      <c r="BS71" s="236"/>
      <c r="BT71" s="236"/>
      <c r="BU71" s="236"/>
      <c r="BV71" s="236"/>
      <c r="BW71" s="236"/>
      <c r="BX71" s="236"/>
      <c r="BY71" s="236"/>
      <c r="BZ71" s="236"/>
      <c r="CA71" s="236"/>
      <c r="CB71" s="236"/>
      <c r="CC71" s="236"/>
      <c r="CD71" s="236"/>
      <c r="CE71" s="236"/>
      <c r="CF71" s="236"/>
      <c r="CG71" s="236"/>
      <c r="CH71" s="236"/>
      <c r="CI71" s="236"/>
      <c r="CJ71" s="236"/>
      <c r="CK71" s="236"/>
      <c r="CL71" s="236"/>
      <c r="CM71" s="236"/>
      <c r="CN71" s="236"/>
      <c r="CO71" s="236"/>
      <c r="CP71" s="236"/>
      <c r="CQ71" s="236"/>
      <c r="CR71" s="236"/>
      <c r="CS71" s="236"/>
      <c r="CT71" s="236"/>
      <c r="CU71" s="236"/>
      <c r="CV71" s="236"/>
      <c r="CW71" s="236"/>
      <c r="CX71" s="236"/>
      <c r="CY71" s="236"/>
      <c r="CZ71" s="236"/>
      <c r="DA71" s="236"/>
      <c r="DB71" s="236"/>
      <c r="DC71" s="236"/>
      <c r="DD71" s="236"/>
      <c r="DE71" s="236"/>
      <c r="DF71" s="236"/>
      <c r="DG71" s="236"/>
      <c r="DH71" s="236"/>
      <c r="DI71" s="236"/>
      <c r="DJ71" s="236"/>
      <c r="DK71" s="236"/>
      <c r="DL71" s="236"/>
      <c r="DM71" s="236"/>
      <c r="DN71" s="236"/>
      <c r="DO71" s="236"/>
      <c r="DP71" s="236"/>
      <c r="DQ71" s="236"/>
      <c r="DR71" s="236"/>
      <c r="DS71" s="236"/>
      <c r="DT71" s="236"/>
      <c r="DU71" s="236"/>
      <c r="DV71" s="236"/>
      <c r="DW71" s="236"/>
      <c r="DX71" s="236"/>
      <c r="DY71" s="236"/>
      <c r="DZ71" s="236"/>
      <c r="EA71" s="236"/>
      <c r="EB71" s="236"/>
      <c r="EC71" s="236"/>
      <c r="ED71" s="236"/>
      <c r="EE71" s="236"/>
      <c r="EF71" s="236"/>
      <c r="EG71" s="236"/>
      <c r="EH71" s="236"/>
      <c r="EI71" s="236"/>
      <c r="EJ71" s="236"/>
      <c r="EK71" s="236"/>
      <c r="EL71" s="236"/>
      <c r="EM71" s="236"/>
      <c r="EN71" s="236"/>
      <c r="EO71" s="236"/>
      <c r="EP71" s="236"/>
      <c r="EQ71" s="236"/>
      <c r="ER71" s="236"/>
      <c r="ES71" s="236"/>
      <c r="ET71" s="236"/>
      <c r="EU71" s="236"/>
      <c r="EV71" s="236"/>
      <c r="EW71" s="236"/>
      <c r="EX71" s="236"/>
      <c r="EY71" s="236"/>
      <c r="EZ71" s="236"/>
      <c r="FA71" s="236"/>
      <c r="FB71" s="236"/>
      <c r="FC71" s="236"/>
      <c r="FD71" s="236"/>
      <c r="FE71" s="236"/>
      <c r="FF71" s="236"/>
      <c r="FG71" s="236"/>
      <c r="FH71" s="236"/>
      <c r="FI71" s="236"/>
      <c r="FJ71" s="236"/>
      <c r="FK71" s="236"/>
      <c r="FL71" s="236"/>
      <c r="FM71" s="236"/>
      <c r="FN71" s="236"/>
      <c r="FO71" s="236"/>
      <c r="FP71" s="236"/>
      <c r="FQ71" s="236"/>
      <c r="FR71" s="236"/>
      <c r="FS71" s="236"/>
      <c r="FT71" s="236"/>
      <c r="FU71" s="236"/>
      <c r="FV71" s="236"/>
      <c r="FW71" s="236"/>
      <c r="FX71" s="236"/>
      <c r="FY71" s="236"/>
      <c r="FZ71" s="236"/>
      <c r="GA71" s="236"/>
      <c r="GB71" s="236"/>
      <c r="GC71" s="236"/>
      <c r="GD71" s="236"/>
      <c r="GE71" s="236"/>
      <c r="GF71" s="236"/>
      <c r="GG71" s="236"/>
      <c r="GH71" s="236"/>
      <c r="GI71" s="236"/>
      <c r="GJ71" s="236"/>
      <c r="GK71" s="236"/>
      <c r="GL71" s="236"/>
      <c r="GM71" s="236"/>
      <c r="GN71" s="236"/>
      <c r="GO71" s="236"/>
      <c r="GP71" s="236"/>
      <c r="GQ71" s="236"/>
      <c r="GR71" s="236"/>
      <c r="GS71" s="236"/>
      <c r="GT71" s="236"/>
      <c r="GU71" s="236"/>
      <c r="GV71" s="236"/>
      <c r="GW71" s="236"/>
      <c r="GX71" s="236"/>
      <c r="GY71" s="236"/>
      <c r="GZ71" s="236"/>
      <c r="HA71" s="236"/>
      <c r="HB71" s="236"/>
      <c r="HC71" s="236"/>
      <c r="HD71" s="236"/>
      <c r="HE71" s="236"/>
      <c r="HF71" s="236"/>
      <c r="HG71" s="236"/>
      <c r="HH71" s="236"/>
      <c r="HI71" s="236"/>
      <c r="HJ71" s="236"/>
      <c r="HK71" s="236"/>
      <c r="HL71" s="236"/>
      <c r="HM71" s="236"/>
      <c r="HN71" s="236"/>
      <c r="HO71" s="236"/>
      <c r="HP71" s="236"/>
      <c r="HQ71" s="236"/>
      <c r="HR71" s="236"/>
      <c r="HS71" s="236"/>
      <c r="HT71" s="236"/>
      <c r="HU71" s="236"/>
      <c r="HV71" s="236"/>
      <c r="HW71" s="236"/>
      <c r="HX71" s="236"/>
      <c r="HY71" s="236"/>
      <c r="HZ71" s="236"/>
      <c r="IA71" s="236"/>
      <c r="IB71" s="236"/>
      <c r="IC71" s="236"/>
      <c r="ID71" s="236"/>
      <c r="IE71" s="236"/>
      <c r="IF71" s="236"/>
      <c r="IG71" s="236"/>
      <c r="IH71" s="236"/>
      <c r="II71" s="236"/>
      <c r="IJ71" s="236"/>
      <c r="IK71" s="236"/>
      <c r="IL71" s="236"/>
      <c r="IM71" s="236"/>
      <c r="IN71" s="236"/>
      <c r="IO71" s="236"/>
      <c r="IP71" s="236"/>
      <c r="IQ71" s="236"/>
      <c r="IR71" s="236"/>
      <c r="IS71" s="236"/>
      <c r="IT71" s="236"/>
      <c r="IU71" s="236"/>
      <c r="IV71" s="236"/>
      <c r="IW71" s="236"/>
      <c r="IX71" s="236"/>
      <c r="IY71" s="236"/>
      <c r="IZ71" s="236"/>
      <c r="JA71" s="236"/>
      <c r="JB71" s="236"/>
      <c r="JC71" s="236"/>
      <c r="JD71" s="236"/>
      <c r="JE71" s="236"/>
      <c r="JF71" s="236"/>
      <c r="JG71" s="236"/>
      <c r="JH71" s="236"/>
      <c r="JI71" s="236"/>
      <c r="JJ71" s="236"/>
      <c r="JK71" s="236"/>
      <c r="JL71" s="236"/>
      <c r="JM71" s="236"/>
      <c r="JN71" s="236"/>
      <c r="JO71" s="236"/>
      <c r="JP71" s="236"/>
      <c r="JQ71" s="236"/>
      <c r="JR71" s="236"/>
      <c r="JS71" s="236"/>
      <c r="JT71" s="236"/>
      <c r="JU71" s="236"/>
      <c r="JV71" s="236"/>
      <c r="JW71" s="236"/>
      <c r="JX71" s="409"/>
      <c r="JY71" s="409"/>
      <c r="JZ71" s="409"/>
      <c r="KA71" s="409"/>
      <c r="KB71" s="409"/>
      <c r="KC71" s="409"/>
      <c r="KD71" s="409"/>
      <c r="KE71" s="409"/>
      <c r="KF71" s="409"/>
      <c r="KG71" s="410"/>
      <c r="KH71" s="412">
        <f t="shared" si="17"/>
        <v>68</v>
      </c>
      <c r="KI71" s="413" t="str">
        <f t="shared" ca="1" si="27"/>
        <v/>
      </c>
      <c r="KJ71" s="413" t="str">
        <f t="shared" ca="1" si="20"/>
        <v/>
      </c>
      <c r="KK71" s="414" t="str">
        <f t="shared" ca="1" si="28"/>
        <v/>
      </c>
    </row>
    <row r="72" spans="3:297" ht="24" customHeight="1">
      <c r="C72"/>
      <c r="D72" s="57" t="str">
        <f ca="1">INDIRECT(ADDRESS(ROWS($D$3:D71)+6,D$3,1,1,"3_TIME SUM"))</f>
        <v>Plug back - cement</v>
      </c>
      <c r="E72" s="81" t="str">
        <f ca="1">IF(INDIRECT(ADDRESS(ROWS($E$3:E71)+6,E$3,1,1,"3_TIME SUM"))=0,E71,INDIRECT(ADDRESS(ROWS($E$3:E71)+6,E$3,1,1,"3_TIME SUM")))</f>
        <v>Plug Back</v>
      </c>
      <c r="F72" s="57" t="str">
        <f t="shared" ca="1" si="24"/>
        <v>Plug Back : Plug back - cement</v>
      </c>
      <c r="G72" s="58" t="str">
        <f ca="1">VLOOKUP($D72,INDIRECT(ADDRESS(7,5,1,1,"3_TIME SUM")):INDIRECT(ADDRESS(200,7,1,1,"3_TIME SUM")),2,FALSE)</f>
        <v>17a</v>
      </c>
      <c r="H72" s="58" t="str">
        <f ca="1">IF(VLOOKUP($D72,INDIRECT(ADDRESS(7,5,1,1,"3_TIME SUM")):INDIRECT(ADDRESS(200,7,1,1,"3_TIME SUM")),3,FALSE)="","PT",VLOOKUP($D72,INDIRECT(ADDRESS(7,5,1,1,"3_TIME SUM")):INDIRECT(ADDRESS(200,7,1,1,"3_TIME SUM")),3,FALSE))</f>
        <v>PT</v>
      </c>
      <c r="I72" s="59">
        <f ca="1">IFERROR(IF(AND($D$2="NON PRODUCTIVE TIME",$H72="NPT"),SUMIF(INDIRECT(ADDRESS(8,COLUMN('2_DATA'!$M$9),1,1,"2_DATA")):INDIRECT(ADDRESS(3000,COLUMN('2_DATA'!$M$9),1,1,"2_DATA")),$G72,INDIRECT(ADDRESS(8,COLUMN('2_DATA'!$N$9),1,1,"2_DATA")):INDIRECT(ADDRESS(3000,COLUMN('2_DATA'!$N$9),1,1,"2_DATA"))),IF($D$2="ALL ACTIVITY",SUMIF(INDIRECT(ADDRESS(9,COLUMN('2_DATA'!$M$9),1,1,"2_DATA")):INDIRECT(ADDRESS(3000,COLUMN('2_DATA'!$M$9),1,1,"2_DATA")),$G72,INDIRECT(ADDRESS(9,COLUMN('2_DATA'!$N$9),1,1,"2_DATA")):INDIRECT(ADDRESS(3000,COLUMN('2_DATA'!$N$9),1,1,"2_DATA"))),SUMIF(INDIRECT(ADDRESS(OFFSET($A$3,MATCH($D$2,$A$4:$A$16,0)-1,1,,)+1,COLUMN('2_DATA'!$M$9),1,1,"2_DATA")):INDIRECT(ADDRESS(VLOOKUP($D$2,$A$4:$B$16,2,FALSE)-1,COLUMN('2_DATA'!$M$9),1,1,"2_DATA")),$G72,INDIRECT(ADDRESS(OFFSET($A$3,MATCH($D$2,$A$4:$A$16,0)-1,1,,)+1,COLUMN('2_DATA'!$N$9),1,1,"2_DATA")):INDIRECT(ADDRESS(VLOOKUP($D$2,$A$4:$B$16,2,FALSE)-1,COLUMN('2_DATA'!$N$9),1,1,"2_DATA"))))),0)</f>
        <v>0</v>
      </c>
      <c r="J72" s="58" t="str">
        <f ca="1">IF(I72=0,"",MAX($J$3:J71)+1)</f>
        <v/>
      </c>
      <c r="L72" s="55">
        <f t="shared" ca="1" si="21"/>
        <v>1000</v>
      </c>
      <c r="M72" s="55" t="str">
        <f t="shared" ca="1" si="25"/>
        <v/>
      </c>
      <c r="N72" s="55"/>
      <c r="O72" s="55" t="str">
        <f t="shared" ref="O72:O135" ca="1" si="29">+M69</f>
        <v/>
      </c>
      <c r="P72" s="55">
        <f t="shared" ca="1" si="22"/>
        <v>0</v>
      </c>
      <c r="Q72" s="55" t="str">
        <f ca="1">IFERROR(INDEX($O$4:$P$226,MATCH(ROWS($Q$3:Q71),$P$4:$P$226,0),1),"-")</f>
        <v>-</v>
      </c>
      <c r="R72" s="62" t="str">
        <f t="shared" ca="1" si="23"/>
        <v/>
      </c>
      <c r="S72" s="55" t="str">
        <f t="shared" ca="1" si="26"/>
        <v/>
      </c>
      <c r="T72" s="67" t="str">
        <f t="shared" ca="1" si="19"/>
        <v>-</v>
      </c>
      <c r="V72" s="68" t="str">
        <f t="shared" ca="1" si="11"/>
        <v/>
      </c>
      <c r="W72" s="69" t="str">
        <f t="shared" ca="1" si="12"/>
        <v/>
      </c>
      <c r="X72" s="70" t="s">
        <v>84</v>
      </c>
      <c r="Y72" s="68" t="str">
        <f t="shared" ca="1" si="16"/>
        <v/>
      </c>
      <c r="Z72" s="71" t="str">
        <f t="shared" ca="1" si="13"/>
        <v/>
      </c>
      <c r="AA72" s="72" t="str">
        <f t="shared" ca="1" si="14"/>
        <v/>
      </c>
      <c r="AB72" s="305" t="str">
        <f t="shared" ca="1" si="15"/>
        <v/>
      </c>
      <c r="AC72" s="236"/>
      <c r="AD72" s="236"/>
      <c r="AE72" s="236"/>
      <c r="AF72" s="236"/>
      <c r="AG72" s="236"/>
      <c r="AH72" s="236"/>
      <c r="AI72" s="236"/>
      <c r="AJ72" s="236"/>
      <c r="AK72" s="236"/>
      <c r="AL72" s="236"/>
      <c r="AM72" s="236"/>
      <c r="AN72" s="236"/>
      <c r="AO72" s="236"/>
      <c r="AP72" s="236"/>
      <c r="AQ72" s="236"/>
      <c r="AR72" s="236"/>
      <c r="AS72" s="236"/>
      <c r="AT72" s="236"/>
      <c r="AU72" s="236"/>
      <c r="AV72" s="236"/>
      <c r="AW72" s="236"/>
      <c r="AX72" s="236"/>
      <c r="AY72" s="236"/>
      <c r="AZ72" s="236"/>
      <c r="BA72" s="236"/>
      <c r="BB72" s="236"/>
      <c r="BC72" s="236"/>
      <c r="BD72" s="236"/>
      <c r="BE72" s="236"/>
      <c r="BF72" s="236"/>
      <c r="BG72" s="236"/>
      <c r="BH72" s="236"/>
      <c r="BI72" s="236"/>
      <c r="BJ72" s="236"/>
      <c r="BK72" s="236"/>
      <c r="BL72" s="236"/>
      <c r="BM72" s="236"/>
      <c r="BN72" s="236"/>
      <c r="BO72" s="236"/>
      <c r="BP72" s="236"/>
      <c r="BQ72" s="236"/>
      <c r="BR72" s="236"/>
      <c r="BS72" s="236"/>
      <c r="BT72" s="236"/>
      <c r="BU72" s="236"/>
      <c r="BV72" s="236"/>
      <c r="BW72" s="236"/>
      <c r="BX72" s="236"/>
      <c r="BY72" s="236"/>
      <c r="BZ72" s="236"/>
      <c r="CA72" s="236"/>
      <c r="CB72" s="236"/>
      <c r="CC72" s="236"/>
      <c r="CD72" s="236"/>
      <c r="CE72" s="236"/>
      <c r="CF72" s="236"/>
      <c r="CG72" s="236"/>
      <c r="CH72" s="236"/>
      <c r="CI72" s="236"/>
      <c r="CJ72" s="236"/>
      <c r="CK72" s="236"/>
      <c r="CL72" s="236"/>
      <c r="CM72" s="236"/>
      <c r="CN72" s="236"/>
      <c r="CO72" s="236"/>
      <c r="CP72" s="236"/>
      <c r="CQ72" s="236"/>
      <c r="CR72" s="236"/>
      <c r="CS72" s="236"/>
      <c r="CT72" s="236"/>
      <c r="CU72" s="236"/>
      <c r="CV72" s="236"/>
      <c r="CW72" s="236"/>
      <c r="CX72" s="236"/>
      <c r="CY72" s="236"/>
      <c r="CZ72" s="236"/>
      <c r="DA72" s="236"/>
      <c r="DB72" s="236"/>
      <c r="DC72" s="236"/>
      <c r="DD72" s="236"/>
      <c r="DE72" s="236"/>
      <c r="DF72" s="236"/>
      <c r="DG72" s="236"/>
      <c r="DH72" s="236"/>
      <c r="DI72" s="236"/>
      <c r="DJ72" s="236"/>
      <c r="DK72" s="236"/>
      <c r="DL72" s="236"/>
      <c r="DM72" s="236"/>
      <c r="DN72" s="236"/>
      <c r="DO72" s="236"/>
      <c r="DP72" s="236"/>
      <c r="DQ72" s="236"/>
      <c r="DR72" s="236"/>
      <c r="DS72" s="236"/>
      <c r="DT72" s="236"/>
      <c r="DU72" s="236"/>
      <c r="DV72" s="236"/>
      <c r="DW72" s="236"/>
      <c r="DX72" s="236"/>
      <c r="DY72" s="236"/>
      <c r="DZ72" s="236"/>
      <c r="EA72" s="236"/>
      <c r="EB72" s="236"/>
      <c r="EC72" s="236"/>
      <c r="ED72" s="236"/>
      <c r="EE72" s="236"/>
      <c r="EF72" s="236"/>
      <c r="EG72" s="236"/>
      <c r="EH72" s="236"/>
      <c r="EI72" s="236"/>
      <c r="EJ72" s="236"/>
      <c r="EK72" s="236"/>
      <c r="EL72" s="236"/>
      <c r="EM72" s="236"/>
      <c r="EN72" s="236"/>
      <c r="EO72" s="236"/>
      <c r="EP72" s="236"/>
      <c r="EQ72" s="236"/>
      <c r="ER72" s="236"/>
      <c r="ES72" s="236"/>
      <c r="ET72" s="236"/>
      <c r="EU72" s="236"/>
      <c r="EV72" s="236"/>
      <c r="EW72" s="236"/>
      <c r="EX72" s="236"/>
      <c r="EY72" s="236"/>
      <c r="EZ72" s="236"/>
      <c r="FA72" s="236"/>
      <c r="FB72" s="236"/>
      <c r="FC72" s="236"/>
      <c r="FD72" s="236"/>
      <c r="FE72" s="236"/>
      <c r="FF72" s="236"/>
      <c r="FG72" s="236"/>
      <c r="FH72" s="236"/>
      <c r="FI72" s="236"/>
      <c r="FJ72" s="236"/>
      <c r="FK72" s="236"/>
      <c r="FL72" s="236"/>
      <c r="FM72" s="236"/>
      <c r="FN72" s="236"/>
      <c r="FO72" s="236"/>
      <c r="FP72" s="236"/>
      <c r="FQ72" s="236"/>
      <c r="FR72" s="236"/>
      <c r="FS72" s="236"/>
      <c r="FT72" s="236"/>
      <c r="FU72" s="236"/>
      <c r="FV72" s="236"/>
      <c r="FW72" s="236"/>
      <c r="FX72" s="236"/>
      <c r="FY72" s="236"/>
      <c r="FZ72" s="236"/>
      <c r="GA72" s="236"/>
      <c r="GB72" s="236"/>
      <c r="GC72" s="236"/>
      <c r="GD72" s="236"/>
      <c r="GE72" s="236"/>
      <c r="GF72" s="236"/>
      <c r="GG72" s="236"/>
      <c r="GH72" s="236"/>
      <c r="GI72" s="236"/>
      <c r="GJ72" s="236"/>
      <c r="GK72" s="236"/>
      <c r="GL72" s="236"/>
      <c r="GM72" s="236"/>
      <c r="GN72" s="236"/>
      <c r="GO72" s="236"/>
      <c r="GP72" s="236"/>
      <c r="GQ72" s="236"/>
      <c r="GR72" s="236"/>
      <c r="GS72" s="236"/>
      <c r="GT72" s="236"/>
      <c r="GU72" s="236"/>
      <c r="GV72" s="236"/>
      <c r="GW72" s="236"/>
      <c r="GX72" s="236"/>
      <c r="GY72" s="236"/>
      <c r="GZ72" s="236"/>
      <c r="HA72" s="236"/>
      <c r="HB72" s="236"/>
      <c r="HC72" s="236"/>
      <c r="HD72" s="236"/>
      <c r="HE72" s="236"/>
      <c r="HF72" s="236"/>
      <c r="HG72" s="236"/>
      <c r="HH72" s="236"/>
      <c r="HI72" s="236"/>
      <c r="HJ72" s="236"/>
      <c r="HK72" s="236"/>
      <c r="HL72" s="236"/>
      <c r="HM72" s="236"/>
      <c r="HN72" s="236"/>
      <c r="HO72" s="236"/>
      <c r="HP72" s="236"/>
      <c r="HQ72" s="236"/>
      <c r="HR72" s="236"/>
      <c r="HS72" s="236"/>
      <c r="HT72" s="236"/>
      <c r="HU72" s="236"/>
      <c r="HV72" s="236"/>
      <c r="HW72" s="236"/>
      <c r="HX72" s="236"/>
      <c r="HY72" s="236"/>
      <c r="HZ72" s="236"/>
      <c r="IA72" s="236"/>
      <c r="IB72" s="236"/>
      <c r="IC72" s="236"/>
      <c r="ID72" s="236"/>
      <c r="IE72" s="236"/>
      <c r="IF72" s="236"/>
      <c r="IG72" s="236"/>
      <c r="IH72" s="236"/>
      <c r="II72" s="236"/>
      <c r="IJ72" s="236"/>
      <c r="IK72" s="236"/>
      <c r="IL72" s="236"/>
      <c r="IM72" s="236"/>
      <c r="IN72" s="236"/>
      <c r="IO72" s="236"/>
      <c r="IP72" s="236"/>
      <c r="IQ72" s="236"/>
      <c r="IR72" s="236"/>
      <c r="IS72" s="236"/>
      <c r="IT72" s="236"/>
      <c r="IU72" s="236"/>
      <c r="IV72" s="236"/>
      <c r="IW72" s="236"/>
      <c r="IX72" s="236"/>
      <c r="IY72" s="236"/>
      <c r="IZ72" s="236"/>
      <c r="JA72" s="236"/>
      <c r="JB72" s="236"/>
      <c r="JC72" s="236"/>
      <c r="JD72" s="236"/>
      <c r="JE72" s="236"/>
      <c r="JF72" s="236"/>
      <c r="JG72" s="236"/>
      <c r="JH72" s="236"/>
      <c r="JI72" s="236"/>
      <c r="JJ72" s="236"/>
      <c r="JK72" s="236"/>
      <c r="JL72" s="236"/>
      <c r="JM72" s="236"/>
      <c r="JN72" s="236"/>
      <c r="JO72" s="236"/>
      <c r="JP72" s="236"/>
      <c r="JQ72" s="236"/>
      <c r="JR72" s="236"/>
      <c r="JS72" s="236"/>
      <c r="JT72" s="236"/>
      <c r="JU72" s="236"/>
      <c r="JV72" s="236"/>
      <c r="JW72" s="236"/>
      <c r="JX72" s="409"/>
      <c r="JY72" s="409"/>
      <c r="JZ72" s="409"/>
      <c r="KA72" s="409"/>
      <c r="KB72" s="409"/>
      <c r="KC72" s="409"/>
      <c r="KD72" s="409"/>
      <c r="KE72" s="409"/>
      <c r="KF72" s="409"/>
      <c r="KG72" s="410"/>
      <c r="KH72" s="412">
        <f t="shared" si="17"/>
        <v>69</v>
      </c>
      <c r="KI72" s="413" t="str">
        <f t="shared" ca="1" si="27"/>
        <v/>
      </c>
      <c r="KJ72" s="413" t="str">
        <f t="shared" ca="1" si="20"/>
        <v/>
      </c>
      <c r="KK72" s="414" t="str">
        <f t="shared" ca="1" si="28"/>
        <v/>
      </c>
    </row>
    <row r="73" spans="3:297" ht="24" customHeight="1">
      <c r="C73"/>
      <c r="D73" s="57" t="str">
        <f ca="1">INDIRECT(ADDRESS(ROWS($D$3:D72)+6,D$3,1,1,"3_TIME SUM"))</f>
        <v>Coiled Tubing - Plug back</v>
      </c>
      <c r="E73" s="81" t="str">
        <f ca="1">IF(INDIRECT(ADDRESS(ROWS($E$3:E72)+6,E$3,1,1,"3_TIME SUM"))=0,E72,INDIRECT(ADDRESS(ROWS($E$3:E72)+6,E$3,1,1,"3_TIME SUM")))</f>
        <v>Plug Back</v>
      </c>
      <c r="F73" s="57" t="str">
        <f t="shared" ca="1" si="24"/>
        <v>Plug Back : Coiled Tubing - Plug back</v>
      </c>
      <c r="G73" s="58" t="str">
        <f ca="1">VLOOKUP($D73,INDIRECT(ADDRESS(7,5,1,1,"3_TIME SUM")):INDIRECT(ADDRESS(200,7,1,1,"3_TIME SUM")),2,FALSE)</f>
        <v>17b</v>
      </c>
      <c r="H73" s="58" t="str">
        <f ca="1">IF(VLOOKUP($D73,INDIRECT(ADDRESS(7,5,1,1,"3_TIME SUM")):INDIRECT(ADDRESS(200,7,1,1,"3_TIME SUM")),3,FALSE)="","PT",VLOOKUP($D73,INDIRECT(ADDRESS(7,5,1,1,"3_TIME SUM")):INDIRECT(ADDRESS(200,7,1,1,"3_TIME SUM")),3,FALSE))</f>
        <v>PT</v>
      </c>
      <c r="I73" s="59">
        <f ca="1">IFERROR(IF(AND($D$2="NON PRODUCTIVE TIME",$H73="NPT"),SUMIF(INDIRECT(ADDRESS(8,COLUMN('2_DATA'!$M$9),1,1,"2_DATA")):INDIRECT(ADDRESS(3000,COLUMN('2_DATA'!$M$9),1,1,"2_DATA")),$G73,INDIRECT(ADDRESS(8,COLUMN('2_DATA'!$N$9),1,1,"2_DATA")):INDIRECT(ADDRESS(3000,COLUMN('2_DATA'!$N$9),1,1,"2_DATA"))),IF($D$2="ALL ACTIVITY",SUMIF(INDIRECT(ADDRESS(9,COLUMN('2_DATA'!$M$9),1,1,"2_DATA")):INDIRECT(ADDRESS(3000,COLUMN('2_DATA'!$M$9),1,1,"2_DATA")),$G73,INDIRECT(ADDRESS(9,COLUMN('2_DATA'!$N$9),1,1,"2_DATA")):INDIRECT(ADDRESS(3000,COLUMN('2_DATA'!$N$9),1,1,"2_DATA"))),SUMIF(INDIRECT(ADDRESS(OFFSET($A$3,MATCH($D$2,$A$4:$A$16,0)-1,1,,)+1,COLUMN('2_DATA'!$M$9),1,1,"2_DATA")):INDIRECT(ADDRESS(VLOOKUP($D$2,$A$4:$B$16,2,FALSE)-1,COLUMN('2_DATA'!$M$9),1,1,"2_DATA")),$G73,INDIRECT(ADDRESS(OFFSET($A$3,MATCH($D$2,$A$4:$A$16,0)-1,1,,)+1,COLUMN('2_DATA'!$N$9),1,1,"2_DATA")):INDIRECT(ADDRESS(VLOOKUP($D$2,$A$4:$B$16,2,FALSE)-1,COLUMN('2_DATA'!$N$9),1,1,"2_DATA"))))),0)</f>
        <v>0</v>
      </c>
      <c r="J73" s="58" t="str">
        <f ca="1">IF(I73=0,"",MAX($J$3:J72)+1)</f>
        <v/>
      </c>
      <c r="L73" s="55">
        <f t="shared" ca="1" si="21"/>
        <v>1000</v>
      </c>
      <c r="M73" s="55" t="str">
        <f t="shared" ca="1" si="25"/>
        <v/>
      </c>
      <c r="N73" s="55"/>
      <c r="O73" s="55">
        <f t="shared" ca="1" si="29"/>
        <v>1020</v>
      </c>
      <c r="P73" s="55">
        <f t="shared" ca="1" si="22"/>
        <v>21</v>
      </c>
      <c r="Q73" s="55" t="str">
        <f ca="1">IFERROR(INDEX($O$4:$P$226,MATCH(ROWS($Q$3:Q72),$P$4:$P$226,0),1),"-")</f>
        <v>-</v>
      </c>
      <c r="R73" s="62" t="str">
        <f t="shared" ca="1" si="23"/>
        <v/>
      </c>
      <c r="S73" s="55" t="str">
        <f t="shared" ca="1" si="26"/>
        <v/>
      </c>
      <c r="T73" s="67" t="str">
        <f t="shared" ca="1" si="19"/>
        <v>-</v>
      </c>
      <c r="V73" s="68" t="str">
        <f t="shared" ca="1" si="11"/>
        <v/>
      </c>
      <c r="W73" s="69" t="str">
        <f t="shared" ca="1" si="12"/>
        <v/>
      </c>
      <c r="X73" s="70" t="s">
        <v>84</v>
      </c>
      <c r="Y73" s="68" t="str">
        <f t="shared" ca="1" si="16"/>
        <v/>
      </c>
      <c r="Z73" s="71" t="str">
        <f t="shared" ca="1" si="13"/>
        <v/>
      </c>
      <c r="AA73" s="72" t="str">
        <f t="shared" ca="1" si="14"/>
        <v/>
      </c>
      <c r="AB73" s="305" t="str">
        <f t="shared" ca="1" si="15"/>
        <v/>
      </c>
      <c r="AC73" s="236"/>
      <c r="AD73" s="236"/>
      <c r="AE73" s="236"/>
      <c r="AF73" s="236"/>
      <c r="AG73" s="236"/>
      <c r="AH73" s="236"/>
      <c r="AI73" s="236"/>
      <c r="AJ73" s="236"/>
      <c r="AK73" s="236"/>
      <c r="AL73" s="236"/>
      <c r="AM73" s="236"/>
      <c r="AN73" s="236"/>
      <c r="AO73" s="236"/>
      <c r="AP73" s="236"/>
      <c r="AQ73" s="236"/>
      <c r="AR73" s="236"/>
      <c r="AS73" s="236"/>
      <c r="AT73" s="236"/>
      <c r="AU73" s="236"/>
      <c r="AV73" s="236"/>
      <c r="AW73" s="236"/>
      <c r="AX73" s="236"/>
      <c r="AY73" s="236"/>
      <c r="AZ73" s="236"/>
      <c r="BA73" s="236"/>
      <c r="BB73" s="236"/>
      <c r="BC73" s="236"/>
      <c r="BD73" s="236"/>
      <c r="BE73" s="236"/>
      <c r="BF73" s="236"/>
      <c r="BG73" s="236"/>
      <c r="BH73" s="236"/>
      <c r="BI73" s="236"/>
      <c r="BJ73" s="236"/>
      <c r="BK73" s="236"/>
      <c r="BL73" s="236"/>
      <c r="BM73" s="236"/>
      <c r="BN73" s="236"/>
      <c r="BO73" s="236"/>
      <c r="BP73" s="236"/>
      <c r="BQ73" s="236"/>
      <c r="BR73" s="236"/>
      <c r="BS73" s="236"/>
      <c r="BT73" s="236"/>
      <c r="BU73" s="236"/>
      <c r="BV73" s="236"/>
      <c r="BW73" s="236"/>
      <c r="BX73" s="236"/>
      <c r="BY73" s="236"/>
      <c r="BZ73" s="236"/>
      <c r="CA73" s="236"/>
      <c r="CB73" s="236"/>
      <c r="CC73" s="236"/>
      <c r="CD73" s="236"/>
      <c r="CE73" s="236"/>
      <c r="CF73" s="236"/>
      <c r="CG73" s="236"/>
      <c r="CH73" s="236"/>
      <c r="CI73" s="236"/>
      <c r="CJ73" s="236"/>
      <c r="CK73" s="236"/>
      <c r="CL73" s="236"/>
      <c r="CM73" s="236"/>
      <c r="CN73" s="236"/>
      <c r="CO73" s="236"/>
      <c r="CP73" s="236"/>
      <c r="CQ73" s="236"/>
      <c r="CR73" s="236"/>
      <c r="CS73" s="236"/>
      <c r="CT73" s="236"/>
      <c r="CU73" s="236"/>
      <c r="CV73" s="236"/>
      <c r="CW73" s="236"/>
      <c r="CX73" s="236"/>
      <c r="CY73" s="236"/>
      <c r="CZ73" s="236"/>
      <c r="DA73" s="236"/>
      <c r="DB73" s="236"/>
      <c r="DC73" s="236"/>
      <c r="DD73" s="236"/>
      <c r="DE73" s="236"/>
      <c r="DF73" s="236"/>
      <c r="DG73" s="236"/>
      <c r="DH73" s="236"/>
      <c r="DI73" s="236"/>
      <c r="DJ73" s="236"/>
      <c r="DK73" s="236"/>
      <c r="DL73" s="236"/>
      <c r="DM73" s="236"/>
      <c r="DN73" s="236"/>
      <c r="DO73" s="236"/>
      <c r="DP73" s="236"/>
      <c r="DQ73" s="236"/>
      <c r="DR73" s="236"/>
      <c r="DS73" s="236"/>
      <c r="DT73" s="236"/>
      <c r="DU73" s="236"/>
      <c r="DV73" s="236"/>
      <c r="DW73" s="236"/>
      <c r="DX73" s="236"/>
      <c r="DY73" s="236"/>
      <c r="DZ73" s="236"/>
      <c r="EA73" s="236"/>
      <c r="EB73" s="236"/>
      <c r="EC73" s="236"/>
      <c r="ED73" s="236"/>
      <c r="EE73" s="236"/>
      <c r="EF73" s="236"/>
      <c r="EG73" s="236"/>
      <c r="EH73" s="236"/>
      <c r="EI73" s="236"/>
      <c r="EJ73" s="236"/>
      <c r="EK73" s="236"/>
      <c r="EL73" s="236"/>
      <c r="EM73" s="236"/>
      <c r="EN73" s="236"/>
      <c r="EO73" s="236"/>
      <c r="EP73" s="236"/>
      <c r="EQ73" s="236"/>
      <c r="ER73" s="236"/>
      <c r="ES73" s="236"/>
      <c r="ET73" s="236"/>
      <c r="EU73" s="236"/>
      <c r="EV73" s="236"/>
      <c r="EW73" s="236"/>
      <c r="EX73" s="236"/>
      <c r="EY73" s="236"/>
      <c r="EZ73" s="236"/>
      <c r="FA73" s="236"/>
      <c r="FB73" s="236"/>
      <c r="FC73" s="236"/>
      <c r="FD73" s="236"/>
      <c r="FE73" s="236"/>
      <c r="FF73" s="236"/>
      <c r="FG73" s="236"/>
      <c r="FH73" s="236"/>
      <c r="FI73" s="236"/>
      <c r="FJ73" s="236"/>
      <c r="FK73" s="236"/>
      <c r="FL73" s="236"/>
      <c r="FM73" s="236"/>
      <c r="FN73" s="236"/>
      <c r="FO73" s="236"/>
      <c r="FP73" s="236"/>
      <c r="FQ73" s="236"/>
      <c r="FR73" s="236"/>
      <c r="FS73" s="236"/>
      <c r="FT73" s="236"/>
      <c r="FU73" s="236"/>
      <c r="FV73" s="236"/>
      <c r="FW73" s="236"/>
      <c r="FX73" s="236"/>
      <c r="FY73" s="236"/>
      <c r="FZ73" s="236"/>
      <c r="GA73" s="236"/>
      <c r="GB73" s="236"/>
      <c r="GC73" s="236"/>
      <c r="GD73" s="236"/>
      <c r="GE73" s="236"/>
      <c r="GF73" s="236"/>
      <c r="GG73" s="236"/>
      <c r="GH73" s="236"/>
      <c r="GI73" s="236"/>
      <c r="GJ73" s="236"/>
      <c r="GK73" s="236"/>
      <c r="GL73" s="236"/>
      <c r="GM73" s="236"/>
      <c r="GN73" s="236"/>
      <c r="GO73" s="236"/>
      <c r="GP73" s="236"/>
      <c r="GQ73" s="236"/>
      <c r="GR73" s="236"/>
      <c r="GS73" s="236"/>
      <c r="GT73" s="236"/>
      <c r="GU73" s="236"/>
      <c r="GV73" s="236"/>
      <c r="GW73" s="236"/>
      <c r="GX73" s="236"/>
      <c r="GY73" s="236"/>
      <c r="GZ73" s="236"/>
      <c r="HA73" s="236"/>
      <c r="HB73" s="236"/>
      <c r="HC73" s="236"/>
      <c r="HD73" s="236"/>
      <c r="HE73" s="236"/>
      <c r="HF73" s="236"/>
      <c r="HG73" s="236"/>
      <c r="HH73" s="236"/>
      <c r="HI73" s="236"/>
      <c r="HJ73" s="236"/>
      <c r="HK73" s="236"/>
      <c r="HL73" s="236"/>
      <c r="HM73" s="236"/>
      <c r="HN73" s="236"/>
      <c r="HO73" s="236"/>
      <c r="HP73" s="236"/>
      <c r="HQ73" s="236"/>
      <c r="HR73" s="236"/>
      <c r="HS73" s="236"/>
      <c r="HT73" s="236"/>
      <c r="HU73" s="236"/>
      <c r="HV73" s="236"/>
      <c r="HW73" s="236"/>
      <c r="HX73" s="236"/>
      <c r="HY73" s="236"/>
      <c r="HZ73" s="236"/>
      <c r="IA73" s="236"/>
      <c r="IB73" s="236"/>
      <c r="IC73" s="236"/>
      <c r="ID73" s="236"/>
      <c r="IE73" s="236"/>
      <c r="IF73" s="236"/>
      <c r="IG73" s="236"/>
      <c r="IH73" s="236"/>
      <c r="II73" s="236"/>
      <c r="IJ73" s="236"/>
      <c r="IK73" s="236"/>
      <c r="IL73" s="236"/>
      <c r="IM73" s="236"/>
      <c r="IN73" s="236"/>
      <c r="IO73" s="236"/>
      <c r="IP73" s="236"/>
      <c r="IQ73" s="236"/>
      <c r="IR73" s="236"/>
      <c r="IS73" s="236"/>
      <c r="IT73" s="236"/>
      <c r="IU73" s="236"/>
      <c r="IV73" s="236"/>
      <c r="IW73" s="236"/>
      <c r="IX73" s="236"/>
      <c r="IY73" s="236"/>
      <c r="IZ73" s="236"/>
      <c r="JA73" s="236"/>
      <c r="JB73" s="236"/>
      <c r="JC73" s="236"/>
      <c r="JD73" s="236"/>
      <c r="JE73" s="236"/>
      <c r="JF73" s="236"/>
      <c r="JG73" s="236"/>
      <c r="JH73" s="236"/>
      <c r="JI73" s="236"/>
      <c r="JJ73" s="236"/>
      <c r="JK73" s="236"/>
      <c r="JL73" s="236"/>
      <c r="JM73" s="236"/>
      <c r="JN73" s="236"/>
      <c r="JO73" s="236"/>
      <c r="JP73" s="236"/>
      <c r="JQ73" s="236"/>
      <c r="JR73" s="236"/>
      <c r="JS73" s="236"/>
      <c r="JT73" s="236"/>
      <c r="JU73" s="236"/>
      <c r="JV73" s="236"/>
      <c r="JW73" s="236"/>
      <c r="JX73" s="409"/>
      <c r="JY73" s="409"/>
      <c r="JZ73" s="409"/>
      <c r="KA73" s="409"/>
      <c r="KB73" s="409"/>
      <c r="KC73" s="409"/>
      <c r="KD73" s="409"/>
      <c r="KE73" s="409"/>
      <c r="KF73" s="409"/>
      <c r="KG73" s="410"/>
      <c r="KH73" s="412">
        <f t="shared" si="17"/>
        <v>70</v>
      </c>
      <c r="KI73" s="413" t="str">
        <f t="shared" ca="1" si="27"/>
        <v/>
      </c>
      <c r="KJ73" s="413" t="str">
        <f t="shared" ca="1" si="20"/>
        <v/>
      </c>
      <c r="KK73" s="414" t="str">
        <f t="shared" ca="1" si="28"/>
        <v/>
      </c>
    </row>
    <row r="74" spans="3:297" ht="24" customHeight="1">
      <c r="C74"/>
      <c r="D74" s="57" t="str">
        <f ca="1">INDIRECT(ADDRESS(ROWS($D$3:D73)+6,D$3,1,1,"3_TIME SUM"))</f>
        <v>Plugback - other</v>
      </c>
      <c r="E74" s="81" t="str">
        <f ca="1">IF(INDIRECT(ADDRESS(ROWS($E$3:E73)+6,E$3,1,1,"3_TIME SUM"))=0,E73,INDIRECT(ADDRESS(ROWS($E$3:E73)+6,E$3,1,1,"3_TIME SUM")))</f>
        <v>Plug Back</v>
      </c>
      <c r="F74" s="57" t="str">
        <f t="shared" ca="1" si="24"/>
        <v>Plug Back : Plugback - other</v>
      </c>
      <c r="G74" s="58" t="str">
        <f ca="1">VLOOKUP($D74,INDIRECT(ADDRESS(7,5,1,1,"3_TIME SUM")):INDIRECT(ADDRESS(200,7,1,1,"3_TIME SUM")),2,FALSE)</f>
        <v>17c</v>
      </c>
      <c r="H74" s="58" t="str">
        <f ca="1">IF(VLOOKUP($D74,INDIRECT(ADDRESS(7,5,1,1,"3_TIME SUM")):INDIRECT(ADDRESS(200,7,1,1,"3_TIME SUM")),3,FALSE)="","PT",VLOOKUP($D74,INDIRECT(ADDRESS(7,5,1,1,"3_TIME SUM")):INDIRECT(ADDRESS(200,7,1,1,"3_TIME SUM")),3,FALSE))</f>
        <v>PT</v>
      </c>
      <c r="I74" s="59">
        <f ca="1">IFERROR(IF(AND($D$2="NON PRODUCTIVE TIME",$H74="NPT"),SUMIF(INDIRECT(ADDRESS(8,COLUMN('2_DATA'!$M$9),1,1,"2_DATA")):INDIRECT(ADDRESS(3000,COLUMN('2_DATA'!$M$9),1,1,"2_DATA")),$G74,INDIRECT(ADDRESS(8,COLUMN('2_DATA'!$N$9),1,1,"2_DATA")):INDIRECT(ADDRESS(3000,COLUMN('2_DATA'!$N$9),1,1,"2_DATA"))),IF($D$2="ALL ACTIVITY",SUMIF(INDIRECT(ADDRESS(9,COLUMN('2_DATA'!$M$9),1,1,"2_DATA")):INDIRECT(ADDRESS(3000,COLUMN('2_DATA'!$M$9),1,1,"2_DATA")),$G74,INDIRECT(ADDRESS(9,COLUMN('2_DATA'!$N$9),1,1,"2_DATA")):INDIRECT(ADDRESS(3000,COLUMN('2_DATA'!$N$9),1,1,"2_DATA"))),SUMIF(INDIRECT(ADDRESS(OFFSET($A$3,MATCH($D$2,$A$4:$A$16,0)-1,1,,)+1,COLUMN('2_DATA'!$M$9),1,1,"2_DATA")):INDIRECT(ADDRESS(VLOOKUP($D$2,$A$4:$B$16,2,FALSE)-1,COLUMN('2_DATA'!$M$9),1,1,"2_DATA")),$G74,INDIRECT(ADDRESS(OFFSET($A$3,MATCH($D$2,$A$4:$A$16,0)-1,1,,)+1,COLUMN('2_DATA'!$N$9),1,1,"2_DATA")):INDIRECT(ADDRESS(VLOOKUP($D$2,$A$4:$B$16,2,FALSE)-1,COLUMN('2_DATA'!$N$9),1,1,"2_DATA"))))),0)</f>
        <v>0</v>
      </c>
      <c r="J74" s="58" t="str">
        <f ca="1">IF(I74=0,"",MAX($J$3:J73)+1)</f>
        <v/>
      </c>
      <c r="L74" s="55">
        <f t="shared" ca="1" si="21"/>
        <v>1000</v>
      </c>
      <c r="M74" s="55" t="str">
        <f t="shared" ca="1" si="25"/>
        <v/>
      </c>
      <c r="N74" s="55"/>
      <c r="O74" s="55" t="str">
        <f t="shared" ca="1" si="29"/>
        <v/>
      </c>
      <c r="P74" s="55">
        <f t="shared" ca="1" si="22"/>
        <v>0</v>
      </c>
      <c r="Q74" s="55" t="str">
        <f ca="1">IFERROR(INDEX($O$4:$P$226,MATCH(ROWS($Q$3:Q73),$P$4:$P$226,0),1),"-")</f>
        <v>-</v>
      </c>
      <c r="R74" s="62" t="str">
        <f t="shared" ca="1" si="23"/>
        <v/>
      </c>
      <c r="S74" s="55" t="str">
        <f t="shared" ca="1" si="26"/>
        <v/>
      </c>
      <c r="T74" s="67" t="str">
        <f t="shared" ca="1" si="19"/>
        <v>-</v>
      </c>
      <c r="V74" s="68" t="str">
        <f t="shared" ca="1" si="11"/>
        <v/>
      </c>
      <c r="W74" s="69" t="str">
        <f t="shared" ca="1" si="12"/>
        <v/>
      </c>
      <c r="X74" s="70" t="s">
        <v>84</v>
      </c>
      <c r="Y74" s="68" t="str">
        <f t="shared" ca="1" si="16"/>
        <v/>
      </c>
      <c r="Z74" s="71" t="str">
        <f t="shared" ca="1" si="13"/>
        <v/>
      </c>
      <c r="AA74" s="72" t="str">
        <f t="shared" ca="1" si="14"/>
        <v/>
      </c>
      <c r="AB74" s="305" t="str">
        <f t="shared" ca="1" si="15"/>
        <v/>
      </c>
      <c r="AC74" s="236"/>
      <c r="AD74" s="236"/>
      <c r="AE74" s="236"/>
      <c r="AF74" s="236"/>
      <c r="AG74" s="236"/>
      <c r="AH74" s="236"/>
      <c r="AI74" s="236"/>
      <c r="AJ74" s="236"/>
      <c r="AK74" s="236"/>
      <c r="AL74" s="236"/>
      <c r="AM74" s="236"/>
      <c r="AN74" s="236"/>
      <c r="AO74" s="236"/>
      <c r="AP74" s="236"/>
      <c r="AQ74" s="236"/>
      <c r="AR74" s="236"/>
      <c r="AS74" s="236"/>
      <c r="AT74" s="236"/>
      <c r="AU74" s="236"/>
      <c r="AV74" s="236"/>
      <c r="AW74" s="236"/>
      <c r="AX74" s="236"/>
      <c r="AY74" s="236"/>
      <c r="AZ74" s="236"/>
      <c r="BA74" s="236"/>
      <c r="BB74" s="236"/>
      <c r="BC74" s="236"/>
      <c r="BD74" s="236"/>
      <c r="BE74" s="236"/>
      <c r="BF74" s="236"/>
      <c r="BG74" s="236"/>
      <c r="BH74" s="236"/>
      <c r="BI74" s="236"/>
      <c r="BJ74" s="236"/>
      <c r="BK74" s="236"/>
      <c r="BL74" s="236"/>
      <c r="BM74" s="236"/>
      <c r="BN74" s="236"/>
      <c r="BO74" s="236"/>
      <c r="BP74" s="236"/>
      <c r="BQ74" s="236"/>
      <c r="BR74" s="236"/>
      <c r="BS74" s="236"/>
      <c r="BT74" s="236"/>
      <c r="BU74" s="236"/>
      <c r="BV74" s="236"/>
      <c r="BW74" s="236"/>
      <c r="BX74" s="236"/>
      <c r="BY74" s="236"/>
      <c r="BZ74" s="236"/>
      <c r="CA74" s="236"/>
      <c r="CB74" s="236"/>
      <c r="CC74" s="236"/>
      <c r="CD74" s="236"/>
      <c r="CE74" s="236"/>
      <c r="CF74" s="236"/>
      <c r="CG74" s="236"/>
      <c r="CH74" s="236"/>
      <c r="CI74" s="236"/>
      <c r="CJ74" s="236"/>
      <c r="CK74" s="236"/>
      <c r="CL74" s="236"/>
      <c r="CM74" s="236"/>
      <c r="CN74" s="236"/>
      <c r="CO74" s="236"/>
      <c r="CP74" s="236"/>
      <c r="CQ74" s="236"/>
      <c r="CR74" s="236"/>
      <c r="CS74" s="236"/>
      <c r="CT74" s="236"/>
      <c r="CU74" s="236"/>
      <c r="CV74" s="236"/>
      <c r="CW74" s="236"/>
      <c r="CX74" s="236"/>
      <c r="CY74" s="236"/>
      <c r="CZ74" s="236"/>
      <c r="DA74" s="236"/>
      <c r="DB74" s="236"/>
      <c r="DC74" s="236"/>
      <c r="DD74" s="236"/>
      <c r="DE74" s="236"/>
      <c r="DF74" s="236"/>
      <c r="DG74" s="236"/>
      <c r="DH74" s="236"/>
      <c r="DI74" s="236"/>
      <c r="DJ74" s="236"/>
      <c r="DK74" s="236"/>
      <c r="DL74" s="236"/>
      <c r="DM74" s="236"/>
      <c r="DN74" s="236"/>
      <c r="DO74" s="236"/>
      <c r="DP74" s="236"/>
      <c r="DQ74" s="236"/>
      <c r="DR74" s="236"/>
      <c r="DS74" s="236"/>
      <c r="DT74" s="236"/>
      <c r="DU74" s="236"/>
      <c r="DV74" s="236"/>
      <c r="DW74" s="236"/>
      <c r="DX74" s="236"/>
      <c r="DY74" s="236"/>
      <c r="DZ74" s="236"/>
      <c r="EA74" s="236"/>
      <c r="EB74" s="236"/>
      <c r="EC74" s="236"/>
      <c r="ED74" s="236"/>
      <c r="EE74" s="236"/>
      <c r="EF74" s="236"/>
      <c r="EG74" s="236"/>
      <c r="EH74" s="236"/>
      <c r="EI74" s="236"/>
      <c r="EJ74" s="236"/>
      <c r="EK74" s="236"/>
      <c r="EL74" s="236"/>
      <c r="EM74" s="236"/>
      <c r="EN74" s="236"/>
      <c r="EO74" s="236"/>
      <c r="EP74" s="236"/>
      <c r="EQ74" s="236"/>
      <c r="ER74" s="236"/>
      <c r="ES74" s="236"/>
      <c r="ET74" s="236"/>
      <c r="EU74" s="236"/>
      <c r="EV74" s="236"/>
      <c r="EW74" s="236"/>
      <c r="EX74" s="236"/>
      <c r="EY74" s="236"/>
      <c r="EZ74" s="236"/>
      <c r="FA74" s="236"/>
      <c r="FB74" s="236"/>
      <c r="FC74" s="236"/>
      <c r="FD74" s="236"/>
      <c r="FE74" s="236"/>
      <c r="FF74" s="236"/>
      <c r="FG74" s="236"/>
      <c r="FH74" s="236"/>
      <c r="FI74" s="236"/>
      <c r="FJ74" s="236"/>
      <c r="FK74" s="236"/>
      <c r="FL74" s="236"/>
      <c r="FM74" s="236"/>
      <c r="FN74" s="236"/>
      <c r="FO74" s="236"/>
      <c r="FP74" s="236"/>
      <c r="FQ74" s="236"/>
      <c r="FR74" s="236"/>
      <c r="FS74" s="236"/>
      <c r="FT74" s="236"/>
      <c r="FU74" s="236"/>
      <c r="FV74" s="236"/>
      <c r="FW74" s="236"/>
      <c r="FX74" s="236"/>
      <c r="FY74" s="236"/>
      <c r="FZ74" s="236"/>
      <c r="GA74" s="236"/>
      <c r="GB74" s="236"/>
      <c r="GC74" s="236"/>
      <c r="GD74" s="236"/>
      <c r="GE74" s="236"/>
      <c r="GF74" s="236"/>
      <c r="GG74" s="236"/>
      <c r="GH74" s="236"/>
      <c r="GI74" s="236"/>
      <c r="GJ74" s="236"/>
      <c r="GK74" s="236"/>
      <c r="GL74" s="236"/>
      <c r="GM74" s="236"/>
      <c r="GN74" s="236"/>
      <c r="GO74" s="236"/>
      <c r="GP74" s="236"/>
      <c r="GQ74" s="236"/>
      <c r="GR74" s="236"/>
      <c r="GS74" s="236"/>
      <c r="GT74" s="236"/>
      <c r="GU74" s="236"/>
      <c r="GV74" s="236"/>
      <c r="GW74" s="236"/>
      <c r="GX74" s="236"/>
      <c r="GY74" s="236"/>
      <c r="GZ74" s="236"/>
      <c r="HA74" s="236"/>
      <c r="HB74" s="236"/>
      <c r="HC74" s="236"/>
      <c r="HD74" s="236"/>
      <c r="HE74" s="236"/>
      <c r="HF74" s="236"/>
      <c r="HG74" s="236"/>
      <c r="HH74" s="236"/>
      <c r="HI74" s="236"/>
      <c r="HJ74" s="236"/>
      <c r="HK74" s="236"/>
      <c r="HL74" s="236"/>
      <c r="HM74" s="236"/>
      <c r="HN74" s="236"/>
      <c r="HO74" s="236"/>
      <c r="HP74" s="236"/>
      <c r="HQ74" s="236"/>
      <c r="HR74" s="236"/>
      <c r="HS74" s="236"/>
      <c r="HT74" s="236"/>
      <c r="HU74" s="236"/>
      <c r="HV74" s="236"/>
      <c r="HW74" s="236"/>
      <c r="HX74" s="236"/>
      <c r="HY74" s="236"/>
      <c r="HZ74" s="236"/>
      <c r="IA74" s="236"/>
      <c r="IB74" s="236"/>
      <c r="IC74" s="236"/>
      <c r="ID74" s="236"/>
      <c r="IE74" s="236"/>
      <c r="IF74" s="236"/>
      <c r="IG74" s="236"/>
      <c r="IH74" s="236"/>
      <c r="II74" s="236"/>
      <c r="IJ74" s="236"/>
      <c r="IK74" s="236"/>
      <c r="IL74" s="236"/>
      <c r="IM74" s="236"/>
      <c r="IN74" s="236"/>
      <c r="IO74" s="236"/>
      <c r="IP74" s="236"/>
      <c r="IQ74" s="236"/>
      <c r="IR74" s="236"/>
      <c r="IS74" s="236"/>
      <c r="IT74" s="236"/>
      <c r="IU74" s="236"/>
      <c r="IV74" s="236"/>
      <c r="IW74" s="236"/>
      <c r="IX74" s="236"/>
      <c r="IY74" s="236"/>
      <c r="IZ74" s="236"/>
      <c r="JA74" s="236"/>
      <c r="JB74" s="236"/>
      <c r="JC74" s="236"/>
      <c r="JD74" s="236"/>
      <c r="JE74" s="236"/>
      <c r="JF74" s="236"/>
      <c r="JG74" s="236"/>
      <c r="JH74" s="236"/>
      <c r="JI74" s="236"/>
      <c r="JJ74" s="236"/>
      <c r="JK74" s="236"/>
      <c r="JL74" s="236"/>
      <c r="JM74" s="236"/>
      <c r="JN74" s="236"/>
      <c r="JO74" s="236"/>
      <c r="JP74" s="236"/>
      <c r="JQ74" s="236"/>
      <c r="JR74" s="236"/>
      <c r="JS74" s="236"/>
      <c r="JT74" s="236"/>
      <c r="JU74" s="236"/>
      <c r="JV74" s="236"/>
      <c r="JW74" s="236"/>
      <c r="JX74" s="409"/>
      <c r="JY74" s="409"/>
      <c r="JZ74" s="409"/>
      <c r="KA74" s="409"/>
      <c r="KB74" s="409"/>
      <c r="KC74" s="409"/>
      <c r="KD74" s="409"/>
      <c r="KE74" s="409"/>
      <c r="KF74" s="409"/>
      <c r="KG74" s="410"/>
      <c r="KH74" s="412">
        <f t="shared" si="17"/>
        <v>71</v>
      </c>
      <c r="KI74" s="413" t="str">
        <f t="shared" ca="1" si="27"/>
        <v/>
      </c>
      <c r="KJ74" s="413" t="str">
        <f t="shared" ca="1" si="20"/>
        <v/>
      </c>
      <c r="KK74" s="414" t="str">
        <f t="shared" ca="1" si="28"/>
        <v/>
      </c>
    </row>
    <row r="75" spans="3:297" ht="24" customHeight="1">
      <c r="C75"/>
      <c r="D75" s="57" t="str">
        <f ca="1">INDIRECT(ADDRESS(ROWS($D$3:D74)+6,D$3,1,1,"3_TIME SUM"))</f>
        <v>Squeeze Planned Include Used Coiled Tubing</v>
      </c>
      <c r="E75" s="81" t="str">
        <f ca="1">IF(INDIRECT(ADDRESS(ROWS($E$3:E74)+6,E$3,1,1,"3_TIME SUM"))=0,E74,INDIRECT(ADDRESS(ROWS($E$3:E74)+6,E$3,1,1,"3_TIME SUM")))</f>
        <v>Squeeze Cement</v>
      </c>
      <c r="F75" s="57" t="str">
        <f t="shared" ca="1" si="24"/>
        <v>Squeeze Cement : Squeeze Planned Include Used Coiled Tubing</v>
      </c>
      <c r="G75" s="58" t="str">
        <f ca="1">VLOOKUP($D75,INDIRECT(ADDRESS(7,5,1,1,"3_TIME SUM")):INDIRECT(ADDRESS(200,7,1,1,"3_TIME SUM")),2,FALSE)</f>
        <v>18a</v>
      </c>
      <c r="H75" s="58" t="str">
        <f ca="1">IF(VLOOKUP($D75,INDIRECT(ADDRESS(7,5,1,1,"3_TIME SUM")):INDIRECT(ADDRESS(200,7,1,1,"3_TIME SUM")),3,FALSE)="","PT",VLOOKUP($D75,INDIRECT(ADDRESS(7,5,1,1,"3_TIME SUM")):INDIRECT(ADDRESS(200,7,1,1,"3_TIME SUM")),3,FALSE))</f>
        <v>PT</v>
      </c>
      <c r="I75" s="59">
        <f ca="1">IFERROR(IF(AND($D$2="NON PRODUCTIVE TIME",$H75="NPT"),SUMIF(INDIRECT(ADDRESS(8,COLUMN('2_DATA'!$M$9),1,1,"2_DATA")):INDIRECT(ADDRESS(3000,COLUMN('2_DATA'!$M$9),1,1,"2_DATA")),$G75,INDIRECT(ADDRESS(8,COLUMN('2_DATA'!$N$9),1,1,"2_DATA")):INDIRECT(ADDRESS(3000,COLUMN('2_DATA'!$N$9),1,1,"2_DATA"))),IF($D$2="ALL ACTIVITY",SUMIF(INDIRECT(ADDRESS(9,COLUMN('2_DATA'!$M$9),1,1,"2_DATA")):INDIRECT(ADDRESS(3000,COLUMN('2_DATA'!$M$9),1,1,"2_DATA")),$G75,INDIRECT(ADDRESS(9,COLUMN('2_DATA'!$N$9),1,1,"2_DATA")):INDIRECT(ADDRESS(3000,COLUMN('2_DATA'!$N$9),1,1,"2_DATA"))),SUMIF(INDIRECT(ADDRESS(OFFSET($A$3,MATCH($D$2,$A$4:$A$16,0)-1,1,,)+1,COLUMN('2_DATA'!$M$9),1,1,"2_DATA")):INDIRECT(ADDRESS(VLOOKUP($D$2,$A$4:$B$16,2,FALSE)-1,COLUMN('2_DATA'!$M$9),1,1,"2_DATA")),$G75,INDIRECT(ADDRESS(OFFSET($A$3,MATCH($D$2,$A$4:$A$16,0)-1,1,,)+1,COLUMN('2_DATA'!$N$9),1,1,"2_DATA")):INDIRECT(ADDRESS(VLOOKUP($D$2,$A$4:$B$16,2,FALSE)-1,COLUMN('2_DATA'!$N$9),1,1,"2_DATA"))))),0)</f>
        <v>18</v>
      </c>
      <c r="J75" s="58">
        <f ca="1">IF(I75=0,"",MAX($J$3:J74)+1)</f>
        <v>21</v>
      </c>
      <c r="L75" s="55">
        <f t="shared" ca="1" si="21"/>
        <v>1000</v>
      </c>
      <c r="M75" s="55">
        <f t="shared" ca="1" si="25"/>
        <v>1021</v>
      </c>
      <c r="N75" s="55"/>
      <c r="O75" s="55" t="str">
        <f t="shared" ca="1" si="29"/>
        <v/>
      </c>
      <c r="P75" s="55">
        <f t="shared" ca="1" si="22"/>
        <v>0</v>
      </c>
      <c r="Q75" s="55" t="str">
        <f ca="1">IFERROR(INDEX($O$4:$P$226,MATCH(ROWS($Q$3:Q74),$P$4:$P$226,0),1),"-")</f>
        <v>-</v>
      </c>
      <c r="R75" s="62" t="str">
        <f t="shared" ca="1" si="23"/>
        <v/>
      </c>
      <c r="S75" s="55" t="str">
        <f t="shared" ca="1" si="26"/>
        <v/>
      </c>
      <c r="T75" s="67" t="str">
        <f t="shared" ca="1" si="19"/>
        <v>-</v>
      </c>
      <c r="V75" s="68" t="str">
        <f t="shared" ca="1" si="11"/>
        <v/>
      </c>
      <c r="W75" s="69" t="str">
        <f t="shared" ca="1" si="12"/>
        <v/>
      </c>
      <c r="X75" s="70" t="s">
        <v>84</v>
      </c>
      <c r="Y75" s="68" t="str">
        <f t="shared" ca="1" si="16"/>
        <v/>
      </c>
      <c r="Z75" s="71" t="str">
        <f t="shared" ca="1" si="13"/>
        <v/>
      </c>
      <c r="AA75" s="72" t="str">
        <f t="shared" ca="1" si="14"/>
        <v/>
      </c>
      <c r="AB75" s="305" t="str">
        <f t="shared" ca="1" si="15"/>
        <v/>
      </c>
      <c r="AC75" s="236"/>
      <c r="AD75" s="236"/>
      <c r="AE75" s="236"/>
      <c r="AF75" s="236"/>
      <c r="AG75" s="236"/>
      <c r="AH75" s="236"/>
      <c r="AI75" s="236"/>
      <c r="AJ75" s="236"/>
      <c r="AK75" s="236"/>
      <c r="AL75" s="236"/>
      <c r="AM75" s="236"/>
      <c r="AN75" s="236"/>
      <c r="AO75" s="236"/>
      <c r="AP75" s="236"/>
      <c r="AQ75" s="236"/>
      <c r="AR75" s="236"/>
      <c r="AS75" s="236"/>
      <c r="AT75" s="236"/>
      <c r="AU75" s="236"/>
      <c r="AV75" s="236"/>
      <c r="AW75" s="236"/>
      <c r="AX75" s="236"/>
      <c r="AY75" s="236"/>
      <c r="AZ75" s="236"/>
      <c r="BA75" s="236"/>
      <c r="BB75" s="236"/>
      <c r="BC75" s="236"/>
      <c r="BD75" s="236"/>
      <c r="BE75" s="236"/>
      <c r="BF75" s="236"/>
      <c r="BG75" s="236"/>
      <c r="BH75" s="236"/>
      <c r="BI75" s="236"/>
      <c r="BJ75" s="236"/>
      <c r="BK75" s="236"/>
      <c r="BL75" s="236"/>
      <c r="BM75" s="236"/>
      <c r="BN75" s="236"/>
      <c r="BO75" s="236"/>
      <c r="BP75" s="236"/>
      <c r="BQ75" s="236"/>
      <c r="BR75" s="236"/>
      <c r="BS75" s="236"/>
      <c r="BT75" s="236"/>
      <c r="BU75" s="236"/>
      <c r="BV75" s="236"/>
      <c r="BW75" s="236"/>
      <c r="BX75" s="236"/>
      <c r="BY75" s="236"/>
      <c r="BZ75" s="236"/>
      <c r="CA75" s="236"/>
      <c r="CB75" s="236"/>
      <c r="CC75" s="236"/>
      <c r="CD75" s="236"/>
      <c r="CE75" s="236"/>
      <c r="CF75" s="236"/>
      <c r="CG75" s="236"/>
      <c r="CH75" s="236"/>
      <c r="CI75" s="236"/>
      <c r="CJ75" s="236"/>
      <c r="CK75" s="236"/>
      <c r="CL75" s="236"/>
      <c r="CM75" s="236"/>
      <c r="CN75" s="236"/>
      <c r="CO75" s="236"/>
      <c r="CP75" s="236"/>
      <c r="CQ75" s="236"/>
      <c r="CR75" s="236"/>
      <c r="CS75" s="236"/>
      <c r="CT75" s="236"/>
      <c r="CU75" s="236"/>
      <c r="CV75" s="236"/>
      <c r="CW75" s="236"/>
      <c r="CX75" s="236"/>
      <c r="CY75" s="236"/>
      <c r="CZ75" s="236"/>
      <c r="DA75" s="236"/>
      <c r="DB75" s="236"/>
      <c r="DC75" s="236"/>
      <c r="DD75" s="236"/>
      <c r="DE75" s="236"/>
      <c r="DF75" s="236"/>
      <c r="DG75" s="236"/>
      <c r="DH75" s="236"/>
      <c r="DI75" s="236"/>
      <c r="DJ75" s="236"/>
      <c r="DK75" s="236"/>
      <c r="DL75" s="236"/>
      <c r="DM75" s="236"/>
      <c r="DN75" s="236"/>
      <c r="DO75" s="236"/>
      <c r="DP75" s="236"/>
      <c r="DQ75" s="236"/>
      <c r="DR75" s="236"/>
      <c r="DS75" s="236"/>
      <c r="DT75" s="236"/>
      <c r="DU75" s="236"/>
      <c r="DV75" s="236"/>
      <c r="DW75" s="236"/>
      <c r="DX75" s="236"/>
      <c r="DY75" s="236"/>
      <c r="DZ75" s="236"/>
      <c r="EA75" s="236"/>
      <c r="EB75" s="236"/>
      <c r="EC75" s="236"/>
      <c r="ED75" s="236"/>
      <c r="EE75" s="236"/>
      <c r="EF75" s="236"/>
      <c r="EG75" s="236"/>
      <c r="EH75" s="236"/>
      <c r="EI75" s="236"/>
      <c r="EJ75" s="236"/>
      <c r="EK75" s="236"/>
      <c r="EL75" s="236"/>
      <c r="EM75" s="236"/>
      <c r="EN75" s="236"/>
      <c r="EO75" s="236"/>
      <c r="EP75" s="236"/>
      <c r="EQ75" s="236"/>
      <c r="ER75" s="236"/>
      <c r="ES75" s="236"/>
      <c r="ET75" s="236"/>
      <c r="EU75" s="236"/>
      <c r="EV75" s="236"/>
      <c r="EW75" s="236"/>
      <c r="EX75" s="236"/>
      <c r="EY75" s="236"/>
      <c r="EZ75" s="236"/>
      <c r="FA75" s="236"/>
      <c r="FB75" s="236"/>
      <c r="FC75" s="236"/>
      <c r="FD75" s="236"/>
      <c r="FE75" s="236"/>
      <c r="FF75" s="236"/>
      <c r="FG75" s="236"/>
      <c r="FH75" s="236"/>
      <c r="FI75" s="236"/>
      <c r="FJ75" s="236"/>
      <c r="FK75" s="236"/>
      <c r="FL75" s="236"/>
      <c r="FM75" s="236"/>
      <c r="FN75" s="236"/>
      <c r="FO75" s="236"/>
      <c r="FP75" s="236"/>
      <c r="FQ75" s="236"/>
      <c r="FR75" s="236"/>
      <c r="FS75" s="236"/>
      <c r="FT75" s="236"/>
      <c r="FU75" s="236"/>
      <c r="FV75" s="236"/>
      <c r="FW75" s="236"/>
      <c r="FX75" s="236"/>
      <c r="FY75" s="236"/>
      <c r="FZ75" s="236"/>
      <c r="GA75" s="236"/>
      <c r="GB75" s="236"/>
      <c r="GC75" s="236"/>
      <c r="GD75" s="236"/>
      <c r="GE75" s="236"/>
      <c r="GF75" s="236"/>
      <c r="GG75" s="236"/>
      <c r="GH75" s="236"/>
      <c r="GI75" s="236"/>
      <c r="GJ75" s="236"/>
      <c r="GK75" s="236"/>
      <c r="GL75" s="236"/>
      <c r="GM75" s="236"/>
      <c r="GN75" s="236"/>
      <c r="GO75" s="236"/>
      <c r="GP75" s="236"/>
      <c r="GQ75" s="236"/>
      <c r="GR75" s="236"/>
      <c r="GS75" s="236"/>
      <c r="GT75" s="236"/>
      <c r="GU75" s="236"/>
      <c r="GV75" s="236"/>
      <c r="GW75" s="236"/>
      <c r="GX75" s="236"/>
      <c r="GY75" s="236"/>
      <c r="GZ75" s="236"/>
      <c r="HA75" s="236"/>
      <c r="HB75" s="236"/>
      <c r="HC75" s="236"/>
      <c r="HD75" s="236"/>
      <c r="HE75" s="236"/>
      <c r="HF75" s="236"/>
      <c r="HG75" s="236"/>
      <c r="HH75" s="236"/>
      <c r="HI75" s="236"/>
      <c r="HJ75" s="236"/>
      <c r="HK75" s="236"/>
      <c r="HL75" s="236"/>
      <c r="HM75" s="236"/>
      <c r="HN75" s="236"/>
      <c r="HO75" s="236"/>
      <c r="HP75" s="236"/>
      <c r="HQ75" s="236"/>
      <c r="HR75" s="236"/>
      <c r="HS75" s="236"/>
      <c r="HT75" s="236"/>
      <c r="HU75" s="236"/>
      <c r="HV75" s="236"/>
      <c r="HW75" s="236"/>
      <c r="HX75" s="236"/>
      <c r="HY75" s="236"/>
      <c r="HZ75" s="236"/>
      <c r="IA75" s="236"/>
      <c r="IB75" s="236"/>
      <c r="IC75" s="236"/>
      <c r="ID75" s="236"/>
      <c r="IE75" s="236"/>
      <c r="IF75" s="236"/>
      <c r="IG75" s="236"/>
      <c r="IH75" s="236"/>
      <c r="II75" s="236"/>
      <c r="IJ75" s="236"/>
      <c r="IK75" s="236"/>
      <c r="IL75" s="236"/>
      <c r="IM75" s="236"/>
      <c r="IN75" s="236"/>
      <c r="IO75" s="236"/>
      <c r="IP75" s="236"/>
      <c r="IQ75" s="236"/>
      <c r="IR75" s="236"/>
      <c r="IS75" s="236"/>
      <c r="IT75" s="236"/>
      <c r="IU75" s="236"/>
      <c r="IV75" s="236"/>
      <c r="IW75" s="236"/>
      <c r="IX75" s="236"/>
      <c r="IY75" s="236"/>
      <c r="IZ75" s="236"/>
      <c r="JA75" s="236"/>
      <c r="JB75" s="236"/>
      <c r="JC75" s="236"/>
      <c r="JD75" s="236"/>
      <c r="JE75" s="236"/>
      <c r="JF75" s="236"/>
      <c r="JG75" s="236"/>
      <c r="JH75" s="236"/>
      <c r="JI75" s="236"/>
      <c r="JJ75" s="236"/>
      <c r="JK75" s="236"/>
      <c r="JL75" s="236"/>
      <c r="JM75" s="236"/>
      <c r="JN75" s="236"/>
      <c r="JO75" s="236"/>
      <c r="JP75" s="236"/>
      <c r="JQ75" s="236"/>
      <c r="JR75" s="236"/>
      <c r="JS75" s="236"/>
      <c r="JT75" s="236"/>
      <c r="JU75" s="236"/>
      <c r="JV75" s="236"/>
      <c r="JW75" s="236"/>
      <c r="JX75" s="409"/>
      <c r="JY75" s="409"/>
      <c r="JZ75" s="409"/>
      <c r="KA75" s="409"/>
      <c r="KB75" s="409"/>
      <c r="KC75" s="409"/>
      <c r="KD75" s="409"/>
      <c r="KE75" s="409"/>
      <c r="KF75" s="409"/>
      <c r="KG75" s="410"/>
      <c r="KH75" s="412">
        <f t="shared" si="17"/>
        <v>72</v>
      </c>
      <c r="KI75" s="413" t="str">
        <f t="shared" ca="1" si="27"/>
        <v/>
      </c>
      <c r="KJ75" s="413" t="str">
        <f t="shared" ca="1" si="20"/>
        <v/>
      </c>
      <c r="KK75" s="414" t="str">
        <f t="shared" ca="1" si="28"/>
        <v/>
      </c>
    </row>
    <row r="76" spans="3:297" ht="24" customHeight="1">
      <c r="C76"/>
      <c r="D76" s="57" t="str">
        <f ca="1">INDIRECT(ADDRESS(ROWS($D$3:D75)+6,D$3,1,1,"3_TIME SUM"))</f>
        <v>Squeeze Unplanned (NPT)</v>
      </c>
      <c r="E76" s="81" t="str">
        <f ca="1">IF(INDIRECT(ADDRESS(ROWS($E$3:E75)+6,E$3,1,1,"3_TIME SUM"))=0,E75,INDIRECT(ADDRESS(ROWS($E$3:E75)+6,E$3,1,1,"3_TIME SUM")))</f>
        <v>Squeeze Cement</v>
      </c>
      <c r="F76" s="57" t="str">
        <f t="shared" ca="1" si="24"/>
        <v>Squeeze Cement : Squeeze Unplanned (NPT)</v>
      </c>
      <c r="G76" s="58" t="str">
        <f ca="1">VLOOKUP($D76,INDIRECT(ADDRESS(7,5,1,1,"3_TIME SUM")):INDIRECT(ADDRESS(200,7,1,1,"3_TIME SUM")),2,FALSE)</f>
        <v>18b</v>
      </c>
      <c r="H76" s="58" t="str">
        <f ca="1">IF(VLOOKUP($D76,INDIRECT(ADDRESS(7,5,1,1,"3_TIME SUM")):INDIRECT(ADDRESS(200,7,1,1,"3_TIME SUM")),3,FALSE)="","PT",VLOOKUP($D76,INDIRECT(ADDRESS(7,5,1,1,"3_TIME SUM")):INDIRECT(ADDRESS(200,7,1,1,"3_TIME SUM")),3,FALSE))</f>
        <v>PT</v>
      </c>
      <c r="I76" s="59">
        <f ca="1">IFERROR(IF(AND($D$2="NON PRODUCTIVE TIME",$H76="NPT"),SUMIF(INDIRECT(ADDRESS(8,COLUMN('2_DATA'!$M$9),1,1,"2_DATA")):INDIRECT(ADDRESS(3000,COLUMN('2_DATA'!$M$9),1,1,"2_DATA")),$G76,INDIRECT(ADDRESS(8,COLUMN('2_DATA'!$N$9),1,1,"2_DATA")):INDIRECT(ADDRESS(3000,COLUMN('2_DATA'!$N$9),1,1,"2_DATA"))),IF($D$2="ALL ACTIVITY",SUMIF(INDIRECT(ADDRESS(9,COLUMN('2_DATA'!$M$9),1,1,"2_DATA")):INDIRECT(ADDRESS(3000,COLUMN('2_DATA'!$M$9),1,1,"2_DATA")),$G76,INDIRECT(ADDRESS(9,COLUMN('2_DATA'!$N$9),1,1,"2_DATA")):INDIRECT(ADDRESS(3000,COLUMN('2_DATA'!$N$9),1,1,"2_DATA"))),SUMIF(INDIRECT(ADDRESS(OFFSET($A$3,MATCH($D$2,$A$4:$A$16,0)-1,1,,)+1,COLUMN('2_DATA'!$M$9),1,1,"2_DATA")):INDIRECT(ADDRESS(VLOOKUP($D$2,$A$4:$B$16,2,FALSE)-1,COLUMN('2_DATA'!$M$9),1,1,"2_DATA")),$G76,INDIRECT(ADDRESS(OFFSET($A$3,MATCH($D$2,$A$4:$A$16,0)-1,1,,)+1,COLUMN('2_DATA'!$N$9),1,1,"2_DATA")):INDIRECT(ADDRESS(VLOOKUP($D$2,$A$4:$B$16,2,FALSE)-1,COLUMN('2_DATA'!$N$9),1,1,"2_DATA"))))),0)</f>
        <v>0</v>
      </c>
      <c r="J76" s="58" t="str">
        <f ca="1">IF(I76=0,"",MAX($J$3:J75)+1)</f>
        <v/>
      </c>
      <c r="L76" s="55">
        <f t="shared" ca="1" si="21"/>
        <v>1000</v>
      </c>
      <c r="M76" s="55" t="str">
        <f t="shared" ca="1" si="25"/>
        <v/>
      </c>
      <c r="N76" s="55"/>
      <c r="O76" s="55" t="str">
        <f t="shared" ca="1" si="29"/>
        <v/>
      </c>
      <c r="P76" s="55">
        <f t="shared" ca="1" si="22"/>
        <v>0</v>
      </c>
      <c r="Q76" s="55" t="str">
        <f ca="1">IFERROR(INDEX($O$4:$P$226,MATCH(ROWS($Q$3:Q75),$P$4:$P$226,0),1),"-")</f>
        <v>-</v>
      </c>
      <c r="R76" s="62" t="str">
        <f t="shared" ca="1" si="23"/>
        <v/>
      </c>
      <c r="S76" s="55" t="str">
        <f t="shared" ca="1" si="26"/>
        <v/>
      </c>
      <c r="T76" s="67" t="str">
        <f t="shared" ca="1" si="19"/>
        <v>-</v>
      </c>
      <c r="V76" s="68" t="str">
        <f t="shared" ca="1" si="11"/>
        <v/>
      </c>
      <c r="W76" s="69" t="str">
        <f t="shared" ca="1" si="12"/>
        <v/>
      </c>
      <c r="X76" s="70" t="s">
        <v>84</v>
      </c>
      <c r="Y76" s="68" t="str">
        <f t="shared" ca="1" si="16"/>
        <v/>
      </c>
      <c r="Z76" s="71" t="str">
        <f t="shared" ca="1" si="13"/>
        <v/>
      </c>
      <c r="AA76" s="72" t="str">
        <f t="shared" ca="1" si="14"/>
        <v/>
      </c>
      <c r="AB76" s="305" t="str">
        <f t="shared" ca="1" si="15"/>
        <v/>
      </c>
      <c r="AC76" s="236"/>
      <c r="AD76" s="236"/>
      <c r="AE76" s="236"/>
      <c r="AF76" s="236"/>
      <c r="AG76" s="236"/>
      <c r="AH76" s="236"/>
      <c r="AI76" s="236"/>
      <c r="AJ76" s="236"/>
      <c r="AK76" s="236"/>
      <c r="AL76" s="236"/>
      <c r="AM76" s="236"/>
      <c r="AN76" s="236"/>
      <c r="AO76" s="236"/>
      <c r="AP76" s="236"/>
      <c r="AQ76" s="236"/>
      <c r="AR76" s="236"/>
      <c r="AS76" s="236"/>
      <c r="AT76" s="236"/>
      <c r="AU76" s="236"/>
      <c r="AV76" s="236"/>
      <c r="AW76" s="236"/>
      <c r="AX76" s="236"/>
      <c r="AY76" s="236"/>
      <c r="AZ76" s="236"/>
      <c r="BA76" s="236"/>
      <c r="BB76" s="236"/>
      <c r="BC76" s="236"/>
      <c r="BD76" s="236"/>
      <c r="BE76" s="236"/>
      <c r="BF76" s="236"/>
      <c r="BG76" s="236"/>
      <c r="BH76" s="236"/>
      <c r="BI76" s="236"/>
      <c r="BJ76" s="236"/>
      <c r="BK76" s="236"/>
      <c r="BL76" s="236"/>
      <c r="BM76" s="236"/>
      <c r="BN76" s="236"/>
      <c r="BO76" s="236"/>
      <c r="BP76" s="236"/>
      <c r="BQ76" s="236"/>
      <c r="BR76" s="236"/>
      <c r="BS76" s="236"/>
      <c r="BT76" s="236"/>
      <c r="BU76" s="236"/>
      <c r="BV76" s="236"/>
      <c r="BW76" s="236"/>
      <c r="BX76" s="236"/>
      <c r="BY76" s="236"/>
      <c r="BZ76" s="236"/>
      <c r="CA76" s="236"/>
      <c r="CB76" s="236"/>
      <c r="CC76" s="236"/>
      <c r="CD76" s="236"/>
      <c r="CE76" s="236"/>
      <c r="CF76" s="236"/>
      <c r="CG76" s="236"/>
      <c r="CH76" s="236"/>
      <c r="CI76" s="236"/>
      <c r="CJ76" s="236"/>
      <c r="CK76" s="236"/>
      <c r="CL76" s="236"/>
      <c r="CM76" s="236"/>
      <c r="CN76" s="236"/>
      <c r="CO76" s="236"/>
      <c r="CP76" s="236"/>
      <c r="CQ76" s="236"/>
      <c r="CR76" s="236"/>
      <c r="CS76" s="236"/>
      <c r="CT76" s="236"/>
      <c r="CU76" s="236"/>
      <c r="CV76" s="236"/>
      <c r="CW76" s="236"/>
      <c r="CX76" s="236"/>
      <c r="CY76" s="236"/>
      <c r="CZ76" s="236"/>
      <c r="DA76" s="236"/>
      <c r="DB76" s="236"/>
      <c r="DC76" s="236"/>
      <c r="DD76" s="236"/>
      <c r="DE76" s="236"/>
      <c r="DF76" s="236"/>
      <c r="DG76" s="236"/>
      <c r="DH76" s="236"/>
      <c r="DI76" s="236"/>
      <c r="DJ76" s="236"/>
      <c r="DK76" s="236"/>
      <c r="DL76" s="236"/>
      <c r="DM76" s="236"/>
      <c r="DN76" s="236"/>
      <c r="DO76" s="236"/>
      <c r="DP76" s="236"/>
      <c r="DQ76" s="236"/>
      <c r="DR76" s="236"/>
      <c r="DS76" s="236"/>
      <c r="DT76" s="236"/>
      <c r="DU76" s="236"/>
      <c r="DV76" s="236"/>
      <c r="DW76" s="236"/>
      <c r="DX76" s="236"/>
      <c r="DY76" s="236"/>
      <c r="DZ76" s="236"/>
      <c r="EA76" s="236"/>
      <c r="EB76" s="236"/>
      <c r="EC76" s="236"/>
      <c r="ED76" s="236"/>
      <c r="EE76" s="236"/>
      <c r="EF76" s="236"/>
      <c r="EG76" s="236"/>
      <c r="EH76" s="236"/>
      <c r="EI76" s="236"/>
      <c r="EJ76" s="236"/>
      <c r="EK76" s="236"/>
      <c r="EL76" s="236"/>
      <c r="EM76" s="236"/>
      <c r="EN76" s="236"/>
      <c r="EO76" s="236"/>
      <c r="EP76" s="236"/>
      <c r="EQ76" s="236"/>
      <c r="ER76" s="236"/>
      <c r="ES76" s="236"/>
      <c r="ET76" s="236"/>
      <c r="EU76" s="236"/>
      <c r="EV76" s="236"/>
      <c r="EW76" s="236"/>
      <c r="EX76" s="236"/>
      <c r="EY76" s="236"/>
      <c r="EZ76" s="236"/>
      <c r="FA76" s="236"/>
      <c r="FB76" s="236"/>
      <c r="FC76" s="236"/>
      <c r="FD76" s="236"/>
      <c r="FE76" s="236"/>
      <c r="FF76" s="236"/>
      <c r="FG76" s="236"/>
      <c r="FH76" s="236"/>
      <c r="FI76" s="236"/>
      <c r="FJ76" s="236"/>
      <c r="FK76" s="236"/>
      <c r="FL76" s="236"/>
      <c r="FM76" s="236"/>
      <c r="FN76" s="236"/>
      <c r="FO76" s="236"/>
      <c r="FP76" s="236"/>
      <c r="FQ76" s="236"/>
      <c r="FR76" s="236"/>
      <c r="FS76" s="236"/>
      <c r="FT76" s="236"/>
      <c r="FU76" s="236"/>
      <c r="FV76" s="236"/>
      <c r="FW76" s="236"/>
      <c r="FX76" s="236"/>
      <c r="FY76" s="236"/>
      <c r="FZ76" s="236"/>
      <c r="GA76" s="236"/>
      <c r="GB76" s="236"/>
      <c r="GC76" s="236"/>
      <c r="GD76" s="236"/>
      <c r="GE76" s="236"/>
      <c r="GF76" s="236"/>
      <c r="GG76" s="236"/>
      <c r="GH76" s="236"/>
      <c r="GI76" s="236"/>
      <c r="GJ76" s="236"/>
      <c r="GK76" s="236"/>
      <c r="GL76" s="236"/>
      <c r="GM76" s="236"/>
      <c r="GN76" s="236"/>
      <c r="GO76" s="236"/>
      <c r="GP76" s="236"/>
      <c r="GQ76" s="236"/>
      <c r="GR76" s="236"/>
      <c r="GS76" s="236"/>
      <c r="GT76" s="236"/>
      <c r="GU76" s="236"/>
      <c r="GV76" s="236"/>
      <c r="GW76" s="236"/>
      <c r="GX76" s="236"/>
      <c r="GY76" s="236"/>
      <c r="GZ76" s="236"/>
      <c r="HA76" s="236"/>
      <c r="HB76" s="236"/>
      <c r="HC76" s="236"/>
      <c r="HD76" s="236"/>
      <c r="HE76" s="236"/>
      <c r="HF76" s="236"/>
      <c r="HG76" s="236"/>
      <c r="HH76" s="236"/>
      <c r="HI76" s="236"/>
      <c r="HJ76" s="236"/>
      <c r="HK76" s="236"/>
      <c r="HL76" s="236"/>
      <c r="HM76" s="236"/>
      <c r="HN76" s="236"/>
      <c r="HO76" s="236"/>
      <c r="HP76" s="236"/>
      <c r="HQ76" s="236"/>
      <c r="HR76" s="236"/>
      <c r="HS76" s="236"/>
      <c r="HT76" s="236"/>
      <c r="HU76" s="236"/>
      <c r="HV76" s="236"/>
      <c r="HW76" s="236"/>
      <c r="HX76" s="236"/>
      <c r="HY76" s="236"/>
      <c r="HZ76" s="236"/>
      <c r="IA76" s="236"/>
      <c r="IB76" s="236"/>
      <c r="IC76" s="236"/>
      <c r="ID76" s="236"/>
      <c r="IE76" s="236"/>
      <c r="IF76" s="236"/>
      <c r="IG76" s="236"/>
      <c r="IH76" s="236"/>
      <c r="II76" s="236"/>
      <c r="IJ76" s="236"/>
      <c r="IK76" s="236"/>
      <c r="IL76" s="236"/>
      <c r="IM76" s="236"/>
      <c r="IN76" s="236"/>
      <c r="IO76" s="236"/>
      <c r="IP76" s="236"/>
      <c r="IQ76" s="236"/>
      <c r="IR76" s="236"/>
      <c r="IS76" s="236"/>
      <c r="IT76" s="236"/>
      <c r="IU76" s="236"/>
      <c r="IV76" s="236"/>
      <c r="IW76" s="236"/>
      <c r="IX76" s="236"/>
      <c r="IY76" s="236"/>
      <c r="IZ76" s="236"/>
      <c r="JA76" s="236"/>
      <c r="JB76" s="236"/>
      <c r="JC76" s="236"/>
      <c r="JD76" s="236"/>
      <c r="JE76" s="236"/>
      <c r="JF76" s="236"/>
      <c r="JG76" s="236"/>
      <c r="JH76" s="236"/>
      <c r="JI76" s="236"/>
      <c r="JJ76" s="236"/>
      <c r="JK76" s="236"/>
      <c r="JL76" s="236"/>
      <c r="JM76" s="236"/>
      <c r="JN76" s="236"/>
      <c r="JO76" s="236"/>
      <c r="JP76" s="236"/>
      <c r="JQ76" s="236"/>
      <c r="JR76" s="236"/>
      <c r="JS76" s="236"/>
      <c r="JT76" s="236"/>
      <c r="JU76" s="236"/>
      <c r="JV76" s="236"/>
      <c r="JW76" s="236"/>
      <c r="JX76" s="409"/>
      <c r="JY76" s="409"/>
      <c r="JZ76" s="409"/>
      <c r="KA76" s="409"/>
      <c r="KB76" s="409"/>
      <c r="KC76" s="409"/>
      <c r="KD76" s="409"/>
      <c r="KE76" s="409"/>
      <c r="KF76" s="409"/>
      <c r="KG76" s="410"/>
      <c r="KH76" s="412">
        <f t="shared" si="17"/>
        <v>73</v>
      </c>
      <c r="KI76" s="413" t="str">
        <f t="shared" ca="1" si="27"/>
        <v/>
      </c>
      <c r="KJ76" s="413" t="str">
        <f t="shared" ca="1" si="20"/>
        <v/>
      </c>
      <c r="KK76" s="414" t="str">
        <f t="shared" ca="1" si="28"/>
        <v/>
      </c>
    </row>
    <row r="77" spans="3:297" ht="24" customHeight="1">
      <c r="C77"/>
      <c r="D77" s="57" t="str">
        <f ca="1">INDIRECT(ADDRESS(ROWS($D$3:D76)+6,D$3,1,1,"3_TIME SUM"))</f>
        <v>Fishing Operations (NPT)</v>
      </c>
      <c r="E77" s="81" t="str">
        <f ca="1">IF(INDIRECT(ADDRESS(ROWS($E$3:E76)+6,E$3,1,1,"3_TIME SUM"))=0,E76,INDIRECT(ADDRESS(ROWS($E$3:E76)+6,E$3,1,1,"3_TIME SUM")))</f>
        <v>Fishing</v>
      </c>
      <c r="F77" s="57" t="str">
        <f t="shared" ca="1" si="24"/>
        <v>Fishing : Fishing Operations (NPT)</v>
      </c>
      <c r="G77" s="58" t="str">
        <f ca="1">VLOOKUP($D77,INDIRECT(ADDRESS(7,5,1,1,"3_TIME SUM")):INDIRECT(ADDRESS(200,7,1,1,"3_TIME SUM")),2,FALSE)</f>
        <v>19a</v>
      </c>
      <c r="H77" s="58" t="str">
        <f ca="1">IF(VLOOKUP($D77,INDIRECT(ADDRESS(7,5,1,1,"3_TIME SUM")):INDIRECT(ADDRESS(200,7,1,1,"3_TIME SUM")),3,FALSE)="","PT",VLOOKUP($D77,INDIRECT(ADDRESS(7,5,1,1,"3_TIME SUM")):INDIRECT(ADDRESS(200,7,1,1,"3_TIME SUM")),3,FALSE))</f>
        <v>NPT</v>
      </c>
      <c r="I77" s="59">
        <f ca="1">IFERROR(IF(AND($D$2="NON PRODUCTIVE TIME",$H77="NPT"),SUMIF(INDIRECT(ADDRESS(8,COLUMN('2_DATA'!$M$9),1,1,"2_DATA")):INDIRECT(ADDRESS(3000,COLUMN('2_DATA'!$M$9),1,1,"2_DATA")),$G77,INDIRECT(ADDRESS(8,COLUMN('2_DATA'!$N$9),1,1,"2_DATA")):INDIRECT(ADDRESS(3000,COLUMN('2_DATA'!$N$9),1,1,"2_DATA"))),IF($D$2="ALL ACTIVITY",SUMIF(INDIRECT(ADDRESS(9,COLUMN('2_DATA'!$M$9),1,1,"2_DATA")):INDIRECT(ADDRESS(3000,COLUMN('2_DATA'!$M$9),1,1,"2_DATA")),$G77,INDIRECT(ADDRESS(9,COLUMN('2_DATA'!$N$9),1,1,"2_DATA")):INDIRECT(ADDRESS(3000,COLUMN('2_DATA'!$N$9),1,1,"2_DATA"))),SUMIF(INDIRECT(ADDRESS(OFFSET($A$3,MATCH($D$2,$A$4:$A$16,0)-1,1,,)+1,COLUMN('2_DATA'!$M$9),1,1,"2_DATA")):INDIRECT(ADDRESS(VLOOKUP($D$2,$A$4:$B$16,2,FALSE)-1,COLUMN('2_DATA'!$M$9),1,1,"2_DATA")),$G77,INDIRECT(ADDRESS(OFFSET($A$3,MATCH($D$2,$A$4:$A$16,0)-1,1,,)+1,COLUMN('2_DATA'!$N$9),1,1,"2_DATA")):INDIRECT(ADDRESS(VLOOKUP($D$2,$A$4:$B$16,2,FALSE)-1,COLUMN('2_DATA'!$N$9),1,1,"2_DATA"))))),0)</f>
        <v>0</v>
      </c>
      <c r="J77" s="58" t="str">
        <f ca="1">IF(I77=0,"",MAX($J$3:J76)+1)</f>
        <v/>
      </c>
      <c r="L77" s="55">
        <f t="shared" ca="1" si="21"/>
        <v>1000</v>
      </c>
      <c r="M77" s="55" t="str">
        <f t="shared" ca="1" si="25"/>
        <v/>
      </c>
      <c r="N77" s="55"/>
      <c r="O77" s="55" t="str">
        <f t="shared" ca="1" si="29"/>
        <v/>
      </c>
      <c r="P77" s="55">
        <f t="shared" ca="1" si="22"/>
        <v>0</v>
      </c>
      <c r="Q77" s="55" t="str">
        <f ca="1">IFERROR(INDEX($O$4:$P$226,MATCH(ROWS($Q$3:Q76),$P$4:$P$226,0),1),"-")</f>
        <v>-</v>
      </c>
      <c r="R77" s="62" t="str">
        <f t="shared" ca="1" si="23"/>
        <v/>
      </c>
      <c r="S77" s="55" t="str">
        <f t="shared" ca="1" si="26"/>
        <v/>
      </c>
      <c r="T77" s="67" t="str">
        <f t="shared" ca="1" si="19"/>
        <v>-</v>
      </c>
      <c r="V77" s="68" t="str">
        <f t="shared" ref="V77:V140" ca="1" si="30">IFERROR(IF($S68=0,"",$S68),"")</f>
        <v/>
      </c>
      <c r="W77" s="69" t="str">
        <f t="shared" ref="W77:W140" ca="1" si="31">IFERROR(IF($S68=0,$R68,$R68),"")</f>
        <v/>
      </c>
      <c r="X77" s="70" t="s">
        <v>84</v>
      </c>
      <c r="Y77" s="68" t="str">
        <f t="shared" ca="1" si="16"/>
        <v/>
      </c>
      <c r="Z77" s="71" t="str">
        <f t="shared" ca="1" si="13"/>
        <v/>
      </c>
      <c r="AA77" s="72" t="str">
        <f t="shared" ca="1" si="14"/>
        <v/>
      </c>
      <c r="AB77" s="305" t="str">
        <f t="shared" ca="1" si="15"/>
        <v/>
      </c>
      <c r="AC77" s="236"/>
      <c r="AD77" s="236"/>
      <c r="AE77" s="236"/>
      <c r="AF77" s="236"/>
      <c r="AG77" s="236"/>
      <c r="AH77" s="236"/>
      <c r="AI77" s="236"/>
      <c r="AJ77" s="236"/>
      <c r="AK77" s="236"/>
      <c r="AL77" s="236"/>
      <c r="AM77" s="236"/>
      <c r="AN77" s="236"/>
      <c r="AO77" s="236"/>
      <c r="AP77" s="236"/>
      <c r="AQ77" s="236"/>
      <c r="AR77" s="236"/>
      <c r="AS77" s="236"/>
      <c r="AT77" s="236"/>
      <c r="AU77" s="236"/>
      <c r="AV77" s="236"/>
      <c r="AW77" s="236"/>
      <c r="AX77" s="236"/>
      <c r="AY77" s="236"/>
      <c r="AZ77" s="236"/>
      <c r="BA77" s="236"/>
      <c r="BB77" s="236"/>
      <c r="BC77" s="236"/>
      <c r="BD77" s="236"/>
      <c r="BE77" s="236"/>
      <c r="BF77" s="236"/>
      <c r="BG77" s="236"/>
      <c r="BH77" s="236"/>
      <c r="BI77" s="236"/>
      <c r="BJ77" s="236"/>
      <c r="BK77" s="236"/>
      <c r="BL77" s="236"/>
      <c r="BM77" s="236"/>
      <c r="BN77" s="236"/>
      <c r="BO77" s="236"/>
      <c r="BP77" s="236"/>
      <c r="BQ77" s="236"/>
      <c r="BR77" s="236"/>
      <c r="BS77" s="236"/>
      <c r="BT77" s="236"/>
      <c r="BU77" s="236"/>
      <c r="BV77" s="236"/>
      <c r="BW77" s="236"/>
      <c r="BX77" s="236"/>
      <c r="BY77" s="236"/>
      <c r="BZ77" s="236"/>
      <c r="CA77" s="236"/>
      <c r="CB77" s="236"/>
      <c r="CC77" s="236"/>
      <c r="CD77" s="236"/>
      <c r="CE77" s="236"/>
      <c r="CF77" s="236"/>
      <c r="CG77" s="236"/>
      <c r="CH77" s="236"/>
      <c r="CI77" s="236"/>
      <c r="CJ77" s="236"/>
      <c r="CK77" s="236"/>
      <c r="CL77" s="236"/>
      <c r="CM77" s="236"/>
      <c r="CN77" s="236"/>
      <c r="CO77" s="236"/>
      <c r="CP77" s="236"/>
      <c r="CQ77" s="236"/>
      <c r="CR77" s="236"/>
      <c r="CS77" s="236"/>
      <c r="CT77" s="236"/>
      <c r="CU77" s="236"/>
      <c r="CV77" s="236"/>
      <c r="CW77" s="236"/>
      <c r="CX77" s="236"/>
      <c r="CY77" s="236"/>
      <c r="CZ77" s="236"/>
      <c r="DA77" s="236"/>
      <c r="DB77" s="236"/>
      <c r="DC77" s="236"/>
      <c r="DD77" s="236"/>
      <c r="DE77" s="236"/>
      <c r="DF77" s="236"/>
      <c r="DG77" s="236"/>
      <c r="DH77" s="236"/>
      <c r="DI77" s="236"/>
      <c r="DJ77" s="236"/>
      <c r="DK77" s="236"/>
      <c r="DL77" s="236"/>
      <c r="DM77" s="236"/>
      <c r="DN77" s="236"/>
      <c r="DO77" s="236"/>
      <c r="DP77" s="236"/>
      <c r="DQ77" s="236"/>
      <c r="DR77" s="236"/>
      <c r="DS77" s="236"/>
      <c r="DT77" s="236"/>
      <c r="DU77" s="236"/>
      <c r="DV77" s="236"/>
      <c r="DW77" s="236"/>
      <c r="DX77" s="236"/>
      <c r="DY77" s="236"/>
      <c r="DZ77" s="236"/>
      <c r="EA77" s="236"/>
      <c r="EB77" s="236"/>
      <c r="EC77" s="236"/>
      <c r="ED77" s="236"/>
      <c r="EE77" s="236"/>
      <c r="EF77" s="236"/>
      <c r="EG77" s="236"/>
      <c r="EH77" s="236"/>
      <c r="EI77" s="236"/>
      <c r="EJ77" s="236"/>
      <c r="EK77" s="236"/>
      <c r="EL77" s="236"/>
      <c r="EM77" s="236"/>
      <c r="EN77" s="236"/>
      <c r="EO77" s="236"/>
      <c r="EP77" s="236"/>
      <c r="EQ77" s="236"/>
      <c r="ER77" s="236"/>
      <c r="ES77" s="236"/>
      <c r="ET77" s="236"/>
      <c r="EU77" s="236"/>
      <c r="EV77" s="236"/>
      <c r="EW77" s="236"/>
      <c r="EX77" s="236"/>
      <c r="EY77" s="236"/>
      <c r="EZ77" s="236"/>
      <c r="FA77" s="236"/>
      <c r="FB77" s="236"/>
      <c r="FC77" s="236"/>
      <c r="FD77" s="236"/>
      <c r="FE77" s="236"/>
      <c r="FF77" s="236"/>
      <c r="FG77" s="236"/>
      <c r="FH77" s="236"/>
      <c r="FI77" s="236"/>
      <c r="FJ77" s="236"/>
      <c r="FK77" s="236"/>
      <c r="FL77" s="236"/>
      <c r="FM77" s="236"/>
      <c r="FN77" s="236"/>
      <c r="FO77" s="236"/>
      <c r="FP77" s="236"/>
      <c r="FQ77" s="236"/>
      <c r="FR77" s="236"/>
      <c r="FS77" s="236"/>
      <c r="FT77" s="236"/>
      <c r="FU77" s="236"/>
      <c r="FV77" s="236"/>
      <c r="FW77" s="236"/>
      <c r="FX77" s="236"/>
      <c r="FY77" s="236"/>
      <c r="FZ77" s="236"/>
      <c r="GA77" s="236"/>
      <c r="GB77" s="236"/>
      <c r="GC77" s="236"/>
      <c r="GD77" s="236"/>
      <c r="GE77" s="236"/>
      <c r="GF77" s="236"/>
      <c r="GG77" s="236"/>
      <c r="GH77" s="236"/>
      <c r="GI77" s="236"/>
      <c r="GJ77" s="236"/>
      <c r="GK77" s="236"/>
      <c r="GL77" s="236"/>
      <c r="GM77" s="236"/>
      <c r="GN77" s="236"/>
      <c r="GO77" s="236"/>
      <c r="GP77" s="236"/>
      <c r="GQ77" s="236"/>
      <c r="GR77" s="236"/>
      <c r="GS77" s="236"/>
      <c r="GT77" s="236"/>
      <c r="GU77" s="236"/>
      <c r="GV77" s="236"/>
      <c r="GW77" s="236"/>
      <c r="GX77" s="236"/>
      <c r="GY77" s="236"/>
      <c r="GZ77" s="236"/>
      <c r="HA77" s="236"/>
      <c r="HB77" s="236"/>
      <c r="HC77" s="236"/>
      <c r="HD77" s="236"/>
      <c r="HE77" s="236"/>
      <c r="HF77" s="236"/>
      <c r="HG77" s="236"/>
      <c r="HH77" s="236"/>
      <c r="HI77" s="236"/>
      <c r="HJ77" s="236"/>
      <c r="HK77" s="236"/>
      <c r="HL77" s="236"/>
      <c r="HM77" s="236"/>
      <c r="HN77" s="236"/>
      <c r="HO77" s="236"/>
      <c r="HP77" s="236"/>
      <c r="HQ77" s="236"/>
      <c r="HR77" s="236"/>
      <c r="HS77" s="236"/>
      <c r="HT77" s="236"/>
      <c r="HU77" s="236"/>
      <c r="HV77" s="236"/>
      <c r="HW77" s="236"/>
      <c r="HX77" s="236"/>
      <c r="HY77" s="236"/>
      <c r="HZ77" s="236"/>
      <c r="IA77" s="236"/>
      <c r="IB77" s="236"/>
      <c r="IC77" s="236"/>
      <c r="ID77" s="236"/>
      <c r="IE77" s="236"/>
      <c r="IF77" s="236"/>
      <c r="IG77" s="236"/>
      <c r="IH77" s="236"/>
      <c r="II77" s="236"/>
      <c r="IJ77" s="236"/>
      <c r="IK77" s="236"/>
      <c r="IL77" s="236"/>
      <c r="IM77" s="236"/>
      <c r="IN77" s="236"/>
      <c r="IO77" s="236"/>
      <c r="IP77" s="236"/>
      <c r="IQ77" s="236"/>
      <c r="IR77" s="236"/>
      <c r="IS77" s="236"/>
      <c r="IT77" s="236"/>
      <c r="IU77" s="236"/>
      <c r="IV77" s="236"/>
      <c r="IW77" s="236"/>
      <c r="IX77" s="236"/>
      <c r="IY77" s="236"/>
      <c r="IZ77" s="236"/>
      <c r="JA77" s="236"/>
      <c r="JB77" s="236"/>
      <c r="JC77" s="236"/>
      <c r="JD77" s="236"/>
      <c r="JE77" s="236"/>
      <c r="JF77" s="236"/>
      <c r="JG77" s="236"/>
      <c r="JH77" s="236"/>
      <c r="JI77" s="236"/>
      <c r="JJ77" s="236"/>
      <c r="JK77" s="236"/>
      <c r="JL77" s="236"/>
      <c r="JM77" s="236"/>
      <c r="JN77" s="236"/>
      <c r="JO77" s="236"/>
      <c r="JP77" s="236"/>
      <c r="JQ77" s="236"/>
      <c r="JR77" s="236"/>
      <c r="JS77" s="236"/>
      <c r="JT77" s="236"/>
      <c r="JU77" s="236"/>
      <c r="JV77" s="236"/>
      <c r="JW77" s="236"/>
      <c r="JX77" s="409"/>
      <c r="JY77" s="409"/>
      <c r="JZ77" s="409"/>
      <c r="KA77" s="409"/>
      <c r="KB77" s="409"/>
      <c r="KC77" s="409"/>
      <c r="KD77" s="409"/>
      <c r="KE77" s="409"/>
      <c r="KF77" s="409"/>
      <c r="KG77" s="410"/>
      <c r="KH77" s="412">
        <f t="shared" si="17"/>
        <v>74</v>
      </c>
      <c r="KI77" s="413" t="str">
        <f t="shared" ca="1" si="27"/>
        <v/>
      </c>
      <c r="KJ77" s="413" t="str">
        <f t="shared" ca="1" si="20"/>
        <v/>
      </c>
      <c r="KK77" s="414" t="str">
        <f t="shared" ca="1" si="28"/>
        <v/>
      </c>
    </row>
    <row r="78" spans="3:297" ht="24" customHeight="1">
      <c r="C78"/>
      <c r="D78" s="57" t="str">
        <f ca="1">INDIRECT(ADDRESS(ROWS($D$3:D77)+6,D$3,1,1,"3_TIME SUM"))</f>
        <v>Preparation, Run &amp; Set Wipstock</v>
      </c>
      <c r="E78" s="81" t="str">
        <f ca="1">IF(INDIRECT(ADDRESS(ROWS($E$3:E77)+6,E$3,1,1,"3_TIME SUM"))=0,E77,INDIRECT(ADDRESS(ROWS($E$3:E77)+6,E$3,1,1,"3_TIME SUM")))</f>
        <v>Open Windows</v>
      </c>
      <c r="F78" s="57" t="str">
        <f t="shared" ca="1" si="24"/>
        <v>Open Windows : Preparation, Run &amp; Set Wipstock</v>
      </c>
      <c r="G78" s="58" t="str">
        <f ca="1">VLOOKUP($D78,INDIRECT(ADDRESS(7,5,1,1,"3_TIME SUM")):INDIRECT(ADDRESS(200,7,1,1,"3_TIME SUM")),2,FALSE)</f>
        <v>20a</v>
      </c>
      <c r="H78" s="58" t="str">
        <f ca="1">IF(VLOOKUP($D78,INDIRECT(ADDRESS(7,5,1,1,"3_TIME SUM")):INDIRECT(ADDRESS(200,7,1,1,"3_TIME SUM")),3,FALSE)="","PT",VLOOKUP($D78,INDIRECT(ADDRESS(7,5,1,1,"3_TIME SUM")):INDIRECT(ADDRESS(200,7,1,1,"3_TIME SUM")),3,FALSE))</f>
        <v>PT</v>
      </c>
      <c r="I78" s="59">
        <f ca="1">IFERROR(IF(AND($D$2="NON PRODUCTIVE TIME",$H78="NPT"),SUMIF(INDIRECT(ADDRESS(8,COLUMN('2_DATA'!$M$9),1,1,"2_DATA")):INDIRECT(ADDRESS(3000,COLUMN('2_DATA'!$M$9),1,1,"2_DATA")),$G78,INDIRECT(ADDRESS(8,COLUMN('2_DATA'!$N$9),1,1,"2_DATA")):INDIRECT(ADDRESS(3000,COLUMN('2_DATA'!$N$9),1,1,"2_DATA"))),IF($D$2="ALL ACTIVITY",SUMIF(INDIRECT(ADDRESS(9,COLUMN('2_DATA'!$M$9),1,1,"2_DATA")):INDIRECT(ADDRESS(3000,COLUMN('2_DATA'!$M$9),1,1,"2_DATA")),$G78,INDIRECT(ADDRESS(9,COLUMN('2_DATA'!$N$9),1,1,"2_DATA")):INDIRECT(ADDRESS(3000,COLUMN('2_DATA'!$N$9),1,1,"2_DATA"))),SUMIF(INDIRECT(ADDRESS(OFFSET($A$3,MATCH($D$2,$A$4:$A$16,0)-1,1,,)+1,COLUMN('2_DATA'!$M$9),1,1,"2_DATA")):INDIRECT(ADDRESS(VLOOKUP($D$2,$A$4:$B$16,2,FALSE)-1,COLUMN('2_DATA'!$M$9),1,1,"2_DATA")),$G78,INDIRECT(ADDRESS(OFFSET($A$3,MATCH($D$2,$A$4:$A$16,0)-1,1,,)+1,COLUMN('2_DATA'!$N$9),1,1,"2_DATA")):INDIRECT(ADDRESS(VLOOKUP($D$2,$A$4:$B$16,2,FALSE)-1,COLUMN('2_DATA'!$N$9),1,1,"2_DATA"))))),0)</f>
        <v>0</v>
      </c>
      <c r="J78" s="58" t="str">
        <f ca="1">IF(I78=0,"",MAX($J$3:J77)+1)</f>
        <v/>
      </c>
      <c r="L78" s="55">
        <f t="shared" ca="1" si="21"/>
        <v>1000</v>
      </c>
      <c r="M78" s="55" t="str">
        <f t="shared" ca="1" si="25"/>
        <v/>
      </c>
      <c r="N78" s="55"/>
      <c r="O78" s="55">
        <f t="shared" ca="1" si="29"/>
        <v>1021</v>
      </c>
      <c r="P78" s="55">
        <f t="shared" ca="1" si="22"/>
        <v>22</v>
      </c>
      <c r="Q78" s="55" t="str">
        <f ca="1">IFERROR(INDEX($O$4:$P$226,MATCH(ROWS($Q$3:Q77),$P$4:$P$226,0),1),"-")</f>
        <v>-</v>
      </c>
      <c r="R78" s="62" t="str">
        <f t="shared" ca="1" si="23"/>
        <v/>
      </c>
      <c r="S78" s="55" t="str">
        <f t="shared" ca="1" si="26"/>
        <v/>
      </c>
      <c r="T78" s="67" t="str">
        <f t="shared" ca="1" si="19"/>
        <v>-</v>
      </c>
      <c r="V78" s="68" t="str">
        <f t="shared" ca="1" si="30"/>
        <v/>
      </c>
      <c r="W78" s="69" t="str">
        <f t="shared" ca="1" si="31"/>
        <v/>
      </c>
      <c r="X78" s="70" t="s">
        <v>84</v>
      </c>
      <c r="Y78" s="68" t="str">
        <f t="shared" ca="1" si="16"/>
        <v/>
      </c>
      <c r="Z78" s="71" t="str">
        <f t="shared" ref="Z78:Z141" ca="1" si="32">IFERROR(VLOOKUP($W78,$F$4:$J$300,2,FALSE),"")</f>
        <v/>
      </c>
      <c r="AA78" s="72" t="str">
        <f t="shared" ref="AA78:AA141" ca="1" si="33">IFERROR(VLOOKUP($W78,$F$4:$J$300,4,FALSE),"")</f>
        <v/>
      </c>
      <c r="AB78" s="305" t="str">
        <f t="shared" ref="AB78:AB141" ca="1" si="34">IFERROR(AA78/24,"")</f>
        <v/>
      </c>
      <c r="AC78" s="236"/>
      <c r="AD78" s="236"/>
      <c r="AE78" s="236"/>
      <c r="AF78" s="236"/>
      <c r="AG78" s="236"/>
      <c r="AH78" s="236"/>
      <c r="AI78" s="236"/>
      <c r="AJ78" s="236"/>
      <c r="AK78" s="236"/>
      <c r="AL78" s="236"/>
      <c r="AM78" s="236"/>
      <c r="AN78" s="236"/>
      <c r="AO78" s="236"/>
      <c r="AP78" s="236"/>
      <c r="AQ78" s="236"/>
      <c r="AR78" s="236"/>
      <c r="AS78" s="236"/>
      <c r="AT78" s="236"/>
      <c r="AU78" s="236"/>
      <c r="AV78" s="236"/>
      <c r="AW78" s="236"/>
      <c r="AX78" s="236"/>
      <c r="AY78" s="236"/>
      <c r="AZ78" s="236"/>
      <c r="BA78" s="236"/>
      <c r="BB78" s="236"/>
      <c r="BC78" s="236"/>
      <c r="BD78" s="236"/>
      <c r="BE78" s="236"/>
      <c r="BF78" s="236"/>
      <c r="BG78" s="236"/>
      <c r="BH78" s="236"/>
      <c r="BI78" s="236"/>
      <c r="BJ78" s="236"/>
      <c r="BK78" s="236"/>
      <c r="BL78" s="236"/>
      <c r="BM78" s="236"/>
      <c r="BN78" s="236"/>
      <c r="BO78" s="236"/>
      <c r="BP78" s="236"/>
      <c r="BQ78" s="236"/>
      <c r="BR78" s="236"/>
      <c r="BS78" s="236"/>
      <c r="BT78" s="236"/>
      <c r="BU78" s="236"/>
      <c r="BV78" s="236"/>
      <c r="BW78" s="236"/>
      <c r="BX78" s="236"/>
      <c r="BY78" s="236"/>
      <c r="BZ78" s="236"/>
      <c r="CA78" s="236"/>
      <c r="CB78" s="236"/>
      <c r="CC78" s="236"/>
      <c r="CD78" s="236"/>
      <c r="CE78" s="236"/>
      <c r="CF78" s="236"/>
      <c r="CG78" s="236"/>
      <c r="CH78" s="236"/>
      <c r="CI78" s="236"/>
      <c r="CJ78" s="236"/>
      <c r="CK78" s="236"/>
      <c r="CL78" s="236"/>
      <c r="CM78" s="236"/>
      <c r="CN78" s="236"/>
      <c r="CO78" s="236"/>
      <c r="CP78" s="236"/>
      <c r="CQ78" s="236"/>
      <c r="CR78" s="236"/>
      <c r="CS78" s="236"/>
      <c r="CT78" s="236"/>
      <c r="CU78" s="236"/>
      <c r="CV78" s="236"/>
      <c r="CW78" s="236"/>
      <c r="CX78" s="236"/>
      <c r="CY78" s="236"/>
      <c r="CZ78" s="236"/>
      <c r="DA78" s="236"/>
      <c r="DB78" s="236"/>
      <c r="DC78" s="236"/>
      <c r="DD78" s="236"/>
      <c r="DE78" s="236"/>
      <c r="DF78" s="236"/>
      <c r="DG78" s="236"/>
      <c r="DH78" s="236"/>
      <c r="DI78" s="236"/>
      <c r="DJ78" s="236"/>
      <c r="DK78" s="236"/>
      <c r="DL78" s="236"/>
      <c r="DM78" s="236"/>
      <c r="DN78" s="236"/>
      <c r="DO78" s="236"/>
      <c r="DP78" s="236"/>
      <c r="DQ78" s="236"/>
      <c r="DR78" s="236"/>
      <c r="DS78" s="236"/>
      <c r="DT78" s="236"/>
      <c r="DU78" s="236"/>
      <c r="DV78" s="236"/>
      <c r="DW78" s="236"/>
      <c r="DX78" s="236"/>
      <c r="DY78" s="236"/>
      <c r="DZ78" s="236"/>
      <c r="EA78" s="236"/>
      <c r="EB78" s="236"/>
      <c r="EC78" s="236"/>
      <c r="ED78" s="236"/>
      <c r="EE78" s="236"/>
      <c r="EF78" s="236"/>
      <c r="EG78" s="236"/>
      <c r="EH78" s="236"/>
      <c r="EI78" s="236"/>
      <c r="EJ78" s="236"/>
      <c r="EK78" s="236"/>
      <c r="EL78" s="236"/>
      <c r="EM78" s="236"/>
      <c r="EN78" s="236"/>
      <c r="EO78" s="236"/>
      <c r="EP78" s="236"/>
      <c r="EQ78" s="236"/>
      <c r="ER78" s="236"/>
      <c r="ES78" s="236"/>
      <c r="ET78" s="236"/>
      <c r="EU78" s="236"/>
      <c r="EV78" s="236"/>
      <c r="EW78" s="236"/>
      <c r="EX78" s="236"/>
      <c r="EY78" s="236"/>
      <c r="EZ78" s="236"/>
      <c r="FA78" s="236"/>
      <c r="FB78" s="236"/>
      <c r="FC78" s="236"/>
      <c r="FD78" s="236"/>
      <c r="FE78" s="236"/>
      <c r="FF78" s="236"/>
      <c r="FG78" s="236"/>
      <c r="FH78" s="236"/>
      <c r="FI78" s="236"/>
      <c r="FJ78" s="236"/>
      <c r="FK78" s="236"/>
      <c r="FL78" s="236"/>
      <c r="FM78" s="236"/>
      <c r="FN78" s="236"/>
      <c r="FO78" s="236"/>
      <c r="FP78" s="236"/>
      <c r="FQ78" s="236"/>
      <c r="FR78" s="236"/>
      <c r="FS78" s="236"/>
      <c r="FT78" s="236"/>
      <c r="FU78" s="236"/>
      <c r="FV78" s="236"/>
      <c r="FW78" s="236"/>
      <c r="FX78" s="236"/>
      <c r="FY78" s="236"/>
      <c r="FZ78" s="236"/>
      <c r="GA78" s="236"/>
      <c r="GB78" s="236"/>
      <c r="GC78" s="236"/>
      <c r="GD78" s="236"/>
      <c r="GE78" s="236"/>
      <c r="GF78" s="236"/>
      <c r="GG78" s="236"/>
      <c r="GH78" s="236"/>
      <c r="GI78" s="236"/>
      <c r="GJ78" s="236"/>
      <c r="GK78" s="236"/>
      <c r="GL78" s="236"/>
      <c r="GM78" s="236"/>
      <c r="GN78" s="236"/>
      <c r="GO78" s="236"/>
      <c r="GP78" s="236"/>
      <c r="GQ78" s="236"/>
      <c r="GR78" s="236"/>
      <c r="GS78" s="236"/>
      <c r="GT78" s="236"/>
      <c r="GU78" s="236"/>
      <c r="GV78" s="236"/>
      <c r="GW78" s="236"/>
      <c r="GX78" s="236"/>
      <c r="GY78" s="236"/>
      <c r="GZ78" s="236"/>
      <c r="HA78" s="236"/>
      <c r="HB78" s="236"/>
      <c r="HC78" s="236"/>
      <c r="HD78" s="236"/>
      <c r="HE78" s="236"/>
      <c r="HF78" s="236"/>
      <c r="HG78" s="236"/>
      <c r="HH78" s="236"/>
      <c r="HI78" s="236"/>
      <c r="HJ78" s="236"/>
      <c r="HK78" s="236"/>
      <c r="HL78" s="236"/>
      <c r="HM78" s="236"/>
      <c r="HN78" s="236"/>
      <c r="HO78" s="236"/>
      <c r="HP78" s="236"/>
      <c r="HQ78" s="236"/>
      <c r="HR78" s="236"/>
      <c r="HS78" s="236"/>
      <c r="HT78" s="236"/>
      <c r="HU78" s="236"/>
      <c r="HV78" s="236"/>
      <c r="HW78" s="236"/>
      <c r="HX78" s="236"/>
      <c r="HY78" s="236"/>
      <c r="HZ78" s="236"/>
      <c r="IA78" s="236"/>
      <c r="IB78" s="236"/>
      <c r="IC78" s="236"/>
      <c r="ID78" s="236"/>
      <c r="IE78" s="236"/>
      <c r="IF78" s="236"/>
      <c r="IG78" s="236"/>
      <c r="IH78" s="236"/>
      <c r="II78" s="236"/>
      <c r="IJ78" s="236"/>
      <c r="IK78" s="236"/>
      <c r="IL78" s="236"/>
      <c r="IM78" s="236"/>
      <c r="IN78" s="236"/>
      <c r="IO78" s="236"/>
      <c r="IP78" s="236"/>
      <c r="IQ78" s="236"/>
      <c r="IR78" s="236"/>
      <c r="IS78" s="236"/>
      <c r="IT78" s="236"/>
      <c r="IU78" s="236"/>
      <c r="IV78" s="236"/>
      <c r="IW78" s="236"/>
      <c r="IX78" s="236"/>
      <c r="IY78" s="236"/>
      <c r="IZ78" s="236"/>
      <c r="JA78" s="236"/>
      <c r="JB78" s="236"/>
      <c r="JC78" s="236"/>
      <c r="JD78" s="236"/>
      <c r="JE78" s="236"/>
      <c r="JF78" s="236"/>
      <c r="JG78" s="236"/>
      <c r="JH78" s="236"/>
      <c r="JI78" s="236"/>
      <c r="JJ78" s="236"/>
      <c r="JK78" s="236"/>
      <c r="JL78" s="236"/>
      <c r="JM78" s="236"/>
      <c r="JN78" s="236"/>
      <c r="JO78" s="236"/>
      <c r="JP78" s="236"/>
      <c r="JQ78" s="236"/>
      <c r="JR78" s="236"/>
      <c r="JS78" s="236"/>
      <c r="JT78" s="236"/>
      <c r="JU78" s="236"/>
      <c r="JV78" s="236"/>
      <c r="JW78" s="236"/>
      <c r="JX78" s="409"/>
      <c r="JY78" s="409"/>
      <c r="JZ78" s="409"/>
      <c r="KA78" s="409"/>
      <c r="KB78" s="409"/>
      <c r="KC78" s="409"/>
      <c r="KD78" s="409"/>
      <c r="KE78" s="409"/>
      <c r="KF78" s="409"/>
      <c r="KG78" s="410"/>
      <c r="KH78" s="412">
        <f t="shared" si="17"/>
        <v>75</v>
      </c>
      <c r="KI78" s="413" t="str">
        <f t="shared" ca="1" si="27"/>
        <v/>
      </c>
      <c r="KJ78" s="413" t="str">
        <f t="shared" ca="1" si="20"/>
        <v/>
      </c>
      <c r="KK78" s="414" t="str">
        <f t="shared" ca="1" si="28"/>
        <v/>
      </c>
    </row>
    <row r="79" spans="3:297" ht="24" customHeight="1">
      <c r="C79"/>
      <c r="D79" s="57" t="str">
        <f ca="1">INDIRECT(ADDRESS(ROWS($D$3:D78)+6,D$3,1,1,"3_TIME SUM"))</f>
        <v>Mill / Cut Window c/w Mill Bit &amp; Coilled Tubing</v>
      </c>
      <c r="E79" s="81" t="str">
        <f ca="1">IF(INDIRECT(ADDRESS(ROWS($E$3:E78)+6,E$3,1,1,"3_TIME SUM"))=0,E78,INDIRECT(ADDRESS(ROWS($E$3:E78)+6,E$3,1,1,"3_TIME SUM")))</f>
        <v>Open Windows</v>
      </c>
      <c r="F79" s="57" t="str">
        <f t="shared" ca="1" si="24"/>
        <v>Open Windows : Mill / Cut Window c/w Mill Bit &amp; Coilled Tubing</v>
      </c>
      <c r="G79" s="58" t="str">
        <f ca="1">VLOOKUP($D79,INDIRECT(ADDRESS(7,5,1,1,"3_TIME SUM")):INDIRECT(ADDRESS(200,7,1,1,"3_TIME SUM")),2,FALSE)</f>
        <v>20b</v>
      </c>
      <c r="H79" s="58" t="str">
        <f ca="1">IF(VLOOKUP($D79,INDIRECT(ADDRESS(7,5,1,1,"3_TIME SUM")):INDIRECT(ADDRESS(200,7,1,1,"3_TIME SUM")),3,FALSE)="","PT",VLOOKUP($D79,INDIRECT(ADDRESS(7,5,1,1,"3_TIME SUM")):INDIRECT(ADDRESS(200,7,1,1,"3_TIME SUM")),3,FALSE))</f>
        <v>PT</v>
      </c>
      <c r="I79" s="59">
        <f ca="1">IFERROR(IF(AND($D$2="NON PRODUCTIVE TIME",$H79="NPT"),SUMIF(INDIRECT(ADDRESS(8,COLUMN('2_DATA'!$M$9),1,1,"2_DATA")):INDIRECT(ADDRESS(3000,COLUMN('2_DATA'!$M$9),1,1,"2_DATA")),$G79,INDIRECT(ADDRESS(8,COLUMN('2_DATA'!$N$9),1,1,"2_DATA")):INDIRECT(ADDRESS(3000,COLUMN('2_DATA'!$N$9),1,1,"2_DATA"))),IF($D$2="ALL ACTIVITY",SUMIF(INDIRECT(ADDRESS(9,COLUMN('2_DATA'!$M$9),1,1,"2_DATA")):INDIRECT(ADDRESS(3000,COLUMN('2_DATA'!$M$9),1,1,"2_DATA")),$G79,INDIRECT(ADDRESS(9,COLUMN('2_DATA'!$N$9),1,1,"2_DATA")):INDIRECT(ADDRESS(3000,COLUMN('2_DATA'!$N$9),1,1,"2_DATA"))),SUMIF(INDIRECT(ADDRESS(OFFSET($A$3,MATCH($D$2,$A$4:$A$16,0)-1,1,,)+1,COLUMN('2_DATA'!$M$9),1,1,"2_DATA")):INDIRECT(ADDRESS(VLOOKUP($D$2,$A$4:$B$16,2,FALSE)-1,COLUMN('2_DATA'!$M$9),1,1,"2_DATA")),$G79,INDIRECT(ADDRESS(OFFSET($A$3,MATCH($D$2,$A$4:$A$16,0)-1,1,,)+1,COLUMN('2_DATA'!$N$9),1,1,"2_DATA")):INDIRECT(ADDRESS(VLOOKUP($D$2,$A$4:$B$16,2,FALSE)-1,COLUMN('2_DATA'!$N$9),1,1,"2_DATA"))))),0)</f>
        <v>0</v>
      </c>
      <c r="J79" s="58" t="str">
        <f ca="1">IF(I79=0,"",MAX($J$3:J78)+1)</f>
        <v/>
      </c>
      <c r="L79" s="55">
        <f t="shared" ca="1" si="21"/>
        <v>1000</v>
      </c>
      <c r="M79" s="55" t="str">
        <f t="shared" ca="1" si="25"/>
        <v/>
      </c>
      <c r="N79" s="55"/>
      <c r="O79" s="55" t="str">
        <f t="shared" ca="1" si="29"/>
        <v/>
      </c>
      <c r="P79" s="55">
        <f t="shared" ca="1" si="22"/>
        <v>0</v>
      </c>
      <c r="Q79" s="55" t="str">
        <f ca="1">IFERROR(INDEX($O$4:$P$226,MATCH(ROWS($Q$3:Q78),$P$4:$P$226,0),1),"-")</f>
        <v>-</v>
      </c>
      <c r="R79" s="62" t="str">
        <f t="shared" ca="1" si="23"/>
        <v/>
      </c>
      <c r="S79" s="55" t="str">
        <f t="shared" ca="1" si="26"/>
        <v/>
      </c>
      <c r="T79" s="67" t="str">
        <f t="shared" ca="1" si="19"/>
        <v>-</v>
      </c>
      <c r="V79" s="68" t="str">
        <f t="shared" ca="1" si="30"/>
        <v/>
      </c>
      <c r="W79" s="69" t="str">
        <f t="shared" ca="1" si="31"/>
        <v/>
      </c>
      <c r="X79" s="70" t="s">
        <v>84</v>
      </c>
      <c r="Y79" s="68" t="str">
        <f t="shared" ca="1" si="16"/>
        <v/>
      </c>
      <c r="Z79" s="71" t="str">
        <f t="shared" ca="1" si="32"/>
        <v/>
      </c>
      <c r="AA79" s="72" t="str">
        <f t="shared" ca="1" si="33"/>
        <v/>
      </c>
      <c r="AB79" s="305" t="str">
        <f t="shared" ca="1" si="34"/>
        <v/>
      </c>
      <c r="AC79" s="236"/>
      <c r="AD79" s="236"/>
      <c r="AE79" s="236"/>
      <c r="AF79" s="236"/>
      <c r="AG79" s="236"/>
      <c r="AH79" s="236"/>
      <c r="AI79" s="236"/>
      <c r="AJ79" s="236"/>
      <c r="AK79" s="236"/>
      <c r="AL79" s="236"/>
      <c r="AM79" s="236"/>
      <c r="AN79" s="236"/>
      <c r="AO79" s="236"/>
      <c r="AP79" s="236"/>
      <c r="AQ79" s="236"/>
      <c r="AR79" s="236"/>
      <c r="AS79" s="236"/>
      <c r="AT79" s="236"/>
      <c r="AU79" s="236"/>
      <c r="AV79" s="236"/>
      <c r="AW79" s="236"/>
      <c r="AX79" s="236"/>
      <c r="AY79" s="236"/>
      <c r="AZ79" s="236"/>
      <c r="BA79" s="236"/>
      <c r="BB79" s="236"/>
      <c r="BC79" s="236"/>
      <c r="BD79" s="236"/>
      <c r="BE79" s="236"/>
      <c r="BF79" s="236"/>
      <c r="BG79" s="236"/>
      <c r="BH79" s="236"/>
      <c r="BI79" s="236"/>
      <c r="BJ79" s="236"/>
      <c r="BK79" s="236"/>
      <c r="BL79" s="236"/>
      <c r="BM79" s="236"/>
      <c r="BN79" s="236"/>
      <c r="BO79" s="236"/>
      <c r="BP79" s="236"/>
      <c r="BQ79" s="236"/>
      <c r="BR79" s="236"/>
      <c r="BS79" s="236"/>
      <c r="BT79" s="236"/>
      <c r="BU79" s="236"/>
      <c r="BV79" s="236"/>
      <c r="BW79" s="236"/>
      <c r="BX79" s="236"/>
      <c r="BY79" s="236"/>
      <c r="BZ79" s="236"/>
      <c r="CA79" s="236"/>
      <c r="CB79" s="236"/>
      <c r="CC79" s="236"/>
      <c r="CD79" s="236"/>
      <c r="CE79" s="236"/>
      <c r="CF79" s="236"/>
      <c r="CG79" s="236"/>
      <c r="CH79" s="236"/>
      <c r="CI79" s="236"/>
      <c r="CJ79" s="236"/>
      <c r="CK79" s="236"/>
      <c r="CL79" s="236"/>
      <c r="CM79" s="236"/>
      <c r="CN79" s="236"/>
      <c r="CO79" s="236"/>
      <c r="CP79" s="236"/>
      <c r="CQ79" s="236"/>
      <c r="CR79" s="236"/>
      <c r="CS79" s="236"/>
      <c r="CT79" s="236"/>
      <c r="CU79" s="236"/>
      <c r="CV79" s="236"/>
      <c r="CW79" s="236"/>
      <c r="CX79" s="236"/>
      <c r="CY79" s="236"/>
      <c r="CZ79" s="236"/>
      <c r="DA79" s="236"/>
      <c r="DB79" s="236"/>
      <c r="DC79" s="236"/>
      <c r="DD79" s="236"/>
      <c r="DE79" s="236"/>
      <c r="DF79" s="236"/>
      <c r="DG79" s="236"/>
      <c r="DH79" s="236"/>
      <c r="DI79" s="236"/>
      <c r="DJ79" s="236"/>
      <c r="DK79" s="236"/>
      <c r="DL79" s="236"/>
      <c r="DM79" s="236"/>
      <c r="DN79" s="236"/>
      <c r="DO79" s="236"/>
      <c r="DP79" s="236"/>
      <c r="DQ79" s="236"/>
      <c r="DR79" s="236"/>
      <c r="DS79" s="236"/>
      <c r="DT79" s="236"/>
      <c r="DU79" s="236"/>
      <c r="DV79" s="236"/>
      <c r="DW79" s="236"/>
      <c r="DX79" s="236"/>
      <c r="DY79" s="236"/>
      <c r="DZ79" s="236"/>
      <c r="EA79" s="236"/>
      <c r="EB79" s="236"/>
      <c r="EC79" s="236"/>
      <c r="ED79" s="236"/>
      <c r="EE79" s="236"/>
      <c r="EF79" s="236"/>
      <c r="EG79" s="236"/>
      <c r="EH79" s="236"/>
      <c r="EI79" s="236"/>
      <c r="EJ79" s="236"/>
      <c r="EK79" s="236"/>
      <c r="EL79" s="236"/>
      <c r="EM79" s="236"/>
      <c r="EN79" s="236"/>
      <c r="EO79" s="236"/>
      <c r="EP79" s="236"/>
      <c r="EQ79" s="236"/>
      <c r="ER79" s="236"/>
      <c r="ES79" s="236"/>
      <c r="ET79" s="236"/>
      <c r="EU79" s="236"/>
      <c r="EV79" s="236"/>
      <c r="EW79" s="236"/>
      <c r="EX79" s="236"/>
      <c r="EY79" s="236"/>
      <c r="EZ79" s="236"/>
      <c r="FA79" s="236"/>
      <c r="FB79" s="236"/>
      <c r="FC79" s="236"/>
      <c r="FD79" s="236"/>
      <c r="FE79" s="236"/>
      <c r="FF79" s="236"/>
      <c r="FG79" s="236"/>
      <c r="FH79" s="236"/>
      <c r="FI79" s="236"/>
      <c r="FJ79" s="236"/>
      <c r="FK79" s="236"/>
      <c r="FL79" s="236"/>
      <c r="FM79" s="236"/>
      <c r="FN79" s="236"/>
      <c r="FO79" s="236"/>
      <c r="FP79" s="236"/>
      <c r="FQ79" s="236"/>
      <c r="FR79" s="236"/>
      <c r="FS79" s="236"/>
      <c r="FT79" s="236"/>
      <c r="FU79" s="236"/>
      <c r="FV79" s="236"/>
      <c r="FW79" s="236"/>
      <c r="FX79" s="236"/>
      <c r="FY79" s="236"/>
      <c r="FZ79" s="236"/>
      <c r="GA79" s="236"/>
      <c r="GB79" s="236"/>
      <c r="GC79" s="236"/>
      <c r="GD79" s="236"/>
      <c r="GE79" s="236"/>
      <c r="GF79" s="236"/>
      <c r="GG79" s="236"/>
      <c r="GH79" s="236"/>
      <c r="GI79" s="236"/>
      <c r="GJ79" s="236"/>
      <c r="GK79" s="236"/>
      <c r="GL79" s="236"/>
      <c r="GM79" s="236"/>
      <c r="GN79" s="236"/>
      <c r="GO79" s="236"/>
      <c r="GP79" s="236"/>
      <c r="GQ79" s="236"/>
      <c r="GR79" s="236"/>
      <c r="GS79" s="236"/>
      <c r="GT79" s="236"/>
      <c r="GU79" s="236"/>
      <c r="GV79" s="236"/>
      <c r="GW79" s="236"/>
      <c r="GX79" s="236"/>
      <c r="GY79" s="236"/>
      <c r="GZ79" s="236"/>
      <c r="HA79" s="236"/>
      <c r="HB79" s="236"/>
      <c r="HC79" s="236"/>
      <c r="HD79" s="236"/>
      <c r="HE79" s="236"/>
      <c r="HF79" s="236"/>
      <c r="HG79" s="236"/>
      <c r="HH79" s="236"/>
      <c r="HI79" s="236"/>
      <c r="HJ79" s="236"/>
      <c r="HK79" s="236"/>
      <c r="HL79" s="236"/>
      <c r="HM79" s="236"/>
      <c r="HN79" s="236"/>
      <c r="HO79" s="236"/>
      <c r="HP79" s="236"/>
      <c r="HQ79" s="236"/>
      <c r="HR79" s="236"/>
      <c r="HS79" s="236"/>
      <c r="HT79" s="236"/>
      <c r="HU79" s="236"/>
      <c r="HV79" s="236"/>
      <c r="HW79" s="236"/>
      <c r="HX79" s="236"/>
      <c r="HY79" s="236"/>
      <c r="HZ79" s="236"/>
      <c r="IA79" s="236"/>
      <c r="IB79" s="236"/>
      <c r="IC79" s="236"/>
      <c r="ID79" s="236"/>
      <c r="IE79" s="236"/>
      <c r="IF79" s="236"/>
      <c r="IG79" s="236"/>
      <c r="IH79" s="236"/>
      <c r="II79" s="236"/>
      <c r="IJ79" s="236"/>
      <c r="IK79" s="236"/>
      <c r="IL79" s="236"/>
      <c r="IM79" s="236"/>
      <c r="IN79" s="236"/>
      <c r="IO79" s="236"/>
      <c r="IP79" s="236"/>
      <c r="IQ79" s="236"/>
      <c r="IR79" s="236"/>
      <c r="IS79" s="236"/>
      <c r="IT79" s="236"/>
      <c r="IU79" s="236"/>
      <c r="IV79" s="236"/>
      <c r="IW79" s="236"/>
      <c r="IX79" s="236"/>
      <c r="IY79" s="236"/>
      <c r="IZ79" s="236"/>
      <c r="JA79" s="236"/>
      <c r="JB79" s="236"/>
      <c r="JC79" s="236"/>
      <c r="JD79" s="236"/>
      <c r="JE79" s="236"/>
      <c r="JF79" s="236"/>
      <c r="JG79" s="236"/>
      <c r="JH79" s="236"/>
      <c r="JI79" s="236"/>
      <c r="JJ79" s="236"/>
      <c r="JK79" s="236"/>
      <c r="JL79" s="236"/>
      <c r="JM79" s="236"/>
      <c r="JN79" s="236"/>
      <c r="JO79" s="236"/>
      <c r="JP79" s="236"/>
      <c r="JQ79" s="236"/>
      <c r="JR79" s="236"/>
      <c r="JS79" s="236"/>
      <c r="JT79" s="236"/>
      <c r="JU79" s="236"/>
      <c r="JV79" s="236"/>
      <c r="JW79" s="236"/>
      <c r="JX79" s="409"/>
      <c r="JY79" s="409"/>
      <c r="JZ79" s="409"/>
      <c r="KA79" s="409"/>
      <c r="KB79" s="409"/>
      <c r="KC79" s="409"/>
      <c r="KD79" s="409"/>
      <c r="KE79" s="409"/>
      <c r="KF79" s="409"/>
      <c r="KG79" s="410"/>
      <c r="KH79" s="412">
        <f t="shared" si="17"/>
        <v>76</v>
      </c>
      <c r="KI79" s="413" t="str">
        <f t="shared" ca="1" si="27"/>
        <v/>
      </c>
      <c r="KJ79" s="413" t="str">
        <f t="shared" ca="1" si="20"/>
        <v/>
      </c>
      <c r="KK79" s="414" t="str">
        <f t="shared" ca="1" si="28"/>
        <v/>
      </c>
    </row>
    <row r="80" spans="3:297" ht="24" customHeight="1">
      <c r="C80"/>
      <c r="D80" s="57">
        <f ca="1">INDIRECT(ADDRESS(ROWS($D$3:D79)+6,D$3,1,1,"3_TIME SUM"))</f>
        <v>0</v>
      </c>
      <c r="E80" s="81" t="str">
        <f ca="1">IF(INDIRECT(ADDRESS(ROWS($E$3:E79)+6,E$3,1,1,"3_TIME SUM"))=0,E79,INDIRECT(ADDRESS(ROWS($E$3:E79)+6,E$3,1,1,"3_TIME SUM")))</f>
        <v>Open Windows</v>
      </c>
      <c r="F80" s="57" t="str">
        <f t="shared" ca="1" si="24"/>
        <v>Open Windows : 0</v>
      </c>
      <c r="G80" s="58" t="e">
        <f ca="1">VLOOKUP($D80,INDIRECT(ADDRESS(7,5,1,1,"3_TIME SUM")):INDIRECT(ADDRESS(200,7,1,1,"3_TIME SUM")),2,FALSE)</f>
        <v>#N/A</v>
      </c>
      <c r="H80" s="58" t="e">
        <f ca="1">IF(VLOOKUP($D80,INDIRECT(ADDRESS(7,5,1,1,"3_TIME SUM")):INDIRECT(ADDRESS(200,7,1,1,"3_TIME SUM")),3,FALSE)="","PT",VLOOKUP($D80,INDIRECT(ADDRESS(7,5,1,1,"3_TIME SUM")):INDIRECT(ADDRESS(200,7,1,1,"3_TIME SUM")),3,FALSE))</f>
        <v>#N/A</v>
      </c>
      <c r="I80" s="59">
        <f ca="1">IFERROR(IF(AND($D$2="NON PRODUCTIVE TIME",$H80="NPT"),SUMIF(INDIRECT(ADDRESS(8,COLUMN('2_DATA'!$M$9),1,1,"2_DATA")):INDIRECT(ADDRESS(3000,COLUMN('2_DATA'!$M$9),1,1,"2_DATA")),$G80,INDIRECT(ADDRESS(8,COLUMN('2_DATA'!$N$9),1,1,"2_DATA")):INDIRECT(ADDRESS(3000,COLUMN('2_DATA'!$N$9),1,1,"2_DATA"))),IF($D$2="ALL ACTIVITY",SUMIF(INDIRECT(ADDRESS(9,COLUMN('2_DATA'!$M$9),1,1,"2_DATA")):INDIRECT(ADDRESS(3000,COLUMN('2_DATA'!$M$9),1,1,"2_DATA")),$G80,INDIRECT(ADDRESS(9,COLUMN('2_DATA'!$N$9),1,1,"2_DATA")):INDIRECT(ADDRESS(3000,COLUMN('2_DATA'!$N$9),1,1,"2_DATA"))),SUMIF(INDIRECT(ADDRESS(OFFSET($A$3,MATCH($D$2,$A$4:$A$16,0)-1,1,,)+1,COLUMN('2_DATA'!$M$9),1,1,"2_DATA")):INDIRECT(ADDRESS(VLOOKUP($D$2,$A$4:$B$16,2,FALSE)-1,COLUMN('2_DATA'!$M$9),1,1,"2_DATA")),$G80,INDIRECT(ADDRESS(OFFSET($A$3,MATCH($D$2,$A$4:$A$16,0)-1,1,,)+1,COLUMN('2_DATA'!$N$9),1,1,"2_DATA")):INDIRECT(ADDRESS(VLOOKUP($D$2,$A$4:$B$16,2,FALSE)-1,COLUMN('2_DATA'!$N$9),1,1,"2_DATA"))))),0)</f>
        <v>0</v>
      </c>
      <c r="J80" s="58" t="str">
        <f ca="1">IF(I80=0,"",MAX($J$3:J79)+1)</f>
        <v/>
      </c>
      <c r="L80" s="55" t="str">
        <f t="shared" ca="1" si="21"/>
        <v/>
      </c>
      <c r="M80" s="55" t="str">
        <f t="shared" ca="1" si="25"/>
        <v/>
      </c>
      <c r="N80" s="55"/>
      <c r="O80" s="55" t="str">
        <f t="shared" ca="1" si="29"/>
        <v/>
      </c>
      <c r="P80" s="55">
        <f t="shared" ca="1" si="22"/>
        <v>0</v>
      </c>
      <c r="Q80" s="55" t="str">
        <f ca="1">IFERROR(INDEX($O$4:$P$226,MATCH(ROWS($Q$3:Q79),$P$4:$P$226,0),1),"-")</f>
        <v>-</v>
      </c>
      <c r="R80" s="62" t="str">
        <f t="shared" ca="1" si="23"/>
        <v/>
      </c>
      <c r="S80" s="55" t="str">
        <f t="shared" ca="1" si="26"/>
        <v/>
      </c>
      <c r="T80" s="67" t="str">
        <f t="shared" ca="1" si="19"/>
        <v>-</v>
      </c>
      <c r="V80" s="68" t="str">
        <f t="shared" ca="1" si="30"/>
        <v/>
      </c>
      <c r="W80" s="69" t="str">
        <f t="shared" ca="1" si="31"/>
        <v/>
      </c>
      <c r="X80" s="70" t="s">
        <v>84</v>
      </c>
      <c r="Y80" s="68" t="str">
        <f t="shared" ca="1" si="16"/>
        <v/>
      </c>
      <c r="Z80" s="71" t="str">
        <f t="shared" ca="1" si="32"/>
        <v/>
      </c>
      <c r="AA80" s="72" t="str">
        <f t="shared" ca="1" si="33"/>
        <v/>
      </c>
      <c r="AB80" s="305" t="str">
        <f t="shared" ca="1" si="34"/>
        <v/>
      </c>
      <c r="AC80" s="236"/>
      <c r="AD80" s="236"/>
      <c r="AE80" s="236"/>
      <c r="AF80" s="236"/>
      <c r="AG80" s="236"/>
      <c r="AH80" s="236"/>
      <c r="AI80" s="236"/>
      <c r="AJ80" s="236"/>
      <c r="AK80" s="236"/>
      <c r="AL80" s="236"/>
      <c r="AM80" s="236"/>
      <c r="AN80" s="236"/>
      <c r="AO80" s="236"/>
      <c r="AP80" s="236"/>
      <c r="AQ80" s="236"/>
      <c r="AR80" s="236"/>
      <c r="AS80" s="236"/>
      <c r="AT80" s="236"/>
      <c r="AU80" s="236"/>
      <c r="AV80" s="236"/>
      <c r="AW80" s="236"/>
      <c r="AX80" s="236"/>
      <c r="AY80" s="236"/>
      <c r="AZ80" s="236"/>
      <c r="BA80" s="236"/>
      <c r="BB80" s="236"/>
      <c r="BC80" s="236"/>
      <c r="BD80" s="236"/>
      <c r="BE80" s="236"/>
      <c r="BF80" s="236"/>
      <c r="BG80" s="236"/>
      <c r="BH80" s="236"/>
      <c r="BI80" s="236"/>
      <c r="BJ80" s="236"/>
      <c r="BK80" s="236"/>
      <c r="BL80" s="236"/>
      <c r="BM80" s="236"/>
      <c r="BN80" s="236"/>
      <c r="BO80" s="236"/>
      <c r="BP80" s="236"/>
      <c r="BQ80" s="236"/>
      <c r="BR80" s="236"/>
      <c r="BS80" s="236"/>
      <c r="BT80" s="236"/>
      <c r="BU80" s="236"/>
      <c r="BV80" s="236"/>
      <c r="BW80" s="236"/>
      <c r="BX80" s="236"/>
      <c r="BY80" s="236"/>
      <c r="BZ80" s="236"/>
      <c r="CA80" s="236"/>
      <c r="CB80" s="236"/>
      <c r="CC80" s="236"/>
      <c r="CD80" s="236"/>
      <c r="CE80" s="236"/>
      <c r="CF80" s="236"/>
      <c r="CG80" s="236"/>
      <c r="CH80" s="236"/>
      <c r="CI80" s="236"/>
      <c r="CJ80" s="236"/>
      <c r="CK80" s="236"/>
      <c r="CL80" s="236"/>
      <c r="CM80" s="236"/>
      <c r="CN80" s="236"/>
      <c r="CO80" s="236"/>
      <c r="CP80" s="236"/>
      <c r="CQ80" s="236"/>
      <c r="CR80" s="236"/>
      <c r="CS80" s="236"/>
      <c r="CT80" s="236"/>
      <c r="CU80" s="236"/>
      <c r="CV80" s="236"/>
      <c r="CW80" s="236"/>
      <c r="CX80" s="236"/>
      <c r="CY80" s="236"/>
      <c r="CZ80" s="236"/>
      <c r="DA80" s="236"/>
      <c r="DB80" s="236"/>
      <c r="DC80" s="236"/>
      <c r="DD80" s="236"/>
      <c r="DE80" s="236"/>
      <c r="DF80" s="236"/>
      <c r="DG80" s="236"/>
      <c r="DH80" s="236"/>
      <c r="DI80" s="236"/>
      <c r="DJ80" s="236"/>
      <c r="DK80" s="236"/>
      <c r="DL80" s="236"/>
      <c r="DM80" s="236"/>
      <c r="DN80" s="236"/>
      <c r="DO80" s="236"/>
      <c r="DP80" s="236"/>
      <c r="DQ80" s="236"/>
      <c r="DR80" s="236"/>
      <c r="DS80" s="236"/>
      <c r="DT80" s="236"/>
      <c r="DU80" s="236"/>
      <c r="DV80" s="236"/>
      <c r="DW80" s="236"/>
      <c r="DX80" s="236"/>
      <c r="DY80" s="236"/>
      <c r="DZ80" s="236"/>
      <c r="EA80" s="236"/>
      <c r="EB80" s="236"/>
      <c r="EC80" s="236"/>
      <c r="ED80" s="236"/>
      <c r="EE80" s="236"/>
      <c r="EF80" s="236"/>
      <c r="EG80" s="236"/>
      <c r="EH80" s="236"/>
      <c r="EI80" s="236"/>
      <c r="EJ80" s="236"/>
      <c r="EK80" s="236"/>
      <c r="EL80" s="236"/>
      <c r="EM80" s="236"/>
      <c r="EN80" s="236"/>
      <c r="EO80" s="236"/>
      <c r="EP80" s="236"/>
      <c r="EQ80" s="236"/>
      <c r="ER80" s="236"/>
      <c r="ES80" s="236"/>
      <c r="ET80" s="236"/>
      <c r="EU80" s="236"/>
      <c r="EV80" s="236"/>
      <c r="EW80" s="236"/>
      <c r="EX80" s="236"/>
      <c r="EY80" s="236"/>
      <c r="EZ80" s="236"/>
      <c r="FA80" s="236"/>
      <c r="FB80" s="236"/>
      <c r="FC80" s="236"/>
      <c r="FD80" s="236"/>
      <c r="FE80" s="236"/>
      <c r="FF80" s="236"/>
      <c r="FG80" s="236"/>
      <c r="FH80" s="236"/>
      <c r="FI80" s="236"/>
      <c r="FJ80" s="236"/>
      <c r="FK80" s="236"/>
      <c r="FL80" s="236"/>
      <c r="FM80" s="236"/>
      <c r="FN80" s="236"/>
      <c r="FO80" s="236"/>
      <c r="FP80" s="236"/>
      <c r="FQ80" s="236"/>
      <c r="FR80" s="236"/>
      <c r="FS80" s="236"/>
      <c r="FT80" s="236"/>
      <c r="FU80" s="236"/>
      <c r="FV80" s="236"/>
      <c r="FW80" s="236"/>
      <c r="FX80" s="236"/>
      <c r="FY80" s="236"/>
      <c r="FZ80" s="236"/>
      <c r="GA80" s="236"/>
      <c r="GB80" s="236"/>
      <c r="GC80" s="236"/>
      <c r="GD80" s="236"/>
      <c r="GE80" s="236"/>
      <c r="GF80" s="236"/>
      <c r="GG80" s="236"/>
      <c r="GH80" s="236"/>
      <c r="GI80" s="236"/>
      <c r="GJ80" s="236"/>
      <c r="GK80" s="236"/>
      <c r="GL80" s="236"/>
      <c r="GM80" s="236"/>
      <c r="GN80" s="236"/>
      <c r="GO80" s="236"/>
      <c r="GP80" s="236"/>
      <c r="GQ80" s="236"/>
      <c r="GR80" s="236"/>
      <c r="GS80" s="236"/>
      <c r="GT80" s="236"/>
      <c r="GU80" s="236"/>
      <c r="GV80" s="236"/>
      <c r="GW80" s="236"/>
      <c r="GX80" s="236"/>
      <c r="GY80" s="236"/>
      <c r="GZ80" s="236"/>
      <c r="HA80" s="236"/>
      <c r="HB80" s="236"/>
      <c r="HC80" s="236"/>
      <c r="HD80" s="236"/>
      <c r="HE80" s="236"/>
      <c r="HF80" s="236"/>
      <c r="HG80" s="236"/>
      <c r="HH80" s="236"/>
      <c r="HI80" s="236"/>
      <c r="HJ80" s="236"/>
      <c r="HK80" s="236"/>
      <c r="HL80" s="236"/>
      <c r="HM80" s="236"/>
      <c r="HN80" s="236"/>
      <c r="HO80" s="236"/>
      <c r="HP80" s="236"/>
      <c r="HQ80" s="236"/>
      <c r="HR80" s="236"/>
      <c r="HS80" s="236"/>
      <c r="HT80" s="236"/>
      <c r="HU80" s="236"/>
      <c r="HV80" s="236"/>
      <c r="HW80" s="236"/>
      <c r="HX80" s="236"/>
      <c r="HY80" s="236"/>
      <c r="HZ80" s="236"/>
      <c r="IA80" s="236"/>
      <c r="IB80" s="236"/>
      <c r="IC80" s="236"/>
      <c r="ID80" s="236"/>
      <c r="IE80" s="236"/>
      <c r="IF80" s="236"/>
      <c r="IG80" s="236"/>
      <c r="IH80" s="236"/>
      <c r="II80" s="236"/>
      <c r="IJ80" s="236"/>
      <c r="IK80" s="236"/>
      <c r="IL80" s="236"/>
      <c r="IM80" s="236"/>
      <c r="IN80" s="236"/>
      <c r="IO80" s="236"/>
      <c r="IP80" s="236"/>
      <c r="IQ80" s="236"/>
      <c r="IR80" s="236"/>
      <c r="IS80" s="236"/>
      <c r="IT80" s="236"/>
      <c r="IU80" s="236"/>
      <c r="IV80" s="236"/>
      <c r="IW80" s="236"/>
      <c r="IX80" s="236"/>
      <c r="IY80" s="236"/>
      <c r="IZ80" s="236"/>
      <c r="JA80" s="236"/>
      <c r="JB80" s="236"/>
      <c r="JC80" s="236"/>
      <c r="JD80" s="236"/>
      <c r="JE80" s="236"/>
      <c r="JF80" s="236"/>
      <c r="JG80" s="236"/>
      <c r="JH80" s="236"/>
      <c r="JI80" s="236"/>
      <c r="JJ80" s="236"/>
      <c r="JK80" s="236"/>
      <c r="JL80" s="236"/>
      <c r="JM80" s="236"/>
      <c r="JN80" s="236"/>
      <c r="JO80" s="236"/>
      <c r="JP80" s="236"/>
      <c r="JQ80" s="236"/>
      <c r="JR80" s="236"/>
      <c r="JS80" s="236"/>
      <c r="JT80" s="236"/>
      <c r="JU80" s="236"/>
      <c r="JV80" s="236"/>
      <c r="JW80" s="236"/>
      <c r="JX80" s="409"/>
      <c r="JY80" s="409"/>
      <c r="JZ80" s="409"/>
      <c r="KA80" s="409"/>
      <c r="KB80" s="409"/>
      <c r="KC80" s="409"/>
      <c r="KD80" s="409"/>
      <c r="KE80" s="409"/>
      <c r="KF80" s="409"/>
      <c r="KG80" s="410"/>
      <c r="KH80" s="412">
        <f t="shared" si="17"/>
        <v>77</v>
      </c>
      <c r="KI80" s="413" t="str">
        <f t="shared" ca="1" si="27"/>
        <v/>
      </c>
      <c r="KJ80" s="413" t="str">
        <f t="shared" ca="1" si="20"/>
        <v/>
      </c>
      <c r="KK80" s="414" t="str">
        <f t="shared" ca="1" si="28"/>
        <v/>
      </c>
    </row>
    <row r="81" spans="3:297" ht="24" customHeight="1">
      <c r="C81"/>
      <c r="D81" s="57" t="str">
        <f ca="1">INDIRECT(ADDRESS(ROWS($D$3:D80)+6,D$3,1,1,"3_TIME SUM"))</f>
        <v xml:space="preserve">Directional Services </v>
      </c>
      <c r="E81" s="81" t="str">
        <f ca="1">IF(INDIRECT(ADDRESS(ROWS($E$3:E80)+6,E$3,1,1,"3_TIME SUM"))=0,E80,INDIRECT(ADDRESS(ROWS($E$3:E80)+6,E$3,1,1,"3_TIME SUM")))</f>
        <v>Service Company (NPT)</v>
      </c>
      <c r="F81" s="57" t="str">
        <f t="shared" ca="1" si="24"/>
        <v xml:space="preserve">Service Company (NPT) : Directional Services </v>
      </c>
      <c r="G81" s="58" t="str">
        <f ca="1">VLOOKUP($D81,INDIRECT(ADDRESS(7,5,1,1,"3_TIME SUM")):INDIRECT(ADDRESS(200,7,1,1,"3_TIME SUM")),2,FALSE)</f>
        <v>21a</v>
      </c>
      <c r="H81" s="58" t="str">
        <f ca="1">IF(VLOOKUP($D81,INDIRECT(ADDRESS(7,5,1,1,"3_TIME SUM")):INDIRECT(ADDRESS(200,7,1,1,"3_TIME SUM")),3,FALSE)="","PT",VLOOKUP($D81,INDIRECT(ADDRESS(7,5,1,1,"3_TIME SUM")):INDIRECT(ADDRESS(200,7,1,1,"3_TIME SUM")),3,FALSE))</f>
        <v>NPT</v>
      </c>
      <c r="I81" s="59">
        <f ca="1">IFERROR(IF(AND($D$2="NON PRODUCTIVE TIME",$H81="NPT"),SUMIF(INDIRECT(ADDRESS(8,COLUMN('2_DATA'!$M$9),1,1,"2_DATA")):INDIRECT(ADDRESS(3000,COLUMN('2_DATA'!$M$9),1,1,"2_DATA")),$G81,INDIRECT(ADDRESS(8,COLUMN('2_DATA'!$N$9),1,1,"2_DATA")):INDIRECT(ADDRESS(3000,COLUMN('2_DATA'!$N$9),1,1,"2_DATA"))),IF($D$2="ALL ACTIVITY",SUMIF(INDIRECT(ADDRESS(9,COLUMN('2_DATA'!$M$9),1,1,"2_DATA")):INDIRECT(ADDRESS(3000,COLUMN('2_DATA'!$M$9),1,1,"2_DATA")),$G81,INDIRECT(ADDRESS(9,COLUMN('2_DATA'!$N$9),1,1,"2_DATA")):INDIRECT(ADDRESS(3000,COLUMN('2_DATA'!$N$9),1,1,"2_DATA"))),SUMIF(INDIRECT(ADDRESS(OFFSET($A$3,MATCH($D$2,$A$4:$A$16,0)-1,1,,)+1,COLUMN('2_DATA'!$M$9),1,1,"2_DATA")):INDIRECT(ADDRESS(VLOOKUP($D$2,$A$4:$B$16,2,FALSE)-1,COLUMN('2_DATA'!$M$9),1,1,"2_DATA")),$G81,INDIRECT(ADDRESS(OFFSET($A$3,MATCH($D$2,$A$4:$A$16,0)-1,1,,)+1,COLUMN('2_DATA'!$N$9),1,1,"2_DATA")):INDIRECT(ADDRESS(VLOOKUP($D$2,$A$4:$B$16,2,FALSE)-1,COLUMN('2_DATA'!$N$9),1,1,"2_DATA"))))),0)</f>
        <v>0</v>
      </c>
      <c r="J81" s="58" t="str">
        <f ca="1">IF(I81=0,"",MAX($J$3:J80)+1)</f>
        <v/>
      </c>
      <c r="L81" s="55">
        <f t="shared" ca="1" si="21"/>
        <v>1000</v>
      </c>
      <c r="M81" s="55" t="str">
        <f t="shared" ca="1" si="25"/>
        <v/>
      </c>
      <c r="N81" s="55"/>
      <c r="O81" s="55" t="str">
        <f t="shared" ca="1" si="29"/>
        <v/>
      </c>
      <c r="P81" s="55">
        <f t="shared" ca="1" si="22"/>
        <v>0</v>
      </c>
      <c r="Q81" s="55" t="str">
        <f ca="1">IFERROR(INDEX($O$4:$P$226,MATCH(ROWS($Q$3:Q80),$P$4:$P$226,0),1),"-")</f>
        <v>-</v>
      </c>
      <c r="R81" s="62" t="str">
        <f t="shared" ca="1" si="23"/>
        <v/>
      </c>
      <c r="S81" s="55" t="str">
        <f t="shared" ca="1" si="26"/>
        <v/>
      </c>
      <c r="T81" s="67" t="str">
        <f t="shared" ca="1" si="19"/>
        <v>-</v>
      </c>
      <c r="V81" s="68" t="str">
        <f t="shared" ca="1" si="30"/>
        <v/>
      </c>
      <c r="W81" s="69" t="str">
        <f t="shared" ca="1" si="31"/>
        <v/>
      </c>
      <c r="X81" s="70" t="s">
        <v>84</v>
      </c>
      <c r="Y81" s="68" t="str">
        <f t="shared" ref="Y81:Y144" ca="1" si="35">IFERROR(VLOOKUP($W81,$F$4:$J$300,3,FALSE),"")</f>
        <v/>
      </c>
      <c r="Z81" s="71" t="str">
        <f t="shared" ca="1" si="32"/>
        <v/>
      </c>
      <c r="AA81" s="72" t="str">
        <f t="shared" ca="1" si="33"/>
        <v/>
      </c>
      <c r="AB81" s="305" t="str">
        <f t="shared" ca="1" si="34"/>
        <v/>
      </c>
      <c r="AC81" s="236"/>
      <c r="AD81" s="236"/>
      <c r="AE81" s="236"/>
      <c r="AF81" s="236"/>
      <c r="AG81" s="236"/>
      <c r="AH81" s="236"/>
      <c r="AI81" s="236"/>
      <c r="AJ81" s="236"/>
      <c r="AK81" s="236"/>
      <c r="AL81" s="236"/>
      <c r="AM81" s="236"/>
      <c r="AN81" s="236"/>
      <c r="AO81" s="236"/>
      <c r="AP81" s="236"/>
      <c r="AQ81" s="236"/>
      <c r="AR81" s="236"/>
      <c r="AS81" s="236"/>
      <c r="AT81" s="236"/>
      <c r="AU81" s="236"/>
      <c r="AV81" s="236"/>
      <c r="AW81" s="236"/>
      <c r="AX81" s="236"/>
      <c r="AY81" s="236"/>
      <c r="AZ81" s="236"/>
      <c r="BA81" s="236"/>
      <c r="BB81" s="236"/>
      <c r="BC81" s="236"/>
      <c r="BD81" s="236"/>
      <c r="BE81" s="236"/>
      <c r="BF81" s="236"/>
      <c r="BG81" s="236"/>
      <c r="BH81" s="236"/>
      <c r="BI81" s="236"/>
      <c r="BJ81" s="236"/>
      <c r="BK81" s="236"/>
      <c r="BL81" s="236"/>
      <c r="BM81" s="236"/>
      <c r="BN81" s="236"/>
      <c r="BO81" s="236"/>
      <c r="BP81" s="236"/>
      <c r="BQ81" s="236"/>
      <c r="BR81" s="236"/>
      <c r="BS81" s="236"/>
      <c r="BT81" s="236"/>
      <c r="BU81" s="236"/>
      <c r="BV81" s="236"/>
      <c r="BW81" s="236"/>
      <c r="BX81" s="236"/>
      <c r="BY81" s="236"/>
      <c r="BZ81" s="236"/>
      <c r="CA81" s="236"/>
      <c r="CB81" s="236"/>
      <c r="CC81" s="236"/>
      <c r="CD81" s="236"/>
      <c r="CE81" s="236"/>
      <c r="CF81" s="236"/>
      <c r="CG81" s="236"/>
      <c r="CH81" s="236"/>
      <c r="CI81" s="236"/>
      <c r="CJ81" s="236"/>
      <c r="CK81" s="236"/>
      <c r="CL81" s="236"/>
      <c r="CM81" s="236"/>
      <c r="CN81" s="236"/>
      <c r="CO81" s="236"/>
      <c r="CP81" s="236"/>
      <c r="CQ81" s="236"/>
      <c r="CR81" s="236"/>
      <c r="CS81" s="236"/>
      <c r="CT81" s="236"/>
      <c r="CU81" s="236"/>
      <c r="CV81" s="236"/>
      <c r="CW81" s="236"/>
      <c r="CX81" s="236"/>
      <c r="CY81" s="236"/>
      <c r="CZ81" s="236"/>
      <c r="DA81" s="236"/>
      <c r="DB81" s="236"/>
      <c r="DC81" s="236"/>
      <c r="DD81" s="236"/>
      <c r="DE81" s="236"/>
      <c r="DF81" s="236"/>
      <c r="DG81" s="236"/>
      <c r="DH81" s="236"/>
      <c r="DI81" s="236"/>
      <c r="DJ81" s="236"/>
      <c r="DK81" s="236"/>
      <c r="DL81" s="236"/>
      <c r="DM81" s="236"/>
      <c r="DN81" s="236"/>
      <c r="DO81" s="236"/>
      <c r="DP81" s="236"/>
      <c r="DQ81" s="236"/>
      <c r="DR81" s="236"/>
      <c r="DS81" s="236"/>
      <c r="DT81" s="236"/>
      <c r="DU81" s="236"/>
      <c r="DV81" s="236"/>
      <c r="DW81" s="236"/>
      <c r="DX81" s="236"/>
      <c r="DY81" s="236"/>
      <c r="DZ81" s="236"/>
      <c r="EA81" s="236"/>
      <c r="EB81" s="236"/>
      <c r="EC81" s="236"/>
      <c r="ED81" s="236"/>
      <c r="EE81" s="236"/>
      <c r="EF81" s="236"/>
      <c r="EG81" s="236"/>
      <c r="EH81" s="236"/>
      <c r="EI81" s="236"/>
      <c r="EJ81" s="236"/>
      <c r="EK81" s="236"/>
      <c r="EL81" s="236"/>
      <c r="EM81" s="236"/>
      <c r="EN81" s="236"/>
      <c r="EO81" s="236"/>
      <c r="EP81" s="236"/>
      <c r="EQ81" s="236"/>
      <c r="ER81" s="236"/>
      <c r="ES81" s="236"/>
      <c r="ET81" s="236"/>
      <c r="EU81" s="236"/>
      <c r="EV81" s="236"/>
      <c r="EW81" s="236"/>
      <c r="EX81" s="236"/>
      <c r="EY81" s="236"/>
      <c r="EZ81" s="236"/>
      <c r="FA81" s="236"/>
      <c r="FB81" s="236"/>
      <c r="FC81" s="236"/>
      <c r="FD81" s="236"/>
      <c r="FE81" s="236"/>
      <c r="FF81" s="236"/>
      <c r="FG81" s="236"/>
      <c r="FH81" s="236"/>
      <c r="FI81" s="236"/>
      <c r="FJ81" s="236"/>
      <c r="FK81" s="236"/>
      <c r="FL81" s="236"/>
      <c r="FM81" s="236"/>
      <c r="FN81" s="236"/>
      <c r="FO81" s="236"/>
      <c r="FP81" s="236"/>
      <c r="FQ81" s="236"/>
      <c r="FR81" s="236"/>
      <c r="FS81" s="236"/>
      <c r="FT81" s="236"/>
      <c r="FU81" s="236"/>
      <c r="FV81" s="236"/>
      <c r="FW81" s="236"/>
      <c r="FX81" s="236"/>
      <c r="FY81" s="236"/>
      <c r="FZ81" s="236"/>
      <c r="GA81" s="236"/>
      <c r="GB81" s="236"/>
      <c r="GC81" s="236"/>
      <c r="GD81" s="236"/>
      <c r="GE81" s="236"/>
      <c r="GF81" s="236"/>
      <c r="GG81" s="236"/>
      <c r="GH81" s="236"/>
      <c r="GI81" s="236"/>
      <c r="GJ81" s="236"/>
      <c r="GK81" s="236"/>
      <c r="GL81" s="236"/>
      <c r="GM81" s="236"/>
      <c r="GN81" s="236"/>
      <c r="GO81" s="236"/>
      <c r="GP81" s="236"/>
      <c r="GQ81" s="236"/>
      <c r="GR81" s="236"/>
      <c r="GS81" s="236"/>
      <c r="GT81" s="236"/>
      <c r="GU81" s="236"/>
      <c r="GV81" s="236"/>
      <c r="GW81" s="236"/>
      <c r="GX81" s="236"/>
      <c r="GY81" s="236"/>
      <c r="GZ81" s="236"/>
      <c r="HA81" s="236"/>
      <c r="HB81" s="236"/>
      <c r="HC81" s="236"/>
      <c r="HD81" s="236"/>
      <c r="HE81" s="236"/>
      <c r="HF81" s="236"/>
      <c r="HG81" s="236"/>
      <c r="HH81" s="236"/>
      <c r="HI81" s="236"/>
      <c r="HJ81" s="236"/>
      <c r="HK81" s="236"/>
      <c r="HL81" s="236"/>
      <c r="HM81" s="236"/>
      <c r="HN81" s="236"/>
      <c r="HO81" s="236"/>
      <c r="HP81" s="236"/>
      <c r="HQ81" s="236"/>
      <c r="HR81" s="236"/>
      <c r="HS81" s="236"/>
      <c r="HT81" s="236"/>
      <c r="HU81" s="236"/>
      <c r="HV81" s="236"/>
      <c r="HW81" s="236"/>
      <c r="HX81" s="236"/>
      <c r="HY81" s="236"/>
      <c r="HZ81" s="236"/>
      <c r="IA81" s="236"/>
      <c r="IB81" s="236"/>
      <c r="IC81" s="236"/>
      <c r="ID81" s="236"/>
      <c r="IE81" s="236"/>
      <c r="IF81" s="236"/>
      <c r="IG81" s="236"/>
      <c r="IH81" s="236"/>
      <c r="II81" s="236"/>
      <c r="IJ81" s="236"/>
      <c r="IK81" s="236"/>
      <c r="IL81" s="236"/>
      <c r="IM81" s="236"/>
      <c r="IN81" s="236"/>
      <c r="IO81" s="236"/>
      <c r="IP81" s="236"/>
      <c r="IQ81" s="236"/>
      <c r="IR81" s="236"/>
      <c r="IS81" s="236"/>
      <c r="IT81" s="236"/>
      <c r="IU81" s="236"/>
      <c r="IV81" s="236"/>
      <c r="IW81" s="236"/>
      <c r="IX81" s="236"/>
      <c r="IY81" s="236"/>
      <c r="IZ81" s="236"/>
      <c r="JA81" s="236"/>
      <c r="JB81" s="236"/>
      <c r="JC81" s="236"/>
      <c r="JD81" s="236"/>
      <c r="JE81" s="236"/>
      <c r="JF81" s="236"/>
      <c r="JG81" s="236"/>
      <c r="JH81" s="236"/>
      <c r="JI81" s="236"/>
      <c r="JJ81" s="236"/>
      <c r="JK81" s="236"/>
      <c r="JL81" s="236"/>
      <c r="JM81" s="236"/>
      <c r="JN81" s="236"/>
      <c r="JO81" s="236"/>
      <c r="JP81" s="236"/>
      <c r="JQ81" s="236"/>
      <c r="JR81" s="236"/>
      <c r="JS81" s="236"/>
      <c r="JT81" s="236"/>
      <c r="JU81" s="236"/>
      <c r="JV81" s="236"/>
      <c r="JW81" s="236"/>
      <c r="JX81" s="409"/>
      <c r="JY81" s="409"/>
      <c r="JZ81" s="409"/>
      <c r="KA81" s="409"/>
      <c r="KB81" s="409"/>
      <c r="KC81" s="409"/>
      <c r="KD81" s="409"/>
      <c r="KE81" s="409"/>
      <c r="KF81" s="409"/>
      <c r="KG81" s="410"/>
      <c r="KH81" s="412">
        <f t="shared" si="17"/>
        <v>78</v>
      </c>
      <c r="KI81" s="413" t="str">
        <f t="shared" ca="1" si="27"/>
        <v/>
      </c>
      <c r="KJ81" s="413" t="str">
        <f t="shared" ca="1" si="20"/>
        <v/>
      </c>
      <c r="KK81" s="414" t="str">
        <f t="shared" ca="1" si="28"/>
        <v/>
      </c>
    </row>
    <row r="82" spans="3:297" ht="24" customHeight="1">
      <c r="C82"/>
      <c r="D82" s="57" t="str">
        <f ca="1">INDIRECT(ADDRESS(ROWS($D$3:D81)+6,D$3,1,1,"3_TIME SUM"))</f>
        <v>Mud Services</v>
      </c>
      <c r="E82" s="81" t="str">
        <f ca="1">IF(INDIRECT(ADDRESS(ROWS($E$3:E81)+6,E$3,1,1,"3_TIME SUM"))=0,E81,INDIRECT(ADDRESS(ROWS($E$3:E81)+6,E$3,1,1,"3_TIME SUM")))</f>
        <v>Service Company (NPT)</v>
      </c>
      <c r="F82" s="57" t="str">
        <f t="shared" ca="1" si="24"/>
        <v>Service Company (NPT) : Mud Services</v>
      </c>
      <c r="G82" s="58" t="str">
        <f ca="1">VLOOKUP($D82,INDIRECT(ADDRESS(7,5,1,1,"3_TIME SUM")):INDIRECT(ADDRESS(200,7,1,1,"3_TIME SUM")),2,FALSE)</f>
        <v>21b</v>
      </c>
      <c r="H82" s="58" t="str">
        <f ca="1">IF(VLOOKUP($D82,INDIRECT(ADDRESS(7,5,1,1,"3_TIME SUM")):INDIRECT(ADDRESS(200,7,1,1,"3_TIME SUM")),3,FALSE)="","PT",VLOOKUP($D82,INDIRECT(ADDRESS(7,5,1,1,"3_TIME SUM")):INDIRECT(ADDRESS(200,7,1,1,"3_TIME SUM")),3,FALSE))</f>
        <v>NPT</v>
      </c>
      <c r="I82" s="59">
        <f ca="1">IFERROR(IF(AND($D$2="NON PRODUCTIVE TIME",$H82="NPT"),SUMIF(INDIRECT(ADDRESS(8,COLUMN('2_DATA'!$M$9),1,1,"2_DATA")):INDIRECT(ADDRESS(3000,COLUMN('2_DATA'!$M$9),1,1,"2_DATA")),$G82,INDIRECT(ADDRESS(8,COLUMN('2_DATA'!$N$9),1,1,"2_DATA")):INDIRECT(ADDRESS(3000,COLUMN('2_DATA'!$N$9),1,1,"2_DATA"))),IF($D$2="ALL ACTIVITY",SUMIF(INDIRECT(ADDRESS(9,COLUMN('2_DATA'!$M$9),1,1,"2_DATA")):INDIRECT(ADDRESS(3000,COLUMN('2_DATA'!$M$9),1,1,"2_DATA")),$G82,INDIRECT(ADDRESS(9,COLUMN('2_DATA'!$N$9),1,1,"2_DATA")):INDIRECT(ADDRESS(3000,COLUMN('2_DATA'!$N$9),1,1,"2_DATA"))),SUMIF(INDIRECT(ADDRESS(OFFSET($A$3,MATCH($D$2,$A$4:$A$16,0)-1,1,,)+1,COLUMN('2_DATA'!$M$9),1,1,"2_DATA")):INDIRECT(ADDRESS(VLOOKUP($D$2,$A$4:$B$16,2,FALSE)-1,COLUMN('2_DATA'!$M$9),1,1,"2_DATA")),$G82,INDIRECT(ADDRESS(OFFSET($A$3,MATCH($D$2,$A$4:$A$16,0)-1,1,,)+1,COLUMN('2_DATA'!$N$9),1,1,"2_DATA")):INDIRECT(ADDRESS(VLOOKUP($D$2,$A$4:$B$16,2,FALSE)-1,COLUMN('2_DATA'!$N$9),1,1,"2_DATA"))))),0)</f>
        <v>0</v>
      </c>
      <c r="J82" s="58" t="str">
        <f ca="1">IF(I82=0,"",MAX($J$3:J81)+1)</f>
        <v/>
      </c>
      <c r="L82" s="55">
        <f t="shared" ca="1" si="21"/>
        <v>1000</v>
      </c>
      <c r="M82" s="55" t="str">
        <f t="shared" ca="1" si="25"/>
        <v/>
      </c>
      <c r="N82" s="55"/>
      <c r="O82" s="55" t="str">
        <f t="shared" ca="1" si="29"/>
        <v/>
      </c>
      <c r="P82" s="55">
        <f t="shared" ca="1" si="22"/>
        <v>0</v>
      </c>
      <c r="Q82" s="55" t="str">
        <f ca="1">IFERROR(INDEX($O$4:$P$226,MATCH(ROWS($Q$3:Q81),$P$4:$P$226,0),1),"-")</f>
        <v>-</v>
      </c>
      <c r="R82" s="62" t="str">
        <f t="shared" ca="1" si="23"/>
        <v/>
      </c>
      <c r="S82" s="55" t="str">
        <f t="shared" ca="1" si="26"/>
        <v/>
      </c>
      <c r="T82" s="67" t="str">
        <f t="shared" ca="1" si="19"/>
        <v>-</v>
      </c>
      <c r="V82" s="68" t="str">
        <f t="shared" ca="1" si="30"/>
        <v/>
      </c>
      <c r="W82" s="69" t="str">
        <f t="shared" ca="1" si="31"/>
        <v/>
      </c>
      <c r="X82" s="70" t="s">
        <v>84</v>
      </c>
      <c r="Y82" s="68" t="str">
        <f t="shared" ca="1" si="35"/>
        <v/>
      </c>
      <c r="Z82" s="71" t="str">
        <f t="shared" ca="1" si="32"/>
        <v/>
      </c>
      <c r="AA82" s="72" t="str">
        <f t="shared" ca="1" si="33"/>
        <v/>
      </c>
      <c r="AB82" s="305" t="str">
        <f t="shared" ca="1" si="34"/>
        <v/>
      </c>
      <c r="AC82" s="236"/>
      <c r="AD82" s="236"/>
      <c r="AE82" s="236"/>
      <c r="AF82" s="236"/>
      <c r="AG82" s="236"/>
      <c r="AH82" s="236"/>
      <c r="AI82" s="236"/>
      <c r="AJ82" s="236"/>
      <c r="AK82" s="236"/>
      <c r="AL82" s="236"/>
      <c r="AM82" s="236"/>
      <c r="AN82" s="236"/>
      <c r="AO82" s="236"/>
      <c r="AP82" s="236"/>
      <c r="AQ82" s="236"/>
      <c r="AR82" s="236"/>
      <c r="AS82" s="236"/>
      <c r="AT82" s="236"/>
      <c r="AU82" s="236"/>
      <c r="AV82" s="236"/>
      <c r="AW82" s="236"/>
      <c r="AX82" s="236"/>
      <c r="AY82" s="236"/>
      <c r="AZ82" s="236"/>
      <c r="BA82" s="236"/>
      <c r="BB82" s="236"/>
      <c r="BC82" s="236"/>
      <c r="BD82" s="236"/>
      <c r="BE82" s="236"/>
      <c r="BF82" s="236"/>
      <c r="BG82" s="236"/>
      <c r="BH82" s="236"/>
      <c r="BI82" s="236"/>
      <c r="BJ82" s="236"/>
      <c r="BK82" s="236"/>
      <c r="BL82" s="236"/>
      <c r="BM82" s="236"/>
      <c r="BN82" s="236"/>
      <c r="BO82" s="236"/>
      <c r="BP82" s="236"/>
      <c r="BQ82" s="236"/>
      <c r="BR82" s="236"/>
      <c r="BS82" s="236"/>
      <c r="BT82" s="236"/>
      <c r="BU82" s="236"/>
      <c r="BV82" s="236"/>
      <c r="BW82" s="236"/>
      <c r="BX82" s="236"/>
      <c r="BY82" s="236"/>
      <c r="BZ82" s="236"/>
      <c r="CA82" s="236"/>
      <c r="CB82" s="236"/>
      <c r="CC82" s="236"/>
      <c r="CD82" s="236"/>
      <c r="CE82" s="236"/>
      <c r="CF82" s="236"/>
      <c r="CG82" s="236"/>
      <c r="CH82" s="236"/>
      <c r="CI82" s="236"/>
      <c r="CJ82" s="236"/>
      <c r="CK82" s="236"/>
      <c r="CL82" s="236"/>
      <c r="CM82" s="236"/>
      <c r="CN82" s="236"/>
      <c r="CO82" s="236"/>
      <c r="CP82" s="236"/>
      <c r="CQ82" s="236"/>
      <c r="CR82" s="236"/>
      <c r="CS82" s="236"/>
      <c r="CT82" s="236"/>
      <c r="CU82" s="236"/>
      <c r="CV82" s="236"/>
      <c r="CW82" s="236"/>
      <c r="CX82" s="236"/>
      <c r="CY82" s="236"/>
      <c r="CZ82" s="236"/>
      <c r="DA82" s="236"/>
      <c r="DB82" s="236"/>
      <c r="DC82" s="236"/>
      <c r="DD82" s="236"/>
      <c r="DE82" s="236"/>
      <c r="DF82" s="236"/>
      <c r="DG82" s="236"/>
      <c r="DH82" s="236"/>
      <c r="DI82" s="236"/>
      <c r="DJ82" s="236"/>
      <c r="DK82" s="236"/>
      <c r="DL82" s="236"/>
      <c r="DM82" s="236"/>
      <c r="DN82" s="236"/>
      <c r="DO82" s="236"/>
      <c r="DP82" s="236"/>
      <c r="DQ82" s="236"/>
      <c r="DR82" s="236"/>
      <c r="DS82" s="236"/>
      <c r="DT82" s="236"/>
      <c r="DU82" s="236"/>
      <c r="DV82" s="236"/>
      <c r="DW82" s="236"/>
      <c r="DX82" s="236"/>
      <c r="DY82" s="236"/>
      <c r="DZ82" s="236"/>
      <c r="EA82" s="236"/>
      <c r="EB82" s="236"/>
      <c r="EC82" s="236"/>
      <c r="ED82" s="236"/>
      <c r="EE82" s="236"/>
      <c r="EF82" s="236"/>
      <c r="EG82" s="236"/>
      <c r="EH82" s="236"/>
      <c r="EI82" s="236"/>
      <c r="EJ82" s="236"/>
      <c r="EK82" s="236"/>
      <c r="EL82" s="236"/>
      <c r="EM82" s="236"/>
      <c r="EN82" s="236"/>
      <c r="EO82" s="236"/>
      <c r="EP82" s="236"/>
      <c r="EQ82" s="236"/>
      <c r="ER82" s="236"/>
      <c r="ES82" s="236"/>
      <c r="ET82" s="236"/>
      <c r="EU82" s="236"/>
      <c r="EV82" s="236"/>
      <c r="EW82" s="236"/>
      <c r="EX82" s="236"/>
      <c r="EY82" s="236"/>
      <c r="EZ82" s="236"/>
      <c r="FA82" s="236"/>
      <c r="FB82" s="236"/>
      <c r="FC82" s="236"/>
      <c r="FD82" s="236"/>
      <c r="FE82" s="236"/>
      <c r="FF82" s="236"/>
      <c r="FG82" s="236"/>
      <c r="FH82" s="236"/>
      <c r="FI82" s="236"/>
      <c r="FJ82" s="236"/>
      <c r="FK82" s="236"/>
      <c r="FL82" s="236"/>
      <c r="FM82" s="236"/>
      <c r="FN82" s="236"/>
      <c r="FO82" s="236"/>
      <c r="FP82" s="236"/>
      <c r="FQ82" s="236"/>
      <c r="FR82" s="236"/>
      <c r="FS82" s="236"/>
      <c r="FT82" s="236"/>
      <c r="FU82" s="236"/>
      <c r="FV82" s="236"/>
      <c r="FW82" s="236"/>
      <c r="FX82" s="236"/>
      <c r="FY82" s="236"/>
      <c r="FZ82" s="236"/>
      <c r="GA82" s="236"/>
      <c r="GB82" s="236"/>
      <c r="GC82" s="236"/>
      <c r="GD82" s="236"/>
      <c r="GE82" s="236"/>
      <c r="GF82" s="236"/>
      <c r="GG82" s="236"/>
      <c r="GH82" s="236"/>
      <c r="GI82" s="236"/>
      <c r="GJ82" s="236"/>
      <c r="GK82" s="236"/>
      <c r="GL82" s="236"/>
      <c r="GM82" s="236"/>
      <c r="GN82" s="236"/>
      <c r="GO82" s="236"/>
      <c r="GP82" s="236"/>
      <c r="GQ82" s="236"/>
      <c r="GR82" s="236"/>
      <c r="GS82" s="236"/>
      <c r="GT82" s="236"/>
      <c r="GU82" s="236"/>
      <c r="GV82" s="236"/>
      <c r="GW82" s="236"/>
      <c r="GX82" s="236"/>
      <c r="GY82" s="236"/>
      <c r="GZ82" s="236"/>
      <c r="HA82" s="236"/>
      <c r="HB82" s="236"/>
      <c r="HC82" s="236"/>
      <c r="HD82" s="236"/>
      <c r="HE82" s="236"/>
      <c r="HF82" s="236"/>
      <c r="HG82" s="236"/>
      <c r="HH82" s="236"/>
      <c r="HI82" s="236"/>
      <c r="HJ82" s="236"/>
      <c r="HK82" s="236"/>
      <c r="HL82" s="236"/>
      <c r="HM82" s="236"/>
      <c r="HN82" s="236"/>
      <c r="HO82" s="236"/>
      <c r="HP82" s="236"/>
      <c r="HQ82" s="236"/>
      <c r="HR82" s="236"/>
      <c r="HS82" s="236"/>
      <c r="HT82" s="236"/>
      <c r="HU82" s="236"/>
      <c r="HV82" s="236"/>
      <c r="HW82" s="236"/>
      <c r="HX82" s="236"/>
      <c r="HY82" s="236"/>
      <c r="HZ82" s="236"/>
      <c r="IA82" s="236"/>
      <c r="IB82" s="236"/>
      <c r="IC82" s="236"/>
      <c r="ID82" s="236"/>
      <c r="IE82" s="236"/>
      <c r="IF82" s="236"/>
      <c r="IG82" s="236"/>
      <c r="IH82" s="236"/>
      <c r="II82" s="236"/>
      <c r="IJ82" s="236"/>
      <c r="IK82" s="236"/>
      <c r="IL82" s="236"/>
      <c r="IM82" s="236"/>
      <c r="IN82" s="236"/>
      <c r="IO82" s="236"/>
      <c r="IP82" s="236"/>
      <c r="IQ82" s="236"/>
      <c r="IR82" s="236"/>
      <c r="IS82" s="236"/>
      <c r="IT82" s="236"/>
      <c r="IU82" s="236"/>
      <c r="IV82" s="236"/>
      <c r="IW82" s="236"/>
      <c r="IX82" s="236"/>
      <c r="IY82" s="236"/>
      <c r="IZ82" s="236"/>
      <c r="JA82" s="236"/>
      <c r="JB82" s="236"/>
      <c r="JC82" s="236"/>
      <c r="JD82" s="236"/>
      <c r="JE82" s="236"/>
      <c r="JF82" s="236"/>
      <c r="JG82" s="236"/>
      <c r="JH82" s="236"/>
      <c r="JI82" s="236"/>
      <c r="JJ82" s="236"/>
      <c r="JK82" s="236"/>
      <c r="JL82" s="236"/>
      <c r="JM82" s="236"/>
      <c r="JN82" s="236"/>
      <c r="JO82" s="236"/>
      <c r="JP82" s="236"/>
      <c r="JQ82" s="236"/>
      <c r="JR82" s="236"/>
      <c r="JS82" s="236"/>
      <c r="JT82" s="236"/>
      <c r="JU82" s="236"/>
      <c r="JV82" s="236"/>
      <c r="JW82" s="236"/>
      <c r="JX82" s="409"/>
      <c r="JY82" s="409"/>
      <c r="JZ82" s="409"/>
      <c r="KA82" s="409"/>
      <c r="KB82" s="409"/>
      <c r="KC82" s="409"/>
      <c r="KD82" s="409"/>
      <c r="KE82" s="409"/>
      <c r="KF82" s="409"/>
      <c r="KG82" s="410"/>
      <c r="KH82" s="412">
        <f t="shared" si="17"/>
        <v>79</v>
      </c>
      <c r="KI82" s="413" t="str">
        <f t="shared" ca="1" si="27"/>
        <v/>
      </c>
      <c r="KJ82" s="413" t="str">
        <f t="shared" ca="1" si="20"/>
        <v/>
      </c>
      <c r="KK82" s="414" t="str">
        <f t="shared" ca="1" si="28"/>
        <v/>
      </c>
    </row>
    <row r="83" spans="3:297" ht="24" customHeight="1">
      <c r="C83"/>
      <c r="D83" s="57" t="str">
        <f ca="1">INDIRECT(ADDRESS(ROWS($D$3:D82)+6,D$3,1,1,"3_TIME SUM"))</f>
        <v>MLU Services</v>
      </c>
      <c r="E83" s="81" t="str">
        <f ca="1">IF(INDIRECT(ADDRESS(ROWS($E$3:E82)+6,E$3,1,1,"3_TIME SUM"))=0,E82,INDIRECT(ADDRESS(ROWS($E$3:E82)+6,E$3,1,1,"3_TIME SUM")))</f>
        <v>Service Company (NPT)</v>
      </c>
      <c r="F83" s="57" t="str">
        <f t="shared" ca="1" si="24"/>
        <v>Service Company (NPT) : MLU Services</v>
      </c>
      <c r="G83" s="58" t="str">
        <f ca="1">VLOOKUP($D83,INDIRECT(ADDRESS(7,5,1,1,"3_TIME SUM")):INDIRECT(ADDRESS(200,7,1,1,"3_TIME SUM")),2,FALSE)</f>
        <v>21c</v>
      </c>
      <c r="H83" s="58" t="str">
        <f ca="1">IF(VLOOKUP($D83,INDIRECT(ADDRESS(7,5,1,1,"3_TIME SUM")):INDIRECT(ADDRESS(200,7,1,1,"3_TIME SUM")),3,FALSE)="","PT",VLOOKUP($D83,INDIRECT(ADDRESS(7,5,1,1,"3_TIME SUM")):INDIRECT(ADDRESS(200,7,1,1,"3_TIME SUM")),3,FALSE))</f>
        <v>NPT</v>
      </c>
      <c r="I83" s="59">
        <f ca="1">IFERROR(IF(AND($D$2="NON PRODUCTIVE TIME",$H83="NPT"),SUMIF(INDIRECT(ADDRESS(8,COLUMN('2_DATA'!$M$9),1,1,"2_DATA")):INDIRECT(ADDRESS(3000,COLUMN('2_DATA'!$M$9),1,1,"2_DATA")),$G83,INDIRECT(ADDRESS(8,COLUMN('2_DATA'!$N$9),1,1,"2_DATA")):INDIRECT(ADDRESS(3000,COLUMN('2_DATA'!$N$9),1,1,"2_DATA"))),IF($D$2="ALL ACTIVITY",SUMIF(INDIRECT(ADDRESS(9,COLUMN('2_DATA'!$M$9),1,1,"2_DATA")):INDIRECT(ADDRESS(3000,COLUMN('2_DATA'!$M$9),1,1,"2_DATA")),$G83,INDIRECT(ADDRESS(9,COLUMN('2_DATA'!$N$9),1,1,"2_DATA")):INDIRECT(ADDRESS(3000,COLUMN('2_DATA'!$N$9),1,1,"2_DATA"))),SUMIF(INDIRECT(ADDRESS(OFFSET($A$3,MATCH($D$2,$A$4:$A$16,0)-1,1,,)+1,COLUMN('2_DATA'!$M$9),1,1,"2_DATA")):INDIRECT(ADDRESS(VLOOKUP($D$2,$A$4:$B$16,2,FALSE)-1,COLUMN('2_DATA'!$M$9),1,1,"2_DATA")),$G83,INDIRECT(ADDRESS(OFFSET($A$3,MATCH($D$2,$A$4:$A$16,0)-1,1,,)+1,COLUMN('2_DATA'!$N$9),1,1,"2_DATA")):INDIRECT(ADDRESS(VLOOKUP($D$2,$A$4:$B$16,2,FALSE)-1,COLUMN('2_DATA'!$N$9),1,1,"2_DATA"))))),0)</f>
        <v>0</v>
      </c>
      <c r="J83" s="58" t="str">
        <f ca="1">IF(I83=0,"",MAX($J$3:J82)+1)</f>
        <v/>
      </c>
      <c r="L83" s="55">
        <f t="shared" ca="1" si="21"/>
        <v>1000</v>
      </c>
      <c r="M83" s="55" t="str">
        <f t="shared" ca="1" si="25"/>
        <v/>
      </c>
      <c r="N83" s="55"/>
      <c r="O83" s="55" t="str">
        <f t="shared" ca="1" si="29"/>
        <v/>
      </c>
      <c r="P83" s="55">
        <f t="shared" ca="1" si="22"/>
        <v>0</v>
      </c>
      <c r="Q83" s="55" t="str">
        <f ca="1">IFERROR(INDEX($O$4:$P$226,MATCH(ROWS($Q$3:Q82),$P$4:$P$226,0),1),"-")</f>
        <v>-</v>
      </c>
      <c r="R83" s="62" t="str">
        <f t="shared" ca="1" si="23"/>
        <v/>
      </c>
      <c r="S83" s="55" t="str">
        <f t="shared" ca="1" si="26"/>
        <v/>
      </c>
      <c r="T83" s="67" t="str">
        <f t="shared" ca="1" si="19"/>
        <v>-</v>
      </c>
      <c r="V83" s="68" t="str">
        <f t="shared" ca="1" si="30"/>
        <v/>
      </c>
      <c r="W83" s="69" t="str">
        <f t="shared" ca="1" si="31"/>
        <v/>
      </c>
      <c r="X83" s="70" t="s">
        <v>84</v>
      </c>
      <c r="Y83" s="68" t="str">
        <f t="shared" ca="1" si="35"/>
        <v/>
      </c>
      <c r="Z83" s="71" t="str">
        <f t="shared" ca="1" si="32"/>
        <v/>
      </c>
      <c r="AA83" s="72" t="str">
        <f t="shared" ca="1" si="33"/>
        <v/>
      </c>
      <c r="AB83" s="305" t="str">
        <f t="shared" ca="1" si="34"/>
        <v/>
      </c>
      <c r="AC83" s="236"/>
      <c r="AD83" s="236"/>
      <c r="AE83" s="236"/>
      <c r="AF83" s="236"/>
      <c r="AG83" s="236"/>
      <c r="AH83" s="236"/>
      <c r="AI83" s="236"/>
      <c r="AJ83" s="236"/>
      <c r="AK83" s="236"/>
      <c r="AL83" s="236"/>
      <c r="AM83" s="236"/>
      <c r="AN83" s="236"/>
      <c r="AO83" s="236"/>
      <c r="AP83" s="236"/>
      <c r="AQ83" s="236"/>
      <c r="AR83" s="236"/>
      <c r="AS83" s="236"/>
      <c r="AT83" s="236"/>
      <c r="AU83" s="236"/>
      <c r="AV83" s="236"/>
      <c r="AW83" s="236"/>
      <c r="AX83" s="236"/>
      <c r="AY83" s="236"/>
      <c r="AZ83" s="236"/>
      <c r="BA83" s="236"/>
      <c r="BB83" s="236"/>
      <c r="BC83" s="236"/>
      <c r="BD83" s="236"/>
      <c r="BE83" s="236"/>
      <c r="BF83" s="236"/>
      <c r="BG83" s="236"/>
      <c r="BH83" s="236"/>
      <c r="BI83" s="236"/>
      <c r="BJ83" s="236"/>
      <c r="BK83" s="236"/>
      <c r="BL83" s="236"/>
      <c r="BM83" s="236"/>
      <c r="BN83" s="236"/>
      <c r="BO83" s="236"/>
      <c r="BP83" s="236"/>
      <c r="BQ83" s="236"/>
      <c r="BR83" s="236"/>
      <c r="BS83" s="236"/>
      <c r="BT83" s="236"/>
      <c r="BU83" s="236"/>
      <c r="BV83" s="236"/>
      <c r="BW83" s="236"/>
      <c r="BX83" s="236"/>
      <c r="BY83" s="236"/>
      <c r="BZ83" s="236"/>
      <c r="CA83" s="236"/>
      <c r="CB83" s="236"/>
      <c r="CC83" s="236"/>
      <c r="CD83" s="236"/>
      <c r="CE83" s="236"/>
      <c r="CF83" s="236"/>
      <c r="CG83" s="236"/>
      <c r="CH83" s="236"/>
      <c r="CI83" s="236"/>
      <c r="CJ83" s="236"/>
      <c r="CK83" s="236"/>
      <c r="CL83" s="236"/>
      <c r="CM83" s="236"/>
      <c r="CN83" s="236"/>
      <c r="CO83" s="236"/>
      <c r="CP83" s="236"/>
      <c r="CQ83" s="236"/>
      <c r="CR83" s="236"/>
      <c r="CS83" s="236"/>
      <c r="CT83" s="236"/>
      <c r="CU83" s="236"/>
      <c r="CV83" s="236"/>
      <c r="CW83" s="236"/>
      <c r="CX83" s="236"/>
      <c r="CY83" s="236"/>
      <c r="CZ83" s="236"/>
      <c r="DA83" s="236"/>
      <c r="DB83" s="236"/>
      <c r="DC83" s="236"/>
      <c r="DD83" s="236"/>
      <c r="DE83" s="236"/>
      <c r="DF83" s="236"/>
      <c r="DG83" s="236"/>
      <c r="DH83" s="236"/>
      <c r="DI83" s="236"/>
      <c r="DJ83" s="236"/>
      <c r="DK83" s="236"/>
      <c r="DL83" s="236"/>
      <c r="DM83" s="236"/>
      <c r="DN83" s="236"/>
      <c r="DO83" s="236"/>
      <c r="DP83" s="236"/>
      <c r="DQ83" s="236"/>
      <c r="DR83" s="236"/>
      <c r="DS83" s="236"/>
      <c r="DT83" s="236"/>
      <c r="DU83" s="236"/>
      <c r="DV83" s="236"/>
      <c r="DW83" s="236"/>
      <c r="DX83" s="236"/>
      <c r="DY83" s="236"/>
      <c r="DZ83" s="236"/>
      <c r="EA83" s="236"/>
      <c r="EB83" s="236"/>
      <c r="EC83" s="236"/>
      <c r="ED83" s="236"/>
      <c r="EE83" s="236"/>
      <c r="EF83" s="236"/>
      <c r="EG83" s="236"/>
      <c r="EH83" s="236"/>
      <c r="EI83" s="236"/>
      <c r="EJ83" s="236"/>
      <c r="EK83" s="236"/>
      <c r="EL83" s="236"/>
      <c r="EM83" s="236"/>
      <c r="EN83" s="236"/>
      <c r="EO83" s="236"/>
      <c r="EP83" s="236"/>
      <c r="EQ83" s="236"/>
      <c r="ER83" s="236"/>
      <c r="ES83" s="236"/>
      <c r="ET83" s="236"/>
      <c r="EU83" s="236"/>
      <c r="EV83" s="236"/>
      <c r="EW83" s="236"/>
      <c r="EX83" s="236"/>
      <c r="EY83" s="236"/>
      <c r="EZ83" s="236"/>
      <c r="FA83" s="236"/>
      <c r="FB83" s="236"/>
      <c r="FC83" s="236"/>
      <c r="FD83" s="236"/>
      <c r="FE83" s="236"/>
      <c r="FF83" s="236"/>
      <c r="FG83" s="236"/>
      <c r="FH83" s="236"/>
      <c r="FI83" s="236"/>
      <c r="FJ83" s="236"/>
      <c r="FK83" s="236"/>
      <c r="FL83" s="236"/>
      <c r="FM83" s="236"/>
      <c r="FN83" s="236"/>
      <c r="FO83" s="236"/>
      <c r="FP83" s="236"/>
      <c r="FQ83" s="236"/>
      <c r="FR83" s="236"/>
      <c r="FS83" s="236"/>
      <c r="FT83" s="236"/>
      <c r="FU83" s="236"/>
      <c r="FV83" s="236"/>
      <c r="FW83" s="236"/>
      <c r="FX83" s="236"/>
      <c r="FY83" s="236"/>
      <c r="FZ83" s="236"/>
      <c r="GA83" s="236"/>
      <c r="GB83" s="236"/>
      <c r="GC83" s="236"/>
      <c r="GD83" s="236"/>
      <c r="GE83" s="236"/>
      <c r="GF83" s="236"/>
      <c r="GG83" s="236"/>
      <c r="GH83" s="236"/>
      <c r="GI83" s="236"/>
      <c r="GJ83" s="236"/>
      <c r="GK83" s="236"/>
      <c r="GL83" s="236"/>
      <c r="GM83" s="236"/>
      <c r="GN83" s="236"/>
      <c r="GO83" s="236"/>
      <c r="GP83" s="236"/>
      <c r="GQ83" s="236"/>
      <c r="GR83" s="236"/>
      <c r="GS83" s="236"/>
      <c r="GT83" s="236"/>
      <c r="GU83" s="236"/>
      <c r="GV83" s="236"/>
      <c r="GW83" s="236"/>
      <c r="GX83" s="236"/>
      <c r="GY83" s="236"/>
      <c r="GZ83" s="236"/>
      <c r="HA83" s="236"/>
      <c r="HB83" s="236"/>
      <c r="HC83" s="236"/>
      <c r="HD83" s="236"/>
      <c r="HE83" s="236"/>
      <c r="HF83" s="236"/>
      <c r="HG83" s="236"/>
      <c r="HH83" s="236"/>
      <c r="HI83" s="236"/>
      <c r="HJ83" s="236"/>
      <c r="HK83" s="236"/>
      <c r="HL83" s="236"/>
      <c r="HM83" s="236"/>
      <c r="HN83" s="236"/>
      <c r="HO83" s="236"/>
      <c r="HP83" s="236"/>
      <c r="HQ83" s="236"/>
      <c r="HR83" s="236"/>
      <c r="HS83" s="236"/>
      <c r="HT83" s="236"/>
      <c r="HU83" s="236"/>
      <c r="HV83" s="236"/>
      <c r="HW83" s="236"/>
      <c r="HX83" s="236"/>
      <c r="HY83" s="236"/>
      <c r="HZ83" s="236"/>
      <c r="IA83" s="236"/>
      <c r="IB83" s="236"/>
      <c r="IC83" s="236"/>
      <c r="ID83" s="236"/>
      <c r="IE83" s="236"/>
      <c r="IF83" s="236"/>
      <c r="IG83" s="236"/>
      <c r="IH83" s="236"/>
      <c r="II83" s="236"/>
      <c r="IJ83" s="236"/>
      <c r="IK83" s="236"/>
      <c r="IL83" s="236"/>
      <c r="IM83" s="236"/>
      <c r="IN83" s="236"/>
      <c r="IO83" s="236"/>
      <c r="IP83" s="236"/>
      <c r="IQ83" s="236"/>
      <c r="IR83" s="236"/>
      <c r="IS83" s="236"/>
      <c r="IT83" s="236"/>
      <c r="IU83" s="236"/>
      <c r="IV83" s="236"/>
      <c r="IW83" s="236"/>
      <c r="IX83" s="236"/>
      <c r="IY83" s="236"/>
      <c r="IZ83" s="236"/>
      <c r="JA83" s="236"/>
      <c r="JB83" s="236"/>
      <c r="JC83" s="236"/>
      <c r="JD83" s="236"/>
      <c r="JE83" s="236"/>
      <c r="JF83" s="236"/>
      <c r="JG83" s="236"/>
      <c r="JH83" s="236"/>
      <c r="JI83" s="236"/>
      <c r="JJ83" s="236"/>
      <c r="JK83" s="236"/>
      <c r="JL83" s="236"/>
      <c r="JM83" s="236"/>
      <c r="JN83" s="236"/>
      <c r="JO83" s="236"/>
      <c r="JP83" s="236"/>
      <c r="JQ83" s="236"/>
      <c r="JR83" s="236"/>
      <c r="JS83" s="236"/>
      <c r="JT83" s="236"/>
      <c r="JU83" s="236"/>
      <c r="JV83" s="236"/>
      <c r="JW83" s="236"/>
      <c r="JX83" s="409"/>
      <c r="JY83" s="409"/>
      <c r="JZ83" s="409"/>
      <c r="KA83" s="409"/>
      <c r="KB83" s="409"/>
      <c r="KC83" s="409"/>
      <c r="KD83" s="409"/>
      <c r="KE83" s="409"/>
      <c r="KF83" s="409"/>
      <c r="KG83" s="410"/>
      <c r="KH83" s="412">
        <f t="shared" si="17"/>
        <v>80</v>
      </c>
      <c r="KI83" s="413" t="str">
        <f t="shared" ca="1" si="27"/>
        <v/>
      </c>
      <c r="KJ83" s="413" t="str">
        <f t="shared" ca="1" si="20"/>
        <v/>
      </c>
      <c r="KK83" s="414" t="str">
        <f t="shared" ca="1" si="28"/>
        <v/>
      </c>
    </row>
    <row r="84" spans="3:297" ht="24" customHeight="1">
      <c r="C84"/>
      <c r="D84" s="57" t="str">
        <f ca="1">INDIRECT(ADDRESS(ROWS($D$3:D83)+6,D$3,1,1,"3_TIME SUM"))</f>
        <v>UBD, MPD, Aerated Services</v>
      </c>
      <c r="E84" s="81" t="str">
        <f ca="1">IF(INDIRECT(ADDRESS(ROWS($E$3:E83)+6,E$3,1,1,"3_TIME SUM"))=0,E83,INDIRECT(ADDRESS(ROWS($E$3:E83)+6,E$3,1,1,"3_TIME SUM")))</f>
        <v>Service Company (NPT)</v>
      </c>
      <c r="F84" s="57" t="str">
        <f t="shared" ca="1" si="24"/>
        <v>Service Company (NPT) : UBD, MPD, Aerated Services</v>
      </c>
      <c r="G84" s="58" t="str">
        <f ca="1">VLOOKUP($D84,INDIRECT(ADDRESS(7,5,1,1,"3_TIME SUM")):INDIRECT(ADDRESS(200,7,1,1,"3_TIME SUM")),2,FALSE)</f>
        <v>21d</v>
      </c>
      <c r="H84" s="58" t="str">
        <f ca="1">IF(VLOOKUP($D84,INDIRECT(ADDRESS(7,5,1,1,"3_TIME SUM")):INDIRECT(ADDRESS(200,7,1,1,"3_TIME SUM")),3,FALSE)="","PT",VLOOKUP($D84,INDIRECT(ADDRESS(7,5,1,1,"3_TIME SUM")):INDIRECT(ADDRESS(200,7,1,1,"3_TIME SUM")),3,FALSE))</f>
        <v>NPT</v>
      </c>
      <c r="I84" s="59">
        <f ca="1">IFERROR(IF(AND($D$2="NON PRODUCTIVE TIME",$H84="NPT"),SUMIF(INDIRECT(ADDRESS(8,COLUMN('2_DATA'!$M$9),1,1,"2_DATA")):INDIRECT(ADDRESS(3000,COLUMN('2_DATA'!$M$9),1,1,"2_DATA")),$G84,INDIRECT(ADDRESS(8,COLUMN('2_DATA'!$N$9),1,1,"2_DATA")):INDIRECT(ADDRESS(3000,COLUMN('2_DATA'!$N$9),1,1,"2_DATA"))),IF($D$2="ALL ACTIVITY",SUMIF(INDIRECT(ADDRESS(9,COLUMN('2_DATA'!$M$9),1,1,"2_DATA")):INDIRECT(ADDRESS(3000,COLUMN('2_DATA'!$M$9),1,1,"2_DATA")),$G84,INDIRECT(ADDRESS(9,COLUMN('2_DATA'!$N$9),1,1,"2_DATA")):INDIRECT(ADDRESS(3000,COLUMN('2_DATA'!$N$9),1,1,"2_DATA"))),SUMIF(INDIRECT(ADDRESS(OFFSET($A$3,MATCH($D$2,$A$4:$A$16,0)-1,1,,)+1,COLUMN('2_DATA'!$M$9),1,1,"2_DATA")):INDIRECT(ADDRESS(VLOOKUP($D$2,$A$4:$B$16,2,FALSE)-1,COLUMN('2_DATA'!$M$9),1,1,"2_DATA")),$G84,INDIRECT(ADDRESS(OFFSET($A$3,MATCH($D$2,$A$4:$A$16,0)-1,1,,)+1,COLUMN('2_DATA'!$N$9),1,1,"2_DATA")):INDIRECT(ADDRESS(VLOOKUP($D$2,$A$4:$B$16,2,FALSE)-1,COLUMN('2_DATA'!$N$9),1,1,"2_DATA"))))),0)</f>
        <v>0</v>
      </c>
      <c r="J84" s="58" t="str">
        <f ca="1">IF(I84=0,"",MAX($J$3:J83)+1)</f>
        <v/>
      </c>
      <c r="L84" s="55">
        <f t="shared" ca="1" si="21"/>
        <v>1000</v>
      </c>
      <c r="M84" s="55" t="str">
        <f t="shared" ca="1" si="25"/>
        <v/>
      </c>
      <c r="N84" s="55"/>
      <c r="O84" s="55" t="str">
        <f t="shared" ca="1" si="29"/>
        <v/>
      </c>
      <c r="P84" s="55">
        <f t="shared" ca="1" si="22"/>
        <v>0</v>
      </c>
      <c r="Q84" s="55" t="str">
        <f ca="1">IFERROR(INDEX($O$4:$P$226,MATCH(ROWS($Q$3:Q83),$P$4:$P$226,0),1),"-")</f>
        <v>-</v>
      </c>
      <c r="R84" s="62" t="str">
        <f t="shared" ca="1" si="23"/>
        <v/>
      </c>
      <c r="S84" s="55" t="str">
        <f t="shared" ca="1" si="26"/>
        <v/>
      </c>
      <c r="T84" s="67" t="str">
        <f t="shared" ca="1" si="19"/>
        <v>-</v>
      </c>
      <c r="V84" s="68" t="str">
        <f t="shared" ca="1" si="30"/>
        <v/>
      </c>
      <c r="W84" s="69" t="str">
        <f t="shared" ca="1" si="31"/>
        <v/>
      </c>
      <c r="X84" s="70" t="s">
        <v>84</v>
      </c>
      <c r="Y84" s="68" t="str">
        <f t="shared" ca="1" si="35"/>
        <v/>
      </c>
      <c r="Z84" s="71" t="str">
        <f t="shared" ca="1" si="32"/>
        <v/>
      </c>
      <c r="AA84" s="72" t="str">
        <f t="shared" ca="1" si="33"/>
        <v/>
      </c>
      <c r="AB84" s="305" t="str">
        <f t="shared" ca="1" si="34"/>
        <v/>
      </c>
      <c r="AC84" s="236"/>
      <c r="AD84" s="236"/>
      <c r="AE84" s="236"/>
      <c r="AF84" s="236"/>
      <c r="AG84" s="236"/>
      <c r="AH84" s="236"/>
      <c r="AI84" s="236"/>
      <c r="AJ84" s="236"/>
      <c r="AK84" s="236"/>
      <c r="AL84" s="236"/>
      <c r="AM84" s="236"/>
      <c r="AN84" s="236"/>
      <c r="AO84" s="236"/>
      <c r="AP84" s="236"/>
      <c r="AQ84" s="236"/>
      <c r="AR84" s="236"/>
      <c r="AS84" s="236"/>
      <c r="AT84" s="236"/>
      <c r="AU84" s="236"/>
      <c r="AV84" s="236"/>
      <c r="AW84" s="236"/>
      <c r="AX84" s="236"/>
      <c r="AY84" s="236"/>
      <c r="AZ84" s="236"/>
      <c r="BA84" s="236"/>
      <c r="BB84" s="236"/>
      <c r="BC84" s="236"/>
      <c r="BD84" s="236"/>
      <c r="BE84" s="236"/>
      <c r="BF84" s="236"/>
      <c r="BG84" s="236"/>
      <c r="BH84" s="236"/>
      <c r="BI84" s="236"/>
      <c r="BJ84" s="236"/>
      <c r="BK84" s="236"/>
      <c r="BL84" s="236"/>
      <c r="BM84" s="236"/>
      <c r="BN84" s="236"/>
      <c r="BO84" s="236"/>
      <c r="BP84" s="236"/>
      <c r="BQ84" s="236"/>
      <c r="BR84" s="236"/>
      <c r="BS84" s="236"/>
      <c r="BT84" s="236"/>
      <c r="BU84" s="236"/>
      <c r="BV84" s="236"/>
      <c r="BW84" s="236"/>
      <c r="BX84" s="236"/>
      <c r="BY84" s="236"/>
      <c r="BZ84" s="236"/>
      <c r="CA84" s="236"/>
      <c r="CB84" s="236"/>
      <c r="CC84" s="236"/>
      <c r="CD84" s="236"/>
      <c r="CE84" s="236"/>
      <c r="CF84" s="236"/>
      <c r="CG84" s="236"/>
      <c r="CH84" s="236"/>
      <c r="CI84" s="236"/>
      <c r="CJ84" s="236"/>
      <c r="CK84" s="236"/>
      <c r="CL84" s="236"/>
      <c r="CM84" s="236"/>
      <c r="CN84" s="236"/>
      <c r="CO84" s="236"/>
      <c r="CP84" s="236"/>
      <c r="CQ84" s="236"/>
      <c r="CR84" s="236"/>
      <c r="CS84" s="236"/>
      <c r="CT84" s="236"/>
      <c r="CU84" s="236"/>
      <c r="CV84" s="236"/>
      <c r="CW84" s="236"/>
      <c r="CX84" s="236"/>
      <c r="CY84" s="236"/>
      <c r="CZ84" s="236"/>
      <c r="DA84" s="236"/>
      <c r="DB84" s="236"/>
      <c r="DC84" s="236"/>
      <c r="DD84" s="236"/>
      <c r="DE84" s="236"/>
      <c r="DF84" s="236"/>
      <c r="DG84" s="236"/>
      <c r="DH84" s="236"/>
      <c r="DI84" s="236"/>
      <c r="DJ84" s="236"/>
      <c r="DK84" s="236"/>
      <c r="DL84" s="236"/>
      <c r="DM84" s="236"/>
      <c r="DN84" s="236"/>
      <c r="DO84" s="236"/>
      <c r="DP84" s="236"/>
      <c r="DQ84" s="236"/>
      <c r="DR84" s="236"/>
      <c r="DS84" s="236"/>
      <c r="DT84" s="236"/>
      <c r="DU84" s="236"/>
      <c r="DV84" s="236"/>
      <c r="DW84" s="236"/>
      <c r="DX84" s="236"/>
      <c r="DY84" s="236"/>
      <c r="DZ84" s="236"/>
      <c r="EA84" s="236"/>
      <c r="EB84" s="236"/>
      <c r="EC84" s="236"/>
      <c r="ED84" s="236"/>
      <c r="EE84" s="236"/>
      <c r="EF84" s="236"/>
      <c r="EG84" s="236"/>
      <c r="EH84" s="236"/>
      <c r="EI84" s="236"/>
      <c r="EJ84" s="236"/>
      <c r="EK84" s="236"/>
      <c r="EL84" s="236"/>
      <c r="EM84" s="236"/>
      <c r="EN84" s="236"/>
      <c r="EO84" s="236"/>
      <c r="EP84" s="236"/>
      <c r="EQ84" s="236"/>
      <c r="ER84" s="236"/>
      <c r="ES84" s="236"/>
      <c r="ET84" s="236"/>
      <c r="EU84" s="236"/>
      <c r="EV84" s="236"/>
      <c r="EW84" s="236"/>
      <c r="EX84" s="236"/>
      <c r="EY84" s="236"/>
      <c r="EZ84" s="236"/>
      <c r="FA84" s="236"/>
      <c r="FB84" s="236"/>
      <c r="FC84" s="236"/>
      <c r="FD84" s="236"/>
      <c r="FE84" s="236"/>
      <c r="FF84" s="236"/>
      <c r="FG84" s="236"/>
      <c r="FH84" s="236"/>
      <c r="FI84" s="236"/>
      <c r="FJ84" s="236"/>
      <c r="FK84" s="236"/>
      <c r="FL84" s="236"/>
      <c r="FM84" s="236"/>
      <c r="FN84" s="236"/>
      <c r="FO84" s="236"/>
      <c r="FP84" s="236"/>
      <c r="FQ84" s="236"/>
      <c r="FR84" s="236"/>
      <c r="FS84" s="236"/>
      <c r="FT84" s="236"/>
      <c r="FU84" s="236"/>
      <c r="FV84" s="236"/>
      <c r="FW84" s="236"/>
      <c r="FX84" s="236"/>
      <c r="FY84" s="236"/>
      <c r="FZ84" s="236"/>
      <c r="GA84" s="236"/>
      <c r="GB84" s="236"/>
      <c r="GC84" s="236"/>
      <c r="GD84" s="236"/>
      <c r="GE84" s="236"/>
      <c r="GF84" s="236"/>
      <c r="GG84" s="236"/>
      <c r="GH84" s="236"/>
      <c r="GI84" s="236"/>
      <c r="GJ84" s="236"/>
      <c r="GK84" s="236"/>
      <c r="GL84" s="236"/>
      <c r="GM84" s="236"/>
      <c r="GN84" s="236"/>
      <c r="GO84" s="236"/>
      <c r="GP84" s="236"/>
      <c r="GQ84" s="236"/>
      <c r="GR84" s="236"/>
      <c r="GS84" s="236"/>
      <c r="GT84" s="236"/>
      <c r="GU84" s="236"/>
      <c r="GV84" s="236"/>
      <c r="GW84" s="236"/>
      <c r="GX84" s="236"/>
      <c r="GY84" s="236"/>
      <c r="GZ84" s="236"/>
      <c r="HA84" s="236"/>
      <c r="HB84" s="236"/>
      <c r="HC84" s="236"/>
      <c r="HD84" s="236"/>
      <c r="HE84" s="236"/>
      <c r="HF84" s="236"/>
      <c r="HG84" s="236"/>
      <c r="HH84" s="236"/>
      <c r="HI84" s="236"/>
      <c r="HJ84" s="236"/>
      <c r="HK84" s="236"/>
      <c r="HL84" s="236"/>
      <c r="HM84" s="236"/>
      <c r="HN84" s="236"/>
      <c r="HO84" s="236"/>
      <c r="HP84" s="236"/>
      <c r="HQ84" s="236"/>
      <c r="HR84" s="236"/>
      <c r="HS84" s="236"/>
      <c r="HT84" s="236"/>
      <c r="HU84" s="236"/>
      <c r="HV84" s="236"/>
      <c r="HW84" s="236"/>
      <c r="HX84" s="236"/>
      <c r="HY84" s="236"/>
      <c r="HZ84" s="236"/>
      <c r="IA84" s="236"/>
      <c r="IB84" s="236"/>
      <c r="IC84" s="236"/>
      <c r="ID84" s="236"/>
      <c r="IE84" s="236"/>
      <c r="IF84" s="236"/>
      <c r="IG84" s="236"/>
      <c r="IH84" s="236"/>
      <c r="II84" s="236"/>
      <c r="IJ84" s="236"/>
      <c r="IK84" s="236"/>
      <c r="IL84" s="236"/>
      <c r="IM84" s="236"/>
      <c r="IN84" s="236"/>
      <c r="IO84" s="236"/>
      <c r="IP84" s="236"/>
      <c r="IQ84" s="236"/>
      <c r="IR84" s="236"/>
      <c r="IS84" s="236"/>
      <c r="IT84" s="236"/>
      <c r="IU84" s="236"/>
      <c r="IV84" s="236"/>
      <c r="IW84" s="236"/>
      <c r="IX84" s="236"/>
      <c r="IY84" s="236"/>
      <c r="IZ84" s="236"/>
      <c r="JA84" s="236"/>
      <c r="JB84" s="236"/>
      <c r="JC84" s="236"/>
      <c r="JD84" s="236"/>
      <c r="JE84" s="236"/>
      <c r="JF84" s="236"/>
      <c r="JG84" s="236"/>
      <c r="JH84" s="236"/>
      <c r="JI84" s="236"/>
      <c r="JJ84" s="236"/>
      <c r="JK84" s="236"/>
      <c r="JL84" s="236"/>
      <c r="JM84" s="236"/>
      <c r="JN84" s="236"/>
      <c r="JO84" s="236"/>
      <c r="JP84" s="236"/>
      <c r="JQ84" s="236"/>
      <c r="JR84" s="236"/>
      <c r="JS84" s="236"/>
      <c r="JT84" s="236"/>
      <c r="JU84" s="236"/>
      <c r="JV84" s="236"/>
      <c r="JW84" s="236"/>
      <c r="JX84" s="409"/>
      <c r="JY84" s="409"/>
      <c r="JZ84" s="409"/>
      <c r="KA84" s="409"/>
      <c r="KB84" s="409"/>
      <c r="KC84" s="409"/>
      <c r="KD84" s="409"/>
      <c r="KE84" s="409"/>
      <c r="KF84" s="409"/>
      <c r="KG84" s="410"/>
      <c r="KH84" s="412">
        <f t="shared" si="17"/>
        <v>81</v>
      </c>
      <c r="KI84" s="413" t="str">
        <f t="shared" ca="1" si="27"/>
        <v/>
      </c>
      <c r="KJ84" s="413" t="str">
        <f t="shared" ca="1" si="20"/>
        <v/>
      </c>
      <c r="KK84" s="414" t="str">
        <f t="shared" ca="1" si="28"/>
        <v/>
      </c>
    </row>
    <row r="85" spans="3:297" ht="24" customHeight="1">
      <c r="C85"/>
      <c r="D85" s="57" t="str">
        <f ca="1">INDIRECT(ADDRESS(ROWS($D$3:D84)+6,D$3,1,1,"3_TIME SUM"))</f>
        <v>Casing Drilling Services</v>
      </c>
      <c r="E85" s="81" t="str">
        <f ca="1">IF(INDIRECT(ADDRESS(ROWS($E$3:E84)+6,E$3,1,1,"3_TIME SUM"))=0,E84,INDIRECT(ADDRESS(ROWS($E$3:E84)+6,E$3,1,1,"3_TIME SUM")))</f>
        <v>Service Company (NPT)</v>
      </c>
      <c r="F85" s="57" t="str">
        <f t="shared" ca="1" si="24"/>
        <v>Service Company (NPT) : Casing Drilling Services</v>
      </c>
      <c r="G85" s="58" t="str">
        <f ca="1">VLOOKUP($D85,INDIRECT(ADDRESS(7,5,1,1,"3_TIME SUM")):INDIRECT(ADDRESS(200,7,1,1,"3_TIME SUM")),2,FALSE)</f>
        <v>21e</v>
      </c>
      <c r="H85" s="58" t="str">
        <f ca="1">IF(VLOOKUP($D85,INDIRECT(ADDRESS(7,5,1,1,"3_TIME SUM")):INDIRECT(ADDRESS(200,7,1,1,"3_TIME SUM")),3,FALSE)="","PT",VLOOKUP($D85,INDIRECT(ADDRESS(7,5,1,1,"3_TIME SUM")):INDIRECT(ADDRESS(200,7,1,1,"3_TIME SUM")),3,FALSE))</f>
        <v>NPT</v>
      </c>
      <c r="I85" s="59">
        <f ca="1">IFERROR(IF(AND($D$2="NON PRODUCTIVE TIME",$H85="NPT"),SUMIF(INDIRECT(ADDRESS(8,COLUMN('2_DATA'!$M$9),1,1,"2_DATA")):INDIRECT(ADDRESS(3000,COLUMN('2_DATA'!$M$9),1,1,"2_DATA")),$G85,INDIRECT(ADDRESS(8,COLUMN('2_DATA'!$N$9),1,1,"2_DATA")):INDIRECT(ADDRESS(3000,COLUMN('2_DATA'!$N$9),1,1,"2_DATA"))),IF($D$2="ALL ACTIVITY",SUMIF(INDIRECT(ADDRESS(9,COLUMN('2_DATA'!$M$9),1,1,"2_DATA")):INDIRECT(ADDRESS(3000,COLUMN('2_DATA'!$M$9),1,1,"2_DATA")),$G85,INDIRECT(ADDRESS(9,COLUMN('2_DATA'!$N$9),1,1,"2_DATA")):INDIRECT(ADDRESS(3000,COLUMN('2_DATA'!$N$9),1,1,"2_DATA"))),SUMIF(INDIRECT(ADDRESS(OFFSET($A$3,MATCH($D$2,$A$4:$A$16,0)-1,1,,)+1,COLUMN('2_DATA'!$M$9),1,1,"2_DATA")):INDIRECT(ADDRESS(VLOOKUP($D$2,$A$4:$B$16,2,FALSE)-1,COLUMN('2_DATA'!$M$9),1,1,"2_DATA")),$G85,INDIRECT(ADDRESS(OFFSET($A$3,MATCH($D$2,$A$4:$A$16,0)-1,1,,)+1,COLUMN('2_DATA'!$N$9),1,1,"2_DATA")):INDIRECT(ADDRESS(VLOOKUP($D$2,$A$4:$B$16,2,FALSE)-1,COLUMN('2_DATA'!$N$9),1,1,"2_DATA"))))),0)</f>
        <v>0</v>
      </c>
      <c r="J85" s="58" t="str">
        <f ca="1">IF(I85=0,"",MAX($J$3:J84)+1)</f>
        <v/>
      </c>
      <c r="L85" s="55">
        <f t="shared" ca="1" si="21"/>
        <v>1000</v>
      </c>
      <c r="M85" s="55" t="str">
        <f t="shared" ca="1" si="25"/>
        <v/>
      </c>
      <c r="N85" s="55"/>
      <c r="O85" s="55" t="str">
        <f t="shared" ca="1" si="29"/>
        <v/>
      </c>
      <c r="P85" s="55">
        <f t="shared" ca="1" si="22"/>
        <v>0</v>
      </c>
      <c r="Q85" s="55" t="str">
        <f ca="1">IFERROR(INDEX($O$4:$P$226,MATCH(ROWS($Q$3:Q84),$P$4:$P$226,0),1),"-")</f>
        <v>-</v>
      </c>
      <c r="R85" s="62" t="str">
        <f t="shared" ca="1" si="23"/>
        <v/>
      </c>
      <c r="S85" s="55" t="str">
        <f t="shared" ca="1" si="26"/>
        <v/>
      </c>
      <c r="T85" s="67" t="str">
        <f t="shared" ca="1" si="19"/>
        <v>-</v>
      </c>
      <c r="V85" s="68" t="str">
        <f t="shared" ca="1" si="30"/>
        <v/>
      </c>
      <c r="W85" s="69" t="str">
        <f t="shared" ca="1" si="31"/>
        <v/>
      </c>
      <c r="X85" s="70" t="s">
        <v>84</v>
      </c>
      <c r="Y85" s="68" t="str">
        <f t="shared" ca="1" si="35"/>
        <v/>
      </c>
      <c r="Z85" s="71" t="str">
        <f t="shared" ca="1" si="32"/>
        <v/>
      </c>
      <c r="AA85" s="72" t="str">
        <f t="shared" ca="1" si="33"/>
        <v/>
      </c>
      <c r="AB85" s="305" t="str">
        <f t="shared" ca="1" si="34"/>
        <v/>
      </c>
      <c r="AC85" s="236"/>
      <c r="AD85" s="236"/>
      <c r="AE85" s="236"/>
      <c r="AF85" s="236"/>
      <c r="AG85" s="236"/>
      <c r="AH85" s="236"/>
      <c r="AI85" s="236"/>
      <c r="AJ85" s="236"/>
      <c r="AK85" s="236"/>
      <c r="AL85" s="236"/>
      <c r="AM85" s="236"/>
      <c r="AN85" s="236"/>
      <c r="AO85" s="236"/>
      <c r="AP85" s="236"/>
      <c r="AQ85" s="236"/>
      <c r="AR85" s="236"/>
      <c r="AS85" s="236"/>
      <c r="AT85" s="236"/>
      <c r="AU85" s="236"/>
      <c r="AV85" s="236"/>
      <c r="AW85" s="236"/>
      <c r="AX85" s="236"/>
      <c r="AY85" s="236"/>
      <c r="AZ85" s="236"/>
      <c r="BA85" s="236"/>
      <c r="BB85" s="236"/>
      <c r="BC85" s="236"/>
      <c r="BD85" s="236"/>
      <c r="BE85" s="236"/>
      <c r="BF85" s="236"/>
      <c r="BG85" s="236"/>
      <c r="BH85" s="236"/>
      <c r="BI85" s="236"/>
      <c r="BJ85" s="236"/>
      <c r="BK85" s="236"/>
      <c r="BL85" s="236"/>
      <c r="BM85" s="236"/>
      <c r="BN85" s="236"/>
      <c r="BO85" s="236"/>
      <c r="BP85" s="236"/>
      <c r="BQ85" s="236"/>
      <c r="BR85" s="236"/>
      <c r="BS85" s="236"/>
      <c r="BT85" s="236"/>
      <c r="BU85" s="236"/>
      <c r="BV85" s="236"/>
      <c r="BW85" s="236"/>
      <c r="BX85" s="236"/>
      <c r="BY85" s="236"/>
      <c r="BZ85" s="236"/>
      <c r="CA85" s="236"/>
      <c r="CB85" s="236"/>
      <c r="CC85" s="236"/>
      <c r="CD85" s="236"/>
      <c r="CE85" s="236"/>
      <c r="CF85" s="236"/>
      <c r="CG85" s="236"/>
      <c r="CH85" s="236"/>
      <c r="CI85" s="236"/>
      <c r="CJ85" s="236"/>
      <c r="CK85" s="236"/>
      <c r="CL85" s="236"/>
      <c r="CM85" s="236"/>
      <c r="CN85" s="236"/>
      <c r="CO85" s="236"/>
      <c r="CP85" s="236"/>
      <c r="CQ85" s="236"/>
      <c r="CR85" s="236"/>
      <c r="CS85" s="236"/>
      <c r="CT85" s="236"/>
      <c r="CU85" s="236"/>
      <c r="CV85" s="236"/>
      <c r="CW85" s="236"/>
      <c r="CX85" s="236"/>
      <c r="CY85" s="236"/>
      <c r="CZ85" s="236"/>
      <c r="DA85" s="236"/>
      <c r="DB85" s="236"/>
      <c r="DC85" s="236"/>
      <c r="DD85" s="236"/>
      <c r="DE85" s="236"/>
      <c r="DF85" s="236"/>
      <c r="DG85" s="236"/>
      <c r="DH85" s="236"/>
      <c r="DI85" s="236"/>
      <c r="DJ85" s="236"/>
      <c r="DK85" s="236"/>
      <c r="DL85" s="236"/>
      <c r="DM85" s="236"/>
      <c r="DN85" s="236"/>
      <c r="DO85" s="236"/>
      <c r="DP85" s="236"/>
      <c r="DQ85" s="236"/>
      <c r="DR85" s="236"/>
      <c r="DS85" s="236"/>
      <c r="DT85" s="236"/>
      <c r="DU85" s="236"/>
      <c r="DV85" s="236"/>
      <c r="DW85" s="236"/>
      <c r="DX85" s="236"/>
      <c r="DY85" s="236"/>
      <c r="DZ85" s="236"/>
      <c r="EA85" s="236"/>
      <c r="EB85" s="236"/>
      <c r="EC85" s="236"/>
      <c r="ED85" s="236"/>
      <c r="EE85" s="236"/>
      <c r="EF85" s="236"/>
      <c r="EG85" s="236"/>
      <c r="EH85" s="236"/>
      <c r="EI85" s="236"/>
      <c r="EJ85" s="236"/>
      <c r="EK85" s="236"/>
      <c r="EL85" s="236"/>
      <c r="EM85" s="236"/>
      <c r="EN85" s="236"/>
      <c r="EO85" s="236"/>
      <c r="EP85" s="236"/>
      <c r="EQ85" s="236"/>
      <c r="ER85" s="236"/>
      <c r="ES85" s="236"/>
      <c r="ET85" s="236"/>
      <c r="EU85" s="236"/>
      <c r="EV85" s="236"/>
      <c r="EW85" s="236"/>
      <c r="EX85" s="236"/>
      <c r="EY85" s="236"/>
      <c r="EZ85" s="236"/>
      <c r="FA85" s="236"/>
      <c r="FB85" s="236"/>
      <c r="FC85" s="236"/>
      <c r="FD85" s="236"/>
      <c r="FE85" s="236"/>
      <c r="FF85" s="236"/>
      <c r="FG85" s="236"/>
      <c r="FH85" s="236"/>
      <c r="FI85" s="236"/>
      <c r="FJ85" s="236"/>
      <c r="FK85" s="236"/>
      <c r="FL85" s="236"/>
      <c r="FM85" s="236"/>
      <c r="FN85" s="236"/>
      <c r="FO85" s="236"/>
      <c r="FP85" s="236"/>
      <c r="FQ85" s="236"/>
      <c r="FR85" s="236"/>
      <c r="FS85" s="236"/>
      <c r="FT85" s="236"/>
      <c r="FU85" s="236"/>
      <c r="FV85" s="236"/>
      <c r="FW85" s="236"/>
      <c r="FX85" s="236"/>
      <c r="FY85" s="236"/>
      <c r="FZ85" s="236"/>
      <c r="GA85" s="236"/>
      <c r="GB85" s="236"/>
      <c r="GC85" s="236"/>
      <c r="GD85" s="236"/>
      <c r="GE85" s="236"/>
      <c r="GF85" s="236"/>
      <c r="GG85" s="236"/>
      <c r="GH85" s="236"/>
      <c r="GI85" s="236"/>
      <c r="GJ85" s="236"/>
      <c r="GK85" s="236"/>
      <c r="GL85" s="236"/>
      <c r="GM85" s="236"/>
      <c r="GN85" s="236"/>
      <c r="GO85" s="236"/>
      <c r="GP85" s="236"/>
      <c r="GQ85" s="236"/>
      <c r="GR85" s="236"/>
      <c r="GS85" s="236"/>
      <c r="GT85" s="236"/>
      <c r="GU85" s="236"/>
      <c r="GV85" s="236"/>
      <c r="GW85" s="236"/>
      <c r="GX85" s="236"/>
      <c r="GY85" s="236"/>
      <c r="GZ85" s="236"/>
      <c r="HA85" s="236"/>
      <c r="HB85" s="236"/>
      <c r="HC85" s="236"/>
      <c r="HD85" s="236"/>
      <c r="HE85" s="236"/>
      <c r="HF85" s="236"/>
      <c r="HG85" s="236"/>
      <c r="HH85" s="236"/>
      <c r="HI85" s="236"/>
      <c r="HJ85" s="236"/>
      <c r="HK85" s="236"/>
      <c r="HL85" s="236"/>
      <c r="HM85" s="236"/>
      <c r="HN85" s="236"/>
      <c r="HO85" s="236"/>
      <c r="HP85" s="236"/>
      <c r="HQ85" s="236"/>
      <c r="HR85" s="236"/>
      <c r="HS85" s="236"/>
      <c r="HT85" s="236"/>
      <c r="HU85" s="236"/>
      <c r="HV85" s="236"/>
      <c r="HW85" s="236"/>
      <c r="HX85" s="236"/>
      <c r="HY85" s="236"/>
      <c r="HZ85" s="236"/>
      <c r="IA85" s="236"/>
      <c r="IB85" s="236"/>
      <c r="IC85" s="236"/>
      <c r="ID85" s="236"/>
      <c r="IE85" s="236"/>
      <c r="IF85" s="236"/>
      <c r="IG85" s="236"/>
      <c r="IH85" s="236"/>
      <c r="II85" s="236"/>
      <c r="IJ85" s="236"/>
      <c r="IK85" s="236"/>
      <c r="IL85" s="236"/>
      <c r="IM85" s="236"/>
      <c r="IN85" s="236"/>
      <c r="IO85" s="236"/>
      <c r="IP85" s="236"/>
      <c r="IQ85" s="236"/>
      <c r="IR85" s="236"/>
      <c r="IS85" s="236"/>
      <c r="IT85" s="236"/>
      <c r="IU85" s="236"/>
      <c r="IV85" s="236"/>
      <c r="IW85" s="236"/>
      <c r="IX85" s="236"/>
      <c r="IY85" s="236"/>
      <c r="IZ85" s="236"/>
      <c r="JA85" s="236"/>
      <c r="JB85" s="236"/>
      <c r="JC85" s="236"/>
      <c r="JD85" s="236"/>
      <c r="JE85" s="236"/>
      <c r="JF85" s="236"/>
      <c r="JG85" s="236"/>
      <c r="JH85" s="236"/>
      <c r="JI85" s="236"/>
      <c r="JJ85" s="236"/>
      <c r="JK85" s="236"/>
      <c r="JL85" s="236"/>
      <c r="JM85" s="236"/>
      <c r="JN85" s="236"/>
      <c r="JO85" s="236"/>
      <c r="JP85" s="236"/>
      <c r="JQ85" s="236"/>
      <c r="JR85" s="236"/>
      <c r="JS85" s="236"/>
      <c r="JT85" s="236"/>
      <c r="JU85" s="236"/>
      <c r="JV85" s="236"/>
      <c r="JW85" s="236"/>
      <c r="JX85" s="409"/>
      <c r="JY85" s="409"/>
      <c r="JZ85" s="409"/>
      <c r="KA85" s="409"/>
      <c r="KB85" s="409"/>
      <c r="KC85" s="409"/>
      <c r="KD85" s="409"/>
      <c r="KE85" s="409"/>
      <c r="KF85" s="409"/>
      <c r="KG85" s="410"/>
      <c r="KH85" s="412">
        <f t="shared" si="17"/>
        <v>82</v>
      </c>
      <c r="KI85" s="413" t="str">
        <f t="shared" ca="1" si="27"/>
        <v/>
      </c>
      <c r="KJ85" s="413" t="str">
        <f t="shared" ca="1" si="20"/>
        <v/>
      </c>
      <c r="KK85" s="414" t="str">
        <f t="shared" ca="1" si="28"/>
        <v/>
      </c>
    </row>
    <row r="86" spans="3:297" ht="24" customHeight="1">
      <c r="C86"/>
      <c r="D86" s="57" t="str">
        <f ca="1">INDIRECT(ADDRESS(ROWS($D$3:D85)+6,D$3,1,1,"3_TIME SUM"))</f>
        <v>Cementing Services</v>
      </c>
      <c r="E86" s="81" t="str">
        <f ca="1">IF(INDIRECT(ADDRESS(ROWS($E$3:E85)+6,E$3,1,1,"3_TIME SUM"))=0,E85,INDIRECT(ADDRESS(ROWS($E$3:E85)+6,E$3,1,1,"3_TIME SUM")))</f>
        <v>Service Company (NPT)</v>
      </c>
      <c r="F86" s="57" t="str">
        <f t="shared" ca="1" si="24"/>
        <v>Service Company (NPT) : Cementing Services</v>
      </c>
      <c r="G86" s="58" t="str">
        <f ca="1">VLOOKUP($D86,INDIRECT(ADDRESS(7,5,1,1,"3_TIME SUM")):INDIRECT(ADDRESS(200,7,1,1,"3_TIME SUM")),2,FALSE)</f>
        <v>21f</v>
      </c>
      <c r="H86" s="58" t="str">
        <f ca="1">IF(VLOOKUP($D86,INDIRECT(ADDRESS(7,5,1,1,"3_TIME SUM")):INDIRECT(ADDRESS(200,7,1,1,"3_TIME SUM")),3,FALSE)="","PT",VLOOKUP($D86,INDIRECT(ADDRESS(7,5,1,1,"3_TIME SUM")):INDIRECT(ADDRESS(200,7,1,1,"3_TIME SUM")),3,FALSE))</f>
        <v>NPT</v>
      </c>
      <c r="I86" s="59">
        <f ca="1">IFERROR(IF(AND($D$2="NON PRODUCTIVE TIME",$H86="NPT"),SUMIF(INDIRECT(ADDRESS(8,COLUMN('2_DATA'!$M$9),1,1,"2_DATA")):INDIRECT(ADDRESS(3000,COLUMN('2_DATA'!$M$9),1,1,"2_DATA")),$G86,INDIRECT(ADDRESS(8,COLUMN('2_DATA'!$N$9),1,1,"2_DATA")):INDIRECT(ADDRESS(3000,COLUMN('2_DATA'!$N$9),1,1,"2_DATA"))),IF($D$2="ALL ACTIVITY",SUMIF(INDIRECT(ADDRESS(9,COLUMN('2_DATA'!$M$9),1,1,"2_DATA")):INDIRECT(ADDRESS(3000,COLUMN('2_DATA'!$M$9),1,1,"2_DATA")),$G86,INDIRECT(ADDRESS(9,COLUMN('2_DATA'!$N$9),1,1,"2_DATA")):INDIRECT(ADDRESS(3000,COLUMN('2_DATA'!$N$9),1,1,"2_DATA"))),SUMIF(INDIRECT(ADDRESS(OFFSET($A$3,MATCH($D$2,$A$4:$A$16,0)-1,1,,)+1,COLUMN('2_DATA'!$M$9),1,1,"2_DATA")):INDIRECT(ADDRESS(VLOOKUP($D$2,$A$4:$B$16,2,FALSE)-1,COLUMN('2_DATA'!$M$9),1,1,"2_DATA")),$G86,INDIRECT(ADDRESS(OFFSET($A$3,MATCH($D$2,$A$4:$A$16,0)-1,1,,)+1,COLUMN('2_DATA'!$N$9),1,1,"2_DATA")):INDIRECT(ADDRESS(VLOOKUP($D$2,$A$4:$B$16,2,FALSE)-1,COLUMN('2_DATA'!$N$9),1,1,"2_DATA"))))),0)</f>
        <v>0</v>
      </c>
      <c r="J86" s="58" t="str">
        <f ca="1">IF(I86=0,"",MAX($J$3:J85)+1)</f>
        <v/>
      </c>
      <c r="L86" s="55">
        <f t="shared" ca="1" si="21"/>
        <v>1000</v>
      </c>
      <c r="M86" s="55" t="str">
        <f t="shared" ca="1" si="25"/>
        <v/>
      </c>
      <c r="N86" s="55"/>
      <c r="O86" s="55" t="str">
        <f t="shared" ca="1" si="29"/>
        <v/>
      </c>
      <c r="P86" s="55">
        <f t="shared" ca="1" si="22"/>
        <v>0</v>
      </c>
      <c r="Q86" s="55" t="str">
        <f ca="1">IFERROR(INDEX($O$4:$P$226,MATCH(ROWS($Q$3:Q85),$P$4:$P$226,0),1),"-")</f>
        <v>-</v>
      </c>
      <c r="R86" s="62" t="str">
        <f t="shared" ca="1" si="23"/>
        <v/>
      </c>
      <c r="S86" s="55" t="str">
        <f t="shared" ca="1" si="26"/>
        <v/>
      </c>
      <c r="T86" s="67" t="str">
        <f t="shared" ca="1" si="19"/>
        <v>-</v>
      </c>
      <c r="V86" s="68" t="str">
        <f t="shared" ca="1" si="30"/>
        <v/>
      </c>
      <c r="W86" s="69" t="str">
        <f t="shared" ca="1" si="31"/>
        <v/>
      </c>
      <c r="X86" s="70" t="s">
        <v>84</v>
      </c>
      <c r="Y86" s="68" t="str">
        <f t="shared" ca="1" si="35"/>
        <v/>
      </c>
      <c r="Z86" s="71" t="str">
        <f t="shared" ca="1" si="32"/>
        <v/>
      </c>
      <c r="AA86" s="72" t="str">
        <f t="shared" ca="1" si="33"/>
        <v/>
      </c>
      <c r="AB86" s="305" t="str">
        <f t="shared" ca="1" si="34"/>
        <v/>
      </c>
      <c r="AC86" s="236"/>
      <c r="AD86" s="236"/>
      <c r="AE86" s="236"/>
      <c r="AF86" s="236"/>
      <c r="AG86" s="236"/>
      <c r="AH86" s="236"/>
      <c r="AI86" s="236"/>
      <c r="AJ86" s="236"/>
      <c r="AK86" s="236"/>
      <c r="AL86" s="236"/>
      <c r="AM86" s="236"/>
      <c r="AN86" s="236"/>
      <c r="AO86" s="236"/>
      <c r="AP86" s="236"/>
      <c r="AQ86" s="236"/>
      <c r="AR86" s="236"/>
      <c r="AS86" s="236"/>
      <c r="AT86" s="236"/>
      <c r="AU86" s="236"/>
      <c r="AV86" s="236"/>
      <c r="AW86" s="236"/>
      <c r="AX86" s="236"/>
      <c r="AY86" s="236"/>
      <c r="AZ86" s="236"/>
      <c r="BA86" s="236"/>
      <c r="BB86" s="236"/>
      <c r="BC86" s="236"/>
      <c r="BD86" s="236"/>
      <c r="BE86" s="236"/>
      <c r="BF86" s="236"/>
      <c r="BG86" s="236"/>
      <c r="BH86" s="236"/>
      <c r="BI86" s="236"/>
      <c r="BJ86" s="236"/>
      <c r="BK86" s="236"/>
      <c r="BL86" s="236"/>
      <c r="BM86" s="236"/>
      <c r="BN86" s="236"/>
      <c r="BO86" s="236"/>
      <c r="BP86" s="236"/>
      <c r="BQ86" s="236"/>
      <c r="BR86" s="236"/>
      <c r="BS86" s="236"/>
      <c r="BT86" s="236"/>
      <c r="BU86" s="236"/>
      <c r="BV86" s="236"/>
      <c r="BW86" s="236"/>
      <c r="BX86" s="236"/>
      <c r="BY86" s="236"/>
      <c r="BZ86" s="236"/>
      <c r="CA86" s="236"/>
      <c r="CB86" s="236"/>
      <c r="CC86" s="236"/>
      <c r="CD86" s="236"/>
      <c r="CE86" s="236"/>
      <c r="CF86" s="236"/>
      <c r="CG86" s="236"/>
      <c r="CH86" s="236"/>
      <c r="CI86" s="236"/>
      <c r="CJ86" s="236"/>
      <c r="CK86" s="236"/>
      <c r="CL86" s="236"/>
      <c r="CM86" s="236"/>
      <c r="CN86" s="236"/>
      <c r="CO86" s="236"/>
      <c r="CP86" s="236"/>
      <c r="CQ86" s="236"/>
      <c r="CR86" s="236"/>
      <c r="CS86" s="236"/>
      <c r="CT86" s="236"/>
      <c r="CU86" s="236"/>
      <c r="CV86" s="236"/>
      <c r="CW86" s="236"/>
      <c r="CX86" s="236"/>
      <c r="CY86" s="236"/>
      <c r="CZ86" s="236"/>
      <c r="DA86" s="236"/>
      <c r="DB86" s="236"/>
      <c r="DC86" s="236"/>
      <c r="DD86" s="236"/>
      <c r="DE86" s="236"/>
      <c r="DF86" s="236"/>
      <c r="DG86" s="236"/>
      <c r="DH86" s="236"/>
      <c r="DI86" s="236"/>
      <c r="DJ86" s="236"/>
      <c r="DK86" s="236"/>
      <c r="DL86" s="236"/>
      <c r="DM86" s="236"/>
      <c r="DN86" s="236"/>
      <c r="DO86" s="236"/>
      <c r="DP86" s="236"/>
      <c r="DQ86" s="236"/>
      <c r="DR86" s="236"/>
      <c r="DS86" s="236"/>
      <c r="DT86" s="236"/>
      <c r="DU86" s="236"/>
      <c r="DV86" s="236"/>
      <c r="DW86" s="236"/>
      <c r="DX86" s="236"/>
      <c r="DY86" s="236"/>
      <c r="DZ86" s="236"/>
      <c r="EA86" s="236"/>
      <c r="EB86" s="236"/>
      <c r="EC86" s="236"/>
      <c r="ED86" s="236"/>
      <c r="EE86" s="236"/>
      <c r="EF86" s="236"/>
      <c r="EG86" s="236"/>
      <c r="EH86" s="236"/>
      <c r="EI86" s="236"/>
      <c r="EJ86" s="236"/>
      <c r="EK86" s="236"/>
      <c r="EL86" s="236"/>
      <c r="EM86" s="236"/>
      <c r="EN86" s="236"/>
      <c r="EO86" s="236"/>
      <c r="EP86" s="236"/>
      <c r="EQ86" s="236"/>
      <c r="ER86" s="236"/>
      <c r="ES86" s="236"/>
      <c r="ET86" s="236"/>
      <c r="EU86" s="236"/>
      <c r="EV86" s="236"/>
      <c r="EW86" s="236"/>
      <c r="EX86" s="236"/>
      <c r="EY86" s="236"/>
      <c r="EZ86" s="236"/>
      <c r="FA86" s="236"/>
      <c r="FB86" s="236"/>
      <c r="FC86" s="236"/>
      <c r="FD86" s="236"/>
      <c r="FE86" s="236"/>
      <c r="FF86" s="236"/>
      <c r="FG86" s="236"/>
      <c r="FH86" s="236"/>
      <c r="FI86" s="236"/>
      <c r="FJ86" s="236"/>
      <c r="FK86" s="236"/>
      <c r="FL86" s="236"/>
      <c r="FM86" s="236"/>
      <c r="FN86" s="236"/>
      <c r="FO86" s="236"/>
      <c r="FP86" s="236"/>
      <c r="FQ86" s="236"/>
      <c r="FR86" s="236"/>
      <c r="FS86" s="236"/>
      <c r="FT86" s="236"/>
      <c r="FU86" s="236"/>
      <c r="FV86" s="236"/>
      <c r="FW86" s="236"/>
      <c r="FX86" s="236"/>
      <c r="FY86" s="236"/>
      <c r="FZ86" s="236"/>
      <c r="GA86" s="236"/>
      <c r="GB86" s="236"/>
      <c r="GC86" s="236"/>
      <c r="GD86" s="236"/>
      <c r="GE86" s="236"/>
      <c r="GF86" s="236"/>
      <c r="GG86" s="236"/>
      <c r="GH86" s="236"/>
      <c r="GI86" s="236"/>
      <c r="GJ86" s="236"/>
      <c r="GK86" s="236"/>
      <c r="GL86" s="236"/>
      <c r="GM86" s="236"/>
      <c r="GN86" s="236"/>
      <c r="GO86" s="236"/>
      <c r="GP86" s="236"/>
      <c r="GQ86" s="236"/>
      <c r="GR86" s="236"/>
      <c r="GS86" s="236"/>
      <c r="GT86" s="236"/>
      <c r="GU86" s="236"/>
      <c r="GV86" s="236"/>
      <c r="GW86" s="236"/>
      <c r="GX86" s="236"/>
      <c r="GY86" s="236"/>
      <c r="GZ86" s="236"/>
      <c r="HA86" s="236"/>
      <c r="HB86" s="236"/>
      <c r="HC86" s="236"/>
      <c r="HD86" s="236"/>
      <c r="HE86" s="236"/>
      <c r="HF86" s="236"/>
      <c r="HG86" s="236"/>
      <c r="HH86" s="236"/>
      <c r="HI86" s="236"/>
      <c r="HJ86" s="236"/>
      <c r="HK86" s="236"/>
      <c r="HL86" s="236"/>
      <c r="HM86" s="236"/>
      <c r="HN86" s="236"/>
      <c r="HO86" s="236"/>
      <c r="HP86" s="236"/>
      <c r="HQ86" s="236"/>
      <c r="HR86" s="236"/>
      <c r="HS86" s="236"/>
      <c r="HT86" s="236"/>
      <c r="HU86" s="236"/>
      <c r="HV86" s="236"/>
      <c r="HW86" s="236"/>
      <c r="HX86" s="236"/>
      <c r="HY86" s="236"/>
      <c r="HZ86" s="236"/>
      <c r="IA86" s="236"/>
      <c r="IB86" s="236"/>
      <c r="IC86" s="236"/>
      <c r="ID86" s="236"/>
      <c r="IE86" s="236"/>
      <c r="IF86" s="236"/>
      <c r="IG86" s="236"/>
      <c r="IH86" s="236"/>
      <c r="II86" s="236"/>
      <c r="IJ86" s="236"/>
      <c r="IK86" s="236"/>
      <c r="IL86" s="236"/>
      <c r="IM86" s="236"/>
      <c r="IN86" s="236"/>
      <c r="IO86" s="236"/>
      <c r="IP86" s="236"/>
      <c r="IQ86" s="236"/>
      <c r="IR86" s="236"/>
      <c r="IS86" s="236"/>
      <c r="IT86" s="236"/>
      <c r="IU86" s="236"/>
      <c r="IV86" s="236"/>
      <c r="IW86" s="236"/>
      <c r="IX86" s="236"/>
      <c r="IY86" s="236"/>
      <c r="IZ86" s="236"/>
      <c r="JA86" s="236"/>
      <c r="JB86" s="236"/>
      <c r="JC86" s="236"/>
      <c r="JD86" s="236"/>
      <c r="JE86" s="236"/>
      <c r="JF86" s="236"/>
      <c r="JG86" s="236"/>
      <c r="JH86" s="236"/>
      <c r="JI86" s="236"/>
      <c r="JJ86" s="236"/>
      <c r="JK86" s="236"/>
      <c r="JL86" s="236"/>
      <c r="JM86" s="236"/>
      <c r="JN86" s="236"/>
      <c r="JO86" s="236"/>
      <c r="JP86" s="236"/>
      <c r="JQ86" s="236"/>
      <c r="JR86" s="236"/>
      <c r="JS86" s="236"/>
      <c r="JT86" s="236"/>
      <c r="JU86" s="236"/>
      <c r="JV86" s="236"/>
      <c r="JW86" s="236"/>
      <c r="JX86" s="409"/>
      <c r="JY86" s="409"/>
      <c r="JZ86" s="409"/>
      <c r="KA86" s="409"/>
      <c r="KB86" s="409"/>
      <c r="KC86" s="409"/>
      <c r="KD86" s="409"/>
      <c r="KE86" s="409"/>
      <c r="KF86" s="409"/>
      <c r="KG86" s="410"/>
      <c r="KH86" s="412">
        <f t="shared" ref="KH86:KH106" si="36">KH85+1</f>
        <v>83</v>
      </c>
      <c r="KI86" s="413" t="str">
        <f t="shared" ca="1" si="27"/>
        <v/>
      </c>
      <c r="KJ86" s="413" t="str">
        <f t="shared" ref="KJ86:KJ106" ca="1" si="37">IFERROR(IF(KI86="","",IF(ISNA(INDEX($N$4:$O$5,MATCH(KI86,$O$4:$O$5,0),1)),INDEX($F$4:$M$226,MATCH(KI86,$M$4:$M$226,0),1),INDEX($N$4:$O$5,MATCH(KI86,$O$4:$O$5,0),1))),"")</f>
        <v/>
      </c>
      <c r="KK86" s="414" t="str">
        <f t="shared" ca="1" si="28"/>
        <v/>
      </c>
    </row>
    <row r="87" spans="3:297" ht="24" customHeight="1">
      <c r="C87"/>
      <c r="D87" s="57" t="str">
        <f ca="1">INDIRECT(ADDRESS(ROWS($D$3:D86)+6,D$3,1,1,"3_TIME SUM"))</f>
        <v xml:space="preserve">Down Hole  &amp; Surface Services </v>
      </c>
      <c r="E87" s="81" t="str">
        <f ca="1">IF(INDIRECT(ADDRESS(ROWS($E$3:E86)+6,E$3,1,1,"3_TIME SUM"))=0,E86,INDIRECT(ADDRESS(ROWS($E$3:E86)+6,E$3,1,1,"3_TIME SUM")))</f>
        <v>Service Company (NPT)</v>
      </c>
      <c r="F87" s="57" t="str">
        <f t="shared" ca="1" si="24"/>
        <v xml:space="preserve">Service Company (NPT) : Down Hole  &amp; Surface Services </v>
      </c>
      <c r="G87" s="58" t="str">
        <f ca="1">VLOOKUP($D87,INDIRECT(ADDRESS(7,5,1,1,"3_TIME SUM")):INDIRECT(ADDRESS(200,7,1,1,"3_TIME SUM")),2,FALSE)</f>
        <v>21g</v>
      </c>
      <c r="H87" s="58" t="str">
        <f ca="1">IF(VLOOKUP($D87,INDIRECT(ADDRESS(7,5,1,1,"3_TIME SUM")):INDIRECT(ADDRESS(200,7,1,1,"3_TIME SUM")),3,FALSE)="","PT",VLOOKUP($D87,INDIRECT(ADDRESS(7,5,1,1,"3_TIME SUM")):INDIRECT(ADDRESS(200,7,1,1,"3_TIME SUM")),3,FALSE))</f>
        <v>NPT</v>
      </c>
      <c r="I87" s="59">
        <f ca="1">IFERROR(IF(AND($D$2="NON PRODUCTIVE TIME",$H87="NPT"),SUMIF(INDIRECT(ADDRESS(8,COLUMN('2_DATA'!$M$9),1,1,"2_DATA")):INDIRECT(ADDRESS(3000,COLUMN('2_DATA'!$M$9),1,1,"2_DATA")),$G87,INDIRECT(ADDRESS(8,COLUMN('2_DATA'!$N$9),1,1,"2_DATA")):INDIRECT(ADDRESS(3000,COLUMN('2_DATA'!$N$9),1,1,"2_DATA"))),IF($D$2="ALL ACTIVITY",SUMIF(INDIRECT(ADDRESS(9,COLUMN('2_DATA'!$M$9),1,1,"2_DATA")):INDIRECT(ADDRESS(3000,COLUMN('2_DATA'!$M$9),1,1,"2_DATA")),$G87,INDIRECT(ADDRESS(9,COLUMN('2_DATA'!$N$9),1,1,"2_DATA")):INDIRECT(ADDRESS(3000,COLUMN('2_DATA'!$N$9),1,1,"2_DATA"))),SUMIF(INDIRECT(ADDRESS(OFFSET($A$3,MATCH($D$2,$A$4:$A$16,0)-1,1,,)+1,COLUMN('2_DATA'!$M$9),1,1,"2_DATA")):INDIRECT(ADDRESS(VLOOKUP($D$2,$A$4:$B$16,2,FALSE)-1,COLUMN('2_DATA'!$M$9),1,1,"2_DATA")),$G87,INDIRECT(ADDRESS(OFFSET($A$3,MATCH($D$2,$A$4:$A$16,0)-1,1,,)+1,COLUMN('2_DATA'!$N$9),1,1,"2_DATA")):INDIRECT(ADDRESS(VLOOKUP($D$2,$A$4:$B$16,2,FALSE)-1,COLUMN('2_DATA'!$N$9),1,1,"2_DATA"))))),0)</f>
        <v>0</v>
      </c>
      <c r="J87" s="58" t="str">
        <f ca="1">IF(I87=0,"",MAX($J$3:J86)+1)</f>
        <v/>
      </c>
      <c r="L87" s="55">
        <f t="shared" ca="1" si="21"/>
        <v>1000</v>
      </c>
      <c r="M87" s="55" t="str">
        <f t="shared" ca="1" si="25"/>
        <v/>
      </c>
      <c r="N87" s="55"/>
      <c r="O87" s="55" t="str">
        <f t="shared" ca="1" si="29"/>
        <v/>
      </c>
      <c r="P87" s="55">
        <f t="shared" ca="1" si="22"/>
        <v>0</v>
      </c>
      <c r="Q87" s="55" t="str">
        <f ca="1">IFERROR(INDEX($O$4:$P$226,MATCH(ROWS($Q$3:Q86),$P$4:$P$226,0),1),"-")</f>
        <v>-</v>
      </c>
      <c r="R87" s="62" t="str">
        <f t="shared" ca="1" si="23"/>
        <v/>
      </c>
      <c r="S87" s="55" t="str">
        <f t="shared" ca="1" si="26"/>
        <v/>
      </c>
      <c r="T87" s="67" t="str">
        <f t="shared" ca="1" si="19"/>
        <v>-</v>
      </c>
      <c r="V87" s="68" t="str">
        <f t="shared" ca="1" si="30"/>
        <v/>
      </c>
      <c r="W87" s="69" t="str">
        <f t="shared" ca="1" si="31"/>
        <v/>
      </c>
      <c r="X87" s="70" t="s">
        <v>84</v>
      </c>
      <c r="Y87" s="68" t="str">
        <f t="shared" ca="1" si="35"/>
        <v/>
      </c>
      <c r="Z87" s="71" t="str">
        <f t="shared" ca="1" si="32"/>
        <v/>
      </c>
      <c r="AA87" s="72" t="str">
        <f t="shared" ca="1" si="33"/>
        <v/>
      </c>
      <c r="AB87" s="305" t="str">
        <f t="shared" ca="1" si="34"/>
        <v/>
      </c>
      <c r="AC87" s="236"/>
      <c r="AD87" s="236"/>
      <c r="AE87" s="236"/>
      <c r="AF87" s="236"/>
      <c r="AG87" s="236"/>
      <c r="AH87" s="236"/>
      <c r="AI87" s="236"/>
      <c r="AJ87" s="236"/>
      <c r="AK87" s="236"/>
      <c r="AL87" s="236"/>
      <c r="AM87" s="236"/>
      <c r="AN87" s="236"/>
      <c r="AO87" s="236"/>
      <c r="AP87" s="236"/>
      <c r="AQ87" s="236"/>
      <c r="AR87" s="236"/>
      <c r="AS87" s="236"/>
      <c r="AT87" s="236"/>
      <c r="AU87" s="236"/>
      <c r="AV87" s="236"/>
      <c r="AW87" s="236"/>
      <c r="AX87" s="236"/>
      <c r="AY87" s="236"/>
      <c r="AZ87" s="236"/>
      <c r="BA87" s="236"/>
      <c r="BB87" s="236"/>
      <c r="BC87" s="236"/>
      <c r="BD87" s="236"/>
      <c r="BE87" s="236"/>
      <c r="BF87" s="236"/>
      <c r="BG87" s="236"/>
      <c r="BH87" s="236"/>
      <c r="BI87" s="236"/>
      <c r="BJ87" s="236"/>
      <c r="BK87" s="236"/>
      <c r="BL87" s="236"/>
      <c r="BM87" s="236"/>
      <c r="BN87" s="236"/>
      <c r="BO87" s="236"/>
      <c r="BP87" s="236"/>
      <c r="BQ87" s="236"/>
      <c r="BR87" s="236"/>
      <c r="BS87" s="236"/>
      <c r="BT87" s="236"/>
      <c r="BU87" s="236"/>
      <c r="BV87" s="236"/>
      <c r="BW87" s="236"/>
      <c r="BX87" s="236"/>
      <c r="BY87" s="236"/>
      <c r="BZ87" s="236"/>
      <c r="CA87" s="236"/>
      <c r="CB87" s="236"/>
      <c r="CC87" s="236"/>
      <c r="CD87" s="236"/>
      <c r="CE87" s="236"/>
      <c r="CF87" s="236"/>
      <c r="CG87" s="236"/>
      <c r="CH87" s="236"/>
      <c r="CI87" s="236"/>
      <c r="CJ87" s="236"/>
      <c r="CK87" s="236"/>
      <c r="CL87" s="236"/>
      <c r="CM87" s="236"/>
      <c r="CN87" s="236"/>
      <c r="CO87" s="236"/>
      <c r="CP87" s="236"/>
      <c r="CQ87" s="236"/>
      <c r="CR87" s="236"/>
      <c r="CS87" s="236"/>
      <c r="CT87" s="236"/>
      <c r="CU87" s="236"/>
      <c r="CV87" s="236"/>
      <c r="CW87" s="236"/>
      <c r="CX87" s="236"/>
      <c r="CY87" s="236"/>
      <c r="CZ87" s="236"/>
      <c r="DA87" s="236"/>
      <c r="DB87" s="236"/>
      <c r="DC87" s="236"/>
      <c r="DD87" s="236"/>
      <c r="DE87" s="236"/>
      <c r="DF87" s="236"/>
      <c r="DG87" s="236"/>
      <c r="DH87" s="236"/>
      <c r="DI87" s="236"/>
      <c r="DJ87" s="236"/>
      <c r="DK87" s="236"/>
      <c r="DL87" s="236"/>
      <c r="DM87" s="236"/>
      <c r="DN87" s="236"/>
      <c r="DO87" s="236"/>
      <c r="DP87" s="236"/>
      <c r="DQ87" s="236"/>
      <c r="DR87" s="236"/>
      <c r="DS87" s="236"/>
      <c r="DT87" s="236"/>
      <c r="DU87" s="236"/>
      <c r="DV87" s="236"/>
      <c r="DW87" s="236"/>
      <c r="DX87" s="236"/>
      <c r="DY87" s="236"/>
      <c r="DZ87" s="236"/>
      <c r="EA87" s="236"/>
      <c r="EB87" s="236"/>
      <c r="EC87" s="236"/>
      <c r="ED87" s="236"/>
      <c r="EE87" s="236"/>
      <c r="EF87" s="236"/>
      <c r="EG87" s="236"/>
      <c r="EH87" s="236"/>
      <c r="EI87" s="236"/>
      <c r="EJ87" s="236"/>
      <c r="EK87" s="236"/>
      <c r="EL87" s="236"/>
      <c r="EM87" s="236"/>
      <c r="EN87" s="236"/>
      <c r="EO87" s="236"/>
      <c r="EP87" s="236"/>
      <c r="EQ87" s="236"/>
      <c r="ER87" s="236"/>
      <c r="ES87" s="236"/>
      <c r="ET87" s="236"/>
      <c r="EU87" s="236"/>
      <c r="EV87" s="236"/>
      <c r="EW87" s="236"/>
      <c r="EX87" s="236"/>
      <c r="EY87" s="236"/>
      <c r="EZ87" s="236"/>
      <c r="FA87" s="236"/>
      <c r="FB87" s="236"/>
      <c r="FC87" s="236"/>
      <c r="FD87" s="236"/>
      <c r="FE87" s="236"/>
      <c r="FF87" s="236"/>
      <c r="FG87" s="236"/>
      <c r="FH87" s="236"/>
      <c r="FI87" s="236"/>
      <c r="FJ87" s="236"/>
      <c r="FK87" s="236"/>
      <c r="FL87" s="236"/>
      <c r="FM87" s="236"/>
      <c r="FN87" s="236"/>
      <c r="FO87" s="236"/>
      <c r="FP87" s="236"/>
      <c r="FQ87" s="236"/>
      <c r="FR87" s="236"/>
      <c r="FS87" s="236"/>
      <c r="FT87" s="236"/>
      <c r="FU87" s="236"/>
      <c r="FV87" s="236"/>
      <c r="FW87" s="236"/>
      <c r="FX87" s="236"/>
      <c r="FY87" s="236"/>
      <c r="FZ87" s="236"/>
      <c r="GA87" s="236"/>
      <c r="GB87" s="236"/>
      <c r="GC87" s="236"/>
      <c r="GD87" s="236"/>
      <c r="GE87" s="236"/>
      <c r="GF87" s="236"/>
      <c r="GG87" s="236"/>
      <c r="GH87" s="236"/>
      <c r="GI87" s="236"/>
      <c r="GJ87" s="236"/>
      <c r="GK87" s="236"/>
      <c r="GL87" s="236"/>
      <c r="GM87" s="236"/>
      <c r="GN87" s="236"/>
      <c r="GO87" s="236"/>
      <c r="GP87" s="236"/>
      <c r="GQ87" s="236"/>
      <c r="GR87" s="236"/>
      <c r="GS87" s="236"/>
      <c r="GT87" s="236"/>
      <c r="GU87" s="236"/>
      <c r="GV87" s="236"/>
      <c r="GW87" s="236"/>
      <c r="GX87" s="236"/>
      <c r="GY87" s="236"/>
      <c r="GZ87" s="236"/>
      <c r="HA87" s="236"/>
      <c r="HB87" s="236"/>
      <c r="HC87" s="236"/>
      <c r="HD87" s="236"/>
      <c r="HE87" s="236"/>
      <c r="HF87" s="236"/>
      <c r="HG87" s="236"/>
      <c r="HH87" s="236"/>
      <c r="HI87" s="236"/>
      <c r="HJ87" s="236"/>
      <c r="HK87" s="236"/>
      <c r="HL87" s="236"/>
      <c r="HM87" s="236"/>
      <c r="HN87" s="236"/>
      <c r="HO87" s="236"/>
      <c r="HP87" s="236"/>
      <c r="HQ87" s="236"/>
      <c r="HR87" s="236"/>
      <c r="HS87" s="236"/>
      <c r="HT87" s="236"/>
      <c r="HU87" s="236"/>
      <c r="HV87" s="236"/>
      <c r="HW87" s="236"/>
      <c r="HX87" s="236"/>
      <c r="HY87" s="236"/>
      <c r="HZ87" s="236"/>
      <c r="IA87" s="236"/>
      <c r="IB87" s="236"/>
      <c r="IC87" s="236"/>
      <c r="ID87" s="236"/>
      <c r="IE87" s="236"/>
      <c r="IF87" s="236"/>
      <c r="IG87" s="236"/>
      <c r="IH87" s="236"/>
      <c r="II87" s="236"/>
      <c r="IJ87" s="236"/>
      <c r="IK87" s="236"/>
      <c r="IL87" s="236"/>
      <c r="IM87" s="236"/>
      <c r="IN87" s="236"/>
      <c r="IO87" s="236"/>
      <c r="IP87" s="236"/>
      <c r="IQ87" s="236"/>
      <c r="IR87" s="236"/>
      <c r="IS87" s="236"/>
      <c r="IT87" s="236"/>
      <c r="IU87" s="236"/>
      <c r="IV87" s="236"/>
      <c r="IW87" s="236"/>
      <c r="IX87" s="236"/>
      <c r="IY87" s="236"/>
      <c r="IZ87" s="236"/>
      <c r="JA87" s="236"/>
      <c r="JB87" s="236"/>
      <c r="JC87" s="236"/>
      <c r="JD87" s="236"/>
      <c r="JE87" s="236"/>
      <c r="JF87" s="236"/>
      <c r="JG87" s="236"/>
      <c r="JH87" s="236"/>
      <c r="JI87" s="236"/>
      <c r="JJ87" s="236"/>
      <c r="JK87" s="236"/>
      <c r="JL87" s="236"/>
      <c r="JM87" s="236"/>
      <c r="JN87" s="236"/>
      <c r="JO87" s="236"/>
      <c r="JP87" s="236"/>
      <c r="JQ87" s="236"/>
      <c r="JR87" s="236"/>
      <c r="JS87" s="236"/>
      <c r="JT87" s="236"/>
      <c r="JU87" s="236"/>
      <c r="JV87" s="236"/>
      <c r="JW87" s="236"/>
      <c r="JX87" s="409"/>
      <c r="JY87" s="409"/>
      <c r="JZ87" s="409"/>
      <c r="KA87" s="409"/>
      <c r="KB87" s="409"/>
      <c r="KC87" s="409"/>
      <c r="KD87" s="409"/>
      <c r="KE87" s="409"/>
      <c r="KF87" s="409"/>
      <c r="KG87" s="410"/>
      <c r="KH87" s="412">
        <f t="shared" si="36"/>
        <v>84</v>
      </c>
      <c r="KI87" s="413" t="str">
        <f t="shared" ca="1" si="27"/>
        <v/>
      </c>
      <c r="KJ87" s="413" t="str">
        <f t="shared" ca="1" si="37"/>
        <v/>
      </c>
      <c r="KK87" s="414" t="str">
        <f t="shared" ca="1" si="28"/>
        <v/>
      </c>
    </row>
    <row r="88" spans="3:297" ht="24" customHeight="1">
      <c r="C88"/>
      <c r="D88" s="57" t="str">
        <f ca="1">INDIRECT(ADDRESS(ROWS($D$3:D87)+6,D$3,1,1,"3_TIME SUM"))</f>
        <v xml:space="preserve">Coiled Tubing Services </v>
      </c>
      <c r="E88" s="81" t="str">
        <f ca="1">IF(INDIRECT(ADDRESS(ROWS($E$3:E87)+6,E$3,1,1,"3_TIME SUM"))=0,E87,INDIRECT(ADDRESS(ROWS($E$3:E87)+6,E$3,1,1,"3_TIME SUM")))</f>
        <v>Service Company (NPT)</v>
      </c>
      <c r="F88" s="57" t="str">
        <f t="shared" ca="1" si="24"/>
        <v xml:space="preserve">Service Company (NPT) : Coiled Tubing Services </v>
      </c>
      <c r="G88" s="58" t="str">
        <f ca="1">VLOOKUP($D88,INDIRECT(ADDRESS(7,5,1,1,"3_TIME SUM")):INDIRECT(ADDRESS(200,7,1,1,"3_TIME SUM")),2,FALSE)</f>
        <v>21h</v>
      </c>
      <c r="H88" s="58" t="str">
        <f ca="1">IF(VLOOKUP($D88,INDIRECT(ADDRESS(7,5,1,1,"3_TIME SUM")):INDIRECT(ADDRESS(200,7,1,1,"3_TIME SUM")),3,FALSE)="","PT",VLOOKUP($D88,INDIRECT(ADDRESS(7,5,1,1,"3_TIME SUM")):INDIRECT(ADDRESS(200,7,1,1,"3_TIME SUM")),3,FALSE))</f>
        <v>NPT</v>
      </c>
      <c r="I88" s="59">
        <f ca="1">IFERROR(IF(AND($D$2="NON PRODUCTIVE TIME",$H88="NPT"),SUMIF(INDIRECT(ADDRESS(8,COLUMN('2_DATA'!$M$9),1,1,"2_DATA")):INDIRECT(ADDRESS(3000,COLUMN('2_DATA'!$M$9),1,1,"2_DATA")),$G88,INDIRECT(ADDRESS(8,COLUMN('2_DATA'!$N$9),1,1,"2_DATA")):INDIRECT(ADDRESS(3000,COLUMN('2_DATA'!$N$9),1,1,"2_DATA"))),IF($D$2="ALL ACTIVITY",SUMIF(INDIRECT(ADDRESS(9,COLUMN('2_DATA'!$M$9),1,1,"2_DATA")):INDIRECT(ADDRESS(3000,COLUMN('2_DATA'!$M$9),1,1,"2_DATA")),$G88,INDIRECT(ADDRESS(9,COLUMN('2_DATA'!$N$9),1,1,"2_DATA")):INDIRECT(ADDRESS(3000,COLUMN('2_DATA'!$N$9),1,1,"2_DATA"))),SUMIF(INDIRECT(ADDRESS(OFFSET($A$3,MATCH($D$2,$A$4:$A$16,0)-1,1,,)+1,COLUMN('2_DATA'!$M$9),1,1,"2_DATA")):INDIRECT(ADDRESS(VLOOKUP($D$2,$A$4:$B$16,2,FALSE)-1,COLUMN('2_DATA'!$M$9),1,1,"2_DATA")),$G88,INDIRECT(ADDRESS(OFFSET($A$3,MATCH($D$2,$A$4:$A$16,0)-1,1,,)+1,COLUMN('2_DATA'!$N$9),1,1,"2_DATA")):INDIRECT(ADDRESS(VLOOKUP($D$2,$A$4:$B$16,2,FALSE)-1,COLUMN('2_DATA'!$N$9),1,1,"2_DATA"))))),0)</f>
        <v>0</v>
      </c>
      <c r="J88" s="58" t="str">
        <f ca="1">IF(I88=0,"",MAX($J$3:J87)+1)</f>
        <v/>
      </c>
      <c r="L88" s="55">
        <f t="shared" ca="1" si="21"/>
        <v>1000</v>
      </c>
      <c r="M88" s="55" t="str">
        <f t="shared" ca="1" si="25"/>
        <v/>
      </c>
      <c r="N88" s="55"/>
      <c r="O88" s="55" t="str">
        <f t="shared" ca="1" si="29"/>
        <v/>
      </c>
      <c r="P88" s="55">
        <f t="shared" ca="1" si="22"/>
        <v>0</v>
      </c>
      <c r="Q88" s="55" t="str">
        <f ca="1">IFERROR(INDEX($O$4:$P$226,MATCH(ROWS($Q$3:Q87),$P$4:$P$226,0),1),"-")</f>
        <v>-</v>
      </c>
      <c r="R88" s="62" t="str">
        <f t="shared" ca="1" si="23"/>
        <v/>
      </c>
      <c r="S88" s="55" t="str">
        <f t="shared" ca="1" si="26"/>
        <v/>
      </c>
      <c r="T88" s="67" t="str">
        <f t="shared" ca="1" si="19"/>
        <v>-</v>
      </c>
      <c r="V88" s="68" t="str">
        <f t="shared" ca="1" si="30"/>
        <v/>
      </c>
      <c r="W88" s="69" t="str">
        <f t="shared" ca="1" si="31"/>
        <v/>
      </c>
      <c r="X88" s="70" t="s">
        <v>84</v>
      </c>
      <c r="Y88" s="68" t="str">
        <f t="shared" ca="1" si="35"/>
        <v/>
      </c>
      <c r="Z88" s="71" t="str">
        <f t="shared" ca="1" si="32"/>
        <v/>
      </c>
      <c r="AA88" s="72" t="str">
        <f t="shared" ca="1" si="33"/>
        <v/>
      </c>
      <c r="AB88" s="305" t="str">
        <f t="shared" ca="1" si="34"/>
        <v/>
      </c>
      <c r="AC88" s="236"/>
      <c r="AD88" s="236"/>
      <c r="AE88" s="236"/>
      <c r="AF88" s="236"/>
      <c r="AG88" s="236"/>
      <c r="AH88" s="236"/>
      <c r="AI88" s="236"/>
      <c r="AJ88" s="236"/>
      <c r="AK88" s="236"/>
      <c r="AL88" s="236"/>
      <c r="AM88" s="236"/>
      <c r="AN88" s="236"/>
      <c r="AO88" s="236"/>
      <c r="AP88" s="236"/>
      <c r="AQ88" s="236"/>
      <c r="AR88" s="236"/>
      <c r="AS88" s="236"/>
      <c r="AT88" s="236"/>
      <c r="AU88" s="236"/>
      <c r="AV88" s="236"/>
      <c r="AW88" s="236"/>
      <c r="AX88" s="236"/>
      <c r="AY88" s="236"/>
      <c r="AZ88" s="236"/>
      <c r="BA88" s="236"/>
      <c r="BB88" s="236"/>
      <c r="BC88" s="236"/>
      <c r="BD88" s="236"/>
      <c r="BE88" s="236"/>
      <c r="BF88" s="236"/>
      <c r="BG88" s="236"/>
      <c r="BH88" s="236"/>
      <c r="BI88" s="236"/>
      <c r="BJ88" s="236"/>
      <c r="BK88" s="236"/>
      <c r="BL88" s="236"/>
      <c r="BM88" s="236"/>
      <c r="BN88" s="236"/>
      <c r="BO88" s="236"/>
      <c r="BP88" s="236"/>
      <c r="BQ88" s="236"/>
      <c r="BR88" s="236"/>
      <c r="BS88" s="236"/>
      <c r="BT88" s="236"/>
      <c r="BU88" s="236"/>
      <c r="BV88" s="236"/>
      <c r="BW88" s="236"/>
      <c r="BX88" s="236"/>
      <c r="BY88" s="236"/>
      <c r="BZ88" s="236"/>
      <c r="CA88" s="236"/>
      <c r="CB88" s="236"/>
      <c r="CC88" s="236"/>
      <c r="CD88" s="236"/>
      <c r="CE88" s="236"/>
      <c r="CF88" s="236"/>
      <c r="CG88" s="236"/>
      <c r="CH88" s="236"/>
      <c r="CI88" s="236"/>
      <c r="CJ88" s="236"/>
      <c r="CK88" s="236"/>
      <c r="CL88" s="236"/>
      <c r="CM88" s="236"/>
      <c r="CN88" s="236"/>
      <c r="CO88" s="236"/>
      <c r="CP88" s="236"/>
      <c r="CQ88" s="236"/>
      <c r="CR88" s="236"/>
      <c r="CS88" s="236"/>
      <c r="CT88" s="236"/>
      <c r="CU88" s="236"/>
      <c r="CV88" s="236"/>
      <c r="CW88" s="236"/>
      <c r="CX88" s="236"/>
      <c r="CY88" s="236"/>
      <c r="CZ88" s="236"/>
      <c r="DA88" s="236"/>
      <c r="DB88" s="236"/>
      <c r="DC88" s="236"/>
      <c r="DD88" s="236"/>
      <c r="DE88" s="236"/>
      <c r="DF88" s="236"/>
      <c r="DG88" s="236"/>
      <c r="DH88" s="236"/>
      <c r="DI88" s="236"/>
      <c r="DJ88" s="236"/>
      <c r="DK88" s="236"/>
      <c r="DL88" s="236"/>
      <c r="DM88" s="236"/>
      <c r="DN88" s="236"/>
      <c r="DO88" s="236"/>
      <c r="DP88" s="236"/>
      <c r="DQ88" s="236"/>
      <c r="DR88" s="236"/>
      <c r="DS88" s="236"/>
      <c r="DT88" s="236"/>
      <c r="DU88" s="236"/>
      <c r="DV88" s="236"/>
      <c r="DW88" s="236"/>
      <c r="DX88" s="236"/>
      <c r="DY88" s="236"/>
      <c r="DZ88" s="236"/>
      <c r="EA88" s="236"/>
      <c r="EB88" s="236"/>
      <c r="EC88" s="236"/>
      <c r="ED88" s="236"/>
      <c r="EE88" s="236"/>
      <c r="EF88" s="236"/>
      <c r="EG88" s="236"/>
      <c r="EH88" s="236"/>
      <c r="EI88" s="236"/>
      <c r="EJ88" s="236"/>
      <c r="EK88" s="236"/>
      <c r="EL88" s="236"/>
      <c r="EM88" s="236"/>
      <c r="EN88" s="236"/>
      <c r="EO88" s="236"/>
      <c r="EP88" s="236"/>
      <c r="EQ88" s="236"/>
      <c r="ER88" s="236"/>
      <c r="ES88" s="236"/>
      <c r="ET88" s="236"/>
      <c r="EU88" s="236"/>
      <c r="EV88" s="236"/>
      <c r="EW88" s="236"/>
      <c r="EX88" s="236"/>
      <c r="EY88" s="236"/>
      <c r="EZ88" s="236"/>
      <c r="FA88" s="236"/>
      <c r="FB88" s="236"/>
      <c r="FC88" s="236"/>
      <c r="FD88" s="236"/>
      <c r="FE88" s="236"/>
      <c r="FF88" s="236"/>
      <c r="FG88" s="236"/>
      <c r="FH88" s="236"/>
      <c r="FI88" s="236"/>
      <c r="FJ88" s="236"/>
      <c r="FK88" s="236"/>
      <c r="FL88" s="236"/>
      <c r="FM88" s="236"/>
      <c r="FN88" s="236"/>
      <c r="FO88" s="236"/>
      <c r="FP88" s="236"/>
      <c r="FQ88" s="236"/>
      <c r="FR88" s="236"/>
      <c r="FS88" s="236"/>
      <c r="FT88" s="236"/>
      <c r="FU88" s="236"/>
      <c r="FV88" s="236"/>
      <c r="FW88" s="236"/>
      <c r="FX88" s="236"/>
      <c r="FY88" s="236"/>
      <c r="FZ88" s="236"/>
      <c r="GA88" s="236"/>
      <c r="GB88" s="236"/>
      <c r="GC88" s="236"/>
      <c r="GD88" s="236"/>
      <c r="GE88" s="236"/>
      <c r="GF88" s="236"/>
      <c r="GG88" s="236"/>
      <c r="GH88" s="236"/>
      <c r="GI88" s="236"/>
      <c r="GJ88" s="236"/>
      <c r="GK88" s="236"/>
      <c r="GL88" s="236"/>
      <c r="GM88" s="236"/>
      <c r="GN88" s="236"/>
      <c r="GO88" s="236"/>
      <c r="GP88" s="236"/>
      <c r="GQ88" s="236"/>
      <c r="GR88" s="236"/>
      <c r="GS88" s="236"/>
      <c r="GT88" s="236"/>
      <c r="GU88" s="236"/>
      <c r="GV88" s="236"/>
      <c r="GW88" s="236"/>
      <c r="GX88" s="236"/>
      <c r="GY88" s="236"/>
      <c r="GZ88" s="236"/>
      <c r="HA88" s="236"/>
      <c r="HB88" s="236"/>
      <c r="HC88" s="236"/>
      <c r="HD88" s="236"/>
      <c r="HE88" s="236"/>
      <c r="HF88" s="236"/>
      <c r="HG88" s="236"/>
      <c r="HH88" s="236"/>
      <c r="HI88" s="236"/>
      <c r="HJ88" s="236"/>
      <c r="HK88" s="236"/>
      <c r="HL88" s="236"/>
      <c r="HM88" s="236"/>
      <c r="HN88" s="236"/>
      <c r="HO88" s="236"/>
      <c r="HP88" s="236"/>
      <c r="HQ88" s="236"/>
      <c r="HR88" s="236"/>
      <c r="HS88" s="236"/>
      <c r="HT88" s="236"/>
      <c r="HU88" s="236"/>
      <c r="HV88" s="236"/>
      <c r="HW88" s="236"/>
      <c r="HX88" s="236"/>
      <c r="HY88" s="236"/>
      <c r="HZ88" s="236"/>
      <c r="IA88" s="236"/>
      <c r="IB88" s="236"/>
      <c r="IC88" s="236"/>
      <c r="ID88" s="236"/>
      <c r="IE88" s="236"/>
      <c r="IF88" s="236"/>
      <c r="IG88" s="236"/>
      <c r="IH88" s="236"/>
      <c r="II88" s="236"/>
      <c r="IJ88" s="236"/>
      <c r="IK88" s="236"/>
      <c r="IL88" s="236"/>
      <c r="IM88" s="236"/>
      <c r="IN88" s="236"/>
      <c r="IO88" s="236"/>
      <c r="IP88" s="236"/>
      <c r="IQ88" s="236"/>
      <c r="IR88" s="236"/>
      <c r="IS88" s="236"/>
      <c r="IT88" s="236"/>
      <c r="IU88" s="236"/>
      <c r="IV88" s="236"/>
      <c r="IW88" s="236"/>
      <c r="IX88" s="236"/>
      <c r="IY88" s="236"/>
      <c r="IZ88" s="236"/>
      <c r="JA88" s="236"/>
      <c r="JB88" s="236"/>
      <c r="JC88" s="236"/>
      <c r="JD88" s="236"/>
      <c r="JE88" s="236"/>
      <c r="JF88" s="236"/>
      <c r="JG88" s="236"/>
      <c r="JH88" s="236"/>
      <c r="JI88" s="236"/>
      <c r="JJ88" s="236"/>
      <c r="JK88" s="236"/>
      <c r="JL88" s="236"/>
      <c r="JM88" s="236"/>
      <c r="JN88" s="236"/>
      <c r="JO88" s="236"/>
      <c r="JP88" s="236"/>
      <c r="JQ88" s="236"/>
      <c r="JR88" s="236"/>
      <c r="JS88" s="236"/>
      <c r="JT88" s="236"/>
      <c r="JU88" s="236"/>
      <c r="JV88" s="236"/>
      <c r="JW88" s="236"/>
      <c r="JX88" s="409"/>
      <c r="JY88" s="409"/>
      <c r="JZ88" s="409"/>
      <c r="KA88" s="409"/>
      <c r="KB88" s="409"/>
      <c r="KC88" s="409"/>
      <c r="KD88" s="409"/>
      <c r="KE88" s="409"/>
      <c r="KF88" s="409"/>
      <c r="KG88" s="410"/>
      <c r="KH88" s="412">
        <f t="shared" si="36"/>
        <v>85</v>
      </c>
      <c r="KI88" s="413" t="str">
        <f t="shared" ca="1" si="27"/>
        <v/>
      </c>
      <c r="KJ88" s="413" t="str">
        <f t="shared" ca="1" si="37"/>
        <v/>
      </c>
      <c r="KK88" s="414" t="str">
        <f t="shared" ca="1" si="28"/>
        <v/>
      </c>
    </row>
    <row r="89" spans="3:297" ht="24" customHeight="1">
      <c r="C89"/>
      <c r="D89" s="57" t="str">
        <f ca="1">INDIRECT(ADDRESS(ROWS($D$3:D88)+6,D$3,1,1,"3_TIME SUM"))</f>
        <v xml:space="preserve">Wireline Services </v>
      </c>
      <c r="E89" s="81" t="str">
        <f ca="1">IF(INDIRECT(ADDRESS(ROWS($E$3:E88)+6,E$3,1,1,"3_TIME SUM"))=0,E88,INDIRECT(ADDRESS(ROWS($E$3:E88)+6,E$3,1,1,"3_TIME SUM")))</f>
        <v>Service Company (NPT)</v>
      </c>
      <c r="F89" s="57" t="str">
        <f t="shared" ca="1" si="24"/>
        <v xml:space="preserve">Service Company (NPT) : Wireline Services </v>
      </c>
      <c r="G89" s="58" t="str">
        <f ca="1">VLOOKUP($D89,INDIRECT(ADDRESS(7,5,1,1,"3_TIME SUM")):INDIRECT(ADDRESS(200,7,1,1,"3_TIME SUM")),2,FALSE)</f>
        <v>21i</v>
      </c>
      <c r="H89" s="58" t="str">
        <f ca="1">IF(VLOOKUP($D89,INDIRECT(ADDRESS(7,5,1,1,"3_TIME SUM")):INDIRECT(ADDRESS(200,7,1,1,"3_TIME SUM")),3,FALSE)="","PT",VLOOKUP($D89,INDIRECT(ADDRESS(7,5,1,1,"3_TIME SUM")):INDIRECT(ADDRESS(200,7,1,1,"3_TIME SUM")),3,FALSE))</f>
        <v>NPT</v>
      </c>
      <c r="I89" s="59">
        <f ca="1">IFERROR(IF(AND($D$2="NON PRODUCTIVE TIME",$H89="NPT"),SUMIF(INDIRECT(ADDRESS(8,COLUMN('2_DATA'!$M$9),1,1,"2_DATA")):INDIRECT(ADDRESS(3000,COLUMN('2_DATA'!$M$9),1,1,"2_DATA")),$G89,INDIRECT(ADDRESS(8,COLUMN('2_DATA'!$N$9),1,1,"2_DATA")):INDIRECT(ADDRESS(3000,COLUMN('2_DATA'!$N$9),1,1,"2_DATA"))),IF($D$2="ALL ACTIVITY",SUMIF(INDIRECT(ADDRESS(9,COLUMN('2_DATA'!$M$9),1,1,"2_DATA")):INDIRECT(ADDRESS(3000,COLUMN('2_DATA'!$M$9),1,1,"2_DATA")),$G89,INDIRECT(ADDRESS(9,COLUMN('2_DATA'!$N$9),1,1,"2_DATA")):INDIRECT(ADDRESS(3000,COLUMN('2_DATA'!$N$9),1,1,"2_DATA"))),SUMIF(INDIRECT(ADDRESS(OFFSET($A$3,MATCH($D$2,$A$4:$A$16,0)-1,1,,)+1,COLUMN('2_DATA'!$M$9),1,1,"2_DATA")):INDIRECT(ADDRESS(VLOOKUP($D$2,$A$4:$B$16,2,FALSE)-1,COLUMN('2_DATA'!$M$9),1,1,"2_DATA")),$G89,INDIRECT(ADDRESS(OFFSET($A$3,MATCH($D$2,$A$4:$A$16,0)-1,1,,)+1,COLUMN('2_DATA'!$N$9),1,1,"2_DATA")):INDIRECT(ADDRESS(VLOOKUP($D$2,$A$4:$B$16,2,FALSE)-1,COLUMN('2_DATA'!$N$9),1,1,"2_DATA"))))),0)</f>
        <v>0</v>
      </c>
      <c r="J89" s="58" t="str">
        <f ca="1">IF(I89=0,"",MAX($J$3:J88)+1)</f>
        <v/>
      </c>
      <c r="L89" s="55">
        <f t="shared" ca="1" si="21"/>
        <v>1000</v>
      </c>
      <c r="M89" s="55" t="str">
        <f t="shared" ca="1" si="25"/>
        <v/>
      </c>
      <c r="N89" s="55"/>
      <c r="O89" s="55" t="str">
        <f t="shared" ca="1" si="29"/>
        <v/>
      </c>
      <c r="P89" s="55">
        <f t="shared" ca="1" si="22"/>
        <v>0</v>
      </c>
      <c r="Q89" s="55" t="str">
        <f ca="1">IFERROR(INDEX($O$4:$P$226,MATCH(ROWS($Q$3:Q88),$P$4:$P$226,0),1),"-")</f>
        <v>-</v>
      </c>
      <c r="R89" s="62" t="str">
        <f t="shared" ca="1" si="23"/>
        <v/>
      </c>
      <c r="S89" s="55" t="str">
        <f t="shared" ca="1" si="26"/>
        <v/>
      </c>
      <c r="T89" s="67" t="str">
        <f t="shared" ca="1" si="19"/>
        <v>-</v>
      </c>
      <c r="V89" s="68" t="str">
        <f t="shared" ca="1" si="30"/>
        <v/>
      </c>
      <c r="W89" s="69" t="str">
        <f t="shared" ca="1" si="31"/>
        <v/>
      </c>
      <c r="X89" s="70" t="s">
        <v>84</v>
      </c>
      <c r="Y89" s="68" t="str">
        <f t="shared" ca="1" si="35"/>
        <v/>
      </c>
      <c r="Z89" s="71" t="str">
        <f t="shared" ca="1" si="32"/>
        <v/>
      </c>
      <c r="AA89" s="72" t="str">
        <f t="shared" ca="1" si="33"/>
        <v/>
      </c>
      <c r="AB89" s="305" t="str">
        <f t="shared" ca="1" si="34"/>
        <v/>
      </c>
      <c r="AC89" s="236"/>
      <c r="AD89" s="236"/>
      <c r="AE89" s="236"/>
      <c r="AF89" s="236"/>
      <c r="AG89" s="236"/>
      <c r="AH89" s="236"/>
      <c r="AI89" s="236"/>
      <c r="AJ89" s="236"/>
      <c r="AK89" s="236"/>
      <c r="AL89" s="236"/>
      <c r="AM89" s="236"/>
      <c r="AN89" s="236"/>
      <c r="AO89" s="236"/>
      <c r="AP89" s="236"/>
      <c r="AQ89" s="236"/>
      <c r="AR89" s="236"/>
      <c r="AS89" s="236"/>
      <c r="AT89" s="236"/>
      <c r="AU89" s="236"/>
      <c r="AV89" s="236"/>
      <c r="AW89" s="236"/>
      <c r="AX89" s="236"/>
      <c r="AY89" s="236"/>
      <c r="AZ89" s="236"/>
      <c r="BA89" s="236"/>
      <c r="BB89" s="236"/>
      <c r="BC89" s="236"/>
      <c r="BD89" s="236"/>
      <c r="BE89" s="236"/>
      <c r="BF89" s="236"/>
      <c r="BG89" s="236"/>
      <c r="BH89" s="236"/>
      <c r="BI89" s="236"/>
      <c r="BJ89" s="236"/>
      <c r="BK89" s="236"/>
      <c r="BL89" s="236"/>
      <c r="BM89" s="236"/>
      <c r="BN89" s="236"/>
      <c r="BO89" s="236"/>
      <c r="BP89" s="236"/>
      <c r="BQ89" s="236"/>
      <c r="BR89" s="236"/>
      <c r="BS89" s="236"/>
      <c r="BT89" s="236"/>
      <c r="BU89" s="236"/>
      <c r="BV89" s="236"/>
      <c r="BW89" s="236"/>
      <c r="BX89" s="236"/>
      <c r="BY89" s="236"/>
      <c r="BZ89" s="236"/>
      <c r="CA89" s="236"/>
      <c r="CB89" s="236"/>
      <c r="CC89" s="236"/>
      <c r="CD89" s="236"/>
      <c r="CE89" s="236"/>
      <c r="CF89" s="236"/>
      <c r="CG89" s="236"/>
      <c r="CH89" s="236"/>
      <c r="CI89" s="236"/>
      <c r="CJ89" s="236"/>
      <c r="CK89" s="236"/>
      <c r="CL89" s="236"/>
      <c r="CM89" s="236"/>
      <c r="CN89" s="236"/>
      <c r="CO89" s="236"/>
      <c r="CP89" s="236"/>
      <c r="CQ89" s="236"/>
      <c r="CR89" s="236"/>
      <c r="CS89" s="236"/>
      <c r="CT89" s="236"/>
      <c r="CU89" s="236"/>
      <c r="CV89" s="236"/>
      <c r="CW89" s="236"/>
      <c r="CX89" s="236"/>
      <c r="CY89" s="236"/>
      <c r="CZ89" s="236"/>
      <c r="DA89" s="236"/>
      <c r="DB89" s="236"/>
      <c r="DC89" s="236"/>
      <c r="DD89" s="236"/>
      <c r="DE89" s="236"/>
      <c r="DF89" s="236"/>
      <c r="DG89" s="236"/>
      <c r="DH89" s="236"/>
      <c r="DI89" s="236"/>
      <c r="DJ89" s="236"/>
      <c r="DK89" s="236"/>
      <c r="DL89" s="236"/>
      <c r="DM89" s="236"/>
      <c r="DN89" s="236"/>
      <c r="DO89" s="236"/>
      <c r="DP89" s="236"/>
      <c r="DQ89" s="236"/>
      <c r="DR89" s="236"/>
      <c r="DS89" s="236"/>
      <c r="DT89" s="236"/>
      <c r="DU89" s="236"/>
      <c r="DV89" s="236"/>
      <c r="DW89" s="236"/>
      <c r="DX89" s="236"/>
      <c r="DY89" s="236"/>
      <c r="DZ89" s="236"/>
      <c r="EA89" s="236"/>
      <c r="EB89" s="236"/>
      <c r="EC89" s="236"/>
      <c r="ED89" s="236"/>
      <c r="EE89" s="236"/>
      <c r="EF89" s="236"/>
      <c r="EG89" s="236"/>
      <c r="EH89" s="236"/>
      <c r="EI89" s="236"/>
      <c r="EJ89" s="236"/>
      <c r="EK89" s="236"/>
      <c r="EL89" s="236"/>
      <c r="EM89" s="236"/>
      <c r="EN89" s="236"/>
      <c r="EO89" s="236"/>
      <c r="EP89" s="236"/>
      <c r="EQ89" s="236"/>
      <c r="ER89" s="236"/>
      <c r="ES89" s="236"/>
      <c r="ET89" s="236"/>
      <c r="EU89" s="236"/>
      <c r="EV89" s="236"/>
      <c r="EW89" s="236"/>
      <c r="EX89" s="236"/>
      <c r="EY89" s="236"/>
      <c r="EZ89" s="236"/>
      <c r="FA89" s="236"/>
      <c r="FB89" s="236"/>
      <c r="FC89" s="236"/>
      <c r="FD89" s="236"/>
      <c r="FE89" s="236"/>
      <c r="FF89" s="236"/>
      <c r="FG89" s="236"/>
      <c r="FH89" s="236"/>
      <c r="FI89" s="236"/>
      <c r="FJ89" s="236"/>
      <c r="FK89" s="236"/>
      <c r="FL89" s="236"/>
      <c r="FM89" s="236"/>
      <c r="FN89" s="236"/>
      <c r="FO89" s="236"/>
      <c r="FP89" s="236"/>
      <c r="FQ89" s="236"/>
      <c r="FR89" s="236"/>
      <c r="FS89" s="236"/>
      <c r="FT89" s="236"/>
      <c r="FU89" s="236"/>
      <c r="FV89" s="236"/>
      <c r="FW89" s="236"/>
      <c r="FX89" s="236"/>
      <c r="FY89" s="236"/>
      <c r="FZ89" s="236"/>
      <c r="GA89" s="236"/>
      <c r="GB89" s="236"/>
      <c r="GC89" s="236"/>
      <c r="GD89" s="236"/>
      <c r="GE89" s="236"/>
      <c r="GF89" s="236"/>
      <c r="GG89" s="236"/>
      <c r="GH89" s="236"/>
      <c r="GI89" s="236"/>
      <c r="GJ89" s="236"/>
      <c r="GK89" s="236"/>
      <c r="GL89" s="236"/>
      <c r="GM89" s="236"/>
      <c r="GN89" s="236"/>
      <c r="GO89" s="236"/>
      <c r="GP89" s="236"/>
      <c r="GQ89" s="236"/>
      <c r="GR89" s="236"/>
      <c r="GS89" s="236"/>
      <c r="GT89" s="236"/>
      <c r="GU89" s="236"/>
      <c r="GV89" s="236"/>
      <c r="GW89" s="236"/>
      <c r="GX89" s="236"/>
      <c r="GY89" s="236"/>
      <c r="GZ89" s="236"/>
      <c r="HA89" s="236"/>
      <c r="HB89" s="236"/>
      <c r="HC89" s="236"/>
      <c r="HD89" s="236"/>
      <c r="HE89" s="236"/>
      <c r="HF89" s="236"/>
      <c r="HG89" s="236"/>
      <c r="HH89" s="236"/>
      <c r="HI89" s="236"/>
      <c r="HJ89" s="236"/>
      <c r="HK89" s="236"/>
      <c r="HL89" s="236"/>
      <c r="HM89" s="236"/>
      <c r="HN89" s="236"/>
      <c r="HO89" s="236"/>
      <c r="HP89" s="236"/>
      <c r="HQ89" s="236"/>
      <c r="HR89" s="236"/>
      <c r="HS89" s="236"/>
      <c r="HT89" s="236"/>
      <c r="HU89" s="236"/>
      <c r="HV89" s="236"/>
      <c r="HW89" s="236"/>
      <c r="HX89" s="236"/>
      <c r="HY89" s="236"/>
      <c r="HZ89" s="236"/>
      <c r="IA89" s="236"/>
      <c r="IB89" s="236"/>
      <c r="IC89" s="236"/>
      <c r="ID89" s="236"/>
      <c r="IE89" s="236"/>
      <c r="IF89" s="236"/>
      <c r="IG89" s="236"/>
      <c r="IH89" s="236"/>
      <c r="II89" s="236"/>
      <c r="IJ89" s="236"/>
      <c r="IK89" s="236"/>
      <c r="IL89" s="236"/>
      <c r="IM89" s="236"/>
      <c r="IN89" s="236"/>
      <c r="IO89" s="236"/>
      <c r="IP89" s="236"/>
      <c r="IQ89" s="236"/>
      <c r="IR89" s="236"/>
      <c r="IS89" s="236"/>
      <c r="IT89" s="236"/>
      <c r="IU89" s="236"/>
      <c r="IV89" s="236"/>
      <c r="IW89" s="236"/>
      <c r="IX89" s="236"/>
      <c r="IY89" s="236"/>
      <c r="IZ89" s="236"/>
      <c r="JA89" s="236"/>
      <c r="JB89" s="236"/>
      <c r="JC89" s="236"/>
      <c r="JD89" s="236"/>
      <c r="JE89" s="236"/>
      <c r="JF89" s="236"/>
      <c r="JG89" s="236"/>
      <c r="JH89" s="236"/>
      <c r="JI89" s="236"/>
      <c r="JJ89" s="236"/>
      <c r="JK89" s="236"/>
      <c r="JL89" s="236"/>
      <c r="JM89" s="236"/>
      <c r="JN89" s="236"/>
      <c r="JO89" s="236"/>
      <c r="JP89" s="236"/>
      <c r="JQ89" s="236"/>
      <c r="JR89" s="236"/>
      <c r="JS89" s="236"/>
      <c r="JT89" s="236"/>
      <c r="JU89" s="236"/>
      <c r="JV89" s="236"/>
      <c r="JW89" s="236"/>
      <c r="JX89" s="409"/>
      <c r="JY89" s="409"/>
      <c r="JZ89" s="409"/>
      <c r="KA89" s="409"/>
      <c r="KB89" s="409"/>
      <c r="KC89" s="409"/>
      <c r="KD89" s="409"/>
      <c r="KE89" s="409"/>
      <c r="KF89" s="409"/>
      <c r="KG89" s="410"/>
      <c r="KH89" s="412">
        <f t="shared" si="36"/>
        <v>86</v>
      </c>
      <c r="KI89" s="413" t="str">
        <f t="shared" ca="1" si="27"/>
        <v/>
      </c>
      <c r="KJ89" s="413" t="str">
        <f t="shared" ca="1" si="37"/>
        <v/>
      </c>
      <c r="KK89" s="414" t="str">
        <f t="shared" ca="1" si="28"/>
        <v/>
      </c>
    </row>
    <row r="90" spans="3:297" ht="24" customHeight="1">
      <c r="C90"/>
      <c r="D90" s="57" t="str">
        <f ca="1">INDIRECT(ADDRESS(ROWS($D$3:D89)+6,D$3,1,1,"3_TIME SUM"))</f>
        <v>Slick Line Services</v>
      </c>
      <c r="E90" s="81" t="str">
        <f ca="1">IF(INDIRECT(ADDRESS(ROWS($E$3:E89)+6,E$3,1,1,"3_TIME SUM"))=0,E89,INDIRECT(ADDRESS(ROWS($E$3:E89)+6,E$3,1,1,"3_TIME SUM")))</f>
        <v>Service Company (NPT)</v>
      </c>
      <c r="F90" s="57" t="str">
        <f t="shared" ca="1" si="24"/>
        <v>Service Company (NPT) : Slick Line Services</v>
      </c>
      <c r="G90" s="58" t="str">
        <f ca="1">VLOOKUP($D90,INDIRECT(ADDRESS(7,5,1,1,"3_TIME SUM")):INDIRECT(ADDRESS(200,7,1,1,"3_TIME SUM")),2,FALSE)</f>
        <v>21j</v>
      </c>
      <c r="H90" s="58" t="str">
        <f ca="1">IF(VLOOKUP($D90,INDIRECT(ADDRESS(7,5,1,1,"3_TIME SUM")):INDIRECT(ADDRESS(200,7,1,1,"3_TIME SUM")),3,FALSE)="","PT",VLOOKUP($D90,INDIRECT(ADDRESS(7,5,1,1,"3_TIME SUM")):INDIRECT(ADDRESS(200,7,1,1,"3_TIME SUM")),3,FALSE))</f>
        <v>NPT</v>
      </c>
      <c r="I90" s="59">
        <f ca="1">IFERROR(IF(AND($D$2="NON PRODUCTIVE TIME",$H90="NPT"),SUMIF(INDIRECT(ADDRESS(8,COLUMN('2_DATA'!$M$9),1,1,"2_DATA")):INDIRECT(ADDRESS(3000,COLUMN('2_DATA'!$M$9),1,1,"2_DATA")),$G90,INDIRECT(ADDRESS(8,COLUMN('2_DATA'!$N$9),1,1,"2_DATA")):INDIRECT(ADDRESS(3000,COLUMN('2_DATA'!$N$9),1,1,"2_DATA"))),IF($D$2="ALL ACTIVITY",SUMIF(INDIRECT(ADDRESS(9,COLUMN('2_DATA'!$M$9),1,1,"2_DATA")):INDIRECT(ADDRESS(3000,COLUMN('2_DATA'!$M$9),1,1,"2_DATA")),$G90,INDIRECT(ADDRESS(9,COLUMN('2_DATA'!$N$9),1,1,"2_DATA")):INDIRECT(ADDRESS(3000,COLUMN('2_DATA'!$N$9),1,1,"2_DATA"))),SUMIF(INDIRECT(ADDRESS(OFFSET($A$3,MATCH($D$2,$A$4:$A$16,0)-1,1,,)+1,COLUMN('2_DATA'!$M$9),1,1,"2_DATA")):INDIRECT(ADDRESS(VLOOKUP($D$2,$A$4:$B$16,2,FALSE)-1,COLUMN('2_DATA'!$M$9),1,1,"2_DATA")),$G90,INDIRECT(ADDRESS(OFFSET($A$3,MATCH($D$2,$A$4:$A$16,0)-1,1,,)+1,COLUMN('2_DATA'!$N$9),1,1,"2_DATA")):INDIRECT(ADDRESS(VLOOKUP($D$2,$A$4:$B$16,2,FALSE)-1,COLUMN('2_DATA'!$N$9),1,1,"2_DATA"))))),0)</f>
        <v>0</v>
      </c>
      <c r="J90" s="58" t="str">
        <f ca="1">IF(I90=0,"",MAX($J$3:J89)+1)</f>
        <v/>
      </c>
      <c r="L90" s="55">
        <f t="shared" ca="1" si="21"/>
        <v>1000</v>
      </c>
      <c r="M90" s="55" t="str">
        <f t="shared" ca="1" si="25"/>
        <v/>
      </c>
      <c r="N90" s="55"/>
      <c r="O90" s="55" t="str">
        <f t="shared" ca="1" si="29"/>
        <v/>
      </c>
      <c r="P90" s="55">
        <f t="shared" ca="1" si="22"/>
        <v>0</v>
      </c>
      <c r="Q90" s="55" t="str">
        <f ca="1">IFERROR(INDEX($O$4:$P$226,MATCH(ROWS($Q$3:Q89),$P$4:$P$226,0),1),"-")</f>
        <v>-</v>
      </c>
      <c r="R90" s="62" t="str">
        <f t="shared" ca="1" si="23"/>
        <v/>
      </c>
      <c r="S90" s="55" t="str">
        <f t="shared" ca="1" si="26"/>
        <v/>
      </c>
      <c r="T90" s="67" t="str">
        <f t="shared" ca="1" si="19"/>
        <v>-</v>
      </c>
      <c r="V90" s="68" t="str">
        <f t="shared" ca="1" si="30"/>
        <v/>
      </c>
      <c r="W90" s="69" t="str">
        <f t="shared" ca="1" si="31"/>
        <v/>
      </c>
      <c r="X90" s="70" t="s">
        <v>84</v>
      </c>
      <c r="Y90" s="68" t="str">
        <f t="shared" ca="1" si="35"/>
        <v/>
      </c>
      <c r="Z90" s="71" t="str">
        <f t="shared" ca="1" si="32"/>
        <v/>
      </c>
      <c r="AA90" s="72" t="str">
        <f t="shared" ca="1" si="33"/>
        <v/>
      </c>
      <c r="AB90" s="305" t="str">
        <f t="shared" ca="1" si="34"/>
        <v/>
      </c>
      <c r="AC90" s="236"/>
      <c r="AD90" s="236"/>
      <c r="AE90" s="236"/>
      <c r="AF90" s="236"/>
      <c r="AG90" s="236"/>
      <c r="AH90" s="236"/>
      <c r="AI90" s="236"/>
      <c r="AJ90" s="236"/>
      <c r="AK90" s="236"/>
      <c r="AL90" s="236"/>
      <c r="AM90" s="236"/>
      <c r="AN90" s="236"/>
      <c r="AO90" s="236"/>
      <c r="AP90" s="236"/>
      <c r="AQ90" s="236"/>
      <c r="AR90" s="236"/>
      <c r="AS90" s="236"/>
      <c r="AT90" s="236"/>
      <c r="AU90" s="236"/>
      <c r="AV90" s="236"/>
      <c r="AW90" s="236"/>
      <c r="AX90" s="236"/>
      <c r="AY90" s="236"/>
      <c r="AZ90" s="236"/>
      <c r="BA90" s="236"/>
      <c r="BB90" s="236"/>
      <c r="BC90" s="236"/>
      <c r="BD90" s="236"/>
      <c r="BE90" s="236"/>
      <c r="BF90" s="236"/>
      <c r="BG90" s="236"/>
      <c r="BH90" s="236"/>
      <c r="BI90" s="236"/>
      <c r="BJ90" s="236"/>
      <c r="BK90" s="236"/>
      <c r="BL90" s="236"/>
      <c r="BM90" s="236"/>
      <c r="BN90" s="236"/>
      <c r="BO90" s="236"/>
      <c r="BP90" s="236"/>
      <c r="BQ90" s="236"/>
      <c r="BR90" s="236"/>
      <c r="BS90" s="236"/>
      <c r="BT90" s="236"/>
      <c r="BU90" s="236"/>
      <c r="BV90" s="236"/>
      <c r="BW90" s="236"/>
      <c r="BX90" s="236"/>
      <c r="BY90" s="236"/>
      <c r="BZ90" s="236"/>
      <c r="CA90" s="236"/>
      <c r="CB90" s="236"/>
      <c r="CC90" s="236"/>
      <c r="CD90" s="236"/>
      <c r="CE90" s="236"/>
      <c r="CF90" s="236"/>
      <c r="CG90" s="236"/>
      <c r="CH90" s="236"/>
      <c r="CI90" s="236"/>
      <c r="CJ90" s="236"/>
      <c r="CK90" s="236"/>
      <c r="CL90" s="236"/>
      <c r="CM90" s="236"/>
      <c r="CN90" s="236"/>
      <c r="CO90" s="236"/>
      <c r="CP90" s="236"/>
      <c r="CQ90" s="236"/>
      <c r="CR90" s="236"/>
      <c r="CS90" s="236"/>
      <c r="CT90" s="236"/>
      <c r="CU90" s="236"/>
      <c r="CV90" s="236"/>
      <c r="CW90" s="236"/>
      <c r="CX90" s="236"/>
      <c r="CY90" s="236"/>
      <c r="CZ90" s="236"/>
      <c r="DA90" s="236"/>
      <c r="DB90" s="236"/>
      <c r="DC90" s="236"/>
      <c r="DD90" s="236"/>
      <c r="DE90" s="236"/>
      <c r="DF90" s="236"/>
      <c r="DG90" s="236"/>
      <c r="DH90" s="236"/>
      <c r="DI90" s="236"/>
      <c r="DJ90" s="236"/>
      <c r="DK90" s="236"/>
      <c r="DL90" s="236"/>
      <c r="DM90" s="236"/>
      <c r="DN90" s="236"/>
      <c r="DO90" s="236"/>
      <c r="DP90" s="236"/>
      <c r="DQ90" s="236"/>
      <c r="DR90" s="236"/>
      <c r="DS90" s="236"/>
      <c r="DT90" s="236"/>
      <c r="DU90" s="236"/>
      <c r="DV90" s="236"/>
      <c r="DW90" s="236"/>
      <c r="DX90" s="236"/>
      <c r="DY90" s="236"/>
      <c r="DZ90" s="236"/>
      <c r="EA90" s="236"/>
      <c r="EB90" s="236"/>
      <c r="EC90" s="236"/>
      <c r="ED90" s="236"/>
      <c r="EE90" s="236"/>
      <c r="EF90" s="236"/>
      <c r="EG90" s="236"/>
      <c r="EH90" s="236"/>
      <c r="EI90" s="236"/>
      <c r="EJ90" s="236"/>
      <c r="EK90" s="236"/>
      <c r="EL90" s="236"/>
      <c r="EM90" s="236"/>
      <c r="EN90" s="236"/>
      <c r="EO90" s="236"/>
      <c r="EP90" s="236"/>
      <c r="EQ90" s="236"/>
      <c r="ER90" s="236"/>
      <c r="ES90" s="236"/>
      <c r="ET90" s="236"/>
      <c r="EU90" s="236"/>
      <c r="EV90" s="236"/>
      <c r="EW90" s="236"/>
      <c r="EX90" s="236"/>
      <c r="EY90" s="236"/>
      <c r="EZ90" s="236"/>
      <c r="FA90" s="236"/>
      <c r="FB90" s="236"/>
      <c r="FC90" s="236"/>
      <c r="FD90" s="236"/>
      <c r="FE90" s="236"/>
      <c r="FF90" s="236"/>
      <c r="FG90" s="236"/>
      <c r="FH90" s="236"/>
      <c r="FI90" s="236"/>
      <c r="FJ90" s="236"/>
      <c r="FK90" s="236"/>
      <c r="FL90" s="236"/>
      <c r="FM90" s="236"/>
      <c r="FN90" s="236"/>
      <c r="FO90" s="236"/>
      <c r="FP90" s="236"/>
      <c r="FQ90" s="236"/>
      <c r="FR90" s="236"/>
      <c r="FS90" s="236"/>
      <c r="FT90" s="236"/>
      <c r="FU90" s="236"/>
      <c r="FV90" s="236"/>
      <c r="FW90" s="236"/>
      <c r="FX90" s="236"/>
      <c r="FY90" s="236"/>
      <c r="FZ90" s="236"/>
      <c r="GA90" s="236"/>
      <c r="GB90" s="236"/>
      <c r="GC90" s="236"/>
      <c r="GD90" s="236"/>
      <c r="GE90" s="236"/>
      <c r="GF90" s="236"/>
      <c r="GG90" s="236"/>
      <c r="GH90" s="236"/>
      <c r="GI90" s="236"/>
      <c r="GJ90" s="236"/>
      <c r="GK90" s="236"/>
      <c r="GL90" s="236"/>
      <c r="GM90" s="236"/>
      <c r="GN90" s="236"/>
      <c r="GO90" s="236"/>
      <c r="GP90" s="236"/>
      <c r="GQ90" s="236"/>
      <c r="GR90" s="236"/>
      <c r="GS90" s="236"/>
      <c r="GT90" s="236"/>
      <c r="GU90" s="236"/>
      <c r="GV90" s="236"/>
      <c r="GW90" s="236"/>
      <c r="GX90" s="236"/>
      <c r="GY90" s="236"/>
      <c r="GZ90" s="236"/>
      <c r="HA90" s="236"/>
      <c r="HB90" s="236"/>
      <c r="HC90" s="236"/>
      <c r="HD90" s="236"/>
      <c r="HE90" s="236"/>
      <c r="HF90" s="236"/>
      <c r="HG90" s="236"/>
      <c r="HH90" s="236"/>
      <c r="HI90" s="236"/>
      <c r="HJ90" s="236"/>
      <c r="HK90" s="236"/>
      <c r="HL90" s="236"/>
      <c r="HM90" s="236"/>
      <c r="HN90" s="236"/>
      <c r="HO90" s="236"/>
      <c r="HP90" s="236"/>
      <c r="HQ90" s="236"/>
      <c r="HR90" s="236"/>
      <c r="HS90" s="236"/>
      <c r="HT90" s="236"/>
      <c r="HU90" s="236"/>
      <c r="HV90" s="236"/>
      <c r="HW90" s="236"/>
      <c r="HX90" s="236"/>
      <c r="HY90" s="236"/>
      <c r="HZ90" s="236"/>
      <c r="IA90" s="236"/>
      <c r="IB90" s="236"/>
      <c r="IC90" s="236"/>
      <c r="ID90" s="236"/>
      <c r="IE90" s="236"/>
      <c r="IF90" s="236"/>
      <c r="IG90" s="236"/>
      <c r="IH90" s="236"/>
      <c r="II90" s="236"/>
      <c r="IJ90" s="236"/>
      <c r="IK90" s="236"/>
      <c r="IL90" s="236"/>
      <c r="IM90" s="236"/>
      <c r="IN90" s="236"/>
      <c r="IO90" s="236"/>
      <c r="IP90" s="236"/>
      <c r="IQ90" s="236"/>
      <c r="IR90" s="236"/>
      <c r="IS90" s="236"/>
      <c r="IT90" s="236"/>
      <c r="IU90" s="236"/>
      <c r="IV90" s="236"/>
      <c r="IW90" s="236"/>
      <c r="IX90" s="236"/>
      <c r="IY90" s="236"/>
      <c r="IZ90" s="236"/>
      <c r="JA90" s="236"/>
      <c r="JB90" s="236"/>
      <c r="JC90" s="236"/>
      <c r="JD90" s="236"/>
      <c r="JE90" s="236"/>
      <c r="JF90" s="236"/>
      <c r="JG90" s="236"/>
      <c r="JH90" s="236"/>
      <c r="JI90" s="236"/>
      <c r="JJ90" s="236"/>
      <c r="JK90" s="236"/>
      <c r="JL90" s="236"/>
      <c r="JM90" s="236"/>
      <c r="JN90" s="236"/>
      <c r="JO90" s="236"/>
      <c r="JP90" s="236"/>
      <c r="JQ90" s="236"/>
      <c r="JR90" s="236"/>
      <c r="JS90" s="236"/>
      <c r="JT90" s="236"/>
      <c r="JU90" s="236"/>
      <c r="JV90" s="236"/>
      <c r="JW90" s="236"/>
      <c r="JX90" s="409"/>
      <c r="JY90" s="409"/>
      <c r="JZ90" s="409"/>
      <c r="KA90" s="409"/>
      <c r="KB90" s="409"/>
      <c r="KC90" s="409"/>
      <c r="KD90" s="409"/>
      <c r="KE90" s="409"/>
      <c r="KF90" s="409"/>
      <c r="KG90" s="410"/>
      <c r="KH90" s="412">
        <f t="shared" si="36"/>
        <v>87</v>
      </c>
      <c r="KI90" s="413" t="str">
        <f t="shared" ca="1" si="27"/>
        <v/>
      </c>
      <c r="KJ90" s="413" t="str">
        <f t="shared" ca="1" si="37"/>
        <v/>
      </c>
      <c r="KK90" s="414" t="str">
        <f t="shared" ca="1" si="28"/>
        <v/>
      </c>
    </row>
    <row r="91" spans="3:297" ht="24" customHeight="1">
      <c r="C91"/>
      <c r="D91" s="57" t="str">
        <f ca="1">INDIRECT(ADDRESS(ROWS($D$3:D90)+6,D$3,1,1,"3_TIME SUM"))</f>
        <v>RTO Services</v>
      </c>
      <c r="E91" s="81" t="str">
        <f ca="1">IF(INDIRECT(ADDRESS(ROWS($E$3:E90)+6,E$3,1,1,"3_TIME SUM"))=0,E90,INDIRECT(ADDRESS(ROWS($E$3:E90)+6,E$3,1,1,"3_TIME SUM")))</f>
        <v>Service Company (NPT)</v>
      </c>
      <c r="F91" s="57" t="str">
        <f t="shared" ca="1" si="24"/>
        <v>Service Company (NPT) : RTO Services</v>
      </c>
      <c r="G91" s="58" t="str">
        <f ca="1">VLOOKUP($D91,INDIRECT(ADDRESS(7,5,1,1,"3_TIME SUM")):INDIRECT(ADDRESS(200,7,1,1,"3_TIME SUM")),2,FALSE)</f>
        <v>21k</v>
      </c>
      <c r="H91" s="58" t="str">
        <f ca="1">IF(VLOOKUP($D91,INDIRECT(ADDRESS(7,5,1,1,"3_TIME SUM")):INDIRECT(ADDRESS(200,7,1,1,"3_TIME SUM")),3,FALSE)="","PT",VLOOKUP($D91,INDIRECT(ADDRESS(7,5,1,1,"3_TIME SUM")):INDIRECT(ADDRESS(200,7,1,1,"3_TIME SUM")),3,FALSE))</f>
        <v>NPT</v>
      </c>
      <c r="I91" s="59">
        <f ca="1">IFERROR(IF(AND($D$2="NON PRODUCTIVE TIME",$H91="NPT"),SUMIF(INDIRECT(ADDRESS(8,COLUMN('2_DATA'!$M$9),1,1,"2_DATA")):INDIRECT(ADDRESS(3000,COLUMN('2_DATA'!$M$9),1,1,"2_DATA")),$G91,INDIRECT(ADDRESS(8,COLUMN('2_DATA'!$N$9),1,1,"2_DATA")):INDIRECT(ADDRESS(3000,COLUMN('2_DATA'!$N$9),1,1,"2_DATA"))),IF($D$2="ALL ACTIVITY",SUMIF(INDIRECT(ADDRESS(9,COLUMN('2_DATA'!$M$9),1,1,"2_DATA")):INDIRECT(ADDRESS(3000,COLUMN('2_DATA'!$M$9),1,1,"2_DATA")),$G91,INDIRECT(ADDRESS(9,COLUMN('2_DATA'!$N$9),1,1,"2_DATA")):INDIRECT(ADDRESS(3000,COLUMN('2_DATA'!$N$9),1,1,"2_DATA"))),SUMIF(INDIRECT(ADDRESS(OFFSET($A$3,MATCH($D$2,$A$4:$A$16,0)-1,1,,)+1,COLUMN('2_DATA'!$M$9),1,1,"2_DATA")):INDIRECT(ADDRESS(VLOOKUP($D$2,$A$4:$B$16,2,FALSE)-1,COLUMN('2_DATA'!$M$9),1,1,"2_DATA")),$G91,INDIRECT(ADDRESS(OFFSET($A$3,MATCH($D$2,$A$4:$A$16,0)-1,1,,)+1,COLUMN('2_DATA'!$N$9),1,1,"2_DATA")):INDIRECT(ADDRESS(VLOOKUP($D$2,$A$4:$B$16,2,FALSE)-1,COLUMN('2_DATA'!$N$9),1,1,"2_DATA"))))),0)</f>
        <v>0</v>
      </c>
      <c r="J91" s="58" t="str">
        <f ca="1">IF(I91=0,"",MAX($J$3:J90)+1)</f>
        <v/>
      </c>
      <c r="L91" s="55">
        <f t="shared" ca="1" si="21"/>
        <v>1000</v>
      </c>
      <c r="M91" s="55" t="str">
        <f t="shared" ca="1" si="25"/>
        <v/>
      </c>
      <c r="N91" s="55"/>
      <c r="O91" s="55" t="str">
        <f t="shared" ca="1" si="29"/>
        <v/>
      </c>
      <c r="P91" s="55">
        <f t="shared" ca="1" si="22"/>
        <v>0</v>
      </c>
      <c r="Q91" s="55" t="str">
        <f ca="1">IFERROR(INDEX($O$4:$P$226,MATCH(ROWS($Q$3:Q90),$P$4:$P$226,0),1),"-")</f>
        <v>-</v>
      </c>
      <c r="R91" s="62" t="str">
        <f t="shared" ca="1" si="23"/>
        <v/>
      </c>
      <c r="S91" s="55" t="str">
        <f t="shared" ca="1" si="26"/>
        <v/>
      </c>
      <c r="T91" s="67" t="str">
        <f t="shared" ca="1" si="19"/>
        <v>-</v>
      </c>
      <c r="V91" s="68" t="str">
        <f t="shared" ca="1" si="30"/>
        <v/>
      </c>
      <c r="W91" s="69" t="str">
        <f t="shared" ca="1" si="31"/>
        <v/>
      </c>
      <c r="X91" s="70" t="s">
        <v>84</v>
      </c>
      <c r="Y91" s="68" t="str">
        <f t="shared" ca="1" si="35"/>
        <v/>
      </c>
      <c r="Z91" s="71" t="str">
        <f t="shared" ca="1" si="32"/>
        <v/>
      </c>
      <c r="AA91" s="72" t="str">
        <f t="shared" ca="1" si="33"/>
        <v/>
      </c>
      <c r="AB91" s="305" t="str">
        <f t="shared" ca="1" si="34"/>
        <v/>
      </c>
      <c r="AC91" s="236"/>
      <c r="AD91" s="236"/>
      <c r="AE91" s="236"/>
      <c r="AF91" s="236"/>
      <c r="AG91" s="236"/>
      <c r="AH91" s="236"/>
      <c r="AI91" s="236"/>
      <c r="AJ91" s="236"/>
      <c r="AK91" s="236"/>
      <c r="AL91" s="236"/>
      <c r="AM91" s="236"/>
      <c r="AN91" s="236"/>
      <c r="AO91" s="236"/>
      <c r="AP91" s="236"/>
      <c r="AQ91" s="236"/>
      <c r="AR91" s="236"/>
      <c r="AS91" s="236"/>
      <c r="AT91" s="236"/>
      <c r="AU91" s="236"/>
      <c r="AV91" s="236"/>
      <c r="AW91" s="236"/>
      <c r="AX91" s="236"/>
      <c r="AY91" s="236"/>
      <c r="AZ91" s="236"/>
      <c r="BA91" s="236"/>
      <c r="BB91" s="236"/>
      <c r="BC91" s="236"/>
      <c r="BD91" s="236"/>
      <c r="BE91" s="236"/>
      <c r="BF91" s="236"/>
      <c r="BG91" s="236"/>
      <c r="BH91" s="236"/>
      <c r="BI91" s="236"/>
      <c r="BJ91" s="236"/>
      <c r="BK91" s="236"/>
      <c r="BL91" s="236"/>
      <c r="BM91" s="236"/>
      <c r="BN91" s="236"/>
      <c r="BO91" s="236"/>
      <c r="BP91" s="236"/>
      <c r="BQ91" s="236"/>
      <c r="BR91" s="236"/>
      <c r="BS91" s="236"/>
      <c r="BT91" s="236"/>
      <c r="BU91" s="236"/>
      <c r="BV91" s="236"/>
      <c r="BW91" s="236"/>
      <c r="BX91" s="236"/>
      <c r="BY91" s="236"/>
      <c r="BZ91" s="236"/>
      <c r="CA91" s="236"/>
      <c r="CB91" s="236"/>
      <c r="CC91" s="236"/>
      <c r="CD91" s="236"/>
      <c r="CE91" s="236"/>
      <c r="CF91" s="236"/>
      <c r="CG91" s="236"/>
      <c r="CH91" s="236"/>
      <c r="CI91" s="236"/>
      <c r="CJ91" s="236"/>
      <c r="CK91" s="236"/>
      <c r="CL91" s="236"/>
      <c r="CM91" s="236"/>
      <c r="CN91" s="236"/>
      <c r="CO91" s="236"/>
      <c r="CP91" s="236"/>
      <c r="CQ91" s="236"/>
      <c r="CR91" s="236"/>
      <c r="CS91" s="236"/>
      <c r="CT91" s="236"/>
      <c r="CU91" s="236"/>
      <c r="CV91" s="236"/>
      <c r="CW91" s="236"/>
      <c r="CX91" s="236"/>
      <c r="CY91" s="236"/>
      <c r="CZ91" s="236"/>
      <c r="DA91" s="236"/>
      <c r="DB91" s="236"/>
      <c r="DC91" s="236"/>
      <c r="DD91" s="236"/>
      <c r="DE91" s="236"/>
      <c r="DF91" s="236"/>
      <c r="DG91" s="236"/>
      <c r="DH91" s="236"/>
      <c r="DI91" s="236"/>
      <c r="DJ91" s="236"/>
      <c r="DK91" s="236"/>
      <c r="DL91" s="236"/>
      <c r="DM91" s="236"/>
      <c r="DN91" s="236"/>
      <c r="DO91" s="236"/>
      <c r="DP91" s="236"/>
      <c r="DQ91" s="236"/>
      <c r="DR91" s="236"/>
      <c r="DS91" s="236"/>
      <c r="DT91" s="236"/>
      <c r="DU91" s="236"/>
      <c r="DV91" s="236"/>
      <c r="DW91" s="236"/>
      <c r="DX91" s="236"/>
      <c r="DY91" s="236"/>
      <c r="DZ91" s="236"/>
      <c r="EA91" s="236"/>
      <c r="EB91" s="236"/>
      <c r="EC91" s="236"/>
      <c r="ED91" s="236"/>
      <c r="EE91" s="236"/>
      <c r="EF91" s="236"/>
      <c r="EG91" s="236"/>
      <c r="EH91" s="236"/>
      <c r="EI91" s="236"/>
      <c r="EJ91" s="236"/>
      <c r="EK91" s="236"/>
      <c r="EL91" s="236"/>
      <c r="EM91" s="236"/>
      <c r="EN91" s="236"/>
      <c r="EO91" s="236"/>
      <c r="EP91" s="236"/>
      <c r="EQ91" s="236"/>
      <c r="ER91" s="236"/>
      <c r="ES91" s="236"/>
      <c r="ET91" s="236"/>
      <c r="EU91" s="236"/>
      <c r="EV91" s="236"/>
      <c r="EW91" s="236"/>
      <c r="EX91" s="236"/>
      <c r="EY91" s="236"/>
      <c r="EZ91" s="236"/>
      <c r="FA91" s="236"/>
      <c r="FB91" s="236"/>
      <c r="FC91" s="236"/>
      <c r="FD91" s="236"/>
      <c r="FE91" s="236"/>
      <c r="FF91" s="236"/>
      <c r="FG91" s="236"/>
      <c r="FH91" s="236"/>
      <c r="FI91" s="236"/>
      <c r="FJ91" s="236"/>
      <c r="FK91" s="236"/>
      <c r="FL91" s="236"/>
      <c r="FM91" s="236"/>
      <c r="FN91" s="236"/>
      <c r="FO91" s="236"/>
      <c r="FP91" s="236"/>
      <c r="FQ91" s="236"/>
      <c r="FR91" s="236"/>
      <c r="FS91" s="236"/>
      <c r="FT91" s="236"/>
      <c r="FU91" s="236"/>
      <c r="FV91" s="236"/>
      <c r="FW91" s="236"/>
      <c r="FX91" s="236"/>
      <c r="FY91" s="236"/>
      <c r="FZ91" s="236"/>
      <c r="GA91" s="236"/>
      <c r="GB91" s="236"/>
      <c r="GC91" s="236"/>
      <c r="GD91" s="236"/>
      <c r="GE91" s="236"/>
      <c r="GF91" s="236"/>
      <c r="GG91" s="236"/>
      <c r="GH91" s="236"/>
      <c r="GI91" s="236"/>
      <c r="GJ91" s="236"/>
      <c r="GK91" s="236"/>
      <c r="GL91" s="236"/>
      <c r="GM91" s="236"/>
      <c r="GN91" s="236"/>
      <c r="GO91" s="236"/>
      <c r="GP91" s="236"/>
      <c r="GQ91" s="236"/>
      <c r="GR91" s="236"/>
      <c r="GS91" s="236"/>
      <c r="GT91" s="236"/>
      <c r="GU91" s="236"/>
      <c r="GV91" s="236"/>
      <c r="GW91" s="236"/>
      <c r="GX91" s="236"/>
      <c r="GY91" s="236"/>
      <c r="GZ91" s="236"/>
      <c r="HA91" s="236"/>
      <c r="HB91" s="236"/>
      <c r="HC91" s="236"/>
      <c r="HD91" s="236"/>
      <c r="HE91" s="236"/>
      <c r="HF91" s="236"/>
      <c r="HG91" s="236"/>
      <c r="HH91" s="236"/>
      <c r="HI91" s="236"/>
      <c r="HJ91" s="236"/>
      <c r="HK91" s="236"/>
      <c r="HL91" s="236"/>
      <c r="HM91" s="236"/>
      <c r="HN91" s="236"/>
      <c r="HO91" s="236"/>
      <c r="HP91" s="236"/>
      <c r="HQ91" s="236"/>
      <c r="HR91" s="236"/>
      <c r="HS91" s="236"/>
      <c r="HT91" s="236"/>
      <c r="HU91" s="236"/>
      <c r="HV91" s="236"/>
      <c r="HW91" s="236"/>
      <c r="HX91" s="236"/>
      <c r="HY91" s="236"/>
      <c r="HZ91" s="236"/>
      <c r="IA91" s="236"/>
      <c r="IB91" s="236"/>
      <c r="IC91" s="236"/>
      <c r="ID91" s="236"/>
      <c r="IE91" s="236"/>
      <c r="IF91" s="236"/>
      <c r="IG91" s="236"/>
      <c r="IH91" s="236"/>
      <c r="II91" s="236"/>
      <c r="IJ91" s="236"/>
      <c r="IK91" s="236"/>
      <c r="IL91" s="236"/>
      <c r="IM91" s="236"/>
      <c r="IN91" s="236"/>
      <c r="IO91" s="236"/>
      <c r="IP91" s="236"/>
      <c r="IQ91" s="236"/>
      <c r="IR91" s="236"/>
      <c r="IS91" s="236"/>
      <c r="IT91" s="236"/>
      <c r="IU91" s="236"/>
      <c r="IV91" s="236"/>
      <c r="IW91" s="236"/>
      <c r="IX91" s="236"/>
      <c r="IY91" s="236"/>
      <c r="IZ91" s="236"/>
      <c r="JA91" s="236"/>
      <c r="JB91" s="236"/>
      <c r="JC91" s="236"/>
      <c r="JD91" s="236"/>
      <c r="JE91" s="236"/>
      <c r="JF91" s="236"/>
      <c r="JG91" s="236"/>
      <c r="JH91" s="236"/>
      <c r="JI91" s="236"/>
      <c r="JJ91" s="236"/>
      <c r="JK91" s="236"/>
      <c r="JL91" s="236"/>
      <c r="JM91" s="236"/>
      <c r="JN91" s="236"/>
      <c r="JO91" s="236"/>
      <c r="JP91" s="236"/>
      <c r="JQ91" s="236"/>
      <c r="JR91" s="236"/>
      <c r="JS91" s="236"/>
      <c r="JT91" s="236"/>
      <c r="JU91" s="236"/>
      <c r="JV91" s="236"/>
      <c r="JW91" s="236"/>
      <c r="JX91" s="409"/>
      <c r="JY91" s="409"/>
      <c r="JZ91" s="409"/>
      <c r="KA91" s="409"/>
      <c r="KB91" s="409"/>
      <c r="KC91" s="409"/>
      <c r="KD91" s="409"/>
      <c r="KE91" s="409"/>
      <c r="KF91" s="409"/>
      <c r="KG91" s="410"/>
      <c r="KH91" s="412">
        <f t="shared" si="36"/>
        <v>88</v>
      </c>
      <c r="KI91" s="413" t="str">
        <f t="shared" ca="1" si="27"/>
        <v/>
      </c>
      <c r="KJ91" s="413" t="str">
        <f t="shared" ca="1" si="37"/>
        <v/>
      </c>
      <c r="KK91" s="414" t="str">
        <f t="shared" ca="1" si="28"/>
        <v/>
      </c>
    </row>
    <row r="92" spans="3:297" ht="24" customHeight="1">
      <c r="C92"/>
      <c r="D92" s="57" t="str">
        <f ca="1">INDIRECT(ADDRESS(ROWS($D$3:D91)+6,D$3,1,1,"3_TIME SUM"))</f>
        <v>Tubular Services</v>
      </c>
      <c r="E92" s="81" t="str">
        <f ca="1">IF(INDIRECT(ADDRESS(ROWS($E$3:E91)+6,E$3,1,1,"3_TIME SUM"))=0,E91,INDIRECT(ADDRESS(ROWS($E$3:E91)+6,E$3,1,1,"3_TIME SUM")))</f>
        <v>Service Company (NPT)</v>
      </c>
      <c r="F92" s="57" t="str">
        <f t="shared" ca="1" si="24"/>
        <v>Service Company (NPT) : Tubular Services</v>
      </c>
      <c r="G92" s="58" t="str">
        <f ca="1">VLOOKUP($D92,INDIRECT(ADDRESS(7,5,1,1,"3_TIME SUM")):INDIRECT(ADDRESS(200,7,1,1,"3_TIME SUM")),2,FALSE)</f>
        <v>21l</v>
      </c>
      <c r="H92" s="58" t="str">
        <f ca="1">IF(VLOOKUP($D92,INDIRECT(ADDRESS(7,5,1,1,"3_TIME SUM")):INDIRECT(ADDRESS(200,7,1,1,"3_TIME SUM")),3,FALSE)="","PT",VLOOKUP($D92,INDIRECT(ADDRESS(7,5,1,1,"3_TIME SUM")):INDIRECT(ADDRESS(200,7,1,1,"3_TIME SUM")),3,FALSE))</f>
        <v>NPT</v>
      </c>
      <c r="I92" s="59">
        <f ca="1">IFERROR(IF(AND($D$2="NON PRODUCTIVE TIME",$H92="NPT"),SUMIF(INDIRECT(ADDRESS(8,COLUMN('2_DATA'!$M$9),1,1,"2_DATA")):INDIRECT(ADDRESS(3000,COLUMN('2_DATA'!$M$9),1,1,"2_DATA")),$G92,INDIRECT(ADDRESS(8,COLUMN('2_DATA'!$N$9),1,1,"2_DATA")):INDIRECT(ADDRESS(3000,COLUMN('2_DATA'!$N$9),1,1,"2_DATA"))),IF($D$2="ALL ACTIVITY",SUMIF(INDIRECT(ADDRESS(9,COLUMN('2_DATA'!$M$9),1,1,"2_DATA")):INDIRECT(ADDRESS(3000,COLUMN('2_DATA'!$M$9),1,1,"2_DATA")),$G92,INDIRECT(ADDRESS(9,COLUMN('2_DATA'!$N$9),1,1,"2_DATA")):INDIRECT(ADDRESS(3000,COLUMN('2_DATA'!$N$9),1,1,"2_DATA"))),SUMIF(INDIRECT(ADDRESS(OFFSET($A$3,MATCH($D$2,$A$4:$A$16,0)-1,1,,)+1,COLUMN('2_DATA'!$M$9),1,1,"2_DATA")):INDIRECT(ADDRESS(VLOOKUP($D$2,$A$4:$B$16,2,FALSE)-1,COLUMN('2_DATA'!$M$9),1,1,"2_DATA")),$G92,INDIRECT(ADDRESS(OFFSET($A$3,MATCH($D$2,$A$4:$A$16,0)-1,1,,)+1,COLUMN('2_DATA'!$N$9),1,1,"2_DATA")):INDIRECT(ADDRESS(VLOOKUP($D$2,$A$4:$B$16,2,FALSE)-1,COLUMN('2_DATA'!$N$9),1,1,"2_DATA"))))),0)</f>
        <v>0</v>
      </c>
      <c r="J92" s="58" t="str">
        <f ca="1">IF(I92=0,"",MAX($J$3:J91)+1)</f>
        <v/>
      </c>
      <c r="L92" s="55">
        <f t="shared" ca="1" si="21"/>
        <v>1000</v>
      </c>
      <c r="M92" s="55" t="str">
        <f t="shared" ca="1" si="25"/>
        <v/>
      </c>
      <c r="N92" s="55"/>
      <c r="O92" s="55" t="str">
        <f t="shared" ca="1" si="29"/>
        <v/>
      </c>
      <c r="P92" s="55">
        <f t="shared" ca="1" si="22"/>
        <v>0</v>
      </c>
      <c r="Q92" s="55" t="str">
        <f ca="1">IFERROR(INDEX($O$4:$P$226,MATCH(ROWS($Q$3:Q91),$P$4:$P$226,0),1),"-")</f>
        <v>-</v>
      </c>
      <c r="R92" s="62" t="str">
        <f t="shared" ca="1" si="23"/>
        <v/>
      </c>
      <c r="S92" s="55" t="str">
        <f t="shared" ca="1" si="26"/>
        <v/>
      </c>
      <c r="T92" s="67" t="str">
        <f t="shared" ca="1" si="19"/>
        <v>-</v>
      </c>
      <c r="V92" s="68" t="str">
        <f t="shared" ca="1" si="30"/>
        <v/>
      </c>
      <c r="W92" s="69" t="str">
        <f t="shared" ca="1" si="31"/>
        <v/>
      </c>
      <c r="X92" s="70" t="s">
        <v>84</v>
      </c>
      <c r="Y92" s="68" t="str">
        <f t="shared" ca="1" si="35"/>
        <v/>
      </c>
      <c r="Z92" s="71" t="str">
        <f t="shared" ca="1" si="32"/>
        <v/>
      </c>
      <c r="AA92" s="72" t="str">
        <f t="shared" ca="1" si="33"/>
        <v/>
      </c>
      <c r="AB92" s="305" t="str">
        <f t="shared" ca="1" si="34"/>
        <v/>
      </c>
      <c r="AC92" s="236"/>
      <c r="AD92" s="236"/>
      <c r="AE92" s="236"/>
      <c r="AF92" s="236"/>
      <c r="AG92" s="236"/>
      <c r="AH92" s="236"/>
      <c r="AI92" s="236"/>
      <c r="AJ92" s="236"/>
      <c r="AK92" s="236"/>
      <c r="AL92" s="236"/>
      <c r="AM92" s="236"/>
      <c r="AN92" s="236"/>
      <c r="AO92" s="236"/>
      <c r="AP92" s="236"/>
      <c r="AQ92" s="236"/>
      <c r="AR92" s="236"/>
      <c r="AS92" s="236"/>
      <c r="AT92" s="236"/>
      <c r="AU92" s="236"/>
      <c r="AV92" s="236"/>
      <c r="AW92" s="236"/>
      <c r="AX92" s="236"/>
      <c r="AY92" s="236"/>
      <c r="AZ92" s="236"/>
      <c r="BA92" s="236"/>
      <c r="BB92" s="236"/>
      <c r="BC92" s="236"/>
      <c r="BD92" s="236"/>
      <c r="BE92" s="236"/>
      <c r="BF92" s="236"/>
      <c r="BG92" s="236"/>
      <c r="BH92" s="236"/>
      <c r="BI92" s="236"/>
      <c r="BJ92" s="236"/>
      <c r="BK92" s="236"/>
      <c r="BL92" s="236"/>
      <c r="BM92" s="236"/>
      <c r="BN92" s="236"/>
      <c r="BO92" s="236"/>
      <c r="BP92" s="236"/>
      <c r="BQ92" s="236"/>
      <c r="BR92" s="236"/>
      <c r="BS92" s="236"/>
      <c r="BT92" s="236"/>
      <c r="BU92" s="236"/>
      <c r="BV92" s="236"/>
      <c r="BW92" s="236"/>
      <c r="BX92" s="236"/>
      <c r="BY92" s="236"/>
      <c r="BZ92" s="236"/>
      <c r="CA92" s="236"/>
      <c r="CB92" s="236"/>
      <c r="CC92" s="236"/>
      <c r="CD92" s="236"/>
      <c r="CE92" s="236"/>
      <c r="CF92" s="236"/>
      <c r="CG92" s="236"/>
      <c r="CH92" s="236"/>
      <c r="CI92" s="236"/>
      <c r="CJ92" s="236"/>
      <c r="CK92" s="236"/>
      <c r="CL92" s="236"/>
      <c r="CM92" s="236"/>
      <c r="CN92" s="236"/>
      <c r="CO92" s="236"/>
      <c r="CP92" s="236"/>
      <c r="CQ92" s="236"/>
      <c r="CR92" s="236"/>
      <c r="CS92" s="236"/>
      <c r="CT92" s="236"/>
      <c r="CU92" s="236"/>
      <c r="CV92" s="236"/>
      <c r="CW92" s="236"/>
      <c r="CX92" s="236"/>
      <c r="CY92" s="236"/>
      <c r="CZ92" s="236"/>
      <c r="DA92" s="236"/>
      <c r="DB92" s="236"/>
      <c r="DC92" s="236"/>
      <c r="DD92" s="236"/>
      <c r="DE92" s="236"/>
      <c r="DF92" s="236"/>
      <c r="DG92" s="236"/>
      <c r="DH92" s="236"/>
      <c r="DI92" s="236"/>
      <c r="DJ92" s="236"/>
      <c r="DK92" s="236"/>
      <c r="DL92" s="236"/>
      <c r="DM92" s="236"/>
      <c r="DN92" s="236"/>
      <c r="DO92" s="236"/>
      <c r="DP92" s="236"/>
      <c r="DQ92" s="236"/>
      <c r="DR92" s="236"/>
      <c r="DS92" s="236"/>
      <c r="DT92" s="236"/>
      <c r="DU92" s="236"/>
      <c r="DV92" s="236"/>
      <c r="DW92" s="236"/>
      <c r="DX92" s="236"/>
      <c r="DY92" s="236"/>
      <c r="DZ92" s="236"/>
      <c r="EA92" s="236"/>
      <c r="EB92" s="236"/>
      <c r="EC92" s="236"/>
      <c r="ED92" s="236"/>
      <c r="EE92" s="236"/>
      <c r="EF92" s="236"/>
      <c r="EG92" s="236"/>
      <c r="EH92" s="236"/>
      <c r="EI92" s="236"/>
      <c r="EJ92" s="236"/>
      <c r="EK92" s="236"/>
      <c r="EL92" s="236"/>
      <c r="EM92" s="236"/>
      <c r="EN92" s="236"/>
      <c r="EO92" s="236"/>
      <c r="EP92" s="236"/>
      <c r="EQ92" s="236"/>
      <c r="ER92" s="236"/>
      <c r="ES92" s="236"/>
      <c r="ET92" s="236"/>
      <c r="EU92" s="236"/>
      <c r="EV92" s="236"/>
      <c r="EW92" s="236"/>
      <c r="EX92" s="236"/>
      <c r="EY92" s="236"/>
      <c r="EZ92" s="236"/>
      <c r="FA92" s="236"/>
      <c r="FB92" s="236"/>
      <c r="FC92" s="236"/>
      <c r="FD92" s="236"/>
      <c r="FE92" s="236"/>
      <c r="FF92" s="236"/>
      <c r="FG92" s="236"/>
      <c r="FH92" s="236"/>
      <c r="FI92" s="236"/>
      <c r="FJ92" s="236"/>
      <c r="FK92" s="236"/>
      <c r="FL92" s="236"/>
      <c r="FM92" s="236"/>
      <c r="FN92" s="236"/>
      <c r="FO92" s="236"/>
      <c r="FP92" s="236"/>
      <c r="FQ92" s="236"/>
      <c r="FR92" s="236"/>
      <c r="FS92" s="236"/>
      <c r="FT92" s="236"/>
      <c r="FU92" s="236"/>
      <c r="FV92" s="236"/>
      <c r="FW92" s="236"/>
      <c r="FX92" s="236"/>
      <c r="FY92" s="236"/>
      <c r="FZ92" s="236"/>
      <c r="GA92" s="236"/>
      <c r="GB92" s="236"/>
      <c r="GC92" s="236"/>
      <c r="GD92" s="236"/>
      <c r="GE92" s="236"/>
      <c r="GF92" s="236"/>
      <c r="GG92" s="236"/>
      <c r="GH92" s="236"/>
      <c r="GI92" s="236"/>
      <c r="GJ92" s="236"/>
      <c r="GK92" s="236"/>
      <c r="GL92" s="236"/>
      <c r="GM92" s="236"/>
      <c r="GN92" s="236"/>
      <c r="GO92" s="236"/>
      <c r="GP92" s="236"/>
      <c r="GQ92" s="236"/>
      <c r="GR92" s="236"/>
      <c r="GS92" s="236"/>
      <c r="GT92" s="236"/>
      <c r="GU92" s="236"/>
      <c r="GV92" s="236"/>
      <c r="GW92" s="236"/>
      <c r="GX92" s="236"/>
      <c r="GY92" s="236"/>
      <c r="GZ92" s="236"/>
      <c r="HA92" s="236"/>
      <c r="HB92" s="236"/>
      <c r="HC92" s="236"/>
      <c r="HD92" s="236"/>
      <c r="HE92" s="236"/>
      <c r="HF92" s="236"/>
      <c r="HG92" s="236"/>
      <c r="HH92" s="236"/>
      <c r="HI92" s="236"/>
      <c r="HJ92" s="236"/>
      <c r="HK92" s="236"/>
      <c r="HL92" s="236"/>
      <c r="HM92" s="236"/>
      <c r="HN92" s="236"/>
      <c r="HO92" s="236"/>
      <c r="HP92" s="236"/>
      <c r="HQ92" s="236"/>
      <c r="HR92" s="236"/>
      <c r="HS92" s="236"/>
      <c r="HT92" s="236"/>
      <c r="HU92" s="236"/>
      <c r="HV92" s="236"/>
      <c r="HW92" s="236"/>
      <c r="HX92" s="236"/>
      <c r="HY92" s="236"/>
      <c r="HZ92" s="236"/>
      <c r="IA92" s="236"/>
      <c r="IB92" s="236"/>
      <c r="IC92" s="236"/>
      <c r="ID92" s="236"/>
      <c r="IE92" s="236"/>
      <c r="IF92" s="236"/>
      <c r="IG92" s="236"/>
      <c r="IH92" s="236"/>
      <c r="II92" s="236"/>
      <c r="IJ92" s="236"/>
      <c r="IK92" s="236"/>
      <c r="IL92" s="236"/>
      <c r="IM92" s="236"/>
      <c r="IN92" s="236"/>
      <c r="IO92" s="236"/>
      <c r="IP92" s="236"/>
      <c r="IQ92" s="236"/>
      <c r="IR92" s="236"/>
      <c r="IS92" s="236"/>
      <c r="IT92" s="236"/>
      <c r="IU92" s="236"/>
      <c r="IV92" s="236"/>
      <c r="IW92" s="236"/>
      <c r="IX92" s="236"/>
      <c r="IY92" s="236"/>
      <c r="IZ92" s="236"/>
      <c r="JA92" s="236"/>
      <c r="JB92" s="236"/>
      <c r="JC92" s="236"/>
      <c r="JD92" s="236"/>
      <c r="JE92" s="236"/>
      <c r="JF92" s="236"/>
      <c r="JG92" s="236"/>
      <c r="JH92" s="236"/>
      <c r="JI92" s="236"/>
      <c r="JJ92" s="236"/>
      <c r="JK92" s="236"/>
      <c r="JL92" s="236"/>
      <c r="JM92" s="236"/>
      <c r="JN92" s="236"/>
      <c r="JO92" s="236"/>
      <c r="JP92" s="236"/>
      <c r="JQ92" s="236"/>
      <c r="JR92" s="236"/>
      <c r="JS92" s="236"/>
      <c r="JT92" s="236"/>
      <c r="JU92" s="236"/>
      <c r="JV92" s="236"/>
      <c r="JW92" s="236"/>
      <c r="JX92" s="409"/>
      <c r="JY92" s="409"/>
      <c r="JZ92" s="409"/>
      <c r="KA92" s="409"/>
      <c r="KB92" s="409"/>
      <c r="KC92" s="409"/>
      <c r="KD92" s="409"/>
      <c r="KE92" s="409"/>
      <c r="KF92" s="409"/>
      <c r="KG92" s="410"/>
      <c r="KH92" s="412">
        <f t="shared" si="36"/>
        <v>89</v>
      </c>
      <c r="KI92" s="413" t="str">
        <f t="shared" ca="1" si="27"/>
        <v/>
      </c>
      <c r="KJ92" s="413" t="str">
        <f t="shared" ca="1" si="37"/>
        <v/>
      </c>
      <c r="KK92" s="414" t="str">
        <f t="shared" ca="1" si="28"/>
        <v/>
      </c>
    </row>
    <row r="93" spans="3:297" ht="24" customHeight="1">
      <c r="C93"/>
      <c r="D93" s="57" t="str">
        <f ca="1">INDIRECT(ADDRESS(ROWS($D$3:D92)+6,D$3,1,1,"3_TIME SUM"))</f>
        <v>Well Head &amp; X-Mastree Services</v>
      </c>
      <c r="E93" s="81" t="str">
        <f ca="1">IF(INDIRECT(ADDRESS(ROWS($E$3:E92)+6,E$3,1,1,"3_TIME SUM"))=0,E92,INDIRECT(ADDRESS(ROWS($E$3:E92)+6,E$3,1,1,"3_TIME SUM")))</f>
        <v>Service Company (NPT)</v>
      </c>
      <c r="F93" s="57" t="str">
        <f t="shared" ca="1" si="24"/>
        <v>Service Company (NPT) : Well Head &amp; X-Mastree Services</v>
      </c>
      <c r="G93" s="58" t="str">
        <f ca="1">VLOOKUP($D93,INDIRECT(ADDRESS(7,5,1,1,"3_TIME SUM")):INDIRECT(ADDRESS(200,7,1,1,"3_TIME SUM")),2,FALSE)</f>
        <v>21m</v>
      </c>
      <c r="H93" s="58" t="str">
        <f ca="1">IF(VLOOKUP($D93,INDIRECT(ADDRESS(7,5,1,1,"3_TIME SUM")):INDIRECT(ADDRESS(200,7,1,1,"3_TIME SUM")),3,FALSE)="","PT",VLOOKUP($D93,INDIRECT(ADDRESS(7,5,1,1,"3_TIME SUM")):INDIRECT(ADDRESS(200,7,1,1,"3_TIME SUM")),3,FALSE))</f>
        <v>NPT</v>
      </c>
      <c r="I93" s="59">
        <f ca="1">IFERROR(IF(AND($D$2="NON PRODUCTIVE TIME",$H93="NPT"),SUMIF(INDIRECT(ADDRESS(8,COLUMN('2_DATA'!$M$9),1,1,"2_DATA")):INDIRECT(ADDRESS(3000,COLUMN('2_DATA'!$M$9),1,1,"2_DATA")),$G93,INDIRECT(ADDRESS(8,COLUMN('2_DATA'!$N$9),1,1,"2_DATA")):INDIRECT(ADDRESS(3000,COLUMN('2_DATA'!$N$9),1,1,"2_DATA"))),IF($D$2="ALL ACTIVITY",SUMIF(INDIRECT(ADDRESS(9,COLUMN('2_DATA'!$M$9),1,1,"2_DATA")):INDIRECT(ADDRESS(3000,COLUMN('2_DATA'!$M$9),1,1,"2_DATA")),$G93,INDIRECT(ADDRESS(9,COLUMN('2_DATA'!$N$9),1,1,"2_DATA")):INDIRECT(ADDRESS(3000,COLUMN('2_DATA'!$N$9),1,1,"2_DATA"))),SUMIF(INDIRECT(ADDRESS(OFFSET($A$3,MATCH($D$2,$A$4:$A$16,0)-1,1,,)+1,COLUMN('2_DATA'!$M$9),1,1,"2_DATA")):INDIRECT(ADDRESS(VLOOKUP($D$2,$A$4:$B$16,2,FALSE)-1,COLUMN('2_DATA'!$M$9),1,1,"2_DATA")),$G93,INDIRECT(ADDRESS(OFFSET($A$3,MATCH($D$2,$A$4:$A$16,0)-1,1,,)+1,COLUMN('2_DATA'!$N$9),1,1,"2_DATA")):INDIRECT(ADDRESS(VLOOKUP($D$2,$A$4:$B$16,2,FALSE)-1,COLUMN('2_DATA'!$N$9),1,1,"2_DATA"))))),0)</f>
        <v>0</v>
      </c>
      <c r="J93" s="58" t="str">
        <f ca="1">IF(I93=0,"",MAX($J$3:J92)+1)</f>
        <v/>
      </c>
      <c r="L93" s="55">
        <f t="shared" ca="1" si="21"/>
        <v>1000</v>
      </c>
      <c r="M93" s="55" t="str">
        <f t="shared" ca="1" si="25"/>
        <v/>
      </c>
      <c r="N93" s="55"/>
      <c r="O93" s="55" t="str">
        <f t="shared" ca="1" si="29"/>
        <v/>
      </c>
      <c r="P93" s="55">
        <f t="shared" ca="1" si="22"/>
        <v>0</v>
      </c>
      <c r="Q93" s="55" t="str">
        <f ca="1">IFERROR(INDEX($O$4:$P$226,MATCH(ROWS($Q$3:Q92),$P$4:$P$226,0),1),"-")</f>
        <v>-</v>
      </c>
      <c r="R93" s="62" t="str">
        <f t="shared" ca="1" si="23"/>
        <v/>
      </c>
      <c r="S93" s="55" t="str">
        <f t="shared" ca="1" si="26"/>
        <v/>
      </c>
      <c r="T93" s="67" t="str">
        <f t="shared" ca="1" si="19"/>
        <v>-</v>
      </c>
      <c r="V93" s="68" t="str">
        <f t="shared" ca="1" si="30"/>
        <v/>
      </c>
      <c r="W93" s="69" t="str">
        <f t="shared" ca="1" si="31"/>
        <v/>
      </c>
      <c r="X93" s="70" t="s">
        <v>84</v>
      </c>
      <c r="Y93" s="68" t="str">
        <f t="shared" ca="1" si="35"/>
        <v/>
      </c>
      <c r="Z93" s="71" t="str">
        <f t="shared" ca="1" si="32"/>
        <v/>
      </c>
      <c r="AA93" s="72" t="str">
        <f t="shared" ca="1" si="33"/>
        <v/>
      </c>
      <c r="AB93" s="305" t="str">
        <f t="shared" ca="1" si="34"/>
        <v/>
      </c>
      <c r="AC93" s="236"/>
      <c r="AD93" s="236"/>
      <c r="AE93" s="236"/>
      <c r="AF93" s="236"/>
      <c r="AG93" s="236"/>
      <c r="AH93" s="236"/>
      <c r="AI93" s="236"/>
      <c r="AJ93" s="236"/>
      <c r="AK93" s="236"/>
      <c r="AL93" s="236"/>
      <c r="AM93" s="236"/>
      <c r="AN93" s="236"/>
      <c r="AO93" s="236"/>
      <c r="AP93" s="236"/>
      <c r="AQ93" s="236"/>
      <c r="AR93" s="236"/>
      <c r="AS93" s="236"/>
      <c r="AT93" s="236"/>
      <c r="AU93" s="236"/>
      <c r="AV93" s="236"/>
      <c r="AW93" s="236"/>
      <c r="AX93" s="236"/>
      <c r="AY93" s="236"/>
      <c r="AZ93" s="236"/>
      <c r="BA93" s="236"/>
      <c r="BB93" s="236"/>
      <c r="BC93" s="236"/>
      <c r="BD93" s="236"/>
      <c r="BE93" s="236"/>
      <c r="BF93" s="236"/>
      <c r="BG93" s="236"/>
      <c r="BH93" s="236"/>
      <c r="BI93" s="236"/>
      <c r="BJ93" s="236"/>
      <c r="BK93" s="236"/>
      <c r="BL93" s="236"/>
      <c r="BM93" s="236"/>
      <c r="BN93" s="236"/>
      <c r="BO93" s="236"/>
      <c r="BP93" s="236"/>
      <c r="BQ93" s="236"/>
      <c r="BR93" s="236"/>
      <c r="BS93" s="236"/>
      <c r="BT93" s="236"/>
      <c r="BU93" s="236"/>
      <c r="BV93" s="236"/>
      <c r="BW93" s="236"/>
      <c r="BX93" s="236"/>
      <c r="BY93" s="236"/>
      <c r="BZ93" s="236"/>
      <c r="CA93" s="236"/>
      <c r="CB93" s="236"/>
      <c r="CC93" s="236"/>
      <c r="CD93" s="236"/>
      <c r="CE93" s="236"/>
      <c r="CF93" s="236"/>
      <c r="CG93" s="236"/>
      <c r="CH93" s="236"/>
      <c r="CI93" s="236"/>
      <c r="CJ93" s="236"/>
      <c r="CK93" s="236"/>
      <c r="CL93" s="236"/>
      <c r="CM93" s="236"/>
      <c r="CN93" s="236"/>
      <c r="CO93" s="236"/>
      <c r="CP93" s="236"/>
      <c r="CQ93" s="236"/>
      <c r="CR93" s="236"/>
      <c r="CS93" s="236"/>
      <c r="CT93" s="236"/>
      <c r="CU93" s="236"/>
      <c r="CV93" s="236"/>
      <c r="CW93" s="236"/>
      <c r="CX93" s="236"/>
      <c r="CY93" s="236"/>
      <c r="CZ93" s="236"/>
      <c r="DA93" s="236"/>
      <c r="DB93" s="236"/>
      <c r="DC93" s="236"/>
      <c r="DD93" s="236"/>
      <c r="DE93" s="236"/>
      <c r="DF93" s="236"/>
      <c r="DG93" s="236"/>
      <c r="DH93" s="236"/>
      <c r="DI93" s="236"/>
      <c r="DJ93" s="236"/>
      <c r="DK93" s="236"/>
      <c r="DL93" s="236"/>
      <c r="DM93" s="236"/>
      <c r="DN93" s="236"/>
      <c r="DO93" s="236"/>
      <c r="DP93" s="236"/>
      <c r="DQ93" s="236"/>
      <c r="DR93" s="236"/>
      <c r="DS93" s="236"/>
      <c r="DT93" s="236"/>
      <c r="DU93" s="236"/>
      <c r="DV93" s="236"/>
      <c r="DW93" s="236"/>
      <c r="DX93" s="236"/>
      <c r="DY93" s="236"/>
      <c r="DZ93" s="236"/>
      <c r="EA93" s="236"/>
      <c r="EB93" s="236"/>
      <c r="EC93" s="236"/>
      <c r="ED93" s="236"/>
      <c r="EE93" s="236"/>
      <c r="EF93" s="236"/>
      <c r="EG93" s="236"/>
      <c r="EH93" s="236"/>
      <c r="EI93" s="236"/>
      <c r="EJ93" s="236"/>
      <c r="EK93" s="236"/>
      <c r="EL93" s="236"/>
      <c r="EM93" s="236"/>
      <c r="EN93" s="236"/>
      <c r="EO93" s="236"/>
      <c r="EP93" s="236"/>
      <c r="EQ93" s="236"/>
      <c r="ER93" s="236"/>
      <c r="ES93" s="236"/>
      <c r="ET93" s="236"/>
      <c r="EU93" s="236"/>
      <c r="EV93" s="236"/>
      <c r="EW93" s="236"/>
      <c r="EX93" s="236"/>
      <c r="EY93" s="236"/>
      <c r="EZ93" s="236"/>
      <c r="FA93" s="236"/>
      <c r="FB93" s="236"/>
      <c r="FC93" s="236"/>
      <c r="FD93" s="236"/>
      <c r="FE93" s="236"/>
      <c r="FF93" s="236"/>
      <c r="FG93" s="236"/>
      <c r="FH93" s="236"/>
      <c r="FI93" s="236"/>
      <c r="FJ93" s="236"/>
      <c r="FK93" s="236"/>
      <c r="FL93" s="236"/>
      <c r="FM93" s="236"/>
      <c r="FN93" s="236"/>
      <c r="FO93" s="236"/>
      <c r="FP93" s="236"/>
      <c r="FQ93" s="236"/>
      <c r="FR93" s="236"/>
      <c r="FS93" s="236"/>
      <c r="FT93" s="236"/>
      <c r="FU93" s="236"/>
      <c r="FV93" s="236"/>
      <c r="FW93" s="236"/>
      <c r="FX93" s="236"/>
      <c r="FY93" s="236"/>
      <c r="FZ93" s="236"/>
      <c r="GA93" s="236"/>
      <c r="GB93" s="236"/>
      <c r="GC93" s="236"/>
      <c r="GD93" s="236"/>
      <c r="GE93" s="236"/>
      <c r="GF93" s="236"/>
      <c r="GG93" s="236"/>
      <c r="GH93" s="236"/>
      <c r="GI93" s="236"/>
      <c r="GJ93" s="236"/>
      <c r="GK93" s="236"/>
      <c r="GL93" s="236"/>
      <c r="GM93" s="236"/>
      <c r="GN93" s="236"/>
      <c r="GO93" s="236"/>
      <c r="GP93" s="236"/>
      <c r="GQ93" s="236"/>
      <c r="GR93" s="236"/>
      <c r="GS93" s="236"/>
      <c r="GT93" s="236"/>
      <c r="GU93" s="236"/>
      <c r="GV93" s="236"/>
      <c r="GW93" s="236"/>
      <c r="GX93" s="236"/>
      <c r="GY93" s="236"/>
      <c r="GZ93" s="236"/>
      <c r="HA93" s="236"/>
      <c r="HB93" s="236"/>
      <c r="HC93" s="236"/>
      <c r="HD93" s="236"/>
      <c r="HE93" s="236"/>
      <c r="HF93" s="236"/>
      <c r="HG93" s="236"/>
      <c r="HH93" s="236"/>
      <c r="HI93" s="236"/>
      <c r="HJ93" s="236"/>
      <c r="HK93" s="236"/>
      <c r="HL93" s="236"/>
      <c r="HM93" s="236"/>
      <c r="HN93" s="236"/>
      <c r="HO93" s="236"/>
      <c r="HP93" s="236"/>
      <c r="HQ93" s="236"/>
      <c r="HR93" s="236"/>
      <c r="HS93" s="236"/>
      <c r="HT93" s="236"/>
      <c r="HU93" s="236"/>
      <c r="HV93" s="236"/>
      <c r="HW93" s="236"/>
      <c r="HX93" s="236"/>
      <c r="HY93" s="236"/>
      <c r="HZ93" s="236"/>
      <c r="IA93" s="236"/>
      <c r="IB93" s="236"/>
      <c r="IC93" s="236"/>
      <c r="ID93" s="236"/>
      <c r="IE93" s="236"/>
      <c r="IF93" s="236"/>
      <c r="IG93" s="236"/>
      <c r="IH93" s="236"/>
      <c r="II93" s="236"/>
      <c r="IJ93" s="236"/>
      <c r="IK93" s="236"/>
      <c r="IL93" s="236"/>
      <c r="IM93" s="236"/>
      <c r="IN93" s="236"/>
      <c r="IO93" s="236"/>
      <c r="IP93" s="236"/>
      <c r="IQ93" s="236"/>
      <c r="IR93" s="236"/>
      <c r="IS93" s="236"/>
      <c r="IT93" s="236"/>
      <c r="IU93" s="236"/>
      <c r="IV93" s="236"/>
      <c r="IW93" s="236"/>
      <c r="IX93" s="236"/>
      <c r="IY93" s="236"/>
      <c r="IZ93" s="236"/>
      <c r="JA93" s="236"/>
      <c r="JB93" s="236"/>
      <c r="JC93" s="236"/>
      <c r="JD93" s="236"/>
      <c r="JE93" s="236"/>
      <c r="JF93" s="236"/>
      <c r="JG93" s="236"/>
      <c r="JH93" s="236"/>
      <c r="JI93" s="236"/>
      <c r="JJ93" s="236"/>
      <c r="JK93" s="236"/>
      <c r="JL93" s="236"/>
      <c r="JM93" s="236"/>
      <c r="JN93" s="236"/>
      <c r="JO93" s="236"/>
      <c r="JP93" s="236"/>
      <c r="JQ93" s="236"/>
      <c r="JR93" s="236"/>
      <c r="JS93" s="236"/>
      <c r="JT93" s="236"/>
      <c r="JU93" s="236"/>
      <c r="JV93" s="236"/>
      <c r="JW93" s="236"/>
      <c r="JX93" s="409"/>
      <c r="JY93" s="409"/>
      <c r="JZ93" s="409"/>
      <c r="KA93" s="409"/>
      <c r="KB93" s="409"/>
      <c r="KC93" s="409"/>
      <c r="KD93" s="409"/>
      <c r="KE93" s="409"/>
      <c r="KF93" s="409"/>
      <c r="KG93" s="410"/>
      <c r="KH93" s="412">
        <f t="shared" si="36"/>
        <v>90</v>
      </c>
      <c r="KI93" s="413" t="str">
        <f t="shared" ca="1" si="27"/>
        <v/>
      </c>
      <c r="KJ93" s="413" t="str">
        <f t="shared" ca="1" si="37"/>
        <v/>
      </c>
      <c r="KK93" s="414" t="str">
        <f t="shared" ca="1" si="28"/>
        <v/>
      </c>
    </row>
    <row r="94" spans="3:297" ht="24" customHeight="1">
      <c r="C94"/>
      <c r="D94" s="57" t="str">
        <f ca="1">INDIRECT(ADDRESS(ROWS($D$3:D93)+6,D$3,1,1,"3_TIME SUM"))</f>
        <v>Solid Control Services (Pihak Ketiga)</v>
      </c>
      <c r="E94" s="81" t="str">
        <f ca="1">IF(INDIRECT(ADDRESS(ROWS($E$3:E93)+6,E$3,1,1,"3_TIME SUM"))=0,E93,INDIRECT(ADDRESS(ROWS($E$3:E93)+6,E$3,1,1,"3_TIME SUM")))</f>
        <v>Service Company (NPT)</v>
      </c>
      <c r="F94" s="57" t="str">
        <f t="shared" ca="1" si="24"/>
        <v>Service Company (NPT) : Solid Control Services (Pihak Ketiga)</v>
      </c>
      <c r="G94" s="58" t="str">
        <f ca="1">VLOOKUP($D94,INDIRECT(ADDRESS(7,5,1,1,"3_TIME SUM")):INDIRECT(ADDRESS(200,7,1,1,"3_TIME SUM")),2,FALSE)</f>
        <v>21n</v>
      </c>
      <c r="H94" s="58" t="str">
        <f ca="1">IF(VLOOKUP($D94,INDIRECT(ADDRESS(7,5,1,1,"3_TIME SUM")):INDIRECT(ADDRESS(200,7,1,1,"3_TIME SUM")),3,FALSE)="","PT",VLOOKUP($D94,INDIRECT(ADDRESS(7,5,1,1,"3_TIME SUM")):INDIRECT(ADDRESS(200,7,1,1,"3_TIME SUM")),3,FALSE))</f>
        <v>NPT</v>
      </c>
      <c r="I94" s="59">
        <f ca="1">IFERROR(IF(AND($D$2="NON PRODUCTIVE TIME",$H94="NPT"),SUMIF(INDIRECT(ADDRESS(8,COLUMN('2_DATA'!$M$9),1,1,"2_DATA")):INDIRECT(ADDRESS(3000,COLUMN('2_DATA'!$M$9),1,1,"2_DATA")),$G94,INDIRECT(ADDRESS(8,COLUMN('2_DATA'!$N$9),1,1,"2_DATA")):INDIRECT(ADDRESS(3000,COLUMN('2_DATA'!$N$9),1,1,"2_DATA"))),IF($D$2="ALL ACTIVITY",SUMIF(INDIRECT(ADDRESS(9,COLUMN('2_DATA'!$M$9),1,1,"2_DATA")):INDIRECT(ADDRESS(3000,COLUMN('2_DATA'!$M$9),1,1,"2_DATA")),$G94,INDIRECT(ADDRESS(9,COLUMN('2_DATA'!$N$9),1,1,"2_DATA")):INDIRECT(ADDRESS(3000,COLUMN('2_DATA'!$N$9),1,1,"2_DATA"))),SUMIF(INDIRECT(ADDRESS(OFFSET($A$3,MATCH($D$2,$A$4:$A$16,0)-1,1,,)+1,COLUMN('2_DATA'!$M$9),1,1,"2_DATA")):INDIRECT(ADDRESS(VLOOKUP($D$2,$A$4:$B$16,2,FALSE)-1,COLUMN('2_DATA'!$M$9),1,1,"2_DATA")),$G94,INDIRECT(ADDRESS(OFFSET($A$3,MATCH($D$2,$A$4:$A$16,0)-1,1,,)+1,COLUMN('2_DATA'!$N$9),1,1,"2_DATA")):INDIRECT(ADDRESS(VLOOKUP($D$2,$A$4:$B$16,2,FALSE)-1,COLUMN('2_DATA'!$N$9),1,1,"2_DATA"))))),0)</f>
        <v>0</v>
      </c>
      <c r="J94" s="58" t="str">
        <f ca="1">IF(I94=0,"",MAX($J$3:J93)+1)</f>
        <v/>
      </c>
      <c r="L94" s="55">
        <f t="shared" ca="1" si="21"/>
        <v>1000</v>
      </c>
      <c r="M94" s="55" t="str">
        <f t="shared" ca="1" si="25"/>
        <v/>
      </c>
      <c r="N94" s="55"/>
      <c r="O94" s="55" t="str">
        <f t="shared" ca="1" si="29"/>
        <v/>
      </c>
      <c r="P94" s="55">
        <f t="shared" ca="1" si="22"/>
        <v>0</v>
      </c>
      <c r="Q94" s="55" t="str">
        <f ca="1">IFERROR(INDEX($O$4:$P$226,MATCH(ROWS($Q$3:Q93),$P$4:$P$226,0),1),"-")</f>
        <v>-</v>
      </c>
      <c r="R94" s="62" t="str">
        <f t="shared" ca="1" si="23"/>
        <v/>
      </c>
      <c r="S94" s="55" t="str">
        <f t="shared" ca="1" si="26"/>
        <v/>
      </c>
      <c r="T94" s="67" t="str">
        <f t="shared" ca="1" si="19"/>
        <v>-</v>
      </c>
      <c r="V94" s="68" t="str">
        <f t="shared" ca="1" si="30"/>
        <v/>
      </c>
      <c r="W94" s="69" t="str">
        <f t="shared" ca="1" si="31"/>
        <v/>
      </c>
      <c r="X94" s="70" t="s">
        <v>84</v>
      </c>
      <c r="Y94" s="68" t="str">
        <f t="shared" ca="1" si="35"/>
        <v/>
      </c>
      <c r="Z94" s="71" t="str">
        <f t="shared" ca="1" si="32"/>
        <v/>
      </c>
      <c r="AA94" s="72" t="str">
        <f t="shared" ca="1" si="33"/>
        <v/>
      </c>
      <c r="AB94" s="305" t="str">
        <f t="shared" ca="1" si="34"/>
        <v/>
      </c>
      <c r="AC94" s="236"/>
      <c r="AD94" s="236"/>
      <c r="AE94" s="236"/>
      <c r="AF94" s="236"/>
      <c r="AG94" s="236"/>
      <c r="AH94" s="236"/>
      <c r="AI94" s="236"/>
      <c r="AJ94" s="236"/>
      <c r="AK94" s="236"/>
      <c r="AL94" s="236"/>
      <c r="AM94" s="236"/>
      <c r="AN94" s="236"/>
      <c r="AO94" s="236"/>
      <c r="AP94" s="236"/>
      <c r="AQ94" s="236"/>
      <c r="AR94" s="236"/>
      <c r="AS94" s="236"/>
      <c r="AT94" s="236"/>
      <c r="AU94" s="236"/>
      <c r="AV94" s="236"/>
      <c r="AW94" s="236"/>
      <c r="AX94" s="236"/>
      <c r="AY94" s="236"/>
      <c r="AZ94" s="236"/>
      <c r="BA94" s="236"/>
      <c r="BB94" s="236"/>
      <c r="BC94" s="236"/>
      <c r="BD94" s="236"/>
      <c r="BE94" s="236"/>
      <c r="BF94" s="236"/>
      <c r="BG94" s="236"/>
      <c r="BH94" s="236"/>
      <c r="BI94" s="236"/>
      <c r="BJ94" s="236"/>
      <c r="BK94" s="236"/>
      <c r="BL94" s="236"/>
      <c r="BM94" s="236"/>
      <c r="BN94" s="236"/>
      <c r="BO94" s="236"/>
      <c r="BP94" s="236"/>
      <c r="BQ94" s="236"/>
      <c r="BR94" s="236"/>
      <c r="BS94" s="236"/>
      <c r="BT94" s="236"/>
      <c r="BU94" s="236"/>
      <c r="BV94" s="236"/>
      <c r="BW94" s="236"/>
      <c r="BX94" s="236"/>
      <c r="BY94" s="236"/>
      <c r="BZ94" s="236"/>
      <c r="CA94" s="236"/>
      <c r="CB94" s="236"/>
      <c r="CC94" s="236"/>
      <c r="CD94" s="236"/>
      <c r="CE94" s="236"/>
      <c r="CF94" s="236"/>
      <c r="CG94" s="236"/>
      <c r="CH94" s="236"/>
      <c r="CI94" s="236"/>
      <c r="CJ94" s="236"/>
      <c r="CK94" s="236"/>
      <c r="CL94" s="236"/>
      <c r="CM94" s="236"/>
      <c r="CN94" s="236"/>
      <c r="CO94" s="236"/>
      <c r="CP94" s="236"/>
      <c r="CQ94" s="236"/>
      <c r="CR94" s="236"/>
      <c r="CS94" s="236"/>
      <c r="CT94" s="236"/>
      <c r="CU94" s="236"/>
      <c r="CV94" s="236"/>
      <c r="CW94" s="236"/>
      <c r="CX94" s="236"/>
      <c r="CY94" s="236"/>
      <c r="CZ94" s="236"/>
      <c r="DA94" s="236"/>
      <c r="DB94" s="236"/>
      <c r="DC94" s="236"/>
      <c r="DD94" s="236"/>
      <c r="DE94" s="236"/>
      <c r="DF94" s="236"/>
      <c r="DG94" s="236"/>
      <c r="DH94" s="236"/>
      <c r="DI94" s="236"/>
      <c r="DJ94" s="236"/>
      <c r="DK94" s="236"/>
      <c r="DL94" s="236"/>
      <c r="DM94" s="236"/>
      <c r="DN94" s="236"/>
      <c r="DO94" s="236"/>
      <c r="DP94" s="236"/>
      <c r="DQ94" s="236"/>
      <c r="DR94" s="236"/>
      <c r="DS94" s="236"/>
      <c r="DT94" s="236"/>
      <c r="DU94" s="236"/>
      <c r="DV94" s="236"/>
      <c r="DW94" s="236"/>
      <c r="DX94" s="236"/>
      <c r="DY94" s="236"/>
      <c r="DZ94" s="236"/>
      <c r="EA94" s="236"/>
      <c r="EB94" s="236"/>
      <c r="EC94" s="236"/>
      <c r="ED94" s="236"/>
      <c r="EE94" s="236"/>
      <c r="EF94" s="236"/>
      <c r="EG94" s="236"/>
      <c r="EH94" s="236"/>
      <c r="EI94" s="236"/>
      <c r="EJ94" s="236"/>
      <c r="EK94" s="236"/>
      <c r="EL94" s="236"/>
      <c r="EM94" s="236"/>
      <c r="EN94" s="236"/>
      <c r="EO94" s="236"/>
      <c r="EP94" s="236"/>
      <c r="EQ94" s="236"/>
      <c r="ER94" s="236"/>
      <c r="ES94" s="236"/>
      <c r="ET94" s="236"/>
      <c r="EU94" s="236"/>
      <c r="EV94" s="236"/>
      <c r="EW94" s="236"/>
      <c r="EX94" s="236"/>
      <c r="EY94" s="236"/>
      <c r="EZ94" s="236"/>
      <c r="FA94" s="236"/>
      <c r="FB94" s="236"/>
      <c r="FC94" s="236"/>
      <c r="FD94" s="236"/>
      <c r="FE94" s="236"/>
      <c r="FF94" s="236"/>
      <c r="FG94" s="236"/>
      <c r="FH94" s="236"/>
      <c r="FI94" s="236"/>
      <c r="FJ94" s="236"/>
      <c r="FK94" s="236"/>
      <c r="FL94" s="236"/>
      <c r="FM94" s="236"/>
      <c r="FN94" s="236"/>
      <c r="FO94" s="236"/>
      <c r="FP94" s="236"/>
      <c r="FQ94" s="236"/>
      <c r="FR94" s="236"/>
      <c r="FS94" s="236"/>
      <c r="FT94" s="236"/>
      <c r="FU94" s="236"/>
      <c r="FV94" s="236"/>
      <c r="FW94" s="236"/>
      <c r="FX94" s="236"/>
      <c r="FY94" s="236"/>
      <c r="FZ94" s="236"/>
      <c r="GA94" s="236"/>
      <c r="GB94" s="236"/>
      <c r="GC94" s="236"/>
      <c r="GD94" s="236"/>
      <c r="GE94" s="236"/>
      <c r="GF94" s="236"/>
      <c r="GG94" s="236"/>
      <c r="GH94" s="236"/>
      <c r="GI94" s="236"/>
      <c r="GJ94" s="236"/>
      <c r="GK94" s="236"/>
      <c r="GL94" s="236"/>
      <c r="GM94" s="236"/>
      <c r="GN94" s="236"/>
      <c r="GO94" s="236"/>
      <c r="GP94" s="236"/>
      <c r="GQ94" s="236"/>
      <c r="GR94" s="236"/>
      <c r="GS94" s="236"/>
      <c r="GT94" s="236"/>
      <c r="GU94" s="236"/>
      <c r="GV94" s="236"/>
      <c r="GW94" s="236"/>
      <c r="GX94" s="236"/>
      <c r="GY94" s="236"/>
      <c r="GZ94" s="236"/>
      <c r="HA94" s="236"/>
      <c r="HB94" s="236"/>
      <c r="HC94" s="236"/>
      <c r="HD94" s="236"/>
      <c r="HE94" s="236"/>
      <c r="HF94" s="236"/>
      <c r="HG94" s="236"/>
      <c r="HH94" s="236"/>
      <c r="HI94" s="236"/>
      <c r="HJ94" s="236"/>
      <c r="HK94" s="236"/>
      <c r="HL94" s="236"/>
      <c r="HM94" s="236"/>
      <c r="HN94" s="236"/>
      <c r="HO94" s="236"/>
      <c r="HP94" s="236"/>
      <c r="HQ94" s="236"/>
      <c r="HR94" s="236"/>
      <c r="HS94" s="236"/>
      <c r="HT94" s="236"/>
      <c r="HU94" s="236"/>
      <c r="HV94" s="236"/>
      <c r="HW94" s="236"/>
      <c r="HX94" s="236"/>
      <c r="HY94" s="236"/>
      <c r="HZ94" s="236"/>
      <c r="IA94" s="236"/>
      <c r="IB94" s="236"/>
      <c r="IC94" s="236"/>
      <c r="ID94" s="236"/>
      <c r="IE94" s="236"/>
      <c r="IF94" s="236"/>
      <c r="IG94" s="236"/>
      <c r="IH94" s="236"/>
      <c r="II94" s="236"/>
      <c r="IJ94" s="236"/>
      <c r="IK94" s="236"/>
      <c r="IL94" s="236"/>
      <c r="IM94" s="236"/>
      <c r="IN94" s="236"/>
      <c r="IO94" s="236"/>
      <c r="IP94" s="236"/>
      <c r="IQ94" s="236"/>
      <c r="IR94" s="236"/>
      <c r="IS94" s="236"/>
      <c r="IT94" s="236"/>
      <c r="IU94" s="236"/>
      <c r="IV94" s="236"/>
      <c r="IW94" s="236"/>
      <c r="IX94" s="236"/>
      <c r="IY94" s="236"/>
      <c r="IZ94" s="236"/>
      <c r="JA94" s="236"/>
      <c r="JB94" s="236"/>
      <c r="JC94" s="236"/>
      <c r="JD94" s="236"/>
      <c r="JE94" s="236"/>
      <c r="JF94" s="236"/>
      <c r="JG94" s="236"/>
      <c r="JH94" s="236"/>
      <c r="JI94" s="236"/>
      <c r="JJ94" s="236"/>
      <c r="JK94" s="236"/>
      <c r="JL94" s="236"/>
      <c r="JM94" s="236"/>
      <c r="JN94" s="236"/>
      <c r="JO94" s="236"/>
      <c r="JP94" s="236"/>
      <c r="JQ94" s="236"/>
      <c r="JR94" s="236"/>
      <c r="JS94" s="236"/>
      <c r="JT94" s="236"/>
      <c r="JU94" s="236"/>
      <c r="JV94" s="236"/>
      <c r="JW94" s="236"/>
      <c r="JX94" s="409"/>
      <c r="JY94" s="409"/>
      <c r="JZ94" s="409"/>
      <c r="KA94" s="409"/>
      <c r="KB94" s="409"/>
      <c r="KC94" s="409"/>
      <c r="KD94" s="409"/>
      <c r="KE94" s="409"/>
      <c r="KF94" s="409"/>
      <c r="KG94" s="410"/>
      <c r="KH94" s="412">
        <f t="shared" si="36"/>
        <v>91</v>
      </c>
      <c r="KI94" s="413" t="str">
        <f t="shared" ca="1" si="27"/>
        <v/>
      </c>
      <c r="KJ94" s="413" t="str">
        <f t="shared" ca="1" si="37"/>
        <v/>
      </c>
      <c r="KK94" s="414" t="str">
        <f t="shared" ca="1" si="28"/>
        <v/>
      </c>
    </row>
    <row r="95" spans="3:297" ht="24" customHeight="1">
      <c r="C95"/>
      <c r="D95" s="57" t="str">
        <f ca="1">INDIRECT(ADDRESS(ROWS($D$3:D94)+6,D$3,1,1,"3_TIME SUM"))</f>
        <v>Waste Management Services</v>
      </c>
      <c r="E95" s="81" t="str">
        <f ca="1">IF(INDIRECT(ADDRESS(ROWS($E$3:E94)+6,E$3,1,1,"3_TIME SUM"))=0,E94,INDIRECT(ADDRESS(ROWS($E$3:E94)+6,E$3,1,1,"3_TIME SUM")))</f>
        <v>Service Company (NPT)</v>
      </c>
      <c r="F95" s="57" t="str">
        <f t="shared" ca="1" si="24"/>
        <v>Service Company (NPT) : Waste Management Services</v>
      </c>
      <c r="G95" s="58" t="str">
        <f ca="1">VLOOKUP($D95,INDIRECT(ADDRESS(7,5,1,1,"3_TIME SUM")):INDIRECT(ADDRESS(200,7,1,1,"3_TIME SUM")),2,FALSE)</f>
        <v>21o</v>
      </c>
      <c r="H95" s="58" t="str">
        <f ca="1">IF(VLOOKUP($D95,INDIRECT(ADDRESS(7,5,1,1,"3_TIME SUM")):INDIRECT(ADDRESS(200,7,1,1,"3_TIME SUM")),3,FALSE)="","PT",VLOOKUP($D95,INDIRECT(ADDRESS(7,5,1,1,"3_TIME SUM")):INDIRECT(ADDRESS(200,7,1,1,"3_TIME SUM")),3,FALSE))</f>
        <v>NPT</v>
      </c>
      <c r="I95" s="59">
        <f ca="1">IFERROR(IF(AND($D$2="NON PRODUCTIVE TIME",$H95="NPT"),SUMIF(INDIRECT(ADDRESS(8,COLUMN('2_DATA'!$M$9),1,1,"2_DATA")):INDIRECT(ADDRESS(3000,COLUMN('2_DATA'!$M$9),1,1,"2_DATA")),$G95,INDIRECT(ADDRESS(8,COLUMN('2_DATA'!$N$9),1,1,"2_DATA")):INDIRECT(ADDRESS(3000,COLUMN('2_DATA'!$N$9),1,1,"2_DATA"))),IF($D$2="ALL ACTIVITY",SUMIF(INDIRECT(ADDRESS(9,COLUMN('2_DATA'!$M$9),1,1,"2_DATA")):INDIRECT(ADDRESS(3000,COLUMN('2_DATA'!$M$9),1,1,"2_DATA")),$G95,INDIRECT(ADDRESS(9,COLUMN('2_DATA'!$N$9),1,1,"2_DATA")):INDIRECT(ADDRESS(3000,COLUMN('2_DATA'!$N$9),1,1,"2_DATA"))),SUMIF(INDIRECT(ADDRESS(OFFSET($A$3,MATCH($D$2,$A$4:$A$16,0)-1,1,,)+1,COLUMN('2_DATA'!$M$9),1,1,"2_DATA")):INDIRECT(ADDRESS(VLOOKUP($D$2,$A$4:$B$16,2,FALSE)-1,COLUMN('2_DATA'!$M$9),1,1,"2_DATA")),$G95,INDIRECT(ADDRESS(OFFSET($A$3,MATCH($D$2,$A$4:$A$16,0)-1,1,,)+1,COLUMN('2_DATA'!$N$9),1,1,"2_DATA")):INDIRECT(ADDRESS(VLOOKUP($D$2,$A$4:$B$16,2,FALSE)-1,COLUMN('2_DATA'!$N$9),1,1,"2_DATA"))))),0)</f>
        <v>0</v>
      </c>
      <c r="J95" s="58" t="str">
        <f ca="1">IF(I95=0,"",MAX($J$3:J94)+1)</f>
        <v/>
      </c>
      <c r="L95" s="55">
        <f t="shared" ca="1" si="21"/>
        <v>1000</v>
      </c>
      <c r="M95" s="55" t="str">
        <f t="shared" ca="1" si="25"/>
        <v/>
      </c>
      <c r="N95" s="55"/>
      <c r="O95" s="55" t="str">
        <f t="shared" ca="1" si="29"/>
        <v/>
      </c>
      <c r="P95" s="55">
        <f t="shared" ca="1" si="22"/>
        <v>0</v>
      </c>
      <c r="Q95" s="55" t="str">
        <f ca="1">IFERROR(INDEX($O$4:$P$226,MATCH(ROWS($Q$3:Q94),$P$4:$P$226,0),1),"-")</f>
        <v>-</v>
      </c>
      <c r="R95" s="62" t="str">
        <f t="shared" ca="1" si="23"/>
        <v/>
      </c>
      <c r="S95" s="55" t="str">
        <f t="shared" ca="1" si="26"/>
        <v/>
      </c>
      <c r="T95" s="67" t="str">
        <f t="shared" ca="1" si="19"/>
        <v>-</v>
      </c>
      <c r="V95" s="68" t="str">
        <f t="shared" ca="1" si="30"/>
        <v/>
      </c>
      <c r="W95" s="69" t="str">
        <f t="shared" ca="1" si="31"/>
        <v/>
      </c>
      <c r="X95" s="70" t="s">
        <v>84</v>
      </c>
      <c r="Y95" s="68" t="str">
        <f t="shared" ca="1" si="35"/>
        <v/>
      </c>
      <c r="Z95" s="71" t="str">
        <f t="shared" ca="1" si="32"/>
        <v/>
      </c>
      <c r="AA95" s="72" t="str">
        <f t="shared" ca="1" si="33"/>
        <v/>
      </c>
      <c r="AB95" s="305" t="str">
        <f t="shared" ca="1" si="34"/>
        <v/>
      </c>
      <c r="AC95" s="236"/>
      <c r="AD95" s="236"/>
      <c r="AE95" s="236"/>
      <c r="AF95" s="236"/>
      <c r="AG95" s="236"/>
      <c r="AH95" s="236"/>
      <c r="AI95" s="236"/>
      <c r="AJ95" s="236"/>
      <c r="AK95" s="236"/>
      <c r="AL95" s="236"/>
      <c r="AM95" s="236"/>
      <c r="AN95" s="236"/>
      <c r="AO95" s="236"/>
      <c r="AP95" s="236"/>
      <c r="AQ95" s="236"/>
      <c r="AR95" s="236"/>
      <c r="AS95" s="236"/>
      <c r="AT95" s="236"/>
      <c r="AU95" s="236"/>
      <c r="AV95" s="236"/>
      <c r="AW95" s="236"/>
      <c r="AX95" s="236"/>
      <c r="AY95" s="236"/>
      <c r="AZ95" s="236"/>
      <c r="BA95" s="236"/>
      <c r="BB95" s="236"/>
      <c r="BC95" s="236"/>
      <c r="BD95" s="236"/>
      <c r="BE95" s="236"/>
      <c r="BF95" s="236"/>
      <c r="BG95" s="236"/>
      <c r="BH95" s="236"/>
      <c r="BI95" s="236"/>
      <c r="BJ95" s="236"/>
      <c r="BK95" s="236"/>
      <c r="BL95" s="236"/>
      <c r="BM95" s="236"/>
      <c r="BN95" s="236"/>
      <c r="BO95" s="236"/>
      <c r="BP95" s="236"/>
      <c r="BQ95" s="236"/>
      <c r="BR95" s="236"/>
      <c r="BS95" s="236"/>
      <c r="BT95" s="236"/>
      <c r="BU95" s="236"/>
      <c r="BV95" s="236"/>
      <c r="BW95" s="236"/>
      <c r="BX95" s="236"/>
      <c r="BY95" s="236"/>
      <c r="BZ95" s="236"/>
      <c r="CA95" s="236"/>
      <c r="CB95" s="236"/>
      <c r="CC95" s="236"/>
      <c r="CD95" s="236"/>
      <c r="CE95" s="236"/>
      <c r="CF95" s="236"/>
      <c r="CG95" s="236"/>
      <c r="CH95" s="236"/>
      <c r="CI95" s="236"/>
      <c r="CJ95" s="236"/>
      <c r="CK95" s="236"/>
      <c r="CL95" s="236"/>
      <c r="CM95" s="236"/>
      <c r="CN95" s="236"/>
      <c r="CO95" s="236"/>
      <c r="CP95" s="236"/>
      <c r="CQ95" s="236"/>
      <c r="CR95" s="236"/>
      <c r="CS95" s="236"/>
      <c r="CT95" s="236"/>
      <c r="CU95" s="236"/>
      <c r="CV95" s="236"/>
      <c r="CW95" s="236"/>
      <c r="CX95" s="236"/>
      <c r="CY95" s="236"/>
      <c r="CZ95" s="236"/>
      <c r="DA95" s="236"/>
      <c r="DB95" s="236"/>
      <c r="DC95" s="236"/>
      <c r="DD95" s="236"/>
      <c r="DE95" s="236"/>
      <c r="DF95" s="236"/>
      <c r="DG95" s="236"/>
      <c r="DH95" s="236"/>
      <c r="DI95" s="236"/>
      <c r="DJ95" s="236"/>
      <c r="DK95" s="236"/>
      <c r="DL95" s="236"/>
      <c r="DM95" s="236"/>
      <c r="DN95" s="236"/>
      <c r="DO95" s="236"/>
      <c r="DP95" s="236"/>
      <c r="DQ95" s="236"/>
      <c r="DR95" s="236"/>
      <c r="DS95" s="236"/>
      <c r="DT95" s="236"/>
      <c r="DU95" s="236"/>
      <c r="DV95" s="236"/>
      <c r="DW95" s="236"/>
      <c r="DX95" s="236"/>
      <c r="DY95" s="236"/>
      <c r="DZ95" s="236"/>
      <c r="EA95" s="236"/>
      <c r="EB95" s="236"/>
      <c r="EC95" s="236"/>
      <c r="ED95" s="236"/>
      <c r="EE95" s="236"/>
      <c r="EF95" s="236"/>
      <c r="EG95" s="236"/>
      <c r="EH95" s="236"/>
      <c r="EI95" s="236"/>
      <c r="EJ95" s="236"/>
      <c r="EK95" s="236"/>
      <c r="EL95" s="236"/>
      <c r="EM95" s="236"/>
      <c r="EN95" s="236"/>
      <c r="EO95" s="236"/>
      <c r="EP95" s="236"/>
      <c r="EQ95" s="236"/>
      <c r="ER95" s="236"/>
      <c r="ES95" s="236"/>
      <c r="ET95" s="236"/>
      <c r="EU95" s="236"/>
      <c r="EV95" s="236"/>
      <c r="EW95" s="236"/>
      <c r="EX95" s="236"/>
      <c r="EY95" s="236"/>
      <c r="EZ95" s="236"/>
      <c r="FA95" s="236"/>
      <c r="FB95" s="236"/>
      <c r="FC95" s="236"/>
      <c r="FD95" s="236"/>
      <c r="FE95" s="236"/>
      <c r="FF95" s="236"/>
      <c r="FG95" s="236"/>
      <c r="FH95" s="236"/>
      <c r="FI95" s="236"/>
      <c r="FJ95" s="236"/>
      <c r="FK95" s="236"/>
      <c r="FL95" s="236"/>
      <c r="FM95" s="236"/>
      <c r="FN95" s="236"/>
      <c r="FO95" s="236"/>
      <c r="FP95" s="236"/>
      <c r="FQ95" s="236"/>
      <c r="FR95" s="236"/>
      <c r="FS95" s="236"/>
      <c r="FT95" s="236"/>
      <c r="FU95" s="236"/>
      <c r="FV95" s="236"/>
      <c r="FW95" s="236"/>
      <c r="FX95" s="236"/>
      <c r="FY95" s="236"/>
      <c r="FZ95" s="236"/>
      <c r="GA95" s="236"/>
      <c r="GB95" s="236"/>
      <c r="GC95" s="236"/>
      <c r="GD95" s="236"/>
      <c r="GE95" s="236"/>
      <c r="GF95" s="236"/>
      <c r="GG95" s="236"/>
      <c r="GH95" s="236"/>
      <c r="GI95" s="236"/>
      <c r="GJ95" s="236"/>
      <c r="GK95" s="236"/>
      <c r="GL95" s="236"/>
      <c r="GM95" s="236"/>
      <c r="GN95" s="236"/>
      <c r="GO95" s="236"/>
      <c r="GP95" s="236"/>
      <c r="GQ95" s="236"/>
      <c r="GR95" s="236"/>
      <c r="GS95" s="236"/>
      <c r="GT95" s="236"/>
      <c r="GU95" s="236"/>
      <c r="GV95" s="236"/>
      <c r="GW95" s="236"/>
      <c r="GX95" s="236"/>
      <c r="GY95" s="236"/>
      <c r="GZ95" s="236"/>
      <c r="HA95" s="236"/>
      <c r="HB95" s="236"/>
      <c r="HC95" s="236"/>
      <c r="HD95" s="236"/>
      <c r="HE95" s="236"/>
      <c r="HF95" s="236"/>
      <c r="HG95" s="236"/>
      <c r="HH95" s="236"/>
      <c r="HI95" s="236"/>
      <c r="HJ95" s="236"/>
      <c r="HK95" s="236"/>
      <c r="HL95" s="236"/>
      <c r="HM95" s="236"/>
      <c r="HN95" s="236"/>
      <c r="HO95" s="236"/>
      <c r="HP95" s="236"/>
      <c r="HQ95" s="236"/>
      <c r="HR95" s="236"/>
      <c r="HS95" s="236"/>
      <c r="HT95" s="236"/>
      <c r="HU95" s="236"/>
      <c r="HV95" s="236"/>
      <c r="HW95" s="236"/>
      <c r="HX95" s="236"/>
      <c r="HY95" s="236"/>
      <c r="HZ95" s="236"/>
      <c r="IA95" s="236"/>
      <c r="IB95" s="236"/>
      <c r="IC95" s="236"/>
      <c r="ID95" s="236"/>
      <c r="IE95" s="236"/>
      <c r="IF95" s="236"/>
      <c r="IG95" s="236"/>
      <c r="IH95" s="236"/>
      <c r="II95" s="236"/>
      <c r="IJ95" s="236"/>
      <c r="IK95" s="236"/>
      <c r="IL95" s="236"/>
      <c r="IM95" s="236"/>
      <c r="IN95" s="236"/>
      <c r="IO95" s="236"/>
      <c r="IP95" s="236"/>
      <c r="IQ95" s="236"/>
      <c r="IR95" s="236"/>
      <c r="IS95" s="236"/>
      <c r="IT95" s="236"/>
      <c r="IU95" s="236"/>
      <c r="IV95" s="236"/>
      <c r="IW95" s="236"/>
      <c r="IX95" s="236"/>
      <c r="IY95" s="236"/>
      <c r="IZ95" s="236"/>
      <c r="JA95" s="236"/>
      <c r="JB95" s="236"/>
      <c r="JC95" s="236"/>
      <c r="JD95" s="236"/>
      <c r="JE95" s="236"/>
      <c r="JF95" s="236"/>
      <c r="JG95" s="236"/>
      <c r="JH95" s="236"/>
      <c r="JI95" s="236"/>
      <c r="JJ95" s="236"/>
      <c r="JK95" s="236"/>
      <c r="JL95" s="236"/>
      <c r="JM95" s="236"/>
      <c r="JN95" s="236"/>
      <c r="JO95" s="236"/>
      <c r="JP95" s="236"/>
      <c r="JQ95" s="236"/>
      <c r="JR95" s="236"/>
      <c r="JS95" s="236"/>
      <c r="JT95" s="236"/>
      <c r="JU95" s="236"/>
      <c r="JV95" s="236"/>
      <c r="JW95" s="236"/>
      <c r="JX95" s="409"/>
      <c r="JY95" s="409"/>
      <c r="JZ95" s="409"/>
      <c r="KA95" s="409"/>
      <c r="KB95" s="409"/>
      <c r="KC95" s="409"/>
      <c r="KD95" s="409"/>
      <c r="KE95" s="409"/>
      <c r="KF95" s="409"/>
      <c r="KG95" s="410"/>
      <c r="KH95" s="412">
        <f t="shared" si="36"/>
        <v>92</v>
      </c>
      <c r="KI95" s="413" t="str">
        <f t="shared" ca="1" si="27"/>
        <v/>
      </c>
      <c r="KJ95" s="413" t="str">
        <f t="shared" ca="1" si="37"/>
        <v/>
      </c>
      <c r="KK95" s="414" t="str">
        <f t="shared" ca="1" si="28"/>
        <v/>
      </c>
    </row>
    <row r="96" spans="3:297" ht="24" customHeight="1">
      <c r="C96"/>
      <c r="D96" s="57" t="str">
        <f ca="1">INDIRECT(ADDRESS(ROWS($D$3:D95)+6,D$3,1,1,"3_TIME SUM"))</f>
        <v>H2S Services</v>
      </c>
      <c r="E96" s="81" t="str">
        <f ca="1">IF(INDIRECT(ADDRESS(ROWS($E$3:E95)+6,E$3,1,1,"3_TIME SUM"))=0,E95,INDIRECT(ADDRESS(ROWS($E$3:E95)+6,E$3,1,1,"3_TIME SUM")))</f>
        <v>Service Company (NPT)</v>
      </c>
      <c r="F96" s="57" t="str">
        <f t="shared" ca="1" si="24"/>
        <v>Service Company (NPT) : H2S Services</v>
      </c>
      <c r="G96" s="58" t="str">
        <f ca="1">VLOOKUP($D96,INDIRECT(ADDRESS(7,5,1,1,"3_TIME SUM")):INDIRECT(ADDRESS(200,7,1,1,"3_TIME SUM")),2,FALSE)</f>
        <v>21p</v>
      </c>
      <c r="H96" s="58" t="str">
        <f ca="1">IF(VLOOKUP($D96,INDIRECT(ADDRESS(7,5,1,1,"3_TIME SUM")):INDIRECT(ADDRESS(200,7,1,1,"3_TIME SUM")),3,FALSE)="","PT",VLOOKUP($D96,INDIRECT(ADDRESS(7,5,1,1,"3_TIME SUM")):INDIRECT(ADDRESS(200,7,1,1,"3_TIME SUM")),3,FALSE))</f>
        <v>NPT</v>
      </c>
      <c r="I96" s="59">
        <f ca="1">IFERROR(IF(AND($D$2="NON PRODUCTIVE TIME",$H96="NPT"),SUMIF(INDIRECT(ADDRESS(8,COLUMN('2_DATA'!$M$9),1,1,"2_DATA")):INDIRECT(ADDRESS(3000,COLUMN('2_DATA'!$M$9),1,1,"2_DATA")),$G96,INDIRECT(ADDRESS(8,COLUMN('2_DATA'!$N$9),1,1,"2_DATA")):INDIRECT(ADDRESS(3000,COLUMN('2_DATA'!$N$9),1,1,"2_DATA"))),IF($D$2="ALL ACTIVITY",SUMIF(INDIRECT(ADDRESS(9,COLUMN('2_DATA'!$M$9),1,1,"2_DATA")):INDIRECT(ADDRESS(3000,COLUMN('2_DATA'!$M$9),1,1,"2_DATA")),$G96,INDIRECT(ADDRESS(9,COLUMN('2_DATA'!$N$9),1,1,"2_DATA")):INDIRECT(ADDRESS(3000,COLUMN('2_DATA'!$N$9),1,1,"2_DATA"))),SUMIF(INDIRECT(ADDRESS(OFFSET($A$3,MATCH($D$2,$A$4:$A$16,0)-1,1,,)+1,COLUMN('2_DATA'!$M$9),1,1,"2_DATA")):INDIRECT(ADDRESS(VLOOKUP($D$2,$A$4:$B$16,2,FALSE)-1,COLUMN('2_DATA'!$M$9),1,1,"2_DATA")),$G96,INDIRECT(ADDRESS(OFFSET($A$3,MATCH($D$2,$A$4:$A$16,0)-1,1,,)+1,COLUMN('2_DATA'!$N$9),1,1,"2_DATA")):INDIRECT(ADDRESS(VLOOKUP($D$2,$A$4:$B$16,2,FALSE)-1,COLUMN('2_DATA'!$N$9),1,1,"2_DATA"))))),0)</f>
        <v>0</v>
      </c>
      <c r="J96" s="58" t="str">
        <f ca="1">IF(I96=0,"",MAX($J$3:J95)+1)</f>
        <v/>
      </c>
      <c r="L96" s="55">
        <f t="shared" ca="1" si="21"/>
        <v>1000</v>
      </c>
      <c r="M96" s="55" t="str">
        <f t="shared" ca="1" si="25"/>
        <v/>
      </c>
      <c r="N96" s="55"/>
      <c r="O96" s="55" t="str">
        <f t="shared" ca="1" si="29"/>
        <v/>
      </c>
      <c r="P96" s="55">
        <f t="shared" ca="1" si="22"/>
        <v>0</v>
      </c>
      <c r="Q96" s="55" t="str">
        <f ca="1">IFERROR(INDEX($O$4:$P$226,MATCH(ROWS($Q$3:Q95),$P$4:$P$226,0),1),"-")</f>
        <v>-</v>
      </c>
      <c r="R96" s="62" t="str">
        <f t="shared" ca="1" si="23"/>
        <v/>
      </c>
      <c r="S96" s="55" t="str">
        <f t="shared" ca="1" si="26"/>
        <v/>
      </c>
      <c r="T96" s="67" t="str">
        <f t="shared" ca="1" si="19"/>
        <v>-</v>
      </c>
      <c r="V96" s="68" t="str">
        <f t="shared" ca="1" si="30"/>
        <v/>
      </c>
      <c r="W96" s="69" t="str">
        <f t="shared" ca="1" si="31"/>
        <v/>
      </c>
      <c r="X96" s="70" t="s">
        <v>84</v>
      </c>
      <c r="Y96" s="68" t="str">
        <f t="shared" ca="1" si="35"/>
        <v/>
      </c>
      <c r="Z96" s="71" t="str">
        <f t="shared" ca="1" si="32"/>
        <v/>
      </c>
      <c r="AA96" s="72" t="str">
        <f t="shared" ca="1" si="33"/>
        <v/>
      </c>
      <c r="AB96" s="305" t="str">
        <f t="shared" ca="1" si="34"/>
        <v/>
      </c>
      <c r="AC96" s="236"/>
      <c r="AD96" s="236"/>
      <c r="AE96" s="236"/>
      <c r="AF96" s="236"/>
      <c r="AG96" s="236"/>
      <c r="AH96" s="236"/>
      <c r="AI96" s="236"/>
      <c r="AJ96" s="236"/>
      <c r="AK96" s="236"/>
      <c r="AL96" s="236"/>
      <c r="AM96" s="236"/>
      <c r="AN96" s="236"/>
      <c r="AO96" s="236"/>
      <c r="AP96" s="236"/>
      <c r="AQ96" s="236"/>
      <c r="AR96" s="236"/>
      <c r="AS96" s="236"/>
      <c r="AT96" s="236"/>
      <c r="AU96" s="236"/>
      <c r="AV96" s="236"/>
      <c r="AW96" s="236"/>
      <c r="AX96" s="236"/>
      <c r="AY96" s="236"/>
      <c r="AZ96" s="236"/>
      <c r="BA96" s="236"/>
      <c r="BB96" s="236"/>
      <c r="BC96" s="236"/>
      <c r="BD96" s="236"/>
      <c r="BE96" s="236"/>
      <c r="BF96" s="236"/>
      <c r="BG96" s="236"/>
      <c r="BH96" s="236"/>
      <c r="BI96" s="236"/>
      <c r="BJ96" s="236"/>
      <c r="BK96" s="236"/>
      <c r="BL96" s="236"/>
      <c r="BM96" s="236"/>
      <c r="BN96" s="236"/>
      <c r="BO96" s="236"/>
      <c r="BP96" s="236"/>
      <c r="BQ96" s="236"/>
      <c r="BR96" s="236"/>
      <c r="BS96" s="236"/>
      <c r="BT96" s="236"/>
      <c r="BU96" s="236"/>
      <c r="BV96" s="236"/>
      <c r="BW96" s="236"/>
      <c r="BX96" s="236"/>
      <c r="BY96" s="236"/>
      <c r="BZ96" s="236"/>
      <c r="CA96" s="236"/>
      <c r="CB96" s="236"/>
      <c r="CC96" s="236"/>
      <c r="CD96" s="236"/>
      <c r="CE96" s="236"/>
      <c r="CF96" s="236"/>
      <c r="CG96" s="236"/>
      <c r="CH96" s="236"/>
      <c r="CI96" s="236"/>
      <c r="CJ96" s="236"/>
      <c r="CK96" s="236"/>
      <c r="CL96" s="236"/>
      <c r="CM96" s="236"/>
      <c r="CN96" s="236"/>
      <c r="CO96" s="236"/>
      <c r="CP96" s="236"/>
      <c r="CQ96" s="236"/>
      <c r="CR96" s="236"/>
      <c r="CS96" s="236"/>
      <c r="CT96" s="236"/>
      <c r="CU96" s="236"/>
      <c r="CV96" s="236"/>
      <c r="CW96" s="236"/>
      <c r="CX96" s="236"/>
      <c r="CY96" s="236"/>
      <c r="CZ96" s="236"/>
      <c r="DA96" s="236"/>
      <c r="DB96" s="236"/>
      <c r="DC96" s="236"/>
      <c r="DD96" s="236"/>
      <c r="DE96" s="236"/>
      <c r="DF96" s="236"/>
      <c r="DG96" s="236"/>
      <c r="DH96" s="236"/>
      <c r="DI96" s="236"/>
      <c r="DJ96" s="236"/>
      <c r="DK96" s="236"/>
      <c r="DL96" s="236"/>
      <c r="DM96" s="236"/>
      <c r="DN96" s="236"/>
      <c r="DO96" s="236"/>
      <c r="DP96" s="236"/>
      <c r="DQ96" s="236"/>
      <c r="DR96" s="236"/>
      <c r="DS96" s="236"/>
      <c r="DT96" s="236"/>
      <c r="DU96" s="236"/>
      <c r="DV96" s="236"/>
      <c r="DW96" s="236"/>
      <c r="DX96" s="236"/>
      <c r="DY96" s="236"/>
      <c r="DZ96" s="236"/>
      <c r="EA96" s="236"/>
      <c r="EB96" s="236"/>
      <c r="EC96" s="236"/>
      <c r="ED96" s="236"/>
      <c r="EE96" s="236"/>
      <c r="EF96" s="236"/>
      <c r="EG96" s="236"/>
      <c r="EH96" s="236"/>
      <c r="EI96" s="236"/>
      <c r="EJ96" s="236"/>
      <c r="EK96" s="236"/>
      <c r="EL96" s="236"/>
      <c r="EM96" s="236"/>
      <c r="EN96" s="236"/>
      <c r="EO96" s="236"/>
      <c r="EP96" s="236"/>
      <c r="EQ96" s="236"/>
      <c r="ER96" s="236"/>
      <c r="ES96" s="236"/>
      <c r="ET96" s="236"/>
      <c r="EU96" s="236"/>
      <c r="EV96" s="236"/>
      <c r="EW96" s="236"/>
      <c r="EX96" s="236"/>
      <c r="EY96" s="236"/>
      <c r="EZ96" s="236"/>
      <c r="FA96" s="236"/>
      <c r="FB96" s="236"/>
      <c r="FC96" s="236"/>
      <c r="FD96" s="236"/>
      <c r="FE96" s="236"/>
      <c r="FF96" s="236"/>
      <c r="FG96" s="236"/>
      <c r="FH96" s="236"/>
      <c r="FI96" s="236"/>
      <c r="FJ96" s="236"/>
      <c r="FK96" s="236"/>
      <c r="FL96" s="236"/>
      <c r="FM96" s="236"/>
      <c r="FN96" s="236"/>
      <c r="FO96" s="236"/>
      <c r="FP96" s="236"/>
      <c r="FQ96" s="236"/>
      <c r="FR96" s="236"/>
      <c r="FS96" s="236"/>
      <c r="FT96" s="236"/>
      <c r="FU96" s="236"/>
      <c r="FV96" s="236"/>
      <c r="FW96" s="236"/>
      <c r="FX96" s="236"/>
      <c r="FY96" s="236"/>
      <c r="FZ96" s="236"/>
      <c r="GA96" s="236"/>
      <c r="GB96" s="236"/>
      <c r="GC96" s="236"/>
      <c r="GD96" s="236"/>
      <c r="GE96" s="236"/>
      <c r="GF96" s="236"/>
      <c r="GG96" s="236"/>
      <c r="GH96" s="236"/>
      <c r="GI96" s="236"/>
      <c r="GJ96" s="236"/>
      <c r="GK96" s="236"/>
      <c r="GL96" s="236"/>
      <c r="GM96" s="236"/>
      <c r="GN96" s="236"/>
      <c r="GO96" s="236"/>
      <c r="GP96" s="236"/>
      <c r="GQ96" s="236"/>
      <c r="GR96" s="236"/>
      <c r="GS96" s="236"/>
      <c r="GT96" s="236"/>
      <c r="GU96" s="236"/>
      <c r="GV96" s="236"/>
      <c r="GW96" s="236"/>
      <c r="GX96" s="236"/>
      <c r="GY96" s="236"/>
      <c r="GZ96" s="236"/>
      <c r="HA96" s="236"/>
      <c r="HB96" s="236"/>
      <c r="HC96" s="236"/>
      <c r="HD96" s="236"/>
      <c r="HE96" s="236"/>
      <c r="HF96" s="236"/>
      <c r="HG96" s="236"/>
      <c r="HH96" s="236"/>
      <c r="HI96" s="236"/>
      <c r="HJ96" s="236"/>
      <c r="HK96" s="236"/>
      <c r="HL96" s="236"/>
      <c r="HM96" s="236"/>
      <c r="HN96" s="236"/>
      <c r="HO96" s="236"/>
      <c r="HP96" s="236"/>
      <c r="HQ96" s="236"/>
      <c r="HR96" s="236"/>
      <c r="HS96" s="236"/>
      <c r="HT96" s="236"/>
      <c r="HU96" s="236"/>
      <c r="HV96" s="236"/>
      <c r="HW96" s="236"/>
      <c r="HX96" s="236"/>
      <c r="HY96" s="236"/>
      <c r="HZ96" s="236"/>
      <c r="IA96" s="236"/>
      <c r="IB96" s="236"/>
      <c r="IC96" s="236"/>
      <c r="ID96" s="236"/>
      <c r="IE96" s="236"/>
      <c r="IF96" s="236"/>
      <c r="IG96" s="236"/>
      <c r="IH96" s="236"/>
      <c r="II96" s="236"/>
      <c r="IJ96" s="236"/>
      <c r="IK96" s="236"/>
      <c r="IL96" s="236"/>
      <c r="IM96" s="236"/>
      <c r="IN96" s="236"/>
      <c r="IO96" s="236"/>
      <c r="IP96" s="236"/>
      <c r="IQ96" s="236"/>
      <c r="IR96" s="236"/>
      <c r="IS96" s="236"/>
      <c r="IT96" s="236"/>
      <c r="IU96" s="236"/>
      <c r="IV96" s="236"/>
      <c r="IW96" s="236"/>
      <c r="IX96" s="236"/>
      <c r="IY96" s="236"/>
      <c r="IZ96" s="236"/>
      <c r="JA96" s="236"/>
      <c r="JB96" s="236"/>
      <c r="JC96" s="236"/>
      <c r="JD96" s="236"/>
      <c r="JE96" s="236"/>
      <c r="JF96" s="236"/>
      <c r="JG96" s="236"/>
      <c r="JH96" s="236"/>
      <c r="JI96" s="236"/>
      <c r="JJ96" s="236"/>
      <c r="JK96" s="236"/>
      <c r="JL96" s="236"/>
      <c r="JM96" s="236"/>
      <c r="JN96" s="236"/>
      <c r="JO96" s="236"/>
      <c r="JP96" s="236"/>
      <c r="JQ96" s="236"/>
      <c r="JR96" s="236"/>
      <c r="JS96" s="236"/>
      <c r="JT96" s="236"/>
      <c r="JU96" s="236"/>
      <c r="JV96" s="236"/>
      <c r="JW96" s="236"/>
      <c r="JX96" s="409"/>
      <c r="JY96" s="409"/>
      <c r="JZ96" s="409"/>
      <c r="KA96" s="409"/>
      <c r="KB96" s="409"/>
      <c r="KC96" s="409"/>
      <c r="KD96" s="409"/>
      <c r="KE96" s="409"/>
      <c r="KF96" s="409"/>
      <c r="KG96" s="410"/>
      <c r="KH96" s="412">
        <f t="shared" si="36"/>
        <v>93</v>
      </c>
      <c r="KI96" s="413" t="str">
        <f t="shared" ca="1" si="27"/>
        <v/>
      </c>
      <c r="KJ96" s="413" t="str">
        <f t="shared" ca="1" si="37"/>
        <v/>
      </c>
      <c r="KK96" s="414" t="str">
        <f t="shared" ca="1" si="28"/>
        <v/>
      </c>
    </row>
    <row r="97" spans="3:297" ht="24" customHeight="1">
      <c r="C97"/>
      <c r="D97" s="57" t="str">
        <f ca="1">INDIRECT(ADDRESS(ROWS($D$3:D96)+6,D$3,1,1,"3_TIME SUM"))</f>
        <v>Stimulation Services</v>
      </c>
      <c r="E97" s="81" t="str">
        <f ca="1">IF(INDIRECT(ADDRESS(ROWS($E$3:E96)+6,E$3,1,1,"3_TIME SUM"))=0,E96,INDIRECT(ADDRESS(ROWS($E$3:E96)+6,E$3,1,1,"3_TIME SUM")))</f>
        <v>Service Company (NPT)</v>
      </c>
      <c r="F97" s="57" t="str">
        <f t="shared" ca="1" si="24"/>
        <v>Service Company (NPT) : Stimulation Services</v>
      </c>
      <c r="G97" s="58" t="str">
        <f ca="1">VLOOKUP($D97,INDIRECT(ADDRESS(7,5,1,1,"3_TIME SUM")):INDIRECT(ADDRESS(200,7,1,1,"3_TIME SUM")),2,FALSE)</f>
        <v>21q</v>
      </c>
      <c r="H97" s="58" t="str">
        <f ca="1">IF(VLOOKUP($D97,INDIRECT(ADDRESS(7,5,1,1,"3_TIME SUM")):INDIRECT(ADDRESS(200,7,1,1,"3_TIME SUM")),3,FALSE)="","PT",VLOOKUP($D97,INDIRECT(ADDRESS(7,5,1,1,"3_TIME SUM")):INDIRECT(ADDRESS(200,7,1,1,"3_TIME SUM")),3,FALSE))</f>
        <v>NPT</v>
      </c>
      <c r="I97" s="59">
        <f ca="1">IFERROR(IF(AND($D$2="NON PRODUCTIVE TIME",$H97="NPT"),SUMIF(INDIRECT(ADDRESS(8,COLUMN('2_DATA'!$M$9),1,1,"2_DATA")):INDIRECT(ADDRESS(3000,COLUMN('2_DATA'!$M$9),1,1,"2_DATA")),$G97,INDIRECT(ADDRESS(8,COLUMN('2_DATA'!$N$9),1,1,"2_DATA")):INDIRECT(ADDRESS(3000,COLUMN('2_DATA'!$N$9),1,1,"2_DATA"))),IF($D$2="ALL ACTIVITY",SUMIF(INDIRECT(ADDRESS(9,COLUMN('2_DATA'!$M$9),1,1,"2_DATA")):INDIRECT(ADDRESS(3000,COLUMN('2_DATA'!$M$9),1,1,"2_DATA")),$G97,INDIRECT(ADDRESS(9,COLUMN('2_DATA'!$N$9),1,1,"2_DATA")):INDIRECT(ADDRESS(3000,COLUMN('2_DATA'!$N$9),1,1,"2_DATA"))),SUMIF(INDIRECT(ADDRESS(OFFSET($A$3,MATCH($D$2,$A$4:$A$16,0)-1,1,,)+1,COLUMN('2_DATA'!$M$9),1,1,"2_DATA")):INDIRECT(ADDRESS(VLOOKUP($D$2,$A$4:$B$16,2,FALSE)-1,COLUMN('2_DATA'!$M$9),1,1,"2_DATA")),$G97,INDIRECT(ADDRESS(OFFSET($A$3,MATCH($D$2,$A$4:$A$16,0)-1,1,,)+1,COLUMN('2_DATA'!$N$9),1,1,"2_DATA")):INDIRECT(ADDRESS(VLOOKUP($D$2,$A$4:$B$16,2,FALSE)-1,COLUMN('2_DATA'!$N$9),1,1,"2_DATA"))))),0)</f>
        <v>0</v>
      </c>
      <c r="J97" s="58" t="str">
        <f ca="1">IF(I97=0,"",MAX($J$3:J96)+1)</f>
        <v/>
      </c>
      <c r="L97" s="55">
        <f t="shared" ca="1" si="21"/>
        <v>1000</v>
      </c>
      <c r="M97" s="55" t="str">
        <f t="shared" ca="1" si="25"/>
        <v/>
      </c>
      <c r="N97" s="55"/>
      <c r="O97" s="55" t="str">
        <f t="shared" ca="1" si="29"/>
        <v/>
      </c>
      <c r="P97" s="55">
        <f t="shared" ca="1" si="22"/>
        <v>0</v>
      </c>
      <c r="Q97" s="55" t="str">
        <f ca="1">IFERROR(INDEX($O$4:$P$226,MATCH(ROWS($Q$3:Q96),$P$4:$P$226,0),1),"-")</f>
        <v>-</v>
      </c>
      <c r="R97" s="62" t="str">
        <f t="shared" ca="1" si="23"/>
        <v/>
      </c>
      <c r="S97" s="55" t="str">
        <f t="shared" ca="1" si="26"/>
        <v/>
      </c>
      <c r="T97" s="67" t="str">
        <f t="shared" ca="1" si="19"/>
        <v>-</v>
      </c>
      <c r="V97" s="68" t="str">
        <f t="shared" ca="1" si="30"/>
        <v/>
      </c>
      <c r="W97" s="69" t="str">
        <f t="shared" ca="1" si="31"/>
        <v/>
      </c>
      <c r="X97" s="70" t="s">
        <v>84</v>
      </c>
      <c r="Y97" s="68" t="str">
        <f t="shared" ca="1" si="35"/>
        <v/>
      </c>
      <c r="Z97" s="71" t="str">
        <f t="shared" ca="1" si="32"/>
        <v/>
      </c>
      <c r="AA97" s="72" t="str">
        <f t="shared" ca="1" si="33"/>
        <v/>
      </c>
      <c r="AB97" s="305" t="str">
        <f t="shared" ca="1" si="34"/>
        <v/>
      </c>
      <c r="AC97" s="236"/>
      <c r="AD97" s="236"/>
      <c r="AE97" s="236"/>
      <c r="AF97" s="236"/>
      <c r="AG97" s="236"/>
      <c r="AH97" s="236"/>
      <c r="AI97" s="236"/>
      <c r="AJ97" s="236"/>
      <c r="AK97" s="236"/>
      <c r="AL97" s="236"/>
      <c r="AM97" s="236"/>
      <c r="AN97" s="236"/>
      <c r="AO97" s="236"/>
      <c r="AP97" s="236"/>
      <c r="AQ97" s="236"/>
      <c r="AR97" s="236"/>
      <c r="AS97" s="236"/>
      <c r="AT97" s="236"/>
      <c r="AU97" s="236"/>
      <c r="AV97" s="236"/>
      <c r="AW97" s="236"/>
      <c r="AX97" s="236"/>
      <c r="AY97" s="236"/>
      <c r="AZ97" s="236"/>
      <c r="BA97" s="236"/>
      <c r="BB97" s="236"/>
      <c r="BC97" s="236"/>
      <c r="BD97" s="236"/>
      <c r="BE97" s="236"/>
      <c r="BF97" s="236"/>
      <c r="BG97" s="236"/>
      <c r="BH97" s="236"/>
      <c r="BI97" s="236"/>
      <c r="BJ97" s="236"/>
      <c r="BK97" s="236"/>
      <c r="BL97" s="236"/>
      <c r="BM97" s="236"/>
      <c r="BN97" s="236"/>
      <c r="BO97" s="236"/>
      <c r="BP97" s="236"/>
      <c r="BQ97" s="236"/>
      <c r="BR97" s="236"/>
      <c r="BS97" s="236"/>
      <c r="BT97" s="236"/>
      <c r="BU97" s="236"/>
      <c r="BV97" s="236"/>
      <c r="BW97" s="236"/>
      <c r="BX97" s="236"/>
      <c r="BY97" s="236"/>
      <c r="BZ97" s="236"/>
      <c r="CA97" s="236"/>
      <c r="CB97" s="236"/>
      <c r="CC97" s="236"/>
      <c r="CD97" s="236"/>
      <c r="CE97" s="236"/>
      <c r="CF97" s="236"/>
      <c r="CG97" s="236"/>
      <c r="CH97" s="236"/>
      <c r="CI97" s="236"/>
      <c r="CJ97" s="236"/>
      <c r="CK97" s="236"/>
      <c r="CL97" s="236"/>
      <c r="CM97" s="236"/>
      <c r="CN97" s="236"/>
      <c r="CO97" s="236"/>
      <c r="CP97" s="236"/>
      <c r="CQ97" s="236"/>
      <c r="CR97" s="236"/>
      <c r="CS97" s="236"/>
      <c r="CT97" s="236"/>
      <c r="CU97" s="236"/>
      <c r="CV97" s="236"/>
      <c r="CW97" s="236"/>
      <c r="CX97" s="236"/>
      <c r="CY97" s="236"/>
      <c r="CZ97" s="236"/>
      <c r="DA97" s="236"/>
      <c r="DB97" s="236"/>
      <c r="DC97" s="236"/>
      <c r="DD97" s="236"/>
      <c r="DE97" s="236"/>
      <c r="DF97" s="236"/>
      <c r="DG97" s="236"/>
      <c r="DH97" s="236"/>
      <c r="DI97" s="236"/>
      <c r="DJ97" s="236"/>
      <c r="DK97" s="236"/>
      <c r="DL97" s="236"/>
      <c r="DM97" s="236"/>
      <c r="DN97" s="236"/>
      <c r="DO97" s="236"/>
      <c r="DP97" s="236"/>
      <c r="DQ97" s="236"/>
      <c r="DR97" s="236"/>
      <c r="DS97" s="236"/>
      <c r="DT97" s="236"/>
      <c r="DU97" s="236"/>
      <c r="DV97" s="236"/>
      <c r="DW97" s="236"/>
      <c r="DX97" s="236"/>
      <c r="DY97" s="236"/>
      <c r="DZ97" s="236"/>
      <c r="EA97" s="236"/>
      <c r="EB97" s="236"/>
      <c r="EC97" s="236"/>
      <c r="ED97" s="236"/>
      <c r="EE97" s="236"/>
      <c r="EF97" s="236"/>
      <c r="EG97" s="236"/>
      <c r="EH97" s="236"/>
      <c r="EI97" s="236"/>
      <c r="EJ97" s="236"/>
      <c r="EK97" s="236"/>
      <c r="EL97" s="236"/>
      <c r="EM97" s="236"/>
      <c r="EN97" s="236"/>
      <c r="EO97" s="236"/>
      <c r="EP97" s="236"/>
      <c r="EQ97" s="236"/>
      <c r="ER97" s="236"/>
      <c r="ES97" s="236"/>
      <c r="ET97" s="236"/>
      <c r="EU97" s="236"/>
      <c r="EV97" s="236"/>
      <c r="EW97" s="236"/>
      <c r="EX97" s="236"/>
      <c r="EY97" s="236"/>
      <c r="EZ97" s="236"/>
      <c r="FA97" s="236"/>
      <c r="FB97" s="236"/>
      <c r="FC97" s="236"/>
      <c r="FD97" s="236"/>
      <c r="FE97" s="236"/>
      <c r="FF97" s="236"/>
      <c r="FG97" s="236"/>
      <c r="FH97" s="236"/>
      <c r="FI97" s="236"/>
      <c r="FJ97" s="236"/>
      <c r="FK97" s="236"/>
      <c r="FL97" s="236"/>
      <c r="FM97" s="236"/>
      <c r="FN97" s="236"/>
      <c r="FO97" s="236"/>
      <c r="FP97" s="236"/>
      <c r="FQ97" s="236"/>
      <c r="FR97" s="236"/>
      <c r="FS97" s="236"/>
      <c r="FT97" s="236"/>
      <c r="FU97" s="236"/>
      <c r="FV97" s="236"/>
      <c r="FW97" s="236"/>
      <c r="FX97" s="236"/>
      <c r="FY97" s="236"/>
      <c r="FZ97" s="236"/>
      <c r="GA97" s="236"/>
      <c r="GB97" s="236"/>
      <c r="GC97" s="236"/>
      <c r="GD97" s="236"/>
      <c r="GE97" s="236"/>
      <c r="GF97" s="236"/>
      <c r="GG97" s="236"/>
      <c r="GH97" s="236"/>
      <c r="GI97" s="236"/>
      <c r="GJ97" s="236"/>
      <c r="GK97" s="236"/>
      <c r="GL97" s="236"/>
      <c r="GM97" s="236"/>
      <c r="GN97" s="236"/>
      <c r="GO97" s="236"/>
      <c r="GP97" s="236"/>
      <c r="GQ97" s="236"/>
      <c r="GR97" s="236"/>
      <c r="GS97" s="236"/>
      <c r="GT97" s="236"/>
      <c r="GU97" s="236"/>
      <c r="GV97" s="236"/>
      <c r="GW97" s="236"/>
      <c r="GX97" s="236"/>
      <c r="GY97" s="236"/>
      <c r="GZ97" s="236"/>
      <c r="HA97" s="236"/>
      <c r="HB97" s="236"/>
      <c r="HC97" s="236"/>
      <c r="HD97" s="236"/>
      <c r="HE97" s="236"/>
      <c r="HF97" s="236"/>
      <c r="HG97" s="236"/>
      <c r="HH97" s="236"/>
      <c r="HI97" s="236"/>
      <c r="HJ97" s="236"/>
      <c r="HK97" s="236"/>
      <c r="HL97" s="236"/>
      <c r="HM97" s="236"/>
      <c r="HN97" s="236"/>
      <c r="HO97" s="236"/>
      <c r="HP97" s="236"/>
      <c r="HQ97" s="236"/>
      <c r="HR97" s="236"/>
      <c r="HS97" s="236"/>
      <c r="HT97" s="236"/>
      <c r="HU97" s="236"/>
      <c r="HV97" s="236"/>
      <c r="HW97" s="236"/>
      <c r="HX97" s="236"/>
      <c r="HY97" s="236"/>
      <c r="HZ97" s="236"/>
      <c r="IA97" s="236"/>
      <c r="IB97" s="236"/>
      <c r="IC97" s="236"/>
      <c r="ID97" s="236"/>
      <c r="IE97" s="236"/>
      <c r="IF97" s="236"/>
      <c r="IG97" s="236"/>
      <c r="IH97" s="236"/>
      <c r="II97" s="236"/>
      <c r="IJ97" s="236"/>
      <c r="IK97" s="236"/>
      <c r="IL97" s="236"/>
      <c r="IM97" s="236"/>
      <c r="IN97" s="236"/>
      <c r="IO97" s="236"/>
      <c r="IP97" s="236"/>
      <c r="IQ97" s="236"/>
      <c r="IR97" s="236"/>
      <c r="IS97" s="236"/>
      <c r="IT97" s="236"/>
      <c r="IU97" s="236"/>
      <c r="IV97" s="236"/>
      <c r="IW97" s="236"/>
      <c r="IX97" s="236"/>
      <c r="IY97" s="236"/>
      <c r="IZ97" s="236"/>
      <c r="JA97" s="236"/>
      <c r="JB97" s="236"/>
      <c r="JC97" s="236"/>
      <c r="JD97" s="236"/>
      <c r="JE97" s="236"/>
      <c r="JF97" s="236"/>
      <c r="JG97" s="236"/>
      <c r="JH97" s="236"/>
      <c r="JI97" s="236"/>
      <c r="JJ97" s="236"/>
      <c r="JK97" s="236"/>
      <c r="JL97" s="236"/>
      <c r="JM97" s="236"/>
      <c r="JN97" s="236"/>
      <c r="JO97" s="236"/>
      <c r="JP97" s="236"/>
      <c r="JQ97" s="236"/>
      <c r="JR97" s="236"/>
      <c r="JS97" s="236"/>
      <c r="JT97" s="236"/>
      <c r="JU97" s="236"/>
      <c r="JV97" s="236"/>
      <c r="JW97" s="236"/>
      <c r="JX97" s="409"/>
      <c r="JY97" s="409"/>
      <c r="JZ97" s="409"/>
      <c r="KA97" s="409"/>
      <c r="KB97" s="409"/>
      <c r="KC97" s="409"/>
      <c r="KD97" s="409"/>
      <c r="KE97" s="409"/>
      <c r="KF97" s="409"/>
      <c r="KG97" s="410"/>
      <c r="KH97" s="412">
        <f t="shared" si="36"/>
        <v>94</v>
      </c>
      <c r="KI97" s="413" t="str">
        <f t="shared" ca="1" si="27"/>
        <v/>
      </c>
      <c r="KJ97" s="413" t="str">
        <f t="shared" ca="1" si="37"/>
        <v/>
      </c>
      <c r="KK97" s="414" t="str">
        <f t="shared" ca="1" si="28"/>
        <v/>
      </c>
    </row>
    <row r="98" spans="3:297" ht="24" customHeight="1">
      <c r="C98"/>
      <c r="D98" s="57" t="str">
        <f ca="1">INDIRECT(ADDRESS(ROWS($D$3:D97)+6,D$3,1,1,"3_TIME SUM"))</f>
        <v>Marine Support Services</v>
      </c>
      <c r="E98" s="81" t="str">
        <f ca="1">IF(INDIRECT(ADDRESS(ROWS($E$3:E97)+6,E$3,1,1,"3_TIME SUM"))=0,E97,INDIRECT(ADDRESS(ROWS($E$3:E97)+6,E$3,1,1,"3_TIME SUM")))</f>
        <v>Service Company (NPT)</v>
      </c>
      <c r="F98" s="57" t="str">
        <f t="shared" ca="1" si="24"/>
        <v>Service Company (NPT) : Marine Support Services</v>
      </c>
      <c r="G98" s="58" t="str">
        <f ca="1">VLOOKUP($D98,INDIRECT(ADDRESS(7,5,1,1,"3_TIME SUM")):INDIRECT(ADDRESS(200,7,1,1,"3_TIME SUM")),2,FALSE)</f>
        <v>21r</v>
      </c>
      <c r="H98" s="58" t="str">
        <f ca="1">IF(VLOOKUP($D98,INDIRECT(ADDRESS(7,5,1,1,"3_TIME SUM")):INDIRECT(ADDRESS(200,7,1,1,"3_TIME SUM")),3,FALSE)="","PT",VLOOKUP($D98,INDIRECT(ADDRESS(7,5,1,1,"3_TIME SUM")):INDIRECT(ADDRESS(200,7,1,1,"3_TIME SUM")),3,FALSE))</f>
        <v>NPT</v>
      </c>
      <c r="I98" s="59">
        <f ca="1">IFERROR(IF(AND($D$2="NON PRODUCTIVE TIME",$H98="NPT"),SUMIF(INDIRECT(ADDRESS(8,COLUMN('2_DATA'!$M$9),1,1,"2_DATA")):INDIRECT(ADDRESS(3000,COLUMN('2_DATA'!$M$9),1,1,"2_DATA")),$G98,INDIRECT(ADDRESS(8,COLUMN('2_DATA'!$N$9),1,1,"2_DATA")):INDIRECT(ADDRESS(3000,COLUMN('2_DATA'!$N$9),1,1,"2_DATA"))),IF($D$2="ALL ACTIVITY",SUMIF(INDIRECT(ADDRESS(9,COLUMN('2_DATA'!$M$9),1,1,"2_DATA")):INDIRECT(ADDRESS(3000,COLUMN('2_DATA'!$M$9),1,1,"2_DATA")),$G98,INDIRECT(ADDRESS(9,COLUMN('2_DATA'!$N$9),1,1,"2_DATA")):INDIRECT(ADDRESS(3000,COLUMN('2_DATA'!$N$9),1,1,"2_DATA"))),SUMIF(INDIRECT(ADDRESS(OFFSET($A$3,MATCH($D$2,$A$4:$A$16,0)-1,1,,)+1,COLUMN('2_DATA'!$M$9),1,1,"2_DATA")):INDIRECT(ADDRESS(VLOOKUP($D$2,$A$4:$B$16,2,FALSE)-1,COLUMN('2_DATA'!$M$9),1,1,"2_DATA")),$G98,INDIRECT(ADDRESS(OFFSET($A$3,MATCH($D$2,$A$4:$A$16,0)-1,1,,)+1,COLUMN('2_DATA'!$N$9),1,1,"2_DATA")):INDIRECT(ADDRESS(VLOOKUP($D$2,$A$4:$B$16,2,FALSE)-1,COLUMN('2_DATA'!$N$9),1,1,"2_DATA"))))),0)</f>
        <v>0</v>
      </c>
      <c r="J98" s="58" t="str">
        <f ca="1">IF(I98=0,"",MAX($J$3:J97)+1)</f>
        <v/>
      </c>
      <c r="L98" s="55">
        <f t="shared" ca="1" si="21"/>
        <v>1000</v>
      </c>
      <c r="M98" s="55" t="str">
        <f t="shared" ca="1" si="25"/>
        <v/>
      </c>
      <c r="N98" s="55"/>
      <c r="O98" s="55" t="str">
        <f t="shared" ca="1" si="29"/>
        <v/>
      </c>
      <c r="P98" s="55">
        <f t="shared" ca="1" si="22"/>
        <v>0</v>
      </c>
      <c r="Q98" s="55" t="str">
        <f ca="1">IFERROR(INDEX($O$4:$P$226,MATCH(ROWS($Q$3:Q97),$P$4:$P$226,0),1),"-")</f>
        <v>-</v>
      </c>
      <c r="R98" s="62" t="str">
        <f t="shared" ca="1" si="23"/>
        <v/>
      </c>
      <c r="S98" s="55" t="str">
        <f t="shared" ca="1" si="26"/>
        <v/>
      </c>
      <c r="T98" s="67" t="str">
        <f t="shared" ca="1" si="19"/>
        <v>-</v>
      </c>
      <c r="V98" s="68" t="str">
        <f t="shared" ca="1" si="30"/>
        <v/>
      </c>
      <c r="W98" s="69" t="str">
        <f t="shared" ca="1" si="31"/>
        <v/>
      </c>
      <c r="X98" s="70" t="s">
        <v>84</v>
      </c>
      <c r="Y98" s="68" t="str">
        <f t="shared" ca="1" si="35"/>
        <v/>
      </c>
      <c r="Z98" s="71" t="str">
        <f t="shared" ca="1" si="32"/>
        <v/>
      </c>
      <c r="AA98" s="72" t="str">
        <f t="shared" ca="1" si="33"/>
        <v/>
      </c>
      <c r="AB98" s="305" t="str">
        <f t="shared" ca="1" si="34"/>
        <v/>
      </c>
      <c r="AC98" s="236"/>
      <c r="AD98" s="236"/>
      <c r="AE98" s="236"/>
      <c r="AF98" s="236"/>
      <c r="AG98" s="236"/>
      <c r="AH98" s="236"/>
      <c r="AI98" s="236"/>
      <c r="AJ98" s="236"/>
      <c r="AK98" s="236"/>
      <c r="AL98" s="236"/>
      <c r="AM98" s="236"/>
      <c r="AN98" s="236"/>
      <c r="AO98" s="236"/>
      <c r="AP98" s="236"/>
      <c r="AQ98" s="236"/>
      <c r="AR98" s="236"/>
      <c r="AS98" s="236"/>
      <c r="AT98" s="236"/>
      <c r="AU98" s="236"/>
      <c r="AV98" s="236"/>
      <c r="AW98" s="236"/>
      <c r="AX98" s="236"/>
      <c r="AY98" s="236"/>
      <c r="AZ98" s="236"/>
      <c r="BA98" s="236"/>
      <c r="BB98" s="236"/>
      <c r="BC98" s="236"/>
      <c r="BD98" s="236"/>
      <c r="BE98" s="236"/>
      <c r="BF98" s="236"/>
      <c r="BG98" s="236"/>
      <c r="BH98" s="236"/>
      <c r="BI98" s="236"/>
      <c r="BJ98" s="236"/>
      <c r="BK98" s="236"/>
      <c r="BL98" s="236"/>
      <c r="BM98" s="236"/>
      <c r="BN98" s="236"/>
      <c r="BO98" s="236"/>
      <c r="BP98" s="236"/>
      <c r="BQ98" s="236"/>
      <c r="BR98" s="236"/>
      <c r="BS98" s="236"/>
      <c r="BT98" s="236"/>
      <c r="BU98" s="236"/>
      <c r="BV98" s="236"/>
      <c r="BW98" s="236"/>
      <c r="BX98" s="236"/>
      <c r="BY98" s="236"/>
      <c r="BZ98" s="236"/>
      <c r="CA98" s="236"/>
      <c r="CB98" s="236"/>
      <c r="CC98" s="236"/>
      <c r="CD98" s="236"/>
      <c r="CE98" s="236"/>
      <c r="CF98" s="236"/>
      <c r="CG98" s="236"/>
      <c r="CH98" s="236"/>
      <c r="CI98" s="236"/>
      <c r="CJ98" s="236"/>
      <c r="CK98" s="236"/>
      <c r="CL98" s="236"/>
      <c r="CM98" s="236"/>
      <c r="CN98" s="236"/>
      <c r="CO98" s="236"/>
      <c r="CP98" s="236"/>
      <c r="CQ98" s="236"/>
      <c r="CR98" s="236"/>
      <c r="CS98" s="236"/>
      <c r="CT98" s="236"/>
      <c r="CU98" s="236"/>
      <c r="CV98" s="236"/>
      <c r="CW98" s="236"/>
      <c r="CX98" s="236"/>
      <c r="CY98" s="236"/>
      <c r="CZ98" s="236"/>
      <c r="DA98" s="236"/>
      <c r="DB98" s="236"/>
      <c r="DC98" s="236"/>
      <c r="DD98" s="236"/>
      <c r="DE98" s="236"/>
      <c r="DF98" s="236"/>
      <c r="DG98" s="236"/>
      <c r="DH98" s="236"/>
      <c r="DI98" s="236"/>
      <c r="DJ98" s="236"/>
      <c r="DK98" s="236"/>
      <c r="DL98" s="236"/>
      <c r="DM98" s="236"/>
      <c r="DN98" s="236"/>
      <c r="DO98" s="236"/>
      <c r="DP98" s="236"/>
      <c r="DQ98" s="236"/>
      <c r="DR98" s="236"/>
      <c r="DS98" s="236"/>
      <c r="DT98" s="236"/>
      <c r="DU98" s="236"/>
      <c r="DV98" s="236"/>
      <c r="DW98" s="236"/>
      <c r="DX98" s="236"/>
      <c r="DY98" s="236"/>
      <c r="DZ98" s="236"/>
      <c r="EA98" s="236"/>
      <c r="EB98" s="236"/>
      <c r="EC98" s="236"/>
      <c r="ED98" s="236"/>
      <c r="EE98" s="236"/>
      <c r="EF98" s="236"/>
      <c r="EG98" s="236"/>
      <c r="EH98" s="236"/>
      <c r="EI98" s="236"/>
      <c r="EJ98" s="236"/>
      <c r="EK98" s="236"/>
      <c r="EL98" s="236"/>
      <c r="EM98" s="236"/>
      <c r="EN98" s="236"/>
      <c r="EO98" s="236"/>
      <c r="EP98" s="236"/>
      <c r="EQ98" s="236"/>
      <c r="ER98" s="236"/>
      <c r="ES98" s="236"/>
      <c r="ET98" s="236"/>
      <c r="EU98" s="236"/>
      <c r="EV98" s="236"/>
      <c r="EW98" s="236"/>
      <c r="EX98" s="236"/>
      <c r="EY98" s="236"/>
      <c r="EZ98" s="236"/>
      <c r="FA98" s="236"/>
      <c r="FB98" s="236"/>
      <c r="FC98" s="236"/>
      <c r="FD98" s="236"/>
      <c r="FE98" s="236"/>
      <c r="FF98" s="236"/>
      <c r="FG98" s="236"/>
      <c r="FH98" s="236"/>
      <c r="FI98" s="236"/>
      <c r="FJ98" s="236"/>
      <c r="FK98" s="236"/>
      <c r="FL98" s="236"/>
      <c r="FM98" s="236"/>
      <c r="FN98" s="236"/>
      <c r="FO98" s="236"/>
      <c r="FP98" s="236"/>
      <c r="FQ98" s="236"/>
      <c r="FR98" s="236"/>
      <c r="FS98" s="236"/>
      <c r="FT98" s="236"/>
      <c r="FU98" s="236"/>
      <c r="FV98" s="236"/>
      <c r="FW98" s="236"/>
      <c r="FX98" s="236"/>
      <c r="FY98" s="236"/>
      <c r="FZ98" s="236"/>
      <c r="GA98" s="236"/>
      <c r="GB98" s="236"/>
      <c r="GC98" s="236"/>
      <c r="GD98" s="236"/>
      <c r="GE98" s="236"/>
      <c r="GF98" s="236"/>
      <c r="GG98" s="236"/>
      <c r="GH98" s="236"/>
      <c r="GI98" s="236"/>
      <c r="GJ98" s="236"/>
      <c r="GK98" s="236"/>
      <c r="GL98" s="236"/>
      <c r="GM98" s="236"/>
      <c r="GN98" s="236"/>
      <c r="GO98" s="236"/>
      <c r="GP98" s="236"/>
      <c r="GQ98" s="236"/>
      <c r="GR98" s="236"/>
      <c r="GS98" s="236"/>
      <c r="GT98" s="236"/>
      <c r="GU98" s="236"/>
      <c r="GV98" s="236"/>
      <c r="GW98" s="236"/>
      <c r="GX98" s="236"/>
      <c r="GY98" s="236"/>
      <c r="GZ98" s="236"/>
      <c r="HA98" s="236"/>
      <c r="HB98" s="236"/>
      <c r="HC98" s="236"/>
      <c r="HD98" s="236"/>
      <c r="HE98" s="236"/>
      <c r="HF98" s="236"/>
      <c r="HG98" s="236"/>
      <c r="HH98" s="236"/>
      <c r="HI98" s="236"/>
      <c r="HJ98" s="236"/>
      <c r="HK98" s="236"/>
      <c r="HL98" s="236"/>
      <c r="HM98" s="236"/>
      <c r="HN98" s="236"/>
      <c r="HO98" s="236"/>
      <c r="HP98" s="236"/>
      <c r="HQ98" s="236"/>
      <c r="HR98" s="236"/>
      <c r="HS98" s="236"/>
      <c r="HT98" s="236"/>
      <c r="HU98" s="236"/>
      <c r="HV98" s="236"/>
      <c r="HW98" s="236"/>
      <c r="HX98" s="236"/>
      <c r="HY98" s="236"/>
      <c r="HZ98" s="236"/>
      <c r="IA98" s="236"/>
      <c r="IB98" s="236"/>
      <c r="IC98" s="236"/>
      <c r="ID98" s="236"/>
      <c r="IE98" s="236"/>
      <c r="IF98" s="236"/>
      <c r="IG98" s="236"/>
      <c r="IH98" s="236"/>
      <c r="II98" s="236"/>
      <c r="IJ98" s="236"/>
      <c r="IK98" s="236"/>
      <c r="IL98" s="236"/>
      <c r="IM98" s="236"/>
      <c r="IN98" s="236"/>
      <c r="IO98" s="236"/>
      <c r="IP98" s="236"/>
      <c r="IQ98" s="236"/>
      <c r="IR98" s="236"/>
      <c r="IS98" s="236"/>
      <c r="IT98" s="236"/>
      <c r="IU98" s="236"/>
      <c r="IV98" s="236"/>
      <c r="IW98" s="236"/>
      <c r="IX98" s="236"/>
      <c r="IY98" s="236"/>
      <c r="IZ98" s="236"/>
      <c r="JA98" s="236"/>
      <c r="JB98" s="236"/>
      <c r="JC98" s="236"/>
      <c r="JD98" s="236"/>
      <c r="JE98" s="236"/>
      <c r="JF98" s="236"/>
      <c r="JG98" s="236"/>
      <c r="JH98" s="236"/>
      <c r="JI98" s="236"/>
      <c r="JJ98" s="236"/>
      <c r="JK98" s="236"/>
      <c r="JL98" s="236"/>
      <c r="JM98" s="236"/>
      <c r="JN98" s="236"/>
      <c r="JO98" s="236"/>
      <c r="JP98" s="236"/>
      <c r="JQ98" s="236"/>
      <c r="JR98" s="236"/>
      <c r="JS98" s="236"/>
      <c r="JT98" s="236"/>
      <c r="JU98" s="236"/>
      <c r="JV98" s="236"/>
      <c r="JW98" s="236"/>
      <c r="JX98" s="409"/>
      <c r="JY98" s="409"/>
      <c r="JZ98" s="409"/>
      <c r="KA98" s="409"/>
      <c r="KB98" s="409"/>
      <c r="KC98" s="409"/>
      <c r="KD98" s="409"/>
      <c r="KE98" s="409"/>
      <c r="KF98" s="409"/>
      <c r="KG98" s="410"/>
      <c r="KH98" s="412">
        <f t="shared" si="36"/>
        <v>95</v>
      </c>
      <c r="KI98" s="413" t="str">
        <f t="shared" ca="1" si="27"/>
        <v/>
      </c>
      <c r="KJ98" s="413" t="str">
        <f t="shared" ca="1" si="37"/>
        <v/>
      </c>
      <c r="KK98" s="414" t="str">
        <f t="shared" ca="1" si="28"/>
        <v/>
      </c>
    </row>
    <row r="99" spans="3:297" ht="24" customHeight="1">
      <c r="C99"/>
      <c r="D99" s="57" t="str">
        <f ca="1">INDIRECT(ADDRESS(ROWS($D$3:D98)+6,D$3,1,1,"3_TIME SUM"))</f>
        <v>Transportation Services</v>
      </c>
      <c r="E99" s="81" t="str">
        <f ca="1">IF(INDIRECT(ADDRESS(ROWS($E$3:E98)+6,E$3,1,1,"3_TIME SUM"))=0,E98,INDIRECT(ADDRESS(ROWS($E$3:E98)+6,E$3,1,1,"3_TIME SUM")))</f>
        <v>Service Company (NPT)</v>
      </c>
      <c r="F99" s="57" t="str">
        <f t="shared" ca="1" si="24"/>
        <v>Service Company (NPT) : Transportation Services</v>
      </c>
      <c r="G99" s="58" t="str">
        <f ca="1">VLOOKUP($D99,INDIRECT(ADDRESS(7,5,1,1,"3_TIME SUM")):INDIRECT(ADDRESS(200,7,1,1,"3_TIME SUM")),2,FALSE)</f>
        <v>21s</v>
      </c>
      <c r="H99" s="58" t="str">
        <f ca="1">IF(VLOOKUP($D99,INDIRECT(ADDRESS(7,5,1,1,"3_TIME SUM")):INDIRECT(ADDRESS(200,7,1,1,"3_TIME SUM")),3,FALSE)="","PT",VLOOKUP($D99,INDIRECT(ADDRESS(7,5,1,1,"3_TIME SUM")):INDIRECT(ADDRESS(200,7,1,1,"3_TIME SUM")),3,FALSE))</f>
        <v>NPT</v>
      </c>
      <c r="I99" s="59">
        <f ca="1">IFERROR(IF(AND($D$2="NON PRODUCTIVE TIME",$H99="NPT"),SUMIF(INDIRECT(ADDRESS(8,COLUMN('2_DATA'!$M$9),1,1,"2_DATA")):INDIRECT(ADDRESS(3000,COLUMN('2_DATA'!$M$9),1,1,"2_DATA")),$G99,INDIRECT(ADDRESS(8,COLUMN('2_DATA'!$N$9),1,1,"2_DATA")):INDIRECT(ADDRESS(3000,COLUMN('2_DATA'!$N$9),1,1,"2_DATA"))),IF($D$2="ALL ACTIVITY",SUMIF(INDIRECT(ADDRESS(9,COLUMN('2_DATA'!$M$9),1,1,"2_DATA")):INDIRECT(ADDRESS(3000,COLUMN('2_DATA'!$M$9),1,1,"2_DATA")),$G99,INDIRECT(ADDRESS(9,COLUMN('2_DATA'!$N$9),1,1,"2_DATA")):INDIRECT(ADDRESS(3000,COLUMN('2_DATA'!$N$9),1,1,"2_DATA"))),SUMIF(INDIRECT(ADDRESS(OFFSET($A$3,MATCH($D$2,$A$4:$A$16,0)-1,1,,)+1,COLUMN('2_DATA'!$M$9),1,1,"2_DATA")):INDIRECT(ADDRESS(VLOOKUP($D$2,$A$4:$B$16,2,FALSE)-1,COLUMN('2_DATA'!$M$9),1,1,"2_DATA")),$G99,INDIRECT(ADDRESS(OFFSET($A$3,MATCH($D$2,$A$4:$A$16,0)-1,1,,)+1,COLUMN('2_DATA'!$N$9),1,1,"2_DATA")):INDIRECT(ADDRESS(VLOOKUP($D$2,$A$4:$B$16,2,FALSE)-1,COLUMN('2_DATA'!$N$9),1,1,"2_DATA"))))),0)</f>
        <v>0</v>
      </c>
      <c r="J99" s="58" t="str">
        <f ca="1">IF(I99=0,"",MAX($J$3:J98)+1)</f>
        <v/>
      </c>
      <c r="L99" s="55">
        <f t="shared" ca="1" si="21"/>
        <v>1000</v>
      </c>
      <c r="M99" s="55" t="str">
        <f t="shared" ca="1" si="25"/>
        <v/>
      </c>
      <c r="N99" s="55"/>
      <c r="O99" s="55" t="str">
        <f t="shared" ca="1" si="29"/>
        <v/>
      </c>
      <c r="P99" s="55">
        <f t="shared" ca="1" si="22"/>
        <v>0</v>
      </c>
      <c r="Q99" s="55" t="str">
        <f ca="1">IFERROR(INDEX($O$4:$P$226,MATCH(ROWS($Q$3:Q98),$P$4:$P$226,0),1),"-")</f>
        <v>-</v>
      </c>
      <c r="R99" s="62" t="str">
        <f t="shared" ca="1" si="23"/>
        <v/>
      </c>
      <c r="S99" s="55" t="str">
        <f t="shared" ca="1" si="26"/>
        <v/>
      </c>
      <c r="T99" s="67" t="str">
        <f t="shared" ca="1" si="19"/>
        <v>-</v>
      </c>
      <c r="V99" s="68" t="str">
        <f t="shared" ca="1" si="30"/>
        <v/>
      </c>
      <c r="W99" s="69" t="str">
        <f t="shared" ca="1" si="31"/>
        <v/>
      </c>
      <c r="X99" s="70" t="s">
        <v>84</v>
      </c>
      <c r="Y99" s="68" t="str">
        <f t="shared" ca="1" si="35"/>
        <v/>
      </c>
      <c r="Z99" s="71" t="str">
        <f t="shared" ca="1" si="32"/>
        <v/>
      </c>
      <c r="AA99" s="72" t="str">
        <f t="shared" ca="1" si="33"/>
        <v/>
      </c>
      <c r="AB99" s="305" t="str">
        <f t="shared" ca="1" si="34"/>
        <v/>
      </c>
      <c r="AC99" s="236"/>
      <c r="AD99" s="236"/>
      <c r="AE99" s="236"/>
      <c r="AF99" s="236"/>
      <c r="AG99" s="236"/>
      <c r="AH99" s="236"/>
      <c r="AI99" s="236"/>
      <c r="AJ99" s="236"/>
      <c r="AK99" s="236"/>
      <c r="AL99" s="236"/>
      <c r="AM99" s="236"/>
      <c r="AN99" s="236"/>
      <c r="AO99" s="236"/>
      <c r="AP99" s="236"/>
      <c r="AQ99" s="236"/>
      <c r="AR99" s="236"/>
      <c r="AS99" s="236"/>
      <c r="AT99" s="236"/>
      <c r="AU99" s="236"/>
      <c r="AV99" s="236"/>
      <c r="AW99" s="236"/>
      <c r="AX99" s="236"/>
      <c r="AY99" s="236"/>
      <c r="AZ99" s="236"/>
      <c r="BA99" s="236"/>
      <c r="BB99" s="236"/>
      <c r="BC99" s="236"/>
      <c r="BD99" s="236"/>
      <c r="BE99" s="236"/>
      <c r="BF99" s="236"/>
      <c r="BG99" s="236"/>
      <c r="BH99" s="236"/>
      <c r="BI99" s="236"/>
      <c r="BJ99" s="236"/>
      <c r="BK99" s="236"/>
      <c r="BL99" s="236"/>
      <c r="BM99" s="236"/>
      <c r="BN99" s="236"/>
      <c r="BO99" s="236"/>
      <c r="BP99" s="236"/>
      <c r="BQ99" s="236"/>
      <c r="BR99" s="236"/>
      <c r="BS99" s="236"/>
      <c r="BT99" s="236"/>
      <c r="BU99" s="236"/>
      <c r="BV99" s="236"/>
      <c r="BW99" s="236"/>
      <c r="BX99" s="236"/>
      <c r="BY99" s="236"/>
      <c r="BZ99" s="236"/>
      <c r="CA99" s="236"/>
      <c r="CB99" s="236"/>
      <c r="CC99" s="236"/>
      <c r="CD99" s="236"/>
      <c r="CE99" s="236"/>
      <c r="CF99" s="236"/>
      <c r="CG99" s="236"/>
      <c r="CH99" s="236"/>
      <c r="CI99" s="236"/>
      <c r="CJ99" s="236"/>
      <c r="CK99" s="236"/>
      <c r="CL99" s="236"/>
      <c r="CM99" s="236"/>
      <c r="CN99" s="236"/>
      <c r="CO99" s="236"/>
      <c r="CP99" s="236"/>
      <c r="CQ99" s="236"/>
      <c r="CR99" s="236"/>
      <c r="CS99" s="236"/>
      <c r="CT99" s="236"/>
      <c r="CU99" s="236"/>
      <c r="CV99" s="236"/>
      <c r="CW99" s="236"/>
      <c r="CX99" s="236"/>
      <c r="CY99" s="236"/>
      <c r="CZ99" s="236"/>
      <c r="DA99" s="236"/>
      <c r="DB99" s="236"/>
      <c r="DC99" s="236"/>
      <c r="DD99" s="236"/>
      <c r="DE99" s="236"/>
      <c r="DF99" s="236"/>
      <c r="DG99" s="236"/>
      <c r="DH99" s="236"/>
      <c r="DI99" s="236"/>
      <c r="DJ99" s="236"/>
      <c r="DK99" s="236"/>
      <c r="DL99" s="236"/>
      <c r="DM99" s="236"/>
      <c r="DN99" s="236"/>
      <c r="DO99" s="236"/>
      <c r="DP99" s="236"/>
      <c r="DQ99" s="236"/>
      <c r="DR99" s="236"/>
      <c r="DS99" s="236"/>
      <c r="DT99" s="236"/>
      <c r="DU99" s="236"/>
      <c r="DV99" s="236"/>
      <c r="DW99" s="236"/>
      <c r="DX99" s="236"/>
      <c r="DY99" s="236"/>
      <c r="DZ99" s="236"/>
      <c r="EA99" s="236"/>
      <c r="EB99" s="236"/>
      <c r="EC99" s="236"/>
      <c r="ED99" s="236"/>
      <c r="EE99" s="236"/>
      <c r="EF99" s="236"/>
      <c r="EG99" s="236"/>
      <c r="EH99" s="236"/>
      <c r="EI99" s="236"/>
      <c r="EJ99" s="236"/>
      <c r="EK99" s="236"/>
      <c r="EL99" s="236"/>
      <c r="EM99" s="236"/>
      <c r="EN99" s="236"/>
      <c r="EO99" s="236"/>
      <c r="EP99" s="236"/>
      <c r="EQ99" s="236"/>
      <c r="ER99" s="236"/>
      <c r="ES99" s="236"/>
      <c r="ET99" s="236"/>
      <c r="EU99" s="236"/>
      <c r="EV99" s="236"/>
      <c r="EW99" s="236"/>
      <c r="EX99" s="236"/>
      <c r="EY99" s="236"/>
      <c r="EZ99" s="236"/>
      <c r="FA99" s="236"/>
      <c r="FB99" s="236"/>
      <c r="FC99" s="236"/>
      <c r="FD99" s="236"/>
      <c r="FE99" s="236"/>
      <c r="FF99" s="236"/>
      <c r="FG99" s="236"/>
      <c r="FH99" s="236"/>
      <c r="FI99" s="236"/>
      <c r="FJ99" s="236"/>
      <c r="FK99" s="236"/>
      <c r="FL99" s="236"/>
      <c r="FM99" s="236"/>
      <c r="FN99" s="236"/>
      <c r="FO99" s="236"/>
      <c r="FP99" s="236"/>
      <c r="FQ99" s="236"/>
      <c r="FR99" s="236"/>
      <c r="FS99" s="236"/>
      <c r="FT99" s="236"/>
      <c r="FU99" s="236"/>
      <c r="FV99" s="236"/>
      <c r="FW99" s="236"/>
      <c r="FX99" s="236"/>
      <c r="FY99" s="236"/>
      <c r="FZ99" s="236"/>
      <c r="GA99" s="236"/>
      <c r="GB99" s="236"/>
      <c r="GC99" s="236"/>
      <c r="GD99" s="236"/>
      <c r="GE99" s="236"/>
      <c r="GF99" s="236"/>
      <c r="GG99" s="236"/>
      <c r="GH99" s="236"/>
      <c r="GI99" s="236"/>
      <c r="GJ99" s="236"/>
      <c r="GK99" s="236"/>
      <c r="GL99" s="236"/>
      <c r="GM99" s="236"/>
      <c r="GN99" s="236"/>
      <c r="GO99" s="236"/>
      <c r="GP99" s="236"/>
      <c r="GQ99" s="236"/>
      <c r="GR99" s="236"/>
      <c r="GS99" s="236"/>
      <c r="GT99" s="236"/>
      <c r="GU99" s="236"/>
      <c r="GV99" s="236"/>
      <c r="GW99" s="236"/>
      <c r="GX99" s="236"/>
      <c r="GY99" s="236"/>
      <c r="GZ99" s="236"/>
      <c r="HA99" s="236"/>
      <c r="HB99" s="236"/>
      <c r="HC99" s="236"/>
      <c r="HD99" s="236"/>
      <c r="HE99" s="236"/>
      <c r="HF99" s="236"/>
      <c r="HG99" s="236"/>
      <c r="HH99" s="236"/>
      <c r="HI99" s="236"/>
      <c r="HJ99" s="236"/>
      <c r="HK99" s="236"/>
      <c r="HL99" s="236"/>
      <c r="HM99" s="236"/>
      <c r="HN99" s="236"/>
      <c r="HO99" s="236"/>
      <c r="HP99" s="236"/>
      <c r="HQ99" s="236"/>
      <c r="HR99" s="236"/>
      <c r="HS99" s="236"/>
      <c r="HT99" s="236"/>
      <c r="HU99" s="236"/>
      <c r="HV99" s="236"/>
      <c r="HW99" s="236"/>
      <c r="HX99" s="236"/>
      <c r="HY99" s="236"/>
      <c r="HZ99" s="236"/>
      <c r="IA99" s="236"/>
      <c r="IB99" s="236"/>
      <c r="IC99" s="236"/>
      <c r="ID99" s="236"/>
      <c r="IE99" s="236"/>
      <c r="IF99" s="236"/>
      <c r="IG99" s="236"/>
      <c r="IH99" s="236"/>
      <c r="II99" s="236"/>
      <c r="IJ99" s="236"/>
      <c r="IK99" s="236"/>
      <c r="IL99" s="236"/>
      <c r="IM99" s="236"/>
      <c r="IN99" s="236"/>
      <c r="IO99" s="236"/>
      <c r="IP99" s="236"/>
      <c r="IQ99" s="236"/>
      <c r="IR99" s="236"/>
      <c r="IS99" s="236"/>
      <c r="IT99" s="236"/>
      <c r="IU99" s="236"/>
      <c r="IV99" s="236"/>
      <c r="IW99" s="236"/>
      <c r="IX99" s="236"/>
      <c r="IY99" s="236"/>
      <c r="IZ99" s="236"/>
      <c r="JA99" s="236"/>
      <c r="JB99" s="236"/>
      <c r="JC99" s="236"/>
      <c r="JD99" s="236"/>
      <c r="JE99" s="236"/>
      <c r="JF99" s="236"/>
      <c r="JG99" s="236"/>
      <c r="JH99" s="236"/>
      <c r="JI99" s="236"/>
      <c r="JJ99" s="236"/>
      <c r="JK99" s="236"/>
      <c r="JL99" s="236"/>
      <c r="JM99" s="236"/>
      <c r="JN99" s="236"/>
      <c r="JO99" s="236"/>
      <c r="JP99" s="236"/>
      <c r="JQ99" s="236"/>
      <c r="JR99" s="236"/>
      <c r="JS99" s="236"/>
      <c r="JT99" s="236"/>
      <c r="JU99" s="236"/>
      <c r="JV99" s="236"/>
      <c r="JW99" s="236"/>
      <c r="JX99" s="409"/>
      <c r="JY99" s="409"/>
      <c r="JZ99" s="409"/>
      <c r="KA99" s="409"/>
      <c r="KB99" s="409"/>
      <c r="KC99" s="409"/>
      <c r="KD99" s="409"/>
      <c r="KE99" s="409"/>
      <c r="KF99" s="409"/>
      <c r="KG99" s="410"/>
      <c r="KH99" s="412">
        <f t="shared" si="36"/>
        <v>96</v>
      </c>
      <c r="KI99" s="413" t="str">
        <f t="shared" ca="1" si="27"/>
        <v/>
      </c>
      <c r="KJ99" s="413" t="str">
        <f t="shared" ca="1" si="37"/>
        <v/>
      </c>
      <c r="KK99" s="414" t="str">
        <f t="shared" ca="1" si="28"/>
        <v/>
      </c>
    </row>
    <row r="100" spans="3:297" ht="24" customHeight="1">
      <c r="C100"/>
      <c r="D100" s="57" t="str">
        <f ca="1">INDIRECT(ADDRESS(ROWS($D$3:D99)+6,D$3,1,1,"3_TIME SUM"))</f>
        <v>Others Services</v>
      </c>
      <c r="E100" s="81" t="str">
        <f ca="1">IF(INDIRECT(ADDRESS(ROWS($E$3:E99)+6,E$3,1,1,"3_TIME SUM"))=0,E99,INDIRECT(ADDRESS(ROWS($E$3:E99)+6,E$3,1,1,"3_TIME SUM")))</f>
        <v>Service Company (NPT)</v>
      </c>
      <c r="F100" s="57" t="str">
        <f t="shared" ca="1" si="24"/>
        <v>Service Company (NPT) : Others Services</v>
      </c>
      <c r="G100" s="58" t="str">
        <f ca="1">VLOOKUP($D100,INDIRECT(ADDRESS(7,5,1,1,"3_TIME SUM")):INDIRECT(ADDRESS(200,7,1,1,"3_TIME SUM")),2,FALSE)</f>
        <v>21t</v>
      </c>
      <c r="H100" s="58" t="str">
        <f ca="1">IF(VLOOKUP($D100,INDIRECT(ADDRESS(7,5,1,1,"3_TIME SUM")):INDIRECT(ADDRESS(200,7,1,1,"3_TIME SUM")),3,FALSE)="","PT",VLOOKUP($D100,INDIRECT(ADDRESS(7,5,1,1,"3_TIME SUM")):INDIRECT(ADDRESS(200,7,1,1,"3_TIME SUM")),3,FALSE))</f>
        <v>NPT</v>
      </c>
      <c r="I100" s="59">
        <f ca="1">IFERROR(IF(AND($D$2="NON PRODUCTIVE TIME",$H100="NPT"),SUMIF(INDIRECT(ADDRESS(8,COLUMN('2_DATA'!$M$9),1,1,"2_DATA")):INDIRECT(ADDRESS(3000,COLUMN('2_DATA'!$M$9),1,1,"2_DATA")),$G100,INDIRECT(ADDRESS(8,COLUMN('2_DATA'!$N$9),1,1,"2_DATA")):INDIRECT(ADDRESS(3000,COLUMN('2_DATA'!$N$9),1,1,"2_DATA"))),IF($D$2="ALL ACTIVITY",SUMIF(INDIRECT(ADDRESS(9,COLUMN('2_DATA'!$M$9),1,1,"2_DATA")):INDIRECT(ADDRESS(3000,COLUMN('2_DATA'!$M$9),1,1,"2_DATA")),$G100,INDIRECT(ADDRESS(9,COLUMN('2_DATA'!$N$9),1,1,"2_DATA")):INDIRECT(ADDRESS(3000,COLUMN('2_DATA'!$N$9),1,1,"2_DATA"))),SUMIF(INDIRECT(ADDRESS(OFFSET($A$3,MATCH($D$2,$A$4:$A$16,0)-1,1,,)+1,COLUMN('2_DATA'!$M$9),1,1,"2_DATA")):INDIRECT(ADDRESS(VLOOKUP($D$2,$A$4:$B$16,2,FALSE)-1,COLUMN('2_DATA'!$M$9),1,1,"2_DATA")),$G100,INDIRECT(ADDRESS(OFFSET($A$3,MATCH($D$2,$A$4:$A$16,0)-1,1,,)+1,COLUMN('2_DATA'!$N$9),1,1,"2_DATA")):INDIRECT(ADDRESS(VLOOKUP($D$2,$A$4:$B$16,2,FALSE)-1,COLUMN('2_DATA'!$N$9),1,1,"2_DATA"))))),0)</f>
        <v>0</v>
      </c>
      <c r="J100" s="58" t="str">
        <f ca="1">IF(I100=0,"",MAX($J$3:J99)+1)</f>
        <v/>
      </c>
      <c r="L100" s="55">
        <f t="shared" ca="1" si="21"/>
        <v>1000</v>
      </c>
      <c r="M100" s="55" t="str">
        <f t="shared" ca="1" si="25"/>
        <v/>
      </c>
      <c r="N100" s="55"/>
      <c r="O100" s="55" t="str">
        <f t="shared" ca="1" si="29"/>
        <v/>
      </c>
      <c r="P100" s="55">
        <f t="shared" ca="1" si="22"/>
        <v>0</v>
      </c>
      <c r="Q100" s="55" t="str">
        <f ca="1">IFERROR(INDEX($O$4:$P$226,MATCH(ROWS($Q$3:Q99),$P$4:$P$226,0),1),"-")</f>
        <v>-</v>
      </c>
      <c r="R100" s="62" t="str">
        <f t="shared" ca="1" si="23"/>
        <v/>
      </c>
      <c r="S100" s="55" t="str">
        <f t="shared" ca="1" si="26"/>
        <v/>
      </c>
      <c r="T100" s="67" t="str">
        <f t="shared" ref="T100:T163" ca="1" si="38">Q69</f>
        <v>-</v>
      </c>
      <c r="V100" s="68" t="str">
        <f t="shared" ca="1" si="30"/>
        <v/>
      </c>
      <c r="W100" s="69" t="str">
        <f t="shared" ca="1" si="31"/>
        <v/>
      </c>
      <c r="X100" s="70" t="s">
        <v>84</v>
      </c>
      <c r="Y100" s="68" t="str">
        <f t="shared" ca="1" si="35"/>
        <v/>
      </c>
      <c r="Z100" s="71" t="str">
        <f t="shared" ca="1" si="32"/>
        <v/>
      </c>
      <c r="AA100" s="72" t="str">
        <f t="shared" ca="1" si="33"/>
        <v/>
      </c>
      <c r="AB100" s="305" t="str">
        <f t="shared" ca="1" si="34"/>
        <v/>
      </c>
      <c r="AC100" s="236"/>
      <c r="AD100" s="236"/>
      <c r="AE100" s="236"/>
      <c r="AF100" s="236"/>
      <c r="AG100" s="236"/>
      <c r="AH100" s="236"/>
      <c r="AI100" s="236"/>
      <c r="AJ100" s="236"/>
      <c r="AK100" s="236"/>
      <c r="AL100" s="236"/>
      <c r="AM100" s="236"/>
      <c r="AN100" s="236"/>
      <c r="AO100" s="236"/>
      <c r="AP100" s="236"/>
      <c r="AQ100" s="236"/>
      <c r="AR100" s="236"/>
      <c r="AS100" s="236"/>
      <c r="AT100" s="236"/>
      <c r="AU100" s="236"/>
      <c r="AV100" s="236"/>
      <c r="AW100" s="236"/>
      <c r="AX100" s="236"/>
      <c r="AY100" s="236"/>
      <c r="AZ100" s="236"/>
      <c r="BA100" s="236"/>
      <c r="BB100" s="236"/>
      <c r="BC100" s="236"/>
      <c r="BD100" s="236"/>
      <c r="BE100" s="236"/>
      <c r="BF100" s="236"/>
      <c r="BG100" s="236"/>
      <c r="BH100" s="236"/>
      <c r="BI100" s="236"/>
      <c r="BJ100" s="236"/>
      <c r="BK100" s="236"/>
      <c r="BL100" s="236"/>
      <c r="BM100" s="236"/>
      <c r="BN100" s="236"/>
      <c r="BO100" s="236"/>
      <c r="BP100" s="236"/>
      <c r="BQ100" s="236"/>
      <c r="BR100" s="236"/>
      <c r="BS100" s="236"/>
      <c r="BT100" s="236"/>
      <c r="BU100" s="236"/>
      <c r="BV100" s="236"/>
      <c r="BW100" s="236"/>
      <c r="BX100" s="236"/>
      <c r="BY100" s="236"/>
      <c r="BZ100" s="236"/>
      <c r="CA100" s="236"/>
      <c r="CB100" s="236"/>
      <c r="CC100" s="236"/>
      <c r="CD100" s="236"/>
      <c r="CE100" s="236"/>
      <c r="CF100" s="236"/>
      <c r="CG100" s="236"/>
      <c r="CH100" s="236"/>
      <c r="CI100" s="236"/>
      <c r="CJ100" s="236"/>
      <c r="CK100" s="236"/>
      <c r="CL100" s="236"/>
      <c r="CM100" s="236"/>
      <c r="CN100" s="236"/>
      <c r="CO100" s="236"/>
      <c r="CP100" s="236"/>
      <c r="CQ100" s="236"/>
      <c r="CR100" s="236"/>
      <c r="CS100" s="236"/>
      <c r="CT100" s="236"/>
      <c r="CU100" s="236"/>
      <c r="CV100" s="236"/>
      <c r="CW100" s="236"/>
      <c r="CX100" s="236"/>
      <c r="CY100" s="236"/>
      <c r="CZ100" s="236"/>
      <c r="DA100" s="236"/>
      <c r="DB100" s="236"/>
      <c r="DC100" s="236"/>
      <c r="DD100" s="236"/>
      <c r="DE100" s="236"/>
      <c r="DF100" s="236"/>
      <c r="DG100" s="236"/>
      <c r="DH100" s="236"/>
      <c r="DI100" s="236"/>
      <c r="DJ100" s="236"/>
      <c r="DK100" s="236"/>
      <c r="DL100" s="236"/>
      <c r="DM100" s="236"/>
      <c r="DN100" s="236"/>
      <c r="DO100" s="236"/>
      <c r="DP100" s="236"/>
      <c r="DQ100" s="236"/>
      <c r="DR100" s="236"/>
      <c r="DS100" s="236"/>
      <c r="DT100" s="236"/>
      <c r="DU100" s="236"/>
      <c r="DV100" s="236"/>
      <c r="DW100" s="236"/>
      <c r="DX100" s="236"/>
      <c r="DY100" s="236"/>
      <c r="DZ100" s="236"/>
      <c r="EA100" s="236"/>
      <c r="EB100" s="236"/>
      <c r="EC100" s="236"/>
      <c r="ED100" s="236"/>
      <c r="EE100" s="236"/>
      <c r="EF100" s="236"/>
      <c r="EG100" s="236"/>
      <c r="EH100" s="236"/>
      <c r="EI100" s="236"/>
      <c r="EJ100" s="236"/>
      <c r="EK100" s="236"/>
      <c r="EL100" s="236"/>
      <c r="EM100" s="236"/>
      <c r="EN100" s="236"/>
      <c r="EO100" s="236"/>
      <c r="EP100" s="236"/>
      <c r="EQ100" s="236"/>
      <c r="ER100" s="236"/>
      <c r="ES100" s="236"/>
      <c r="ET100" s="236"/>
      <c r="EU100" s="236"/>
      <c r="EV100" s="236"/>
      <c r="EW100" s="236"/>
      <c r="EX100" s="236"/>
      <c r="EY100" s="236"/>
      <c r="EZ100" s="236"/>
      <c r="FA100" s="236"/>
      <c r="FB100" s="236"/>
      <c r="FC100" s="236"/>
      <c r="FD100" s="236"/>
      <c r="FE100" s="236"/>
      <c r="FF100" s="236"/>
      <c r="FG100" s="236"/>
      <c r="FH100" s="236"/>
      <c r="FI100" s="236"/>
      <c r="FJ100" s="236"/>
      <c r="FK100" s="236"/>
      <c r="FL100" s="236"/>
      <c r="FM100" s="236"/>
      <c r="FN100" s="236"/>
      <c r="FO100" s="236"/>
      <c r="FP100" s="236"/>
      <c r="FQ100" s="236"/>
      <c r="FR100" s="236"/>
      <c r="FS100" s="236"/>
      <c r="FT100" s="236"/>
      <c r="FU100" s="236"/>
      <c r="FV100" s="236"/>
      <c r="FW100" s="236"/>
      <c r="FX100" s="236"/>
      <c r="FY100" s="236"/>
      <c r="FZ100" s="236"/>
      <c r="GA100" s="236"/>
      <c r="GB100" s="236"/>
      <c r="GC100" s="236"/>
      <c r="GD100" s="236"/>
      <c r="GE100" s="236"/>
      <c r="GF100" s="236"/>
      <c r="GG100" s="236"/>
      <c r="GH100" s="236"/>
      <c r="GI100" s="236"/>
      <c r="GJ100" s="236"/>
      <c r="GK100" s="236"/>
      <c r="GL100" s="236"/>
      <c r="GM100" s="236"/>
      <c r="GN100" s="236"/>
      <c r="GO100" s="236"/>
      <c r="GP100" s="236"/>
      <c r="GQ100" s="236"/>
      <c r="GR100" s="236"/>
      <c r="GS100" s="236"/>
      <c r="GT100" s="236"/>
      <c r="GU100" s="236"/>
      <c r="GV100" s="236"/>
      <c r="GW100" s="236"/>
      <c r="GX100" s="236"/>
      <c r="GY100" s="236"/>
      <c r="GZ100" s="236"/>
      <c r="HA100" s="236"/>
      <c r="HB100" s="236"/>
      <c r="HC100" s="236"/>
      <c r="HD100" s="236"/>
      <c r="HE100" s="236"/>
      <c r="HF100" s="236"/>
      <c r="HG100" s="236"/>
      <c r="HH100" s="236"/>
      <c r="HI100" s="236"/>
      <c r="HJ100" s="236"/>
      <c r="HK100" s="236"/>
      <c r="HL100" s="236"/>
      <c r="HM100" s="236"/>
      <c r="HN100" s="236"/>
      <c r="HO100" s="236"/>
      <c r="HP100" s="236"/>
      <c r="HQ100" s="236"/>
      <c r="HR100" s="236"/>
      <c r="HS100" s="236"/>
      <c r="HT100" s="236"/>
      <c r="HU100" s="236"/>
      <c r="HV100" s="236"/>
      <c r="HW100" s="236"/>
      <c r="HX100" s="236"/>
      <c r="HY100" s="236"/>
      <c r="HZ100" s="236"/>
      <c r="IA100" s="236"/>
      <c r="IB100" s="236"/>
      <c r="IC100" s="236"/>
      <c r="ID100" s="236"/>
      <c r="IE100" s="236"/>
      <c r="IF100" s="236"/>
      <c r="IG100" s="236"/>
      <c r="IH100" s="236"/>
      <c r="II100" s="236"/>
      <c r="IJ100" s="236"/>
      <c r="IK100" s="236"/>
      <c r="IL100" s="236"/>
      <c r="IM100" s="236"/>
      <c r="IN100" s="236"/>
      <c r="IO100" s="236"/>
      <c r="IP100" s="236"/>
      <c r="IQ100" s="236"/>
      <c r="IR100" s="236"/>
      <c r="IS100" s="236"/>
      <c r="IT100" s="236"/>
      <c r="IU100" s="236"/>
      <c r="IV100" s="236"/>
      <c r="IW100" s="236"/>
      <c r="IX100" s="236"/>
      <c r="IY100" s="236"/>
      <c r="IZ100" s="236"/>
      <c r="JA100" s="236"/>
      <c r="JB100" s="236"/>
      <c r="JC100" s="236"/>
      <c r="JD100" s="236"/>
      <c r="JE100" s="236"/>
      <c r="JF100" s="236"/>
      <c r="JG100" s="236"/>
      <c r="JH100" s="236"/>
      <c r="JI100" s="236"/>
      <c r="JJ100" s="236"/>
      <c r="JK100" s="236"/>
      <c r="JL100" s="236"/>
      <c r="JM100" s="236"/>
      <c r="JN100" s="236"/>
      <c r="JO100" s="236"/>
      <c r="JP100" s="236"/>
      <c r="JQ100" s="236"/>
      <c r="JR100" s="236"/>
      <c r="JS100" s="236"/>
      <c r="JT100" s="236"/>
      <c r="JU100" s="236"/>
      <c r="JV100" s="236"/>
      <c r="JW100" s="236"/>
      <c r="JX100" s="409"/>
      <c r="JY100" s="409"/>
      <c r="JZ100" s="409"/>
      <c r="KA100" s="409"/>
      <c r="KB100" s="409"/>
      <c r="KC100" s="409"/>
      <c r="KD100" s="409"/>
      <c r="KE100" s="409"/>
      <c r="KF100" s="409"/>
      <c r="KG100" s="410"/>
      <c r="KH100" s="412">
        <f t="shared" si="36"/>
        <v>97</v>
      </c>
      <c r="KI100" s="413" t="str">
        <f t="shared" ca="1" si="27"/>
        <v/>
      </c>
      <c r="KJ100" s="413" t="str">
        <f t="shared" ca="1" si="37"/>
        <v/>
      </c>
      <c r="KK100" s="414" t="str">
        <f t="shared" ca="1" si="28"/>
        <v/>
      </c>
    </row>
    <row r="101" spans="3:297" ht="24" customHeight="1">
      <c r="C101"/>
      <c r="D101" s="57" t="str">
        <f ca="1">INDIRECT(ADDRESS(ROWS($D$3:D100)+6,D$3,1,1,"3_TIME SUM"))</f>
        <v>Material Problems</v>
      </c>
      <c r="E101" s="81" t="str">
        <f ca="1">IF(INDIRECT(ADDRESS(ROWS($E$3:E100)+6,E$3,1,1,"3_TIME SUM"))=0,E100,INDIRECT(ADDRESS(ROWS($E$3:E100)+6,E$3,1,1,"3_TIME SUM")))</f>
        <v>Others NPT</v>
      </c>
      <c r="F101" s="57" t="str">
        <f t="shared" ca="1" si="24"/>
        <v>Others NPT : Material Problems</v>
      </c>
      <c r="G101" s="58" t="str">
        <f ca="1">VLOOKUP($D101,INDIRECT(ADDRESS(7,5,1,1,"3_TIME SUM")):INDIRECT(ADDRESS(200,7,1,1,"3_TIME SUM")),2,FALSE)</f>
        <v>22a</v>
      </c>
      <c r="H101" s="58" t="str">
        <f ca="1">IF(VLOOKUP($D101,INDIRECT(ADDRESS(7,5,1,1,"3_TIME SUM")):INDIRECT(ADDRESS(200,7,1,1,"3_TIME SUM")),3,FALSE)="","PT",VLOOKUP($D101,INDIRECT(ADDRESS(7,5,1,1,"3_TIME SUM")):INDIRECT(ADDRESS(200,7,1,1,"3_TIME SUM")),3,FALSE))</f>
        <v>NPT</v>
      </c>
      <c r="I101" s="59">
        <f ca="1">IFERROR(IF(AND($D$2="NON PRODUCTIVE TIME",$H101="NPT"),SUMIF(INDIRECT(ADDRESS(8,COLUMN('2_DATA'!$M$9),1,1,"2_DATA")):INDIRECT(ADDRESS(3000,COLUMN('2_DATA'!$M$9),1,1,"2_DATA")),$G101,INDIRECT(ADDRESS(8,COLUMN('2_DATA'!$N$9),1,1,"2_DATA")):INDIRECT(ADDRESS(3000,COLUMN('2_DATA'!$N$9),1,1,"2_DATA"))),IF($D$2="ALL ACTIVITY",SUMIF(INDIRECT(ADDRESS(9,COLUMN('2_DATA'!$M$9),1,1,"2_DATA")):INDIRECT(ADDRESS(3000,COLUMN('2_DATA'!$M$9),1,1,"2_DATA")),$G101,INDIRECT(ADDRESS(9,COLUMN('2_DATA'!$N$9),1,1,"2_DATA")):INDIRECT(ADDRESS(3000,COLUMN('2_DATA'!$N$9),1,1,"2_DATA"))),SUMIF(INDIRECT(ADDRESS(OFFSET($A$3,MATCH($D$2,$A$4:$A$16,0)-1,1,,)+1,COLUMN('2_DATA'!$M$9),1,1,"2_DATA")):INDIRECT(ADDRESS(VLOOKUP($D$2,$A$4:$B$16,2,FALSE)-1,COLUMN('2_DATA'!$M$9),1,1,"2_DATA")),$G101,INDIRECT(ADDRESS(OFFSET($A$3,MATCH($D$2,$A$4:$A$16,0)-1,1,,)+1,COLUMN('2_DATA'!$N$9),1,1,"2_DATA")):INDIRECT(ADDRESS(VLOOKUP($D$2,$A$4:$B$16,2,FALSE)-1,COLUMN('2_DATA'!$N$9),1,1,"2_DATA"))))),0)</f>
        <v>0</v>
      </c>
      <c r="J101" s="58" t="str">
        <f ca="1">IF(I101=0,"",MAX($J$3:J100)+1)</f>
        <v/>
      </c>
      <c r="L101" s="55">
        <f t="shared" ca="1" si="21"/>
        <v>1000</v>
      </c>
      <c r="M101" s="55" t="str">
        <f t="shared" ca="1" si="25"/>
        <v/>
      </c>
      <c r="N101" s="55"/>
      <c r="O101" s="55" t="str">
        <f t="shared" ca="1" si="29"/>
        <v/>
      </c>
      <c r="P101" s="55">
        <f t="shared" ca="1" si="22"/>
        <v>0</v>
      </c>
      <c r="Q101" s="55" t="str">
        <f ca="1">IFERROR(INDEX($O$4:$P$226,MATCH(ROWS($Q$3:Q100),$P$4:$P$226,0),1),"-")</f>
        <v>-</v>
      </c>
      <c r="R101" s="62" t="str">
        <f t="shared" ca="1" si="23"/>
        <v/>
      </c>
      <c r="S101" s="55" t="str">
        <f t="shared" ca="1" si="26"/>
        <v/>
      </c>
      <c r="T101" s="67" t="str">
        <f t="shared" ca="1" si="38"/>
        <v>-</v>
      </c>
      <c r="V101" s="68" t="str">
        <f t="shared" ca="1" si="30"/>
        <v/>
      </c>
      <c r="W101" s="69" t="str">
        <f t="shared" ca="1" si="31"/>
        <v/>
      </c>
      <c r="X101" s="70" t="s">
        <v>84</v>
      </c>
      <c r="Y101" s="68" t="str">
        <f t="shared" ca="1" si="35"/>
        <v/>
      </c>
      <c r="Z101" s="71" t="str">
        <f t="shared" ca="1" si="32"/>
        <v/>
      </c>
      <c r="AA101" s="72" t="str">
        <f t="shared" ca="1" si="33"/>
        <v/>
      </c>
      <c r="AB101" s="305" t="str">
        <f t="shared" ca="1" si="34"/>
        <v/>
      </c>
      <c r="AC101" s="236"/>
      <c r="AD101" s="236"/>
      <c r="AE101" s="236"/>
      <c r="AF101" s="236"/>
      <c r="AG101" s="236"/>
      <c r="AH101" s="236"/>
      <c r="AI101" s="236"/>
      <c r="AJ101" s="236"/>
      <c r="AK101" s="236"/>
      <c r="AL101" s="236"/>
      <c r="AM101" s="236"/>
      <c r="AN101" s="236"/>
      <c r="AO101" s="236"/>
      <c r="AP101" s="236"/>
      <c r="AQ101" s="236"/>
      <c r="AR101" s="236"/>
      <c r="AS101" s="236"/>
      <c r="AT101" s="236"/>
      <c r="AU101" s="236"/>
      <c r="AV101" s="236"/>
      <c r="AW101" s="236"/>
      <c r="AX101" s="236"/>
      <c r="AY101" s="236"/>
      <c r="AZ101" s="236"/>
      <c r="BA101" s="236"/>
      <c r="BB101" s="236"/>
      <c r="BC101" s="236"/>
      <c r="BD101" s="236"/>
      <c r="BE101" s="236"/>
      <c r="BF101" s="236"/>
      <c r="BG101" s="236"/>
      <c r="BH101" s="236"/>
      <c r="BI101" s="236"/>
      <c r="BJ101" s="236"/>
      <c r="BK101" s="236"/>
      <c r="BL101" s="236"/>
      <c r="BM101" s="236"/>
      <c r="BN101" s="236"/>
      <c r="BO101" s="236"/>
      <c r="BP101" s="236"/>
      <c r="BQ101" s="236"/>
      <c r="BR101" s="236"/>
      <c r="BS101" s="236"/>
      <c r="BT101" s="236"/>
      <c r="BU101" s="236"/>
      <c r="BV101" s="236"/>
      <c r="BW101" s="236"/>
      <c r="BX101" s="236"/>
      <c r="BY101" s="236"/>
      <c r="BZ101" s="236"/>
      <c r="CA101" s="236"/>
      <c r="CB101" s="236"/>
      <c r="CC101" s="236"/>
      <c r="CD101" s="236"/>
      <c r="CE101" s="236"/>
      <c r="CF101" s="236"/>
      <c r="CG101" s="236"/>
      <c r="CH101" s="236"/>
      <c r="CI101" s="236"/>
      <c r="CJ101" s="236"/>
      <c r="CK101" s="236"/>
      <c r="CL101" s="236"/>
      <c r="CM101" s="236"/>
      <c r="CN101" s="236"/>
      <c r="CO101" s="236"/>
      <c r="CP101" s="236"/>
      <c r="CQ101" s="236"/>
      <c r="CR101" s="236"/>
      <c r="CS101" s="236"/>
      <c r="CT101" s="236"/>
      <c r="CU101" s="236"/>
      <c r="CV101" s="236"/>
      <c r="CW101" s="236"/>
      <c r="CX101" s="236"/>
      <c r="CY101" s="236"/>
      <c r="CZ101" s="236"/>
      <c r="DA101" s="236"/>
      <c r="DB101" s="236"/>
      <c r="DC101" s="236"/>
      <c r="DD101" s="236"/>
      <c r="DE101" s="236"/>
      <c r="DF101" s="236"/>
      <c r="DG101" s="236"/>
      <c r="DH101" s="236"/>
      <c r="DI101" s="236"/>
      <c r="DJ101" s="236"/>
      <c r="DK101" s="236"/>
      <c r="DL101" s="236"/>
      <c r="DM101" s="236"/>
      <c r="DN101" s="236"/>
      <c r="DO101" s="236"/>
      <c r="DP101" s="236"/>
      <c r="DQ101" s="236"/>
      <c r="DR101" s="236"/>
      <c r="DS101" s="236"/>
      <c r="DT101" s="236"/>
      <c r="DU101" s="236"/>
      <c r="DV101" s="236"/>
      <c r="DW101" s="236"/>
      <c r="DX101" s="236"/>
      <c r="DY101" s="236"/>
      <c r="DZ101" s="236"/>
      <c r="EA101" s="236"/>
      <c r="EB101" s="236"/>
      <c r="EC101" s="236"/>
      <c r="ED101" s="236"/>
      <c r="EE101" s="236"/>
      <c r="EF101" s="236"/>
      <c r="EG101" s="236"/>
      <c r="EH101" s="236"/>
      <c r="EI101" s="236"/>
      <c r="EJ101" s="236"/>
      <c r="EK101" s="236"/>
      <c r="EL101" s="236"/>
      <c r="EM101" s="236"/>
      <c r="EN101" s="236"/>
      <c r="EO101" s="236"/>
      <c r="EP101" s="236"/>
      <c r="EQ101" s="236"/>
      <c r="ER101" s="236"/>
      <c r="ES101" s="236"/>
      <c r="ET101" s="236"/>
      <c r="EU101" s="236"/>
      <c r="EV101" s="236"/>
      <c r="EW101" s="236"/>
      <c r="EX101" s="236"/>
      <c r="EY101" s="236"/>
      <c r="EZ101" s="236"/>
      <c r="FA101" s="236"/>
      <c r="FB101" s="236"/>
      <c r="FC101" s="236"/>
      <c r="FD101" s="236"/>
      <c r="FE101" s="236"/>
      <c r="FF101" s="236"/>
      <c r="FG101" s="236"/>
      <c r="FH101" s="236"/>
      <c r="FI101" s="236"/>
      <c r="FJ101" s="236"/>
      <c r="FK101" s="236"/>
      <c r="FL101" s="236"/>
      <c r="FM101" s="236"/>
      <c r="FN101" s="236"/>
      <c r="FO101" s="236"/>
      <c r="FP101" s="236"/>
      <c r="FQ101" s="236"/>
      <c r="FR101" s="236"/>
      <c r="FS101" s="236"/>
      <c r="FT101" s="236"/>
      <c r="FU101" s="236"/>
      <c r="FV101" s="236"/>
      <c r="FW101" s="236"/>
      <c r="FX101" s="236"/>
      <c r="FY101" s="236"/>
      <c r="FZ101" s="236"/>
      <c r="GA101" s="236"/>
      <c r="GB101" s="236"/>
      <c r="GC101" s="236"/>
      <c r="GD101" s="236"/>
      <c r="GE101" s="236"/>
      <c r="GF101" s="236"/>
      <c r="GG101" s="236"/>
      <c r="GH101" s="236"/>
      <c r="GI101" s="236"/>
      <c r="GJ101" s="236"/>
      <c r="GK101" s="236"/>
      <c r="GL101" s="236"/>
      <c r="GM101" s="236"/>
      <c r="GN101" s="236"/>
      <c r="GO101" s="236"/>
      <c r="GP101" s="236"/>
      <c r="GQ101" s="236"/>
      <c r="GR101" s="236"/>
      <c r="GS101" s="236"/>
      <c r="GT101" s="236"/>
      <c r="GU101" s="236"/>
      <c r="GV101" s="236"/>
      <c r="GW101" s="236"/>
      <c r="GX101" s="236"/>
      <c r="GY101" s="236"/>
      <c r="GZ101" s="236"/>
      <c r="HA101" s="236"/>
      <c r="HB101" s="236"/>
      <c r="HC101" s="236"/>
      <c r="HD101" s="236"/>
      <c r="HE101" s="236"/>
      <c r="HF101" s="236"/>
      <c r="HG101" s="236"/>
      <c r="HH101" s="236"/>
      <c r="HI101" s="236"/>
      <c r="HJ101" s="236"/>
      <c r="HK101" s="236"/>
      <c r="HL101" s="236"/>
      <c r="HM101" s="236"/>
      <c r="HN101" s="236"/>
      <c r="HO101" s="236"/>
      <c r="HP101" s="236"/>
      <c r="HQ101" s="236"/>
      <c r="HR101" s="236"/>
      <c r="HS101" s="236"/>
      <c r="HT101" s="236"/>
      <c r="HU101" s="236"/>
      <c r="HV101" s="236"/>
      <c r="HW101" s="236"/>
      <c r="HX101" s="236"/>
      <c r="HY101" s="236"/>
      <c r="HZ101" s="236"/>
      <c r="IA101" s="236"/>
      <c r="IB101" s="236"/>
      <c r="IC101" s="236"/>
      <c r="ID101" s="236"/>
      <c r="IE101" s="236"/>
      <c r="IF101" s="236"/>
      <c r="IG101" s="236"/>
      <c r="IH101" s="236"/>
      <c r="II101" s="236"/>
      <c r="IJ101" s="236"/>
      <c r="IK101" s="236"/>
      <c r="IL101" s="236"/>
      <c r="IM101" s="236"/>
      <c r="IN101" s="236"/>
      <c r="IO101" s="236"/>
      <c r="IP101" s="236"/>
      <c r="IQ101" s="236"/>
      <c r="IR101" s="236"/>
      <c r="IS101" s="236"/>
      <c r="IT101" s="236"/>
      <c r="IU101" s="236"/>
      <c r="IV101" s="236"/>
      <c r="IW101" s="236"/>
      <c r="IX101" s="236"/>
      <c r="IY101" s="236"/>
      <c r="IZ101" s="236"/>
      <c r="JA101" s="236"/>
      <c r="JB101" s="236"/>
      <c r="JC101" s="236"/>
      <c r="JD101" s="236"/>
      <c r="JE101" s="236"/>
      <c r="JF101" s="236"/>
      <c r="JG101" s="236"/>
      <c r="JH101" s="236"/>
      <c r="JI101" s="236"/>
      <c r="JJ101" s="236"/>
      <c r="JK101" s="236"/>
      <c r="JL101" s="236"/>
      <c r="JM101" s="236"/>
      <c r="JN101" s="236"/>
      <c r="JO101" s="236"/>
      <c r="JP101" s="236"/>
      <c r="JQ101" s="236"/>
      <c r="JR101" s="236"/>
      <c r="JS101" s="236"/>
      <c r="JT101" s="236"/>
      <c r="JU101" s="236"/>
      <c r="JV101" s="236"/>
      <c r="JW101" s="236"/>
      <c r="JX101" s="409"/>
      <c r="JY101" s="409"/>
      <c r="JZ101" s="409"/>
      <c r="KA101" s="409"/>
      <c r="KB101" s="409"/>
      <c r="KC101" s="409"/>
      <c r="KD101" s="409"/>
      <c r="KE101" s="409"/>
      <c r="KF101" s="409"/>
      <c r="KG101" s="410"/>
      <c r="KH101" s="412">
        <f t="shared" si="36"/>
        <v>98</v>
      </c>
      <c r="KI101" s="413" t="str">
        <f t="shared" ca="1" si="27"/>
        <v/>
      </c>
      <c r="KJ101" s="413" t="str">
        <f t="shared" ca="1" si="37"/>
        <v/>
      </c>
      <c r="KK101" s="414" t="str">
        <f t="shared" ca="1" si="28"/>
        <v/>
      </c>
    </row>
    <row r="102" spans="3:297" ht="24" customHeight="1">
      <c r="C102"/>
      <c r="D102" s="57" t="str">
        <f ca="1">INDIRECT(ADDRESS(ROWS($D$3:D101)+6,D$3,1,1,"3_TIME SUM"))</f>
        <v>Sosial Issue</v>
      </c>
      <c r="E102" s="81" t="str">
        <f ca="1">IF(INDIRECT(ADDRESS(ROWS($E$3:E101)+6,E$3,1,1,"3_TIME SUM"))=0,E101,INDIRECT(ADDRESS(ROWS($E$3:E101)+6,E$3,1,1,"3_TIME SUM")))</f>
        <v>Others NPT</v>
      </c>
      <c r="F102" s="57" t="str">
        <f t="shared" ca="1" si="24"/>
        <v>Others NPT : Sosial Issue</v>
      </c>
      <c r="G102" s="58" t="str">
        <f ca="1">VLOOKUP($D102,INDIRECT(ADDRESS(7,5,1,1,"3_TIME SUM")):INDIRECT(ADDRESS(200,7,1,1,"3_TIME SUM")),2,FALSE)</f>
        <v>22b</v>
      </c>
      <c r="H102" s="58" t="str">
        <f ca="1">IF(VLOOKUP($D102,INDIRECT(ADDRESS(7,5,1,1,"3_TIME SUM")):INDIRECT(ADDRESS(200,7,1,1,"3_TIME SUM")),3,FALSE)="","PT",VLOOKUP($D102,INDIRECT(ADDRESS(7,5,1,1,"3_TIME SUM")):INDIRECT(ADDRESS(200,7,1,1,"3_TIME SUM")),3,FALSE))</f>
        <v>NPT</v>
      </c>
      <c r="I102" s="59">
        <f ca="1">IFERROR(IF(AND($D$2="NON PRODUCTIVE TIME",$H102="NPT"),SUMIF(INDIRECT(ADDRESS(8,COLUMN('2_DATA'!$M$9),1,1,"2_DATA")):INDIRECT(ADDRESS(3000,COLUMN('2_DATA'!$M$9),1,1,"2_DATA")),$G102,INDIRECT(ADDRESS(8,COLUMN('2_DATA'!$N$9),1,1,"2_DATA")):INDIRECT(ADDRESS(3000,COLUMN('2_DATA'!$N$9),1,1,"2_DATA"))),IF($D$2="ALL ACTIVITY",SUMIF(INDIRECT(ADDRESS(9,COLUMN('2_DATA'!$M$9),1,1,"2_DATA")):INDIRECT(ADDRESS(3000,COLUMN('2_DATA'!$M$9),1,1,"2_DATA")),$G102,INDIRECT(ADDRESS(9,COLUMN('2_DATA'!$N$9),1,1,"2_DATA")):INDIRECT(ADDRESS(3000,COLUMN('2_DATA'!$N$9),1,1,"2_DATA"))),SUMIF(INDIRECT(ADDRESS(OFFSET($A$3,MATCH($D$2,$A$4:$A$16,0)-1,1,,)+1,COLUMN('2_DATA'!$M$9),1,1,"2_DATA")):INDIRECT(ADDRESS(VLOOKUP($D$2,$A$4:$B$16,2,FALSE)-1,COLUMN('2_DATA'!$M$9),1,1,"2_DATA")),$G102,INDIRECT(ADDRESS(OFFSET($A$3,MATCH($D$2,$A$4:$A$16,0)-1,1,,)+1,COLUMN('2_DATA'!$N$9),1,1,"2_DATA")):INDIRECT(ADDRESS(VLOOKUP($D$2,$A$4:$B$16,2,FALSE)-1,COLUMN('2_DATA'!$N$9),1,1,"2_DATA"))))),0)</f>
        <v>0</v>
      </c>
      <c r="J102" s="58" t="str">
        <f ca="1">IF(I102=0,"",MAX($J$3:J101)+1)</f>
        <v/>
      </c>
      <c r="L102" s="55">
        <f t="shared" ca="1" si="21"/>
        <v>1000</v>
      </c>
      <c r="M102" s="55" t="str">
        <f t="shared" ca="1" si="25"/>
        <v/>
      </c>
      <c r="N102" s="55"/>
      <c r="O102" s="55" t="str">
        <f t="shared" ca="1" si="29"/>
        <v/>
      </c>
      <c r="P102" s="55">
        <f t="shared" ca="1" si="22"/>
        <v>0</v>
      </c>
      <c r="Q102" s="55" t="str">
        <f ca="1">IFERROR(INDEX($O$4:$P$226,MATCH(ROWS($Q$3:Q101),$P$4:$P$226,0),1),"-")</f>
        <v>-</v>
      </c>
      <c r="R102" s="62" t="str">
        <f t="shared" ca="1" si="23"/>
        <v/>
      </c>
      <c r="S102" s="55" t="str">
        <f t="shared" ca="1" si="26"/>
        <v/>
      </c>
      <c r="T102" s="67" t="str">
        <f t="shared" ca="1" si="38"/>
        <v>-</v>
      </c>
      <c r="V102" s="68" t="str">
        <f t="shared" ca="1" si="30"/>
        <v/>
      </c>
      <c r="W102" s="69" t="str">
        <f t="shared" ca="1" si="31"/>
        <v/>
      </c>
      <c r="X102" s="70" t="s">
        <v>84</v>
      </c>
      <c r="Y102" s="68" t="str">
        <f t="shared" ca="1" si="35"/>
        <v/>
      </c>
      <c r="Z102" s="71" t="str">
        <f t="shared" ca="1" si="32"/>
        <v/>
      </c>
      <c r="AA102" s="72" t="str">
        <f t="shared" ca="1" si="33"/>
        <v/>
      </c>
      <c r="AB102" s="305" t="str">
        <f t="shared" ca="1" si="34"/>
        <v/>
      </c>
      <c r="AC102" s="236"/>
      <c r="AD102" s="236"/>
      <c r="AE102" s="236"/>
      <c r="AF102" s="236"/>
      <c r="AG102" s="236"/>
      <c r="AH102" s="236"/>
      <c r="AI102" s="236"/>
      <c r="AJ102" s="236"/>
      <c r="AK102" s="236"/>
      <c r="AL102" s="236"/>
      <c r="AM102" s="236"/>
      <c r="AN102" s="236"/>
      <c r="AO102" s="236"/>
      <c r="AP102" s="236"/>
      <c r="AQ102" s="236"/>
      <c r="AR102" s="236"/>
      <c r="AS102" s="236"/>
      <c r="AT102" s="236"/>
      <c r="AU102" s="236"/>
      <c r="AV102" s="236"/>
      <c r="AW102" s="236"/>
      <c r="AX102" s="236"/>
      <c r="AY102" s="236"/>
      <c r="AZ102" s="236"/>
      <c r="BA102" s="236"/>
      <c r="BB102" s="236"/>
      <c r="BC102" s="236"/>
      <c r="BD102" s="236"/>
      <c r="BE102" s="236"/>
      <c r="BF102" s="236"/>
      <c r="BG102" s="236"/>
      <c r="BH102" s="236"/>
      <c r="BI102" s="236"/>
      <c r="BJ102" s="236"/>
      <c r="BK102" s="236"/>
      <c r="BL102" s="236"/>
      <c r="BM102" s="236"/>
      <c r="BN102" s="236"/>
      <c r="BO102" s="236"/>
      <c r="BP102" s="236"/>
      <c r="BQ102" s="236"/>
      <c r="BR102" s="236"/>
      <c r="BS102" s="236"/>
      <c r="BT102" s="236"/>
      <c r="BU102" s="236"/>
      <c r="BV102" s="236"/>
      <c r="BW102" s="236"/>
      <c r="BX102" s="236"/>
      <c r="BY102" s="236"/>
      <c r="BZ102" s="236"/>
      <c r="CA102" s="236"/>
      <c r="CB102" s="236"/>
      <c r="CC102" s="236"/>
      <c r="CD102" s="236"/>
      <c r="CE102" s="236"/>
      <c r="CF102" s="236"/>
      <c r="CG102" s="236"/>
      <c r="CH102" s="236"/>
      <c r="CI102" s="236"/>
      <c r="CJ102" s="236"/>
      <c r="CK102" s="236"/>
      <c r="CL102" s="236"/>
      <c r="CM102" s="236"/>
      <c r="CN102" s="236"/>
      <c r="CO102" s="236"/>
      <c r="CP102" s="236"/>
      <c r="CQ102" s="236"/>
      <c r="CR102" s="236"/>
      <c r="CS102" s="236"/>
      <c r="CT102" s="236"/>
      <c r="CU102" s="236"/>
      <c r="CV102" s="236"/>
      <c r="CW102" s="236"/>
      <c r="CX102" s="236"/>
      <c r="CY102" s="236"/>
      <c r="CZ102" s="236"/>
      <c r="DA102" s="236"/>
      <c r="DB102" s="236"/>
      <c r="DC102" s="236"/>
      <c r="DD102" s="236"/>
      <c r="DE102" s="236"/>
      <c r="DF102" s="236"/>
      <c r="DG102" s="236"/>
      <c r="DH102" s="236"/>
      <c r="DI102" s="236"/>
      <c r="DJ102" s="236"/>
      <c r="DK102" s="236"/>
      <c r="DL102" s="236"/>
      <c r="DM102" s="236"/>
      <c r="DN102" s="236"/>
      <c r="DO102" s="236"/>
      <c r="DP102" s="236"/>
      <c r="DQ102" s="236"/>
      <c r="DR102" s="236"/>
      <c r="DS102" s="236"/>
      <c r="DT102" s="236"/>
      <c r="DU102" s="236"/>
      <c r="DV102" s="236"/>
      <c r="DW102" s="236"/>
      <c r="DX102" s="236"/>
      <c r="DY102" s="236"/>
      <c r="DZ102" s="236"/>
      <c r="EA102" s="236"/>
      <c r="EB102" s="236"/>
      <c r="EC102" s="236"/>
      <c r="ED102" s="236"/>
      <c r="EE102" s="236"/>
      <c r="EF102" s="236"/>
      <c r="EG102" s="236"/>
      <c r="EH102" s="236"/>
      <c r="EI102" s="236"/>
      <c r="EJ102" s="236"/>
      <c r="EK102" s="236"/>
      <c r="EL102" s="236"/>
      <c r="EM102" s="236"/>
      <c r="EN102" s="236"/>
      <c r="EO102" s="236"/>
      <c r="EP102" s="236"/>
      <c r="EQ102" s="236"/>
      <c r="ER102" s="236"/>
      <c r="ES102" s="236"/>
      <c r="ET102" s="236"/>
      <c r="EU102" s="236"/>
      <c r="EV102" s="236"/>
      <c r="EW102" s="236"/>
      <c r="EX102" s="236"/>
      <c r="EY102" s="236"/>
      <c r="EZ102" s="236"/>
      <c r="FA102" s="236"/>
      <c r="FB102" s="236"/>
      <c r="FC102" s="236"/>
      <c r="FD102" s="236"/>
      <c r="FE102" s="236"/>
      <c r="FF102" s="236"/>
      <c r="FG102" s="236"/>
      <c r="FH102" s="236"/>
      <c r="FI102" s="236"/>
      <c r="FJ102" s="236"/>
      <c r="FK102" s="236"/>
      <c r="FL102" s="236"/>
      <c r="FM102" s="236"/>
      <c r="FN102" s="236"/>
      <c r="FO102" s="236"/>
      <c r="FP102" s="236"/>
      <c r="FQ102" s="236"/>
      <c r="FR102" s="236"/>
      <c r="FS102" s="236"/>
      <c r="FT102" s="236"/>
      <c r="FU102" s="236"/>
      <c r="FV102" s="236"/>
      <c r="FW102" s="236"/>
      <c r="FX102" s="236"/>
      <c r="FY102" s="236"/>
      <c r="FZ102" s="236"/>
      <c r="GA102" s="236"/>
      <c r="GB102" s="236"/>
      <c r="GC102" s="236"/>
      <c r="GD102" s="236"/>
      <c r="GE102" s="236"/>
      <c r="GF102" s="236"/>
      <c r="GG102" s="236"/>
      <c r="GH102" s="236"/>
      <c r="GI102" s="236"/>
      <c r="GJ102" s="236"/>
      <c r="GK102" s="236"/>
      <c r="GL102" s="236"/>
      <c r="GM102" s="236"/>
      <c r="GN102" s="236"/>
      <c r="GO102" s="236"/>
      <c r="GP102" s="236"/>
      <c r="GQ102" s="236"/>
      <c r="GR102" s="236"/>
      <c r="GS102" s="236"/>
      <c r="GT102" s="236"/>
      <c r="GU102" s="236"/>
      <c r="GV102" s="236"/>
      <c r="GW102" s="236"/>
      <c r="GX102" s="236"/>
      <c r="GY102" s="236"/>
      <c r="GZ102" s="236"/>
      <c r="HA102" s="236"/>
      <c r="HB102" s="236"/>
      <c r="HC102" s="236"/>
      <c r="HD102" s="236"/>
      <c r="HE102" s="236"/>
      <c r="HF102" s="236"/>
      <c r="HG102" s="236"/>
      <c r="HH102" s="236"/>
      <c r="HI102" s="236"/>
      <c r="HJ102" s="236"/>
      <c r="HK102" s="236"/>
      <c r="HL102" s="236"/>
      <c r="HM102" s="236"/>
      <c r="HN102" s="236"/>
      <c r="HO102" s="236"/>
      <c r="HP102" s="236"/>
      <c r="HQ102" s="236"/>
      <c r="HR102" s="236"/>
      <c r="HS102" s="236"/>
      <c r="HT102" s="236"/>
      <c r="HU102" s="236"/>
      <c r="HV102" s="236"/>
      <c r="HW102" s="236"/>
      <c r="HX102" s="236"/>
      <c r="HY102" s="236"/>
      <c r="HZ102" s="236"/>
      <c r="IA102" s="236"/>
      <c r="IB102" s="236"/>
      <c r="IC102" s="236"/>
      <c r="ID102" s="236"/>
      <c r="IE102" s="236"/>
      <c r="IF102" s="236"/>
      <c r="IG102" s="236"/>
      <c r="IH102" s="236"/>
      <c r="II102" s="236"/>
      <c r="IJ102" s="236"/>
      <c r="IK102" s="236"/>
      <c r="IL102" s="236"/>
      <c r="IM102" s="236"/>
      <c r="IN102" s="236"/>
      <c r="IO102" s="236"/>
      <c r="IP102" s="236"/>
      <c r="IQ102" s="236"/>
      <c r="IR102" s="236"/>
      <c r="IS102" s="236"/>
      <c r="IT102" s="236"/>
      <c r="IU102" s="236"/>
      <c r="IV102" s="236"/>
      <c r="IW102" s="236"/>
      <c r="IX102" s="236"/>
      <c r="IY102" s="236"/>
      <c r="IZ102" s="236"/>
      <c r="JA102" s="236"/>
      <c r="JB102" s="236"/>
      <c r="JC102" s="236"/>
      <c r="JD102" s="236"/>
      <c r="JE102" s="236"/>
      <c r="JF102" s="236"/>
      <c r="JG102" s="236"/>
      <c r="JH102" s="236"/>
      <c r="JI102" s="236"/>
      <c r="JJ102" s="236"/>
      <c r="JK102" s="236"/>
      <c r="JL102" s="236"/>
      <c r="JM102" s="236"/>
      <c r="JN102" s="236"/>
      <c r="JO102" s="236"/>
      <c r="JP102" s="236"/>
      <c r="JQ102" s="236"/>
      <c r="JR102" s="236"/>
      <c r="JS102" s="236"/>
      <c r="JT102" s="236"/>
      <c r="JU102" s="236"/>
      <c r="JV102" s="236"/>
      <c r="JW102" s="236"/>
      <c r="JX102" s="409"/>
      <c r="JY102" s="409"/>
      <c r="JZ102" s="409"/>
      <c r="KA102" s="409"/>
      <c r="KB102" s="409"/>
      <c r="KC102" s="409"/>
      <c r="KD102" s="409"/>
      <c r="KE102" s="409"/>
      <c r="KF102" s="409"/>
      <c r="KG102" s="410"/>
      <c r="KH102" s="412">
        <f t="shared" si="36"/>
        <v>99</v>
      </c>
      <c r="KI102" s="413" t="str">
        <f t="shared" ca="1" si="27"/>
        <v/>
      </c>
      <c r="KJ102" s="413" t="str">
        <f t="shared" ca="1" si="37"/>
        <v/>
      </c>
      <c r="KK102" s="414" t="str">
        <f t="shared" ca="1" si="28"/>
        <v/>
      </c>
    </row>
    <row r="103" spans="3:297" ht="24" customHeight="1">
      <c r="C103"/>
      <c r="D103" s="57" t="str">
        <f ca="1">INDIRECT(ADDRESS(ROWS($D$3:D102)+6,D$3,1,1,"3_TIME SUM"))</f>
        <v>Evironment Issue</v>
      </c>
      <c r="E103" s="81" t="str">
        <f ca="1">IF(INDIRECT(ADDRESS(ROWS($E$3:E102)+6,E$3,1,1,"3_TIME SUM"))=0,E102,INDIRECT(ADDRESS(ROWS($E$3:E102)+6,E$3,1,1,"3_TIME SUM")))</f>
        <v>Others NPT</v>
      </c>
      <c r="F103" s="57" t="str">
        <f t="shared" ca="1" si="24"/>
        <v>Others NPT : Evironment Issue</v>
      </c>
      <c r="G103" s="58" t="str">
        <f ca="1">VLOOKUP($D103,INDIRECT(ADDRESS(7,5,1,1,"3_TIME SUM")):INDIRECT(ADDRESS(200,7,1,1,"3_TIME SUM")),2,FALSE)</f>
        <v>22c</v>
      </c>
      <c r="H103" s="58" t="str">
        <f ca="1">IF(VLOOKUP($D103,INDIRECT(ADDRESS(7,5,1,1,"3_TIME SUM")):INDIRECT(ADDRESS(200,7,1,1,"3_TIME SUM")),3,FALSE)="","PT",VLOOKUP($D103,INDIRECT(ADDRESS(7,5,1,1,"3_TIME SUM")):INDIRECT(ADDRESS(200,7,1,1,"3_TIME SUM")),3,FALSE))</f>
        <v>NPT</v>
      </c>
      <c r="I103" s="59">
        <f ca="1">IFERROR(IF(AND($D$2="NON PRODUCTIVE TIME",$H103="NPT"),SUMIF(INDIRECT(ADDRESS(8,COLUMN('2_DATA'!$M$9),1,1,"2_DATA")):INDIRECT(ADDRESS(3000,COLUMN('2_DATA'!$M$9),1,1,"2_DATA")),$G103,INDIRECT(ADDRESS(8,COLUMN('2_DATA'!$N$9),1,1,"2_DATA")):INDIRECT(ADDRESS(3000,COLUMN('2_DATA'!$N$9),1,1,"2_DATA"))),IF($D$2="ALL ACTIVITY",SUMIF(INDIRECT(ADDRESS(9,COLUMN('2_DATA'!$M$9),1,1,"2_DATA")):INDIRECT(ADDRESS(3000,COLUMN('2_DATA'!$M$9),1,1,"2_DATA")),$G103,INDIRECT(ADDRESS(9,COLUMN('2_DATA'!$N$9),1,1,"2_DATA")):INDIRECT(ADDRESS(3000,COLUMN('2_DATA'!$N$9),1,1,"2_DATA"))),SUMIF(INDIRECT(ADDRESS(OFFSET($A$3,MATCH($D$2,$A$4:$A$16,0)-1,1,,)+1,COLUMN('2_DATA'!$M$9),1,1,"2_DATA")):INDIRECT(ADDRESS(VLOOKUP($D$2,$A$4:$B$16,2,FALSE)-1,COLUMN('2_DATA'!$M$9),1,1,"2_DATA")),$G103,INDIRECT(ADDRESS(OFFSET($A$3,MATCH($D$2,$A$4:$A$16,0)-1,1,,)+1,COLUMN('2_DATA'!$N$9),1,1,"2_DATA")):INDIRECT(ADDRESS(VLOOKUP($D$2,$A$4:$B$16,2,FALSE)-1,COLUMN('2_DATA'!$N$9),1,1,"2_DATA"))))),0)</f>
        <v>0</v>
      </c>
      <c r="J103" s="58" t="str">
        <f ca="1">IF(I103=0,"",MAX($J$3:J102)+1)</f>
        <v/>
      </c>
      <c r="L103" s="55">
        <f t="shared" ca="1" si="21"/>
        <v>1000</v>
      </c>
      <c r="M103" s="55" t="str">
        <f t="shared" ca="1" si="25"/>
        <v/>
      </c>
      <c r="N103" s="55"/>
      <c r="O103" s="55" t="str">
        <f t="shared" ca="1" si="29"/>
        <v/>
      </c>
      <c r="P103" s="55">
        <f t="shared" ca="1" si="22"/>
        <v>0</v>
      </c>
      <c r="Q103" s="55" t="str">
        <f ca="1">IFERROR(INDEX($O$4:$P$226,MATCH(ROWS($Q$3:Q102),$P$4:$P$226,0),1),"-")</f>
        <v>-</v>
      </c>
      <c r="R103" s="62" t="str">
        <f t="shared" ca="1" si="23"/>
        <v/>
      </c>
      <c r="S103" s="55" t="str">
        <f t="shared" ca="1" si="26"/>
        <v/>
      </c>
      <c r="T103" s="67" t="str">
        <f t="shared" ca="1" si="38"/>
        <v>-</v>
      </c>
      <c r="V103" s="68" t="str">
        <f t="shared" ca="1" si="30"/>
        <v/>
      </c>
      <c r="W103" s="69" t="str">
        <f t="shared" ca="1" si="31"/>
        <v/>
      </c>
      <c r="X103" s="70" t="s">
        <v>84</v>
      </c>
      <c r="Y103" s="68" t="str">
        <f t="shared" ca="1" si="35"/>
        <v/>
      </c>
      <c r="Z103" s="71" t="str">
        <f t="shared" ca="1" si="32"/>
        <v/>
      </c>
      <c r="AA103" s="72" t="str">
        <f t="shared" ca="1" si="33"/>
        <v/>
      </c>
      <c r="AB103" s="305" t="str">
        <f t="shared" ca="1" si="34"/>
        <v/>
      </c>
      <c r="AC103" s="236"/>
      <c r="AD103" s="236"/>
      <c r="AE103" s="236"/>
      <c r="AF103" s="236"/>
      <c r="AG103" s="236"/>
      <c r="AH103" s="236"/>
      <c r="AI103" s="236"/>
      <c r="AJ103" s="236"/>
      <c r="AK103" s="236"/>
      <c r="AL103" s="236"/>
      <c r="AM103" s="236"/>
      <c r="AN103" s="236"/>
      <c r="AO103" s="236"/>
      <c r="AP103" s="236"/>
      <c r="AQ103" s="236"/>
      <c r="AR103" s="236"/>
      <c r="AS103" s="236"/>
      <c r="AT103" s="236"/>
      <c r="AU103" s="236"/>
      <c r="AV103" s="236"/>
      <c r="AW103" s="236"/>
      <c r="AX103" s="236"/>
      <c r="AY103" s="236"/>
      <c r="AZ103" s="236"/>
      <c r="BA103" s="236"/>
      <c r="BB103" s="236"/>
      <c r="BC103" s="236"/>
      <c r="BD103" s="236"/>
      <c r="BE103" s="236"/>
      <c r="BF103" s="236"/>
      <c r="BG103" s="236"/>
      <c r="BH103" s="236"/>
      <c r="BI103" s="236"/>
      <c r="BJ103" s="236"/>
      <c r="BK103" s="236"/>
      <c r="BL103" s="236"/>
      <c r="BM103" s="236"/>
      <c r="BN103" s="236"/>
      <c r="BO103" s="236"/>
      <c r="BP103" s="236"/>
      <c r="BQ103" s="236"/>
      <c r="BR103" s="236"/>
      <c r="BS103" s="236"/>
      <c r="BT103" s="236"/>
      <c r="BU103" s="236"/>
      <c r="BV103" s="236"/>
      <c r="BW103" s="236"/>
      <c r="BX103" s="236"/>
      <c r="BY103" s="236"/>
      <c r="BZ103" s="236"/>
      <c r="CA103" s="236"/>
      <c r="CB103" s="236"/>
      <c r="CC103" s="236"/>
      <c r="CD103" s="236"/>
      <c r="CE103" s="236"/>
      <c r="CF103" s="236"/>
      <c r="CG103" s="236"/>
      <c r="CH103" s="236"/>
      <c r="CI103" s="236"/>
      <c r="CJ103" s="236"/>
      <c r="CK103" s="236"/>
      <c r="CL103" s="236"/>
      <c r="CM103" s="236"/>
      <c r="CN103" s="236"/>
      <c r="CO103" s="236"/>
      <c r="CP103" s="236"/>
      <c r="CQ103" s="236"/>
      <c r="CR103" s="236"/>
      <c r="CS103" s="236"/>
      <c r="CT103" s="236"/>
      <c r="CU103" s="236"/>
      <c r="CV103" s="236"/>
      <c r="CW103" s="236"/>
      <c r="CX103" s="236"/>
      <c r="CY103" s="236"/>
      <c r="CZ103" s="236"/>
      <c r="DA103" s="236"/>
      <c r="DB103" s="236"/>
      <c r="DC103" s="236"/>
      <c r="DD103" s="236"/>
      <c r="DE103" s="236"/>
      <c r="DF103" s="236"/>
      <c r="DG103" s="236"/>
      <c r="DH103" s="236"/>
      <c r="DI103" s="236"/>
      <c r="DJ103" s="236"/>
      <c r="DK103" s="236"/>
      <c r="DL103" s="236"/>
      <c r="DM103" s="236"/>
      <c r="DN103" s="236"/>
      <c r="DO103" s="236"/>
      <c r="DP103" s="236"/>
      <c r="DQ103" s="236"/>
      <c r="DR103" s="236"/>
      <c r="DS103" s="236"/>
      <c r="DT103" s="236"/>
      <c r="DU103" s="236"/>
      <c r="DV103" s="236"/>
      <c r="DW103" s="236"/>
      <c r="DX103" s="236"/>
      <c r="DY103" s="236"/>
      <c r="DZ103" s="236"/>
      <c r="EA103" s="236"/>
      <c r="EB103" s="236"/>
      <c r="EC103" s="236"/>
      <c r="ED103" s="236"/>
      <c r="EE103" s="236"/>
      <c r="EF103" s="236"/>
      <c r="EG103" s="236"/>
      <c r="EH103" s="236"/>
      <c r="EI103" s="236"/>
      <c r="EJ103" s="236"/>
      <c r="EK103" s="236"/>
      <c r="EL103" s="236"/>
      <c r="EM103" s="236"/>
      <c r="EN103" s="236"/>
      <c r="EO103" s="236"/>
      <c r="EP103" s="236"/>
      <c r="EQ103" s="236"/>
      <c r="ER103" s="236"/>
      <c r="ES103" s="236"/>
      <c r="ET103" s="236"/>
      <c r="EU103" s="236"/>
      <c r="EV103" s="236"/>
      <c r="EW103" s="236"/>
      <c r="EX103" s="236"/>
      <c r="EY103" s="236"/>
      <c r="EZ103" s="236"/>
      <c r="FA103" s="236"/>
      <c r="FB103" s="236"/>
      <c r="FC103" s="236"/>
      <c r="FD103" s="236"/>
      <c r="FE103" s="236"/>
      <c r="FF103" s="236"/>
      <c r="FG103" s="236"/>
      <c r="FH103" s="236"/>
      <c r="FI103" s="236"/>
      <c r="FJ103" s="236"/>
      <c r="FK103" s="236"/>
      <c r="FL103" s="236"/>
      <c r="FM103" s="236"/>
      <c r="FN103" s="236"/>
      <c r="FO103" s="236"/>
      <c r="FP103" s="236"/>
      <c r="FQ103" s="236"/>
      <c r="FR103" s="236"/>
      <c r="FS103" s="236"/>
      <c r="FT103" s="236"/>
      <c r="FU103" s="236"/>
      <c r="FV103" s="236"/>
      <c r="FW103" s="236"/>
      <c r="FX103" s="236"/>
      <c r="FY103" s="236"/>
      <c r="FZ103" s="236"/>
      <c r="GA103" s="236"/>
      <c r="GB103" s="236"/>
      <c r="GC103" s="236"/>
      <c r="GD103" s="236"/>
      <c r="GE103" s="236"/>
      <c r="GF103" s="236"/>
      <c r="GG103" s="236"/>
      <c r="GH103" s="236"/>
      <c r="GI103" s="236"/>
      <c r="GJ103" s="236"/>
      <c r="GK103" s="236"/>
      <c r="GL103" s="236"/>
      <c r="GM103" s="236"/>
      <c r="GN103" s="236"/>
      <c r="GO103" s="236"/>
      <c r="GP103" s="236"/>
      <c r="GQ103" s="236"/>
      <c r="GR103" s="236"/>
      <c r="GS103" s="236"/>
      <c r="GT103" s="236"/>
      <c r="GU103" s="236"/>
      <c r="GV103" s="236"/>
      <c r="GW103" s="236"/>
      <c r="GX103" s="236"/>
      <c r="GY103" s="236"/>
      <c r="GZ103" s="236"/>
      <c r="HA103" s="236"/>
      <c r="HB103" s="236"/>
      <c r="HC103" s="236"/>
      <c r="HD103" s="236"/>
      <c r="HE103" s="236"/>
      <c r="HF103" s="236"/>
      <c r="HG103" s="236"/>
      <c r="HH103" s="236"/>
      <c r="HI103" s="236"/>
      <c r="HJ103" s="236"/>
      <c r="HK103" s="236"/>
      <c r="HL103" s="236"/>
      <c r="HM103" s="236"/>
      <c r="HN103" s="236"/>
      <c r="HO103" s="236"/>
      <c r="HP103" s="236"/>
      <c r="HQ103" s="236"/>
      <c r="HR103" s="236"/>
      <c r="HS103" s="236"/>
      <c r="HT103" s="236"/>
      <c r="HU103" s="236"/>
      <c r="HV103" s="236"/>
      <c r="HW103" s="236"/>
      <c r="HX103" s="236"/>
      <c r="HY103" s="236"/>
      <c r="HZ103" s="236"/>
      <c r="IA103" s="236"/>
      <c r="IB103" s="236"/>
      <c r="IC103" s="236"/>
      <c r="ID103" s="236"/>
      <c r="IE103" s="236"/>
      <c r="IF103" s="236"/>
      <c r="IG103" s="236"/>
      <c r="IH103" s="236"/>
      <c r="II103" s="236"/>
      <c r="IJ103" s="236"/>
      <c r="IK103" s="236"/>
      <c r="IL103" s="236"/>
      <c r="IM103" s="236"/>
      <c r="IN103" s="236"/>
      <c r="IO103" s="236"/>
      <c r="IP103" s="236"/>
      <c r="IQ103" s="236"/>
      <c r="IR103" s="236"/>
      <c r="IS103" s="236"/>
      <c r="IT103" s="236"/>
      <c r="IU103" s="236"/>
      <c r="IV103" s="236"/>
      <c r="IW103" s="236"/>
      <c r="IX103" s="236"/>
      <c r="IY103" s="236"/>
      <c r="IZ103" s="236"/>
      <c r="JA103" s="236"/>
      <c r="JB103" s="236"/>
      <c r="JC103" s="236"/>
      <c r="JD103" s="236"/>
      <c r="JE103" s="236"/>
      <c r="JF103" s="236"/>
      <c r="JG103" s="236"/>
      <c r="JH103" s="236"/>
      <c r="JI103" s="236"/>
      <c r="JJ103" s="236"/>
      <c r="JK103" s="236"/>
      <c r="JL103" s="236"/>
      <c r="JM103" s="236"/>
      <c r="JN103" s="236"/>
      <c r="JO103" s="236"/>
      <c r="JP103" s="236"/>
      <c r="JQ103" s="236"/>
      <c r="JR103" s="236"/>
      <c r="JS103" s="236"/>
      <c r="JT103" s="236"/>
      <c r="JU103" s="236"/>
      <c r="JV103" s="236"/>
      <c r="JW103" s="236"/>
      <c r="JX103" s="409"/>
      <c r="JY103" s="409"/>
      <c r="JZ103" s="409"/>
      <c r="KA103" s="409"/>
      <c r="KB103" s="409"/>
      <c r="KC103" s="409"/>
      <c r="KD103" s="409"/>
      <c r="KE103" s="409"/>
      <c r="KF103" s="409"/>
      <c r="KG103" s="410"/>
      <c r="KH103" s="412">
        <f t="shared" si="36"/>
        <v>100</v>
      </c>
      <c r="KI103" s="413" t="str">
        <f t="shared" ca="1" si="27"/>
        <v/>
      </c>
      <c r="KJ103" s="413" t="str">
        <f t="shared" ca="1" si="37"/>
        <v/>
      </c>
      <c r="KK103" s="414" t="str">
        <f t="shared" ca="1" si="28"/>
        <v/>
      </c>
    </row>
    <row r="104" spans="3:297" ht="24" customHeight="1">
      <c r="C104"/>
      <c r="D104" s="57" t="str">
        <f ca="1">INDIRECT(ADDRESS(ROWS($D$3:D103)+6,D$3,1,1,"3_TIME SUM"))</f>
        <v>Location Problem</v>
      </c>
      <c r="E104" s="81" t="str">
        <f ca="1">IF(INDIRECT(ADDRESS(ROWS($E$3:E103)+6,E$3,1,1,"3_TIME SUM"))=0,E103,INDIRECT(ADDRESS(ROWS($E$3:E103)+6,E$3,1,1,"3_TIME SUM")))</f>
        <v>Others NPT</v>
      </c>
      <c r="F104" s="57" t="str">
        <f t="shared" ca="1" si="24"/>
        <v>Others NPT : Location Problem</v>
      </c>
      <c r="G104" s="58" t="str">
        <f ca="1">VLOOKUP($D104,INDIRECT(ADDRESS(7,5,1,1,"3_TIME SUM")):INDIRECT(ADDRESS(200,7,1,1,"3_TIME SUM")),2,FALSE)</f>
        <v>22d</v>
      </c>
      <c r="H104" s="58" t="str">
        <f ca="1">IF(VLOOKUP($D104,INDIRECT(ADDRESS(7,5,1,1,"3_TIME SUM")):INDIRECT(ADDRESS(200,7,1,1,"3_TIME SUM")),3,FALSE)="","PT",VLOOKUP($D104,INDIRECT(ADDRESS(7,5,1,1,"3_TIME SUM")):INDIRECT(ADDRESS(200,7,1,1,"3_TIME SUM")),3,FALSE))</f>
        <v>NPT</v>
      </c>
      <c r="I104" s="59">
        <f ca="1">IFERROR(IF(AND($D$2="NON PRODUCTIVE TIME",$H104="NPT"),SUMIF(INDIRECT(ADDRESS(8,COLUMN('2_DATA'!$M$9),1,1,"2_DATA")):INDIRECT(ADDRESS(3000,COLUMN('2_DATA'!$M$9),1,1,"2_DATA")),$G104,INDIRECT(ADDRESS(8,COLUMN('2_DATA'!$N$9),1,1,"2_DATA")):INDIRECT(ADDRESS(3000,COLUMN('2_DATA'!$N$9),1,1,"2_DATA"))),IF($D$2="ALL ACTIVITY",SUMIF(INDIRECT(ADDRESS(9,COLUMN('2_DATA'!$M$9),1,1,"2_DATA")):INDIRECT(ADDRESS(3000,COLUMN('2_DATA'!$M$9),1,1,"2_DATA")),$G104,INDIRECT(ADDRESS(9,COLUMN('2_DATA'!$N$9),1,1,"2_DATA")):INDIRECT(ADDRESS(3000,COLUMN('2_DATA'!$N$9),1,1,"2_DATA"))),SUMIF(INDIRECT(ADDRESS(OFFSET($A$3,MATCH($D$2,$A$4:$A$16,0)-1,1,,)+1,COLUMN('2_DATA'!$M$9),1,1,"2_DATA")):INDIRECT(ADDRESS(VLOOKUP($D$2,$A$4:$B$16,2,FALSE)-1,COLUMN('2_DATA'!$M$9),1,1,"2_DATA")),$G104,INDIRECT(ADDRESS(OFFSET($A$3,MATCH($D$2,$A$4:$A$16,0)-1,1,,)+1,COLUMN('2_DATA'!$N$9),1,1,"2_DATA")):INDIRECT(ADDRESS(VLOOKUP($D$2,$A$4:$B$16,2,FALSE)-1,COLUMN('2_DATA'!$N$9),1,1,"2_DATA"))))),0)</f>
        <v>0</v>
      </c>
      <c r="J104" s="58" t="str">
        <f ca="1">IF(I104=0,"",MAX($J$3:J103)+1)</f>
        <v/>
      </c>
      <c r="L104" s="55">
        <f t="shared" ca="1" si="21"/>
        <v>1000</v>
      </c>
      <c r="M104" s="55" t="str">
        <f t="shared" ca="1" si="25"/>
        <v/>
      </c>
      <c r="N104" s="55"/>
      <c r="O104" s="55" t="str">
        <f t="shared" ca="1" si="29"/>
        <v/>
      </c>
      <c r="P104" s="55">
        <f t="shared" ca="1" si="22"/>
        <v>0</v>
      </c>
      <c r="Q104" s="55" t="str">
        <f ca="1">IFERROR(INDEX($O$4:$P$226,MATCH(ROWS($Q$3:Q103),$P$4:$P$226,0),1),"-")</f>
        <v>-</v>
      </c>
      <c r="R104" s="62" t="str">
        <f t="shared" ca="1" si="23"/>
        <v/>
      </c>
      <c r="S104" s="55" t="str">
        <f t="shared" ca="1" si="26"/>
        <v/>
      </c>
      <c r="T104" s="67" t="str">
        <f t="shared" ca="1" si="38"/>
        <v>-</v>
      </c>
      <c r="V104" s="68" t="str">
        <f t="shared" ca="1" si="30"/>
        <v/>
      </c>
      <c r="W104" s="69" t="str">
        <f t="shared" ca="1" si="31"/>
        <v/>
      </c>
      <c r="X104" s="70" t="s">
        <v>84</v>
      </c>
      <c r="Y104" s="68" t="str">
        <f t="shared" ca="1" si="35"/>
        <v/>
      </c>
      <c r="Z104" s="71" t="str">
        <f t="shared" ca="1" si="32"/>
        <v/>
      </c>
      <c r="AA104" s="72" t="str">
        <f t="shared" ca="1" si="33"/>
        <v/>
      </c>
      <c r="AB104" s="305" t="str">
        <f t="shared" ca="1" si="34"/>
        <v/>
      </c>
      <c r="AC104" s="236"/>
      <c r="AD104" s="236"/>
      <c r="AE104" s="236"/>
      <c r="AF104" s="236"/>
      <c r="AG104" s="236"/>
      <c r="AH104" s="236"/>
      <c r="AI104" s="236"/>
      <c r="AJ104" s="236"/>
      <c r="AK104" s="236"/>
      <c r="AL104" s="236"/>
      <c r="AM104" s="236"/>
      <c r="AN104" s="236"/>
      <c r="AO104" s="236"/>
      <c r="AP104" s="236"/>
      <c r="AQ104" s="236"/>
      <c r="AR104" s="236"/>
      <c r="AS104" s="236"/>
      <c r="AT104" s="236"/>
      <c r="AU104" s="236"/>
      <c r="AV104" s="236"/>
      <c r="AW104" s="236"/>
      <c r="AX104" s="236"/>
      <c r="AY104" s="236"/>
      <c r="AZ104" s="236"/>
      <c r="BA104" s="236"/>
      <c r="BB104" s="236"/>
      <c r="BC104" s="236"/>
      <c r="BD104" s="236"/>
      <c r="BE104" s="236"/>
      <c r="BF104" s="236"/>
      <c r="BG104" s="236"/>
      <c r="BH104" s="236"/>
      <c r="BI104" s="236"/>
      <c r="BJ104" s="236"/>
      <c r="BK104" s="236"/>
      <c r="BL104" s="236"/>
      <c r="BM104" s="236"/>
      <c r="BN104" s="236"/>
      <c r="BO104" s="236"/>
      <c r="BP104" s="236"/>
      <c r="BQ104" s="236"/>
      <c r="BR104" s="236"/>
      <c r="BS104" s="236"/>
      <c r="BT104" s="236"/>
      <c r="BU104" s="236"/>
      <c r="BV104" s="236"/>
      <c r="BW104" s="236"/>
      <c r="BX104" s="236"/>
      <c r="BY104" s="236"/>
      <c r="BZ104" s="236"/>
      <c r="CA104" s="236"/>
      <c r="CB104" s="236"/>
      <c r="CC104" s="236"/>
      <c r="CD104" s="236"/>
      <c r="CE104" s="236"/>
      <c r="CF104" s="236"/>
      <c r="CG104" s="236"/>
      <c r="CH104" s="236"/>
      <c r="CI104" s="236"/>
      <c r="CJ104" s="236"/>
      <c r="CK104" s="236"/>
      <c r="CL104" s="236"/>
      <c r="CM104" s="236"/>
      <c r="CN104" s="236"/>
      <c r="CO104" s="236"/>
      <c r="CP104" s="236"/>
      <c r="CQ104" s="236"/>
      <c r="CR104" s="236"/>
      <c r="CS104" s="236"/>
      <c r="CT104" s="236"/>
      <c r="CU104" s="236"/>
      <c r="CV104" s="236"/>
      <c r="CW104" s="236"/>
      <c r="CX104" s="236"/>
      <c r="CY104" s="236"/>
      <c r="CZ104" s="236"/>
      <c r="DA104" s="236"/>
      <c r="DB104" s="236"/>
      <c r="DC104" s="236"/>
      <c r="DD104" s="236"/>
      <c r="DE104" s="236"/>
      <c r="DF104" s="236"/>
      <c r="DG104" s="236"/>
      <c r="DH104" s="236"/>
      <c r="DI104" s="236"/>
      <c r="DJ104" s="236"/>
      <c r="DK104" s="236"/>
      <c r="DL104" s="236"/>
      <c r="DM104" s="236"/>
      <c r="DN104" s="236"/>
      <c r="DO104" s="236"/>
      <c r="DP104" s="236"/>
      <c r="DQ104" s="236"/>
      <c r="DR104" s="236"/>
      <c r="DS104" s="236"/>
      <c r="DT104" s="236"/>
      <c r="DU104" s="236"/>
      <c r="DV104" s="236"/>
      <c r="DW104" s="236"/>
      <c r="DX104" s="236"/>
      <c r="DY104" s="236"/>
      <c r="DZ104" s="236"/>
      <c r="EA104" s="236"/>
      <c r="EB104" s="236"/>
      <c r="EC104" s="236"/>
      <c r="ED104" s="236"/>
      <c r="EE104" s="236"/>
      <c r="EF104" s="236"/>
      <c r="EG104" s="236"/>
      <c r="EH104" s="236"/>
      <c r="EI104" s="236"/>
      <c r="EJ104" s="236"/>
      <c r="EK104" s="236"/>
      <c r="EL104" s="236"/>
      <c r="EM104" s="236"/>
      <c r="EN104" s="236"/>
      <c r="EO104" s="236"/>
      <c r="EP104" s="236"/>
      <c r="EQ104" s="236"/>
      <c r="ER104" s="236"/>
      <c r="ES104" s="236"/>
      <c r="ET104" s="236"/>
      <c r="EU104" s="236"/>
      <c r="EV104" s="236"/>
      <c r="EW104" s="236"/>
      <c r="EX104" s="236"/>
      <c r="EY104" s="236"/>
      <c r="EZ104" s="236"/>
      <c r="FA104" s="236"/>
      <c r="FB104" s="236"/>
      <c r="FC104" s="236"/>
      <c r="FD104" s="236"/>
      <c r="FE104" s="236"/>
      <c r="FF104" s="236"/>
      <c r="FG104" s="236"/>
      <c r="FH104" s="236"/>
      <c r="FI104" s="236"/>
      <c r="FJ104" s="236"/>
      <c r="FK104" s="236"/>
      <c r="FL104" s="236"/>
      <c r="FM104" s="236"/>
      <c r="FN104" s="236"/>
      <c r="FO104" s="236"/>
      <c r="FP104" s="236"/>
      <c r="FQ104" s="236"/>
      <c r="FR104" s="236"/>
      <c r="FS104" s="236"/>
      <c r="FT104" s="236"/>
      <c r="FU104" s="236"/>
      <c r="FV104" s="236"/>
      <c r="FW104" s="236"/>
      <c r="FX104" s="236"/>
      <c r="FY104" s="236"/>
      <c r="FZ104" s="236"/>
      <c r="GA104" s="236"/>
      <c r="GB104" s="236"/>
      <c r="GC104" s="236"/>
      <c r="GD104" s="236"/>
      <c r="GE104" s="236"/>
      <c r="GF104" s="236"/>
      <c r="GG104" s="236"/>
      <c r="GH104" s="236"/>
      <c r="GI104" s="236"/>
      <c r="GJ104" s="236"/>
      <c r="GK104" s="236"/>
      <c r="GL104" s="236"/>
      <c r="GM104" s="236"/>
      <c r="GN104" s="236"/>
      <c r="GO104" s="236"/>
      <c r="GP104" s="236"/>
      <c r="GQ104" s="236"/>
      <c r="GR104" s="236"/>
      <c r="GS104" s="236"/>
      <c r="GT104" s="236"/>
      <c r="GU104" s="236"/>
      <c r="GV104" s="236"/>
      <c r="GW104" s="236"/>
      <c r="GX104" s="236"/>
      <c r="GY104" s="236"/>
      <c r="GZ104" s="236"/>
      <c r="HA104" s="236"/>
      <c r="HB104" s="236"/>
      <c r="HC104" s="236"/>
      <c r="HD104" s="236"/>
      <c r="HE104" s="236"/>
      <c r="HF104" s="236"/>
      <c r="HG104" s="236"/>
      <c r="HH104" s="236"/>
      <c r="HI104" s="236"/>
      <c r="HJ104" s="236"/>
      <c r="HK104" s="236"/>
      <c r="HL104" s="236"/>
      <c r="HM104" s="236"/>
      <c r="HN104" s="236"/>
      <c r="HO104" s="236"/>
      <c r="HP104" s="236"/>
      <c r="HQ104" s="236"/>
      <c r="HR104" s="236"/>
      <c r="HS104" s="236"/>
      <c r="HT104" s="236"/>
      <c r="HU104" s="236"/>
      <c r="HV104" s="236"/>
      <c r="HW104" s="236"/>
      <c r="HX104" s="236"/>
      <c r="HY104" s="236"/>
      <c r="HZ104" s="236"/>
      <c r="IA104" s="236"/>
      <c r="IB104" s="236"/>
      <c r="IC104" s="236"/>
      <c r="ID104" s="236"/>
      <c r="IE104" s="236"/>
      <c r="IF104" s="236"/>
      <c r="IG104" s="236"/>
      <c r="IH104" s="236"/>
      <c r="II104" s="236"/>
      <c r="IJ104" s="236"/>
      <c r="IK104" s="236"/>
      <c r="IL104" s="236"/>
      <c r="IM104" s="236"/>
      <c r="IN104" s="236"/>
      <c r="IO104" s="236"/>
      <c r="IP104" s="236"/>
      <c r="IQ104" s="236"/>
      <c r="IR104" s="236"/>
      <c r="IS104" s="236"/>
      <c r="IT104" s="236"/>
      <c r="IU104" s="236"/>
      <c r="IV104" s="236"/>
      <c r="IW104" s="236"/>
      <c r="IX104" s="236"/>
      <c r="IY104" s="236"/>
      <c r="IZ104" s="236"/>
      <c r="JA104" s="236"/>
      <c r="JB104" s="236"/>
      <c r="JC104" s="236"/>
      <c r="JD104" s="236"/>
      <c r="JE104" s="236"/>
      <c r="JF104" s="236"/>
      <c r="JG104" s="236"/>
      <c r="JH104" s="236"/>
      <c r="JI104" s="236"/>
      <c r="JJ104" s="236"/>
      <c r="JK104" s="236"/>
      <c r="JL104" s="236"/>
      <c r="JM104" s="236"/>
      <c r="JN104" s="236"/>
      <c r="JO104" s="236"/>
      <c r="JP104" s="236"/>
      <c r="JQ104" s="236"/>
      <c r="JR104" s="236"/>
      <c r="JS104" s="236"/>
      <c r="JT104" s="236"/>
      <c r="JU104" s="236"/>
      <c r="JV104" s="236"/>
      <c r="JW104" s="236"/>
      <c r="JX104" s="409"/>
      <c r="JY104" s="409"/>
      <c r="JZ104" s="409"/>
      <c r="KA104" s="409"/>
      <c r="KB104" s="409"/>
      <c r="KC104" s="409"/>
      <c r="KD104" s="409"/>
      <c r="KE104" s="409"/>
      <c r="KF104" s="409"/>
      <c r="KG104" s="410"/>
      <c r="KH104" s="412">
        <f t="shared" si="36"/>
        <v>101</v>
      </c>
      <c r="KI104" s="413" t="str">
        <f t="shared" ca="1" si="27"/>
        <v/>
      </c>
      <c r="KJ104" s="413" t="str">
        <f t="shared" ca="1" si="37"/>
        <v/>
      </c>
      <c r="KK104" s="414" t="str">
        <f t="shared" ca="1" si="28"/>
        <v/>
      </c>
    </row>
    <row r="105" spans="3:297" ht="24" customHeight="1">
      <c r="C105"/>
      <c r="D105" s="57" t="str">
        <f ca="1">INDIRECT(ADDRESS(ROWS($D$3:D104)+6,D$3,1,1,"3_TIME SUM"))</f>
        <v xml:space="preserve">Logistics Problem  </v>
      </c>
      <c r="E105" s="81" t="str">
        <f ca="1">IF(INDIRECT(ADDRESS(ROWS($E$3:E104)+6,E$3,1,1,"3_TIME SUM"))=0,E104,INDIRECT(ADDRESS(ROWS($E$3:E104)+6,E$3,1,1,"3_TIME SUM")))</f>
        <v>Others NPT</v>
      </c>
      <c r="F105" s="57" t="str">
        <f t="shared" ca="1" si="24"/>
        <v xml:space="preserve">Others NPT : Logistics Problem  </v>
      </c>
      <c r="G105" s="58" t="str">
        <f ca="1">VLOOKUP($D105,INDIRECT(ADDRESS(7,5,1,1,"3_TIME SUM")):INDIRECT(ADDRESS(200,7,1,1,"3_TIME SUM")),2,FALSE)</f>
        <v>22e</v>
      </c>
      <c r="H105" s="58" t="str">
        <f ca="1">IF(VLOOKUP($D105,INDIRECT(ADDRESS(7,5,1,1,"3_TIME SUM")):INDIRECT(ADDRESS(200,7,1,1,"3_TIME SUM")),3,FALSE)="","PT",VLOOKUP($D105,INDIRECT(ADDRESS(7,5,1,1,"3_TIME SUM")):INDIRECT(ADDRESS(200,7,1,1,"3_TIME SUM")),3,FALSE))</f>
        <v>NPT</v>
      </c>
      <c r="I105" s="59">
        <f ca="1">IFERROR(IF(AND($D$2="NON PRODUCTIVE TIME",$H105="NPT"),SUMIF(INDIRECT(ADDRESS(8,COLUMN('2_DATA'!$M$9),1,1,"2_DATA")):INDIRECT(ADDRESS(3000,COLUMN('2_DATA'!$M$9),1,1,"2_DATA")),$G105,INDIRECT(ADDRESS(8,COLUMN('2_DATA'!$N$9),1,1,"2_DATA")):INDIRECT(ADDRESS(3000,COLUMN('2_DATA'!$N$9),1,1,"2_DATA"))),IF($D$2="ALL ACTIVITY",SUMIF(INDIRECT(ADDRESS(9,COLUMN('2_DATA'!$M$9),1,1,"2_DATA")):INDIRECT(ADDRESS(3000,COLUMN('2_DATA'!$M$9),1,1,"2_DATA")),$G105,INDIRECT(ADDRESS(9,COLUMN('2_DATA'!$N$9),1,1,"2_DATA")):INDIRECT(ADDRESS(3000,COLUMN('2_DATA'!$N$9),1,1,"2_DATA"))),SUMIF(INDIRECT(ADDRESS(OFFSET($A$3,MATCH($D$2,$A$4:$A$16,0)-1,1,,)+1,COLUMN('2_DATA'!$M$9),1,1,"2_DATA")):INDIRECT(ADDRESS(VLOOKUP($D$2,$A$4:$B$16,2,FALSE)-1,COLUMN('2_DATA'!$M$9),1,1,"2_DATA")),$G105,INDIRECT(ADDRESS(OFFSET($A$3,MATCH($D$2,$A$4:$A$16,0)-1,1,,)+1,COLUMN('2_DATA'!$N$9),1,1,"2_DATA")):INDIRECT(ADDRESS(VLOOKUP($D$2,$A$4:$B$16,2,FALSE)-1,COLUMN('2_DATA'!$N$9),1,1,"2_DATA"))))),0)</f>
        <v>0</v>
      </c>
      <c r="J105" s="58" t="str">
        <f ca="1">IF(I105=0,"",MAX($J$3:J104)+1)</f>
        <v/>
      </c>
      <c r="L105" s="55">
        <f t="shared" ca="1" si="21"/>
        <v>1000</v>
      </c>
      <c r="M105" s="55" t="str">
        <f t="shared" ca="1" si="25"/>
        <v/>
      </c>
      <c r="N105" s="55"/>
      <c r="O105" s="55" t="str">
        <f t="shared" ca="1" si="29"/>
        <v/>
      </c>
      <c r="P105" s="55">
        <f t="shared" ca="1" si="22"/>
        <v>0</v>
      </c>
      <c r="Q105" s="55" t="str">
        <f ca="1">IFERROR(INDEX($O$4:$P$226,MATCH(ROWS($Q$3:Q104),$P$4:$P$226,0),1),"-")</f>
        <v>-</v>
      </c>
      <c r="R105" s="62" t="str">
        <f t="shared" ca="1" si="23"/>
        <v/>
      </c>
      <c r="S105" s="55" t="str">
        <f t="shared" ca="1" si="26"/>
        <v/>
      </c>
      <c r="T105" s="67" t="str">
        <f t="shared" ca="1" si="38"/>
        <v>-</v>
      </c>
      <c r="V105" s="68" t="str">
        <f t="shared" ca="1" si="30"/>
        <v/>
      </c>
      <c r="W105" s="69" t="str">
        <f t="shared" ca="1" si="31"/>
        <v/>
      </c>
      <c r="X105" s="70" t="s">
        <v>84</v>
      </c>
      <c r="Y105" s="68" t="str">
        <f t="shared" ca="1" si="35"/>
        <v/>
      </c>
      <c r="Z105" s="71" t="str">
        <f t="shared" ca="1" si="32"/>
        <v/>
      </c>
      <c r="AA105" s="72" t="str">
        <f t="shared" ca="1" si="33"/>
        <v/>
      </c>
      <c r="AB105" s="305" t="str">
        <f t="shared" ca="1" si="34"/>
        <v/>
      </c>
      <c r="AC105" s="236"/>
      <c r="AD105" s="236"/>
      <c r="AE105" s="236"/>
      <c r="AF105" s="236"/>
      <c r="AG105" s="236"/>
      <c r="AH105" s="236"/>
      <c r="AI105" s="236"/>
      <c r="AJ105" s="236"/>
      <c r="AK105" s="236"/>
      <c r="AL105" s="236"/>
      <c r="AM105" s="236"/>
      <c r="AN105" s="236"/>
      <c r="AO105" s="236"/>
      <c r="AP105" s="236"/>
      <c r="AQ105" s="236"/>
      <c r="AR105" s="236"/>
      <c r="AS105" s="236"/>
      <c r="AT105" s="236"/>
      <c r="AU105" s="236"/>
      <c r="AV105" s="236"/>
      <c r="AW105" s="236"/>
      <c r="AX105" s="236"/>
      <c r="AY105" s="236"/>
      <c r="AZ105" s="236"/>
      <c r="BA105" s="236"/>
      <c r="BB105" s="236"/>
      <c r="BC105" s="236"/>
      <c r="BD105" s="236"/>
      <c r="BE105" s="236"/>
      <c r="BF105" s="236"/>
      <c r="BG105" s="236"/>
      <c r="BH105" s="236"/>
      <c r="BI105" s="236"/>
      <c r="BJ105" s="236"/>
      <c r="BK105" s="236"/>
      <c r="BL105" s="236"/>
      <c r="BM105" s="236"/>
      <c r="BN105" s="236"/>
      <c r="BO105" s="236"/>
      <c r="BP105" s="236"/>
      <c r="BQ105" s="236"/>
      <c r="BR105" s="236"/>
      <c r="BS105" s="236"/>
      <c r="BT105" s="236"/>
      <c r="BU105" s="236"/>
      <c r="BV105" s="236"/>
      <c r="BW105" s="236"/>
      <c r="BX105" s="236"/>
      <c r="BY105" s="236"/>
      <c r="BZ105" s="236"/>
      <c r="CA105" s="236"/>
      <c r="CB105" s="236"/>
      <c r="CC105" s="236"/>
      <c r="CD105" s="236"/>
      <c r="CE105" s="236"/>
      <c r="CF105" s="236"/>
      <c r="CG105" s="236"/>
      <c r="CH105" s="236"/>
      <c r="CI105" s="236"/>
      <c r="CJ105" s="236"/>
      <c r="CK105" s="236"/>
      <c r="CL105" s="236"/>
      <c r="CM105" s="236"/>
      <c r="CN105" s="236"/>
      <c r="CO105" s="236"/>
      <c r="CP105" s="236"/>
      <c r="CQ105" s="236"/>
      <c r="CR105" s="236"/>
      <c r="CS105" s="236"/>
      <c r="CT105" s="236"/>
      <c r="CU105" s="236"/>
      <c r="CV105" s="236"/>
      <c r="CW105" s="236"/>
      <c r="CX105" s="236"/>
      <c r="CY105" s="236"/>
      <c r="CZ105" s="236"/>
      <c r="DA105" s="236"/>
      <c r="DB105" s="236"/>
      <c r="DC105" s="236"/>
      <c r="DD105" s="236"/>
      <c r="DE105" s="236"/>
      <c r="DF105" s="236"/>
      <c r="DG105" s="236"/>
      <c r="DH105" s="236"/>
      <c r="DI105" s="236"/>
      <c r="DJ105" s="236"/>
      <c r="DK105" s="236"/>
      <c r="DL105" s="236"/>
      <c r="DM105" s="236"/>
      <c r="DN105" s="236"/>
      <c r="DO105" s="236"/>
      <c r="DP105" s="236"/>
      <c r="DQ105" s="236"/>
      <c r="DR105" s="236"/>
      <c r="DS105" s="236"/>
      <c r="DT105" s="236"/>
      <c r="DU105" s="236"/>
      <c r="DV105" s="236"/>
      <c r="DW105" s="236"/>
      <c r="DX105" s="236"/>
      <c r="DY105" s="236"/>
      <c r="DZ105" s="236"/>
      <c r="EA105" s="236"/>
      <c r="EB105" s="236"/>
      <c r="EC105" s="236"/>
      <c r="ED105" s="236"/>
      <c r="EE105" s="236"/>
      <c r="EF105" s="236"/>
      <c r="EG105" s="236"/>
      <c r="EH105" s="236"/>
      <c r="EI105" s="236"/>
      <c r="EJ105" s="236"/>
      <c r="EK105" s="236"/>
      <c r="EL105" s="236"/>
      <c r="EM105" s="236"/>
      <c r="EN105" s="236"/>
      <c r="EO105" s="236"/>
      <c r="EP105" s="236"/>
      <c r="EQ105" s="236"/>
      <c r="ER105" s="236"/>
      <c r="ES105" s="236"/>
      <c r="ET105" s="236"/>
      <c r="EU105" s="236"/>
      <c r="EV105" s="236"/>
      <c r="EW105" s="236"/>
      <c r="EX105" s="236"/>
      <c r="EY105" s="236"/>
      <c r="EZ105" s="236"/>
      <c r="FA105" s="236"/>
      <c r="FB105" s="236"/>
      <c r="FC105" s="236"/>
      <c r="FD105" s="236"/>
      <c r="FE105" s="236"/>
      <c r="FF105" s="236"/>
      <c r="FG105" s="236"/>
      <c r="FH105" s="236"/>
      <c r="FI105" s="236"/>
      <c r="FJ105" s="236"/>
      <c r="FK105" s="236"/>
      <c r="FL105" s="236"/>
      <c r="FM105" s="236"/>
      <c r="FN105" s="236"/>
      <c r="FO105" s="236"/>
      <c r="FP105" s="236"/>
      <c r="FQ105" s="236"/>
      <c r="FR105" s="236"/>
      <c r="FS105" s="236"/>
      <c r="FT105" s="236"/>
      <c r="FU105" s="236"/>
      <c r="FV105" s="236"/>
      <c r="FW105" s="236"/>
      <c r="FX105" s="236"/>
      <c r="FY105" s="236"/>
      <c r="FZ105" s="236"/>
      <c r="GA105" s="236"/>
      <c r="GB105" s="236"/>
      <c r="GC105" s="236"/>
      <c r="GD105" s="236"/>
      <c r="GE105" s="236"/>
      <c r="GF105" s="236"/>
      <c r="GG105" s="236"/>
      <c r="GH105" s="236"/>
      <c r="GI105" s="236"/>
      <c r="GJ105" s="236"/>
      <c r="GK105" s="236"/>
      <c r="GL105" s="236"/>
      <c r="GM105" s="236"/>
      <c r="GN105" s="236"/>
      <c r="GO105" s="236"/>
      <c r="GP105" s="236"/>
      <c r="GQ105" s="236"/>
      <c r="GR105" s="236"/>
      <c r="GS105" s="236"/>
      <c r="GT105" s="236"/>
      <c r="GU105" s="236"/>
      <c r="GV105" s="236"/>
      <c r="GW105" s="236"/>
      <c r="GX105" s="236"/>
      <c r="GY105" s="236"/>
      <c r="GZ105" s="236"/>
      <c r="HA105" s="236"/>
      <c r="HB105" s="236"/>
      <c r="HC105" s="236"/>
      <c r="HD105" s="236"/>
      <c r="HE105" s="236"/>
      <c r="HF105" s="236"/>
      <c r="HG105" s="236"/>
      <c r="HH105" s="236"/>
      <c r="HI105" s="236"/>
      <c r="HJ105" s="236"/>
      <c r="HK105" s="236"/>
      <c r="HL105" s="236"/>
      <c r="HM105" s="236"/>
      <c r="HN105" s="236"/>
      <c r="HO105" s="236"/>
      <c r="HP105" s="236"/>
      <c r="HQ105" s="236"/>
      <c r="HR105" s="236"/>
      <c r="HS105" s="236"/>
      <c r="HT105" s="236"/>
      <c r="HU105" s="236"/>
      <c r="HV105" s="236"/>
      <c r="HW105" s="236"/>
      <c r="HX105" s="236"/>
      <c r="HY105" s="236"/>
      <c r="HZ105" s="236"/>
      <c r="IA105" s="236"/>
      <c r="IB105" s="236"/>
      <c r="IC105" s="236"/>
      <c r="ID105" s="236"/>
      <c r="IE105" s="236"/>
      <c r="IF105" s="236"/>
      <c r="IG105" s="236"/>
      <c r="IH105" s="236"/>
      <c r="II105" s="236"/>
      <c r="IJ105" s="236"/>
      <c r="IK105" s="236"/>
      <c r="IL105" s="236"/>
      <c r="IM105" s="236"/>
      <c r="IN105" s="236"/>
      <c r="IO105" s="236"/>
      <c r="IP105" s="236"/>
      <c r="IQ105" s="236"/>
      <c r="IR105" s="236"/>
      <c r="IS105" s="236"/>
      <c r="IT105" s="236"/>
      <c r="IU105" s="236"/>
      <c r="IV105" s="236"/>
      <c r="IW105" s="236"/>
      <c r="IX105" s="236"/>
      <c r="IY105" s="236"/>
      <c r="IZ105" s="236"/>
      <c r="JA105" s="236"/>
      <c r="JB105" s="236"/>
      <c r="JC105" s="236"/>
      <c r="JD105" s="236"/>
      <c r="JE105" s="236"/>
      <c r="JF105" s="236"/>
      <c r="JG105" s="236"/>
      <c r="JH105" s="236"/>
      <c r="JI105" s="236"/>
      <c r="JJ105" s="236"/>
      <c r="JK105" s="236"/>
      <c r="JL105" s="236"/>
      <c r="JM105" s="236"/>
      <c r="JN105" s="236"/>
      <c r="JO105" s="236"/>
      <c r="JP105" s="236"/>
      <c r="JQ105" s="236"/>
      <c r="JR105" s="236"/>
      <c r="JS105" s="236"/>
      <c r="JT105" s="236"/>
      <c r="JU105" s="236"/>
      <c r="JV105" s="236"/>
      <c r="JW105" s="236"/>
      <c r="JX105" s="409"/>
      <c r="JY105" s="409"/>
      <c r="JZ105" s="409"/>
      <c r="KA105" s="409"/>
      <c r="KB105" s="409"/>
      <c r="KC105" s="409"/>
      <c r="KD105" s="409"/>
      <c r="KE105" s="409"/>
      <c r="KF105" s="409"/>
      <c r="KG105" s="410"/>
      <c r="KH105" s="412">
        <f t="shared" si="36"/>
        <v>102</v>
      </c>
      <c r="KI105" s="413" t="str">
        <f t="shared" ca="1" si="27"/>
        <v/>
      </c>
      <c r="KJ105" s="413" t="str">
        <f t="shared" ca="1" si="37"/>
        <v/>
      </c>
      <c r="KK105" s="414" t="str">
        <f t="shared" ca="1" si="28"/>
        <v/>
      </c>
    </row>
    <row r="106" spans="3:297" ht="24" customHeight="1">
      <c r="C106"/>
      <c r="D106" s="57" t="str">
        <f ca="1">INDIRECT(ADDRESS(ROWS($D$3:D105)+6,D$3,1,1,"3_TIME SUM"))</f>
        <v>Regulatory problems</v>
      </c>
      <c r="E106" s="81" t="str">
        <f ca="1">IF(INDIRECT(ADDRESS(ROWS($E$3:E105)+6,E$3,1,1,"3_TIME SUM"))=0,E105,INDIRECT(ADDRESS(ROWS($E$3:E105)+6,E$3,1,1,"3_TIME SUM")))</f>
        <v>Others NPT</v>
      </c>
      <c r="F106" s="57" t="str">
        <f t="shared" ca="1" si="24"/>
        <v>Others NPT : Regulatory problems</v>
      </c>
      <c r="G106" s="58" t="str">
        <f ca="1">VLOOKUP($D106,INDIRECT(ADDRESS(7,5,1,1,"3_TIME SUM")):INDIRECT(ADDRESS(200,7,1,1,"3_TIME SUM")),2,FALSE)</f>
        <v>22f</v>
      </c>
      <c r="H106" s="58" t="str">
        <f ca="1">IF(VLOOKUP($D106,INDIRECT(ADDRESS(7,5,1,1,"3_TIME SUM")):INDIRECT(ADDRESS(200,7,1,1,"3_TIME SUM")),3,FALSE)="","PT",VLOOKUP($D106,INDIRECT(ADDRESS(7,5,1,1,"3_TIME SUM")):INDIRECT(ADDRESS(200,7,1,1,"3_TIME SUM")),3,FALSE))</f>
        <v>NPT</v>
      </c>
      <c r="I106" s="59">
        <f ca="1">IFERROR(IF(AND($D$2="NON PRODUCTIVE TIME",$H106="NPT"),SUMIF(INDIRECT(ADDRESS(8,COLUMN('2_DATA'!$M$9),1,1,"2_DATA")):INDIRECT(ADDRESS(3000,COLUMN('2_DATA'!$M$9),1,1,"2_DATA")),$G106,INDIRECT(ADDRESS(8,COLUMN('2_DATA'!$N$9),1,1,"2_DATA")):INDIRECT(ADDRESS(3000,COLUMN('2_DATA'!$N$9),1,1,"2_DATA"))),IF($D$2="ALL ACTIVITY",SUMIF(INDIRECT(ADDRESS(9,COLUMN('2_DATA'!$M$9),1,1,"2_DATA")):INDIRECT(ADDRESS(3000,COLUMN('2_DATA'!$M$9),1,1,"2_DATA")),$G106,INDIRECT(ADDRESS(9,COLUMN('2_DATA'!$N$9),1,1,"2_DATA")):INDIRECT(ADDRESS(3000,COLUMN('2_DATA'!$N$9),1,1,"2_DATA"))),SUMIF(INDIRECT(ADDRESS(OFFSET($A$3,MATCH($D$2,$A$4:$A$16,0)-1,1,,)+1,COLUMN('2_DATA'!$M$9),1,1,"2_DATA")):INDIRECT(ADDRESS(VLOOKUP($D$2,$A$4:$B$16,2,FALSE)-1,COLUMN('2_DATA'!$M$9),1,1,"2_DATA")),$G106,INDIRECT(ADDRESS(OFFSET($A$3,MATCH($D$2,$A$4:$A$16,0)-1,1,,)+1,COLUMN('2_DATA'!$N$9),1,1,"2_DATA")):INDIRECT(ADDRESS(VLOOKUP($D$2,$A$4:$B$16,2,FALSE)-1,COLUMN('2_DATA'!$N$9),1,1,"2_DATA"))))),0)</f>
        <v>0</v>
      </c>
      <c r="J106" s="58" t="str">
        <f ca="1">IF(I106=0,"",MAX($J$3:J105)+1)</f>
        <v/>
      </c>
      <c r="L106" s="55">
        <f t="shared" ca="1" si="21"/>
        <v>1000</v>
      </c>
      <c r="M106" s="55" t="str">
        <f t="shared" ca="1" si="25"/>
        <v/>
      </c>
      <c r="N106" s="55"/>
      <c r="O106" s="55" t="str">
        <f t="shared" ca="1" si="29"/>
        <v/>
      </c>
      <c r="P106" s="55">
        <f t="shared" ca="1" si="22"/>
        <v>0</v>
      </c>
      <c r="Q106" s="55" t="str">
        <f ca="1">IFERROR(INDEX($O$4:$P$226,MATCH(ROWS($Q$3:Q105),$P$4:$P$226,0),1),"-")</f>
        <v>-</v>
      </c>
      <c r="R106" s="62" t="str">
        <f t="shared" ca="1" si="23"/>
        <v/>
      </c>
      <c r="S106" s="55" t="str">
        <f t="shared" ca="1" si="26"/>
        <v/>
      </c>
      <c r="T106" s="67" t="str">
        <f t="shared" ca="1" si="38"/>
        <v>-</v>
      </c>
      <c r="V106" s="68" t="str">
        <f t="shared" ca="1" si="30"/>
        <v/>
      </c>
      <c r="W106" s="69" t="str">
        <f t="shared" ca="1" si="31"/>
        <v/>
      </c>
      <c r="X106" s="70" t="s">
        <v>84</v>
      </c>
      <c r="Y106" s="68" t="str">
        <f t="shared" ca="1" si="35"/>
        <v/>
      </c>
      <c r="Z106" s="71" t="str">
        <f t="shared" ca="1" si="32"/>
        <v/>
      </c>
      <c r="AA106" s="72" t="str">
        <f t="shared" ca="1" si="33"/>
        <v/>
      </c>
      <c r="AB106" s="305" t="str">
        <f t="shared" ca="1" si="34"/>
        <v/>
      </c>
      <c r="AC106" s="236"/>
      <c r="AD106" s="236"/>
      <c r="AE106" s="236"/>
      <c r="AF106" s="236"/>
      <c r="AG106" s="236"/>
      <c r="AH106" s="236"/>
      <c r="AI106" s="236"/>
      <c r="AJ106" s="236"/>
      <c r="AK106" s="236"/>
      <c r="AL106" s="236"/>
      <c r="AM106" s="236"/>
      <c r="AN106" s="236"/>
      <c r="AO106" s="236"/>
      <c r="AP106" s="236"/>
      <c r="AQ106" s="236"/>
      <c r="AR106" s="236"/>
      <c r="AS106" s="236"/>
      <c r="AT106" s="236"/>
      <c r="AU106" s="236"/>
      <c r="AV106" s="236"/>
      <c r="AW106" s="236"/>
      <c r="AX106" s="236"/>
      <c r="AY106" s="236"/>
      <c r="AZ106" s="236"/>
      <c r="BA106" s="236"/>
      <c r="BB106" s="236"/>
      <c r="BC106" s="236"/>
      <c r="BD106" s="236"/>
      <c r="BE106" s="236"/>
      <c r="BF106" s="236"/>
      <c r="BG106" s="236"/>
      <c r="BH106" s="236"/>
      <c r="BI106" s="236"/>
      <c r="BJ106" s="236"/>
      <c r="BK106" s="236"/>
      <c r="BL106" s="236"/>
      <c r="BM106" s="236"/>
      <c r="BN106" s="236"/>
      <c r="BO106" s="236"/>
      <c r="BP106" s="236"/>
      <c r="BQ106" s="236"/>
      <c r="BR106" s="236"/>
      <c r="BS106" s="236"/>
      <c r="BT106" s="236"/>
      <c r="BU106" s="236"/>
      <c r="BV106" s="236"/>
      <c r="BW106" s="236"/>
      <c r="BX106" s="236"/>
      <c r="BY106" s="236"/>
      <c r="BZ106" s="236"/>
      <c r="CA106" s="236"/>
      <c r="CB106" s="236"/>
      <c r="CC106" s="236"/>
      <c r="CD106" s="236"/>
      <c r="CE106" s="236"/>
      <c r="CF106" s="236"/>
      <c r="CG106" s="236"/>
      <c r="CH106" s="236"/>
      <c r="CI106" s="236"/>
      <c r="CJ106" s="236"/>
      <c r="CK106" s="236"/>
      <c r="CL106" s="236"/>
      <c r="CM106" s="236"/>
      <c r="CN106" s="236"/>
      <c r="CO106" s="236"/>
      <c r="CP106" s="236"/>
      <c r="CQ106" s="236"/>
      <c r="CR106" s="236"/>
      <c r="CS106" s="236"/>
      <c r="CT106" s="236"/>
      <c r="CU106" s="236"/>
      <c r="CV106" s="236"/>
      <c r="CW106" s="236"/>
      <c r="CX106" s="236"/>
      <c r="CY106" s="236"/>
      <c r="CZ106" s="236"/>
      <c r="DA106" s="236"/>
      <c r="DB106" s="236"/>
      <c r="DC106" s="236"/>
      <c r="DD106" s="236"/>
      <c r="DE106" s="236"/>
      <c r="DF106" s="236"/>
      <c r="DG106" s="236"/>
      <c r="DH106" s="236"/>
      <c r="DI106" s="236"/>
      <c r="DJ106" s="236"/>
      <c r="DK106" s="236"/>
      <c r="DL106" s="236"/>
      <c r="DM106" s="236"/>
      <c r="DN106" s="236"/>
      <c r="DO106" s="236"/>
      <c r="DP106" s="236"/>
      <c r="DQ106" s="236"/>
      <c r="DR106" s="236"/>
      <c r="DS106" s="236"/>
      <c r="DT106" s="236"/>
      <c r="DU106" s="236"/>
      <c r="DV106" s="236"/>
      <c r="DW106" s="236"/>
      <c r="DX106" s="236"/>
      <c r="DY106" s="236"/>
      <c r="DZ106" s="236"/>
      <c r="EA106" s="236"/>
      <c r="EB106" s="236"/>
      <c r="EC106" s="236"/>
      <c r="ED106" s="236"/>
      <c r="EE106" s="236"/>
      <c r="EF106" s="236"/>
      <c r="EG106" s="236"/>
      <c r="EH106" s="236"/>
      <c r="EI106" s="236"/>
      <c r="EJ106" s="236"/>
      <c r="EK106" s="236"/>
      <c r="EL106" s="236"/>
      <c r="EM106" s="236"/>
      <c r="EN106" s="236"/>
      <c r="EO106" s="236"/>
      <c r="EP106" s="236"/>
      <c r="EQ106" s="236"/>
      <c r="ER106" s="236"/>
      <c r="ES106" s="236"/>
      <c r="ET106" s="236"/>
      <c r="EU106" s="236"/>
      <c r="EV106" s="236"/>
      <c r="EW106" s="236"/>
      <c r="EX106" s="236"/>
      <c r="EY106" s="236"/>
      <c r="EZ106" s="236"/>
      <c r="FA106" s="236"/>
      <c r="FB106" s="236"/>
      <c r="FC106" s="236"/>
      <c r="FD106" s="236"/>
      <c r="FE106" s="236"/>
      <c r="FF106" s="236"/>
      <c r="FG106" s="236"/>
      <c r="FH106" s="236"/>
      <c r="FI106" s="236"/>
      <c r="FJ106" s="236"/>
      <c r="FK106" s="236"/>
      <c r="FL106" s="236"/>
      <c r="FM106" s="236"/>
      <c r="FN106" s="236"/>
      <c r="FO106" s="236"/>
      <c r="FP106" s="236"/>
      <c r="FQ106" s="236"/>
      <c r="FR106" s="236"/>
      <c r="FS106" s="236"/>
      <c r="FT106" s="236"/>
      <c r="FU106" s="236"/>
      <c r="FV106" s="236"/>
      <c r="FW106" s="236"/>
      <c r="FX106" s="236"/>
      <c r="FY106" s="236"/>
      <c r="FZ106" s="236"/>
      <c r="GA106" s="236"/>
      <c r="GB106" s="236"/>
      <c r="GC106" s="236"/>
      <c r="GD106" s="236"/>
      <c r="GE106" s="236"/>
      <c r="GF106" s="236"/>
      <c r="GG106" s="236"/>
      <c r="GH106" s="236"/>
      <c r="GI106" s="236"/>
      <c r="GJ106" s="236"/>
      <c r="GK106" s="236"/>
      <c r="GL106" s="236"/>
      <c r="GM106" s="236"/>
      <c r="GN106" s="236"/>
      <c r="GO106" s="236"/>
      <c r="GP106" s="236"/>
      <c r="GQ106" s="236"/>
      <c r="GR106" s="236"/>
      <c r="GS106" s="236"/>
      <c r="GT106" s="236"/>
      <c r="GU106" s="236"/>
      <c r="GV106" s="236"/>
      <c r="GW106" s="236"/>
      <c r="GX106" s="236"/>
      <c r="GY106" s="236"/>
      <c r="GZ106" s="236"/>
      <c r="HA106" s="236"/>
      <c r="HB106" s="236"/>
      <c r="HC106" s="236"/>
      <c r="HD106" s="236"/>
      <c r="HE106" s="236"/>
      <c r="HF106" s="236"/>
      <c r="HG106" s="236"/>
      <c r="HH106" s="236"/>
      <c r="HI106" s="236"/>
      <c r="HJ106" s="236"/>
      <c r="HK106" s="236"/>
      <c r="HL106" s="236"/>
      <c r="HM106" s="236"/>
      <c r="HN106" s="236"/>
      <c r="HO106" s="236"/>
      <c r="HP106" s="236"/>
      <c r="HQ106" s="236"/>
      <c r="HR106" s="236"/>
      <c r="HS106" s="236"/>
      <c r="HT106" s="236"/>
      <c r="HU106" s="236"/>
      <c r="HV106" s="236"/>
      <c r="HW106" s="236"/>
      <c r="HX106" s="236"/>
      <c r="HY106" s="236"/>
      <c r="HZ106" s="236"/>
      <c r="IA106" s="236"/>
      <c r="IB106" s="236"/>
      <c r="IC106" s="236"/>
      <c r="ID106" s="236"/>
      <c r="IE106" s="236"/>
      <c r="IF106" s="236"/>
      <c r="IG106" s="236"/>
      <c r="IH106" s="236"/>
      <c r="II106" s="236"/>
      <c r="IJ106" s="236"/>
      <c r="IK106" s="236"/>
      <c r="IL106" s="236"/>
      <c r="IM106" s="236"/>
      <c r="IN106" s="236"/>
      <c r="IO106" s="236"/>
      <c r="IP106" s="236"/>
      <c r="IQ106" s="236"/>
      <c r="IR106" s="236"/>
      <c r="IS106" s="236"/>
      <c r="IT106" s="236"/>
      <c r="IU106" s="236"/>
      <c r="IV106" s="236"/>
      <c r="IW106" s="236"/>
      <c r="IX106" s="236"/>
      <c r="IY106" s="236"/>
      <c r="IZ106" s="236"/>
      <c r="JA106" s="236"/>
      <c r="JB106" s="236"/>
      <c r="JC106" s="236"/>
      <c r="JD106" s="236"/>
      <c r="JE106" s="236"/>
      <c r="JF106" s="236"/>
      <c r="JG106" s="236"/>
      <c r="JH106" s="236"/>
      <c r="JI106" s="236"/>
      <c r="JJ106" s="236"/>
      <c r="JK106" s="236"/>
      <c r="JL106" s="236"/>
      <c r="JM106" s="236"/>
      <c r="JN106" s="236"/>
      <c r="JO106" s="236"/>
      <c r="JP106" s="236"/>
      <c r="JQ106" s="236"/>
      <c r="JR106" s="236"/>
      <c r="JS106" s="236"/>
      <c r="JT106" s="236"/>
      <c r="JU106" s="236"/>
      <c r="JV106" s="236"/>
      <c r="JW106" s="236"/>
      <c r="JX106" s="409"/>
      <c r="JY106" s="409"/>
      <c r="JZ106" s="409"/>
      <c r="KA106" s="409"/>
      <c r="KB106" s="409"/>
      <c r="KC106" s="409"/>
      <c r="KD106" s="409"/>
      <c r="KE106" s="409"/>
      <c r="KF106" s="409"/>
      <c r="KG106" s="410"/>
      <c r="KH106" s="412">
        <f t="shared" si="36"/>
        <v>103</v>
      </c>
      <c r="KI106" s="413" t="str">
        <f t="shared" ca="1" si="27"/>
        <v/>
      </c>
      <c r="KJ106" s="413" t="str">
        <f t="shared" ca="1" si="37"/>
        <v/>
      </c>
      <c r="KK106" s="414" t="str">
        <f t="shared" ca="1" si="28"/>
        <v/>
      </c>
    </row>
    <row r="107" spans="3:297" ht="24" customHeight="1">
      <c r="C107"/>
      <c r="D107" s="57" t="str">
        <f ca="1">INDIRECT(ADDRESS(ROWS($D$3:D106)+6,D$3,1,1,"3_TIME SUM"))</f>
        <v>Other Problem Time</v>
      </c>
      <c r="E107" s="81" t="str">
        <f ca="1">IF(INDIRECT(ADDRESS(ROWS($E$3:E106)+6,E$3,1,1,"3_TIME SUM"))=0,E106,INDIRECT(ADDRESS(ROWS($E$3:E106)+6,E$3,1,1,"3_TIME SUM")))</f>
        <v>Others NPT</v>
      </c>
      <c r="F107" s="57" t="str">
        <f t="shared" ca="1" si="24"/>
        <v>Others NPT : Other Problem Time</v>
      </c>
      <c r="G107" s="58" t="str">
        <f ca="1">VLOOKUP($D107,INDIRECT(ADDRESS(7,5,1,1,"3_TIME SUM")):INDIRECT(ADDRESS(200,7,1,1,"3_TIME SUM")),2,FALSE)</f>
        <v>22g</v>
      </c>
      <c r="H107" s="58" t="str">
        <f ca="1">IF(VLOOKUP($D107,INDIRECT(ADDRESS(7,5,1,1,"3_TIME SUM")):INDIRECT(ADDRESS(200,7,1,1,"3_TIME SUM")),3,FALSE)="","PT",VLOOKUP($D107,INDIRECT(ADDRESS(7,5,1,1,"3_TIME SUM")):INDIRECT(ADDRESS(200,7,1,1,"3_TIME SUM")),3,FALSE))</f>
        <v>NPT</v>
      </c>
      <c r="I107" s="59">
        <f ca="1">IFERROR(IF(AND($D$2="NON PRODUCTIVE TIME",$H107="NPT"),SUMIF(INDIRECT(ADDRESS(8,COLUMN('2_DATA'!$M$9),1,1,"2_DATA")):INDIRECT(ADDRESS(3000,COLUMN('2_DATA'!$M$9),1,1,"2_DATA")),$G107,INDIRECT(ADDRESS(8,COLUMN('2_DATA'!$N$9),1,1,"2_DATA")):INDIRECT(ADDRESS(3000,COLUMN('2_DATA'!$N$9),1,1,"2_DATA"))),IF($D$2="ALL ACTIVITY",SUMIF(INDIRECT(ADDRESS(9,COLUMN('2_DATA'!$M$9),1,1,"2_DATA")):INDIRECT(ADDRESS(3000,COLUMN('2_DATA'!$M$9),1,1,"2_DATA")),$G107,INDIRECT(ADDRESS(9,COLUMN('2_DATA'!$N$9),1,1,"2_DATA")):INDIRECT(ADDRESS(3000,COLUMN('2_DATA'!$N$9),1,1,"2_DATA"))),SUMIF(INDIRECT(ADDRESS(OFFSET($A$3,MATCH($D$2,$A$4:$A$16,0)-1,1,,)+1,COLUMN('2_DATA'!$M$9),1,1,"2_DATA")):INDIRECT(ADDRESS(VLOOKUP($D$2,$A$4:$B$16,2,FALSE)-1,COLUMN('2_DATA'!$M$9),1,1,"2_DATA")),$G107,INDIRECT(ADDRESS(OFFSET($A$3,MATCH($D$2,$A$4:$A$16,0)-1,1,,)+1,COLUMN('2_DATA'!$N$9),1,1,"2_DATA")):INDIRECT(ADDRESS(VLOOKUP($D$2,$A$4:$B$16,2,FALSE)-1,COLUMN('2_DATA'!$N$9),1,1,"2_DATA"))))),0)</f>
        <v>0</v>
      </c>
      <c r="J107" s="58" t="str">
        <f ca="1">IF(I107=0,"",MAX($J$3:J106)+1)</f>
        <v/>
      </c>
      <c r="L107" s="55">
        <f t="shared" ca="1" si="21"/>
        <v>1000</v>
      </c>
      <c r="M107" s="55" t="str">
        <f t="shared" ca="1" si="25"/>
        <v/>
      </c>
      <c r="N107" s="55"/>
      <c r="O107" s="55" t="str">
        <f t="shared" ca="1" si="29"/>
        <v/>
      </c>
      <c r="P107" s="55">
        <f t="shared" ca="1" si="22"/>
        <v>0</v>
      </c>
      <c r="Q107" s="55" t="str">
        <f ca="1">IFERROR(INDEX($O$4:$P$226,MATCH(ROWS($Q$3:Q106),$P$4:$P$226,0),1),"-")</f>
        <v>-</v>
      </c>
      <c r="R107" s="62" t="str">
        <f t="shared" ca="1" si="23"/>
        <v/>
      </c>
      <c r="S107" s="55" t="str">
        <f t="shared" ca="1" si="26"/>
        <v/>
      </c>
      <c r="T107" s="67" t="str">
        <f t="shared" ca="1" si="38"/>
        <v>-</v>
      </c>
      <c r="V107" s="68" t="str">
        <f t="shared" ca="1" si="30"/>
        <v/>
      </c>
      <c r="W107" s="69" t="str">
        <f t="shared" ca="1" si="31"/>
        <v/>
      </c>
      <c r="X107" s="70" t="s">
        <v>84</v>
      </c>
      <c r="Y107" s="68" t="str">
        <f t="shared" ca="1" si="35"/>
        <v/>
      </c>
      <c r="Z107" s="71" t="str">
        <f t="shared" ca="1" si="32"/>
        <v/>
      </c>
      <c r="AA107" s="72" t="str">
        <f t="shared" ca="1" si="33"/>
        <v/>
      </c>
      <c r="AB107" s="305" t="str">
        <f t="shared" ca="1" si="34"/>
        <v/>
      </c>
      <c r="AC107" s="236"/>
      <c r="AD107" s="236"/>
      <c r="AE107" s="236"/>
      <c r="AF107" s="236"/>
      <c r="AG107" s="236"/>
      <c r="AH107" s="236"/>
      <c r="AI107" s="236"/>
      <c r="AJ107" s="236"/>
      <c r="AK107" s="236"/>
      <c r="AL107" s="236"/>
      <c r="AM107" s="236"/>
      <c r="AN107" s="236"/>
      <c r="AO107" s="236"/>
      <c r="AP107" s="236"/>
      <c r="AQ107" s="236"/>
      <c r="AR107" s="236"/>
      <c r="AS107" s="236"/>
      <c r="AT107" s="236"/>
      <c r="AU107" s="236"/>
      <c r="AV107" s="236"/>
      <c r="AW107" s="236"/>
      <c r="AX107" s="236"/>
      <c r="AY107" s="236"/>
      <c r="AZ107" s="236"/>
      <c r="BA107" s="236"/>
      <c r="BB107" s="236"/>
      <c r="BC107" s="236"/>
      <c r="BD107" s="236"/>
      <c r="BE107" s="236"/>
      <c r="BF107" s="236"/>
      <c r="BG107" s="236"/>
      <c r="BH107" s="236"/>
      <c r="BI107" s="236"/>
      <c r="BJ107" s="236"/>
      <c r="BK107" s="236"/>
      <c r="BL107" s="236"/>
      <c r="BM107" s="236"/>
      <c r="BN107" s="236"/>
      <c r="BO107" s="236"/>
      <c r="BP107" s="236"/>
      <c r="BQ107" s="236"/>
      <c r="BR107" s="236"/>
      <c r="BS107" s="236"/>
      <c r="BT107" s="236"/>
      <c r="BU107" s="236"/>
      <c r="BV107" s="236"/>
      <c r="BW107" s="236"/>
      <c r="BX107" s="236"/>
      <c r="BY107" s="236"/>
      <c r="BZ107" s="236"/>
      <c r="CA107" s="236"/>
      <c r="CB107" s="236"/>
      <c r="CC107" s="236"/>
      <c r="CD107" s="236"/>
      <c r="CE107" s="236"/>
      <c r="CF107" s="236"/>
      <c r="CG107" s="236"/>
      <c r="CH107" s="236"/>
      <c r="CI107" s="236"/>
      <c r="CJ107" s="236"/>
      <c r="CK107" s="236"/>
      <c r="CL107" s="236"/>
      <c r="CM107" s="236"/>
      <c r="CN107" s="236"/>
      <c r="CO107" s="236"/>
      <c r="CP107" s="236"/>
      <c r="CQ107" s="236"/>
      <c r="CR107" s="236"/>
      <c r="CS107" s="236"/>
      <c r="CT107" s="236"/>
      <c r="CU107" s="236"/>
      <c r="CV107" s="236"/>
      <c r="CW107" s="236"/>
      <c r="CX107" s="236"/>
      <c r="CY107" s="236"/>
      <c r="CZ107" s="236"/>
      <c r="DA107" s="236"/>
      <c r="DB107" s="236"/>
      <c r="DC107" s="236"/>
      <c r="DD107" s="236"/>
      <c r="DE107" s="236"/>
      <c r="DF107" s="236"/>
      <c r="DG107" s="236"/>
      <c r="DH107" s="236"/>
      <c r="DI107" s="236"/>
      <c r="DJ107" s="236"/>
      <c r="DK107" s="236"/>
      <c r="DL107" s="236"/>
      <c r="DM107" s="236"/>
      <c r="DN107" s="236"/>
      <c r="DO107" s="236"/>
      <c r="DP107" s="236"/>
      <c r="DQ107" s="236"/>
      <c r="DR107" s="236"/>
      <c r="DS107" s="236"/>
      <c r="DT107" s="236"/>
      <c r="DU107" s="236"/>
      <c r="DV107" s="236"/>
      <c r="DW107" s="236"/>
      <c r="DX107" s="236"/>
      <c r="DY107" s="236"/>
      <c r="DZ107" s="236"/>
      <c r="EA107" s="236"/>
      <c r="EB107" s="236"/>
      <c r="EC107" s="236"/>
      <c r="ED107" s="236"/>
      <c r="EE107" s="236"/>
      <c r="EF107" s="236"/>
      <c r="EG107" s="236"/>
      <c r="EH107" s="236"/>
      <c r="EI107" s="236"/>
      <c r="EJ107" s="236"/>
      <c r="EK107" s="236"/>
      <c r="EL107" s="236"/>
      <c r="EM107" s="236"/>
      <c r="EN107" s="236"/>
      <c r="EO107" s="236"/>
      <c r="EP107" s="236"/>
      <c r="EQ107" s="236"/>
      <c r="ER107" s="236"/>
      <c r="ES107" s="236"/>
      <c r="ET107" s="236"/>
      <c r="EU107" s="236"/>
      <c r="EV107" s="236"/>
      <c r="EW107" s="236"/>
      <c r="EX107" s="236"/>
      <c r="EY107" s="236"/>
      <c r="EZ107" s="236"/>
      <c r="FA107" s="236"/>
      <c r="FB107" s="236"/>
      <c r="FC107" s="236"/>
      <c r="FD107" s="236"/>
      <c r="FE107" s="236"/>
      <c r="FF107" s="236"/>
      <c r="FG107" s="236"/>
      <c r="FH107" s="236"/>
      <c r="FI107" s="236"/>
      <c r="FJ107" s="236"/>
      <c r="FK107" s="236"/>
      <c r="FL107" s="236"/>
      <c r="FM107" s="236"/>
      <c r="FN107" s="236"/>
      <c r="FO107" s="236"/>
      <c r="FP107" s="236"/>
      <c r="FQ107" s="236"/>
      <c r="FR107" s="236"/>
      <c r="FS107" s="236"/>
      <c r="FT107" s="236"/>
      <c r="FU107" s="236"/>
      <c r="FV107" s="236"/>
      <c r="FW107" s="236"/>
      <c r="FX107" s="236"/>
      <c r="FY107" s="236"/>
      <c r="FZ107" s="236"/>
      <c r="GA107" s="236"/>
      <c r="GB107" s="236"/>
      <c r="GC107" s="236"/>
      <c r="GD107" s="236"/>
      <c r="GE107" s="236"/>
      <c r="GF107" s="236"/>
      <c r="GG107" s="236"/>
      <c r="GH107" s="236"/>
      <c r="GI107" s="236"/>
      <c r="GJ107" s="236"/>
      <c r="GK107" s="236"/>
      <c r="GL107" s="236"/>
      <c r="GM107" s="236"/>
      <c r="GN107" s="236"/>
      <c r="GO107" s="236"/>
      <c r="GP107" s="236"/>
      <c r="GQ107" s="236"/>
      <c r="GR107" s="236"/>
      <c r="GS107" s="236"/>
      <c r="GT107" s="236"/>
      <c r="GU107" s="236"/>
      <c r="GV107" s="236"/>
      <c r="GW107" s="236"/>
      <c r="GX107" s="236"/>
      <c r="GY107" s="236"/>
      <c r="GZ107" s="236"/>
      <c r="HA107" s="236"/>
      <c r="HB107" s="236"/>
      <c r="HC107" s="236"/>
      <c r="HD107" s="236"/>
      <c r="HE107" s="236"/>
      <c r="HF107" s="236"/>
      <c r="HG107" s="236"/>
      <c r="HH107" s="236"/>
      <c r="HI107" s="236"/>
      <c r="HJ107" s="236"/>
      <c r="HK107" s="236"/>
      <c r="HL107" s="236"/>
      <c r="HM107" s="236"/>
      <c r="HN107" s="236"/>
      <c r="HO107" s="236"/>
      <c r="HP107" s="236"/>
      <c r="HQ107" s="236"/>
      <c r="HR107" s="236"/>
      <c r="HS107" s="236"/>
      <c r="HT107" s="236"/>
      <c r="HU107" s="236"/>
      <c r="HV107" s="236"/>
      <c r="HW107" s="236"/>
      <c r="HX107" s="236"/>
      <c r="HY107" s="236"/>
      <c r="HZ107" s="236"/>
      <c r="IA107" s="236"/>
      <c r="IB107" s="236"/>
      <c r="IC107" s="236"/>
      <c r="ID107" s="236"/>
      <c r="IE107" s="236"/>
      <c r="IF107" s="236"/>
      <c r="IG107" s="236"/>
      <c r="IH107" s="236"/>
      <c r="II107" s="236"/>
      <c r="IJ107" s="236"/>
      <c r="IK107" s="236"/>
      <c r="IL107" s="236"/>
      <c r="IM107" s="236"/>
      <c r="IN107" s="236"/>
      <c r="IO107" s="236"/>
      <c r="IP107" s="236"/>
      <c r="IQ107" s="236"/>
      <c r="IR107" s="236"/>
      <c r="IS107" s="236"/>
      <c r="IT107" s="236"/>
      <c r="IU107" s="236"/>
      <c r="IV107" s="236"/>
      <c r="IW107" s="236"/>
      <c r="IX107" s="236"/>
      <c r="IY107" s="236"/>
      <c r="IZ107" s="236"/>
      <c r="JA107" s="236"/>
      <c r="JB107" s="236"/>
      <c r="JC107" s="236"/>
      <c r="JD107" s="236"/>
      <c r="JE107" s="236"/>
      <c r="JF107" s="236"/>
      <c r="JG107" s="236"/>
      <c r="JH107" s="236"/>
      <c r="JI107" s="236"/>
      <c r="JJ107" s="236"/>
      <c r="JK107" s="236"/>
      <c r="JL107" s="236"/>
      <c r="JM107" s="236"/>
      <c r="JN107" s="236"/>
      <c r="JO107" s="236"/>
      <c r="JP107" s="236"/>
      <c r="JQ107" s="236"/>
      <c r="JR107" s="236"/>
      <c r="JS107" s="236"/>
      <c r="JT107" s="236"/>
      <c r="JU107" s="236"/>
      <c r="JV107" s="236"/>
      <c r="JW107" s="236"/>
      <c r="JX107" s="409"/>
      <c r="JY107" s="409"/>
      <c r="JZ107" s="409"/>
      <c r="KA107" s="409"/>
      <c r="KB107" s="409"/>
      <c r="KC107" s="409"/>
      <c r="KD107" s="409"/>
      <c r="KE107" s="409"/>
      <c r="KF107" s="409"/>
      <c r="KG107" s="410"/>
    </row>
    <row r="108" spans="3:297" ht="24" customHeight="1">
      <c r="C108"/>
      <c r="D108" s="57" t="str">
        <f ca="1">INDIRECT(ADDRESS(ROWS($D$3:D107)+6,D$3,1,1,"3_TIME SUM"))</f>
        <v>Waiting on Weather</v>
      </c>
      <c r="E108" s="81" t="str">
        <f ca="1">IF(INDIRECT(ADDRESS(ROWS($E$3:E107)+6,E$3,1,1,"3_TIME SUM"))=0,E107,INDIRECT(ADDRESS(ROWS($E$3:E107)+6,E$3,1,1,"3_TIME SUM")))</f>
        <v>Uncontrol Situation</v>
      </c>
      <c r="F108" s="57" t="str">
        <f t="shared" ca="1" si="24"/>
        <v>Uncontrol Situation : Waiting on Weather</v>
      </c>
      <c r="G108" s="58" t="str">
        <f ca="1">VLOOKUP($D108,INDIRECT(ADDRESS(7,5,1,1,"3_TIME SUM")):INDIRECT(ADDRESS(200,7,1,1,"3_TIME SUM")),2,FALSE)</f>
        <v>23a</v>
      </c>
      <c r="H108" s="58" t="str">
        <f ca="1">IF(VLOOKUP($D108,INDIRECT(ADDRESS(7,5,1,1,"3_TIME SUM")):INDIRECT(ADDRESS(200,7,1,1,"3_TIME SUM")),3,FALSE)="","PT",VLOOKUP($D108,INDIRECT(ADDRESS(7,5,1,1,"3_TIME SUM")):INDIRECT(ADDRESS(200,7,1,1,"3_TIME SUM")),3,FALSE))</f>
        <v>PT</v>
      </c>
      <c r="I108" s="59">
        <f ca="1">IFERROR(IF(AND($D$2="NON PRODUCTIVE TIME",$H108="NPT"),SUMIF(INDIRECT(ADDRESS(8,COLUMN('2_DATA'!$M$9),1,1,"2_DATA")):INDIRECT(ADDRESS(3000,COLUMN('2_DATA'!$M$9),1,1,"2_DATA")),$G108,INDIRECT(ADDRESS(8,COLUMN('2_DATA'!$N$9),1,1,"2_DATA")):INDIRECT(ADDRESS(3000,COLUMN('2_DATA'!$N$9),1,1,"2_DATA"))),IF($D$2="ALL ACTIVITY",SUMIF(INDIRECT(ADDRESS(9,COLUMN('2_DATA'!$M$9),1,1,"2_DATA")):INDIRECT(ADDRESS(3000,COLUMN('2_DATA'!$M$9),1,1,"2_DATA")),$G108,INDIRECT(ADDRESS(9,COLUMN('2_DATA'!$N$9),1,1,"2_DATA")):INDIRECT(ADDRESS(3000,COLUMN('2_DATA'!$N$9),1,1,"2_DATA"))),SUMIF(INDIRECT(ADDRESS(OFFSET($A$3,MATCH($D$2,$A$4:$A$16,0)-1,1,,)+1,COLUMN('2_DATA'!$M$9),1,1,"2_DATA")):INDIRECT(ADDRESS(VLOOKUP($D$2,$A$4:$B$16,2,FALSE)-1,COLUMN('2_DATA'!$M$9),1,1,"2_DATA")),$G108,INDIRECT(ADDRESS(OFFSET($A$3,MATCH($D$2,$A$4:$A$16,0)-1,1,,)+1,COLUMN('2_DATA'!$N$9),1,1,"2_DATA")):INDIRECT(ADDRESS(VLOOKUP($D$2,$A$4:$B$16,2,FALSE)-1,COLUMN('2_DATA'!$N$9),1,1,"2_DATA"))))),0)</f>
        <v>5</v>
      </c>
      <c r="J108" s="58">
        <f ca="1">IF(I108=0,"",MAX($J$3:J107)+1)</f>
        <v>22</v>
      </c>
      <c r="L108" s="55">
        <f t="shared" ca="1" si="21"/>
        <v>1000</v>
      </c>
      <c r="M108" s="55">
        <f t="shared" ca="1" si="25"/>
        <v>1022</v>
      </c>
      <c r="N108" s="55"/>
      <c r="O108" s="55" t="str">
        <f t="shared" ca="1" si="29"/>
        <v/>
      </c>
      <c r="P108" s="55">
        <f t="shared" ca="1" si="22"/>
        <v>0</v>
      </c>
      <c r="Q108" s="55" t="str">
        <f ca="1">IFERROR(INDEX($O$4:$P$226,MATCH(ROWS($Q$3:Q107),$P$4:$P$226,0),1),"-")</f>
        <v>-</v>
      </c>
      <c r="R108" s="62" t="str">
        <f t="shared" ca="1" si="23"/>
        <v/>
      </c>
      <c r="S108" s="55" t="str">
        <f t="shared" ca="1" si="26"/>
        <v/>
      </c>
      <c r="T108" s="67" t="str">
        <f t="shared" ca="1" si="38"/>
        <v>-</v>
      </c>
      <c r="V108" s="68" t="str">
        <f t="shared" ca="1" si="30"/>
        <v/>
      </c>
      <c r="W108" s="69" t="str">
        <f t="shared" ca="1" si="31"/>
        <v/>
      </c>
      <c r="X108" s="70" t="s">
        <v>84</v>
      </c>
      <c r="Y108" s="68" t="str">
        <f t="shared" ca="1" si="35"/>
        <v/>
      </c>
      <c r="Z108" s="71" t="str">
        <f t="shared" ca="1" si="32"/>
        <v/>
      </c>
      <c r="AA108" s="72" t="str">
        <f t="shared" ca="1" si="33"/>
        <v/>
      </c>
      <c r="AB108" s="305" t="str">
        <f t="shared" ca="1" si="34"/>
        <v/>
      </c>
      <c r="AC108" s="236"/>
      <c r="AD108" s="236"/>
      <c r="AE108" s="236"/>
      <c r="AF108" s="236"/>
      <c r="AG108" s="236"/>
      <c r="AH108" s="236"/>
      <c r="AI108" s="236"/>
      <c r="AJ108" s="236"/>
      <c r="AK108" s="236"/>
      <c r="AL108" s="236"/>
      <c r="AM108" s="236"/>
      <c r="AN108" s="236"/>
      <c r="AO108" s="236"/>
      <c r="AP108" s="236"/>
      <c r="AQ108" s="236"/>
      <c r="AR108" s="236"/>
      <c r="AS108" s="236"/>
      <c r="AT108" s="236"/>
      <c r="AU108" s="236"/>
      <c r="AV108" s="236"/>
      <c r="AW108" s="236"/>
      <c r="AX108" s="236"/>
      <c r="AY108" s="236"/>
      <c r="AZ108" s="236"/>
      <c r="BA108" s="236"/>
      <c r="BB108" s="236"/>
      <c r="BC108" s="236"/>
      <c r="BD108" s="236"/>
      <c r="BE108" s="236"/>
      <c r="BF108" s="236"/>
      <c r="BG108" s="236"/>
      <c r="BH108" s="236"/>
      <c r="BI108" s="236"/>
      <c r="BJ108" s="236"/>
      <c r="BK108" s="236"/>
      <c r="BL108" s="236"/>
      <c r="BM108" s="236"/>
      <c r="BN108" s="236"/>
      <c r="BO108" s="236"/>
      <c r="BP108" s="236"/>
      <c r="BQ108" s="236"/>
      <c r="BR108" s="236"/>
      <c r="BS108" s="236"/>
      <c r="BT108" s="236"/>
      <c r="BU108" s="236"/>
      <c r="BV108" s="236"/>
      <c r="BW108" s="236"/>
      <c r="BX108" s="236"/>
      <c r="BY108" s="236"/>
      <c r="BZ108" s="236"/>
      <c r="CA108" s="236"/>
      <c r="CB108" s="236"/>
      <c r="CC108" s="236"/>
      <c r="CD108" s="236"/>
      <c r="CE108" s="236"/>
      <c r="CF108" s="236"/>
      <c r="CG108" s="236"/>
      <c r="CH108" s="236"/>
      <c r="CI108" s="236"/>
      <c r="CJ108" s="236"/>
      <c r="CK108" s="236"/>
      <c r="CL108" s="236"/>
      <c r="CM108" s="236"/>
      <c r="CN108" s="236"/>
      <c r="CO108" s="236"/>
      <c r="CP108" s="236"/>
      <c r="CQ108" s="236"/>
      <c r="CR108" s="236"/>
      <c r="CS108" s="236"/>
      <c r="CT108" s="236"/>
      <c r="CU108" s="236"/>
      <c r="CV108" s="236"/>
      <c r="CW108" s="236"/>
      <c r="CX108" s="236"/>
      <c r="CY108" s="236"/>
      <c r="CZ108" s="236"/>
      <c r="DA108" s="236"/>
      <c r="DB108" s="236"/>
      <c r="DC108" s="236"/>
      <c r="DD108" s="236"/>
      <c r="DE108" s="236"/>
      <c r="DF108" s="236"/>
      <c r="DG108" s="236"/>
      <c r="DH108" s="236"/>
      <c r="DI108" s="236"/>
      <c r="DJ108" s="236"/>
      <c r="DK108" s="236"/>
      <c r="DL108" s="236"/>
      <c r="DM108" s="236"/>
      <c r="DN108" s="236"/>
      <c r="DO108" s="236"/>
      <c r="DP108" s="236"/>
      <c r="DQ108" s="236"/>
      <c r="DR108" s="236"/>
      <c r="DS108" s="236"/>
      <c r="DT108" s="236"/>
      <c r="DU108" s="236"/>
      <c r="DV108" s="236"/>
      <c r="DW108" s="236"/>
      <c r="DX108" s="236"/>
      <c r="DY108" s="236"/>
      <c r="DZ108" s="236"/>
      <c r="EA108" s="236"/>
      <c r="EB108" s="236"/>
      <c r="EC108" s="236"/>
      <c r="ED108" s="236"/>
      <c r="EE108" s="236"/>
      <c r="EF108" s="236"/>
      <c r="EG108" s="236"/>
      <c r="EH108" s="236"/>
      <c r="EI108" s="236"/>
      <c r="EJ108" s="236"/>
      <c r="EK108" s="236"/>
      <c r="EL108" s="236"/>
      <c r="EM108" s="236"/>
      <c r="EN108" s="236"/>
      <c r="EO108" s="236"/>
      <c r="EP108" s="236"/>
      <c r="EQ108" s="236"/>
      <c r="ER108" s="236"/>
      <c r="ES108" s="236"/>
      <c r="ET108" s="236"/>
      <c r="EU108" s="236"/>
      <c r="EV108" s="236"/>
      <c r="EW108" s="236"/>
      <c r="EX108" s="236"/>
      <c r="EY108" s="236"/>
      <c r="EZ108" s="236"/>
      <c r="FA108" s="236"/>
      <c r="FB108" s="236"/>
      <c r="FC108" s="236"/>
      <c r="FD108" s="236"/>
      <c r="FE108" s="236"/>
      <c r="FF108" s="236"/>
      <c r="FG108" s="236"/>
      <c r="FH108" s="236"/>
      <c r="FI108" s="236"/>
      <c r="FJ108" s="236"/>
      <c r="FK108" s="236"/>
      <c r="FL108" s="236"/>
      <c r="FM108" s="236"/>
      <c r="FN108" s="236"/>
      <c r="FO108" s="236"/>
      <c r="FP108" s="236"/>
      <c r="FQ108" s="236"/>
      <c r="FR108" s="236"/>
      <c r="FS108" s="236"/>
      <c r="FT108" s="236"/>
      <c r="FU108" s="236"/>
      <c r="FV108" s="236"/>
      <c r="FW108" s="236"/>
      <c r="FX108" s="236"/>
      <c r="FY108" s="236"/>
      <c r="FZ108" s="236"/>
      <c r="GA108" s="236"/>
      <c r="GB108" s="236"/>
      <c r="GC108" s="236"/>
      <c r="GD108" s="236"/>
      <c r="GE108" s="236"/>
      <c r="GF108" s="236"/>
      <c r="GG108" s="236"/>
      <c r="GH108" s="236"/>
      <c r="GI108" s="236"/>
      <c r="GJ108" s="236"/>
      <c r="GK108" s="236"/>
      <c r="GL108" s="236"/>
      <c r="GM108" s="236"/>
      <c r="GN108" s="236"/>
      <c r="GO108" s="236"/>
      <c r="GP108" s="236"/>
      <c r="GQ108" s="236"/>
      <c r="GR108" s="236"/>
      <c r="GS108" s="236"/>
      <c r="GT108" s="236"/>
      <c r="GU108" s="236"/>
      <c r="GV108" s="236"/>
      <c r="GW108" s="236"/>
      <c r="GX108" s="236"/>
      <c r="GY108" s="236"/>
      <c r="GZ108" s="236"/>
      <c r="HA108" s="236"/>
      <c r="HB108" s="236"/>
      <c r="HC108" s="236"/>
      <c r="HD108" s="236"/>
      <c r="HE108" s="236"/>
      <c r="HF108" s="236"/>
      <c r="HG108" s="236"/>
      <c r="HH108" s="236"/>
      <c r="HI108" s="236"/>
      <c r="HJ108" s="236"/>
      <c r="HK108" s="236"/>
      <c r="HL108" s="236"/>
      <c r="HM108" s="236"/>
      <c r="HN108" s="236"/>
      <c r="HO108" s="236"/>
      <c r="HP108" s="236"/>
      <c r="HQ108" s="236"/>
      <c r="HR108" s="236"/>
      <c r="HS108" s="236"/>
      <c r="HT108" s="236"/>
      <c r="HU108" s="236"/>
      <c r="HV108" s="236"/>
      <c r="HW108" s="236"/>
      <c r="HX108" s="236"/>
      <c r="HY108" s="236"/>
      <c r="HZ108" s="236"/>
      <c r="IA108" s="236"/>
      <c r="IB108" s="236"/>
      <c r="IC108" s="236"/>
      <c r="ID108" s="236"/>
      <c r="IE108" s="236"/>
      <c r="IF108" s="236"/>
      <c r="IG108" s="236"/>
      <c r="IH108" s="236"/>
      <c r="II108" s="236"/>
      <c r="IJ108" s="236"/>
      <c r="IK108" s="236"/>
      <c r="IL108" s="236"/>
      <c r="IM108" s="236"/>
      <c r="IN108" s="236"/>
      <c r="IO108" s="236"/>
      <c r="IP108" s="236"/>
      <c r="IQ108" s="236"/>
      <c r="IR108" s="236"/>
      <c r="IS108" s="236"/>
      <c r="IT108" s="236"/>
      <c r="IU108" s="236"/>
      <c r="IV108" s="236"/>
      <c r="IW108" s="236"/>
      <c r="IX108" s="236"/>
      <c r="IY108" s="236"/>
      <c r="IZ108" s="236"/>
      <c r="JA108" s="236"/>
      <c r="JB108" s="236"/>
      <c r="JC108" s="236"/>
      <c r="JD108" s="236"/>
      <c r="JE108" s="236"/>
      <c r="JF108" s="236"/>
      <c r="JG108" s="236"/>
      <c r="JH108" s="236"/>
      <c r="JI108" s="236"/>
      <c r="JJ108" s="236"/>
      <c r="JK108" s="236"/>
      <c r="JL108" s="236"/>
      <c r="JM108" s="236"/>
      <c r="JN108" s="236"/>
      <c r="JO108" s="236"/>
      <c r="JP108" s="236"/>
      <c r="JQ108" s="236"/>
      <c r="JR108" s="236"/>
      <c r="JS108" s="236"/>
      <c r="JT108" s="236"/>
      <c r="JU108" s="236"/>
      <c r="JV108" s="236"/>
      <c r="JW108" s="236"/>
      <c r="JX108" s="409"/>
      <c r="JY108" s="409"/>
      <c r="JZ108" s="409"/>
      <c r="KA108" s="409"/>
      <c r="KB108" s="409"/>
      <c r="KC108" s="409"/>
      <c r="KD108" s="409"/>
      <c r="KE108" s="409"/>
      <c r="KF108" s="409"/>
      <c r="KG108" s="410"/>
    </row>
    <row r="109" spans="3:297" ht="24" customHeight="1">
      <c r="C109"/>
      <c r="D109" s="57" t="str">
        <f ca="1">INDIRECT(ADDRESS(ROWS($D$3:D108)+6,D$3,1,1,"3_TIME SUM"))</f>
        <v>Force Majure</v>
      </c>
      <c r="E109" s="81" t="str">
        <f ca="1">IF(INDIRECT(ADDRESS(ROWS($E$3:E108)+6,E$3,1,1,"3_TIME SUM"))=0,E108,INDIRECT(ADDRESS(ROWS($E$3:E108)+6,E$3,1,1,"3_TIME SUM")))</f>
        <v>Uncontrol Situation</v>
      </c>
      <c r="F109" s="57" t="str">
        <f t="shared" ca="1" si="24"/>
        <v>Uncontrol Situation : Force Majure</v>
      </c>
      <c r="G109" s="58" t="str">
        <f ca="1">VLOOKUP($D109,INDIRECT(ADDRESS(7,5,1,1,"3_TIME SUM")):INDIRECT(ADDRESS(200,7,1,1,"3_TIME SUM")),2,FALSE)</f>
        <v>23b</v>
      </c>
      <c r="H109" s="58" t="str">
        <f ca="1">IF(VLOOKUP($D109,INDIRECT(ADDRESS(7,5,1,1,"3_TIME SUM")):INDIRECT(ADDRESS(200,7,1,1,"3_TIME SUM")),3,FALSE)="","PT",VLOOKUP($D109,INDIRECT(ADDRESS(7,5,1,1,"3_TIME SUM")):INDIRECT(ADDRESS(200,7,1,1,"3_TIME SUM")),3,FALSE))</f>
        <v>PT</v>
      </c>
      <c r="I109" s="59">
        <f ca="1">IFERROR(IF(AND($D$2="NON PRODUCTIVE TIME",$H109="NPT"),SUMIF(INDIRECT(ADDRESS(8,COLUMN('2_DATA'!$M$9),1,1,"2_DATA")):INDIRECT(ADDRESS(3000,COLUMN('2_DATA'!$M$9),1,1,"2_DATA")),$G109,INDIRECT(ADDRESS(8,COLUMN('2_DATA'!$N$9),1,1,"2_DATA")):INDIRECT(ADDRESS(3000,COLUMN('2_DATA'!$N$9),1,1,"2_DATA"))),IF($D$2="ALL ACTIVITY",SUMIF(INDIRECT(ADDRESS(9,COLUMN('2_DATA'!$M$9),1,1,"2_DATA")):INDIRECT(ADDRESS(3000,COLUMN('2_DATA'!$M$9),1,1,"2_DATA")),$G109,INDIRECT(ADDRESS(9,COLUMN('2_DATA'!$N$9),1,1,"2_DATA")):INDIRECT(ADDRESS(3000,COLUMN('2_DATA'!$N$9),1,1,"2_DATA"))),SUMIF(INDIRECT(ADDRESS(OFFSET($A$3,MATCH($D$2,$A$4:$A$16,0)-1,1,,)+1,COLUMN('2_DATA'!$M$9),1,1,"2_DATA")):INDIRECT(ADDRESS(VLOOKUP($D$2,$A$4:$B$16,2,FALSE)-1,COLUMN('2_DATA'!$M$9),1,1,"2_DATA")),$G109,INDIRECT(ADDRESS(OFFSET($A$3,MATCH($D$2,$A$4:$A$16,0)-1,1,,)+1,COLUMN('2_DATA'!$N$9),1,1,"2_DATA")):INDIRECT(ADDRESS(VLOOKUP($D$2,$A$4:$B$16,2,FALSE)-1,COLUMN('2_DATA'!$N$9),1,1,"2_DATA"))))),0)</f>
        <v>0</v>
      </c>
      <c r="J109" s="58" t="str">
        <f ca="1">IF(I109=0,"",MAX($J$3:J108)+1)</f>
        <v/>
      </c>
      <c r="L109" s="55">
        <f t="shared" ca="1" si="21"/>
        <v>1000</v>
      </c>
      <c r="M109" s="55" t="str">
        <f t="shared" ca="1" si="25"/>
        <v/>
      </c>
      <c r="N109" s="55"/>
      <c r="O109" s="55" t="str">
        <f t="shared" ca="1" si="29"/>
        <v/>
      </c>
      <c r="P109" s="55">
        <f t="shared" ca="1" si="22"/>
        <v>0</v>
      </c>
      <c r="Q109" s="55" t="str">
        <f ca="1">IFERROR(INDEX($O$4:$P$226,MATCH(ROWS($Q$3:Q108),$P$4:$P$226,0),1),"-")</f>
        <v>-</v>
      </c>
      <c r="R109" s="62" t="str">
        <f t="shared" ca="1" si="23"/>
        <v/>
      </c>
      <c r="S109" s="55" t="str">
        <f t="shared" ca="1" si="26"/>
        <v/>
      </c>
      <c r="T109" s="67" t="str">
        <f t="shared" ca="1" si="38"/>
        <v>-</v>
      </c>
      <c r="V109" s="68" t="str">
        <f t="shared" ca="1" si="30"/>
        <v/>
      </c>
      <c r="W109" s="69" t="str">
        <f t="shared" ca="1" si="31"/>
        <v/>
      </c>
      <c r="X109" s="70" t="s">
        <v>84</v>
      </c>
      <c r="Y109" s="68" t="str">
        <f t="shared" ca="1" si="35"/>
        <v/>
      </c>
      <c r="Z109" s="71" t="str">
        <f t="shared" ca="1" si="32"/>
        <v/>
      </c>
      <c r="AA109" s="72" t="str">
        <f t="shared" ca="1" si="33"/>
        <v/>
      </c>
      <c r="AB109" s="305" t="str">
        <f t="shared" ca="1" si="34"/>
        <v/>
      </c>
      <c r="AC109" s="236"/>
      <c r="AD109" s="236"/>
      <c r="AE109" s="236"/>
      <c r="AF109" s="236"/>
      <c r="AG109" s="236"/>
      <c r="AH109" s="236"/>
      <c r="AI109" s="236"/>
      <c r="AJ109" s="236"/>
      <c r="AK109" s="236"/>
      <c r="AL109" s="236"/>
      <c r="AM109" s="236"/>
      <c r="AN109" s="236"/>
      <c r="AO109" s="236"/>
      <c r="AP109" s="236"/>
      <c r="AQ109" s="236"/>
      <c r="AR109" s="236"/>
      <c r="AS109" s="236"/>
      <c r="AT109" s="236"/>
      <c r="AU109" s="236"/>
      <c r="AV109" s="236"/>
      <c r="AW109" s="236"/>
      <c r="AX109" s="236"/>
      <c r="AY109" s="236"/>
      <c r="AZ109" s="236"/>
      <c r="BA109" s="236"/>
      <c r="BB109" s="236"/>
      <c r="BC109" s="236"/>
      <c r="BD109" s="236"/>
      <c r="BE109" s="236"/>
      <c r="BF109" s="236"/>
      <c r="BG109" s="236"/>
      <c r="BH109" s="236"/>
      <c r="BI109" s="236"/>
      <c r="BJ109" s="236"/>
      <c r="BK109" s="236"/>
      <c r="BL109" s="236"/>
      <c r="BM109" s="236"/>
      <c r="BN109" s="236"/>
      <c r="BO109" s="236"/>
      <c r="BP109" s="236"/>
      <c r="BQ109" s="236"/>
      <c r="BR109" s="236"/>
      <c r="BS109" s="236"/>
      <c r="BT109" s="236"/>
      <c r="BU109" s="236"/>
      <c r="BV109" s="236"/>
      <c r="BW109" s="236"/>
      <c r="BX109" s="236"/>
      <c r="BY109" s="236"/>
      <c r="BZ109" s="236"/>
      <c r="CA109" s="236"/>
      <c r="CB109" s="236"/>
      <c r="CC109" s="236"/>
      <c r="CD109" s="236"/>
      <c r="CE109" s="236"/>
      <c r="CF109" s="236"/>
      <c r="CG109" s="236"/>
      <c r="CH109" s="236"/>
      <c r="CI109" s="236"/>
      <c r="CJ109" s="236"/>
      <c r="CK109" s="236"/>
      <c r="CL109" s="236"/>
      <c r="CM109" s="236"/>
      <c r="CN109" s="236"/>
      <c r="CO109" s="236"/>
      <c r="CP109" s="236"/>
      <c r="CQ109" s="236"/>
      <c r="CR109" s="236"/>
      <c r="CS109" s="236"/>
      <c r="CT109" s="236"/>
      <c r="CU109" s="236"/>
      <c r="CV109" s="236"/>
      <c r="CW109" s="236"/>
      <c r="CX109" s="236"/>
      <c r="CY109" s="236"/>
      <c r="CZ109" s="236"/>
      <c r="DA109" s="236"/>
      <c r="DB109" s="236"/>
      <c r="DC109" s="236"/>
      <c r="DD109" s="236"/>
      <c r="DE109" s="236"/>
      <c r="DF109" s="236"/>
      <c r="DG109" s="236"/>
      <c r="DH109" s="236"/>
      <c r="DI109" s="236"/>
      <c r="DJ109" s="236"/>
      <c r="DK109" s="236"/>
      <c r="DL109" s="236"/>
      <c r="DM109" s="236"/>
      <c r="DN109" s="236"/>
      <c r="DO109" s="236"/>
      <c r="DP109" s="236"/>
      <c r="DQ109" s="236"/>
      <c r="DR109" s="236"/>
      <c r="DS109" s="236"/>
      <c r="DT109" s="236"/>
      <c r="DU109" s="236"/>
      <c r="DV109" s="236"/>
      <c r="DW109" s="236"/>
      <c r="DX109" s="236"/>
      <c r="DY109" s="236"/>
      <c r="DZ109" s="236"/>
      <c r="EA109" s="236"/>
      <c r="EB109" s="236"/>
      <c r="EC109" s="236"/>
      <c r="ED109" s="236"/>
      <c r="EE109" s="236"/>
      <c r="EF109" s="236"/>
      <c r="EG109" s="236"/>
      <c r="EH109" s="236"/>
      <c r="EI109" s="236"/>
      <c r="EJ109" s="236"/>
      <c r="EK109" s="236"/>
      <c r="EL109" s="236"/>
      <c r="EM109" s="236"/>
      <c r="EN109" s="236"/>
      <c r="EO109" s="236"/>
      <c r="EP109" s="236"/>
      <c r="EQ109" s="236"/>
      <c r="ER109" s="236"/>
      <c r="ES109" s="236"/>
      <c r="ET109" s="236"/>
      <c r="EU109" s="236"/>
      <c r="EV109" s="236"/>
      <c r="EW109" s="236"/>
      <c r="EX109" s="236"/>
      <c r="EY109" s="236"/>
      <c r="EZ109" s="236"/>
      <c r="FA109" s="236"/>
      <c r="FB109" s="236"/>
      <c r="FC109" s="236"/>
      <c r="FD109" s="236"/>
      <c r="FE109" s="236"/>
      <c r="FF109" s="236"/>
      <c r="FG109" s="236"/>
      <c r="FH109" s="236"/>
      <c r="FI109" s="236"/>
      <c r="FJ109" s="236"/>
      <c r="FK109" s="236"/>
      <c r="FL109" s="236"/>
      <c r="FM109" s="236"/>
      <c r="FN109" s="236"/>
      <c r="FO109" s="236"/>
      <c r="FP109" s="236"/>
      <c r="FQ109" s="236"/>
      <c r="FR109" s="236"/>
      <c r="FS109" s="236"/>
      <c r="FT109" s="236"/>
      <c r="FU109" s="236"/>
      <c r="FV109" s="236"/>
      <c r="FW109" s="236"/>
      <c r="FX109" s="236"/>
      <c r="FY109" s="236"/>
      <c r="FZ109" s="236"/>
      <c r="GA109" s="236"/>
      <c r="GB109" s="236"/>
      <c r="GC109" s="236"/>
      <c r="GD109" s="236"/>
      <c r="GE109" s="236"/>
      <c r="GF109" s="236"/>
      <c r="GG109" s="236"/>
      <c r="GH109" s="236"/>
      <c r="GI109" s="236"/>
      <c r="GJ109" s="236"/>
      <c r="GK109" s="236"/>
      <c r="GL109" s="236"/>
      <c r="GM109" s="236"/>
      <c r="GN109" s="236"/>
      <c r="GO109" s="236"/>
      <c r="GP109" s="236"/>
      <c r="GQ109" s="236"/>
      <c r="GR109" s="236"/>
      <c r="GS109" s="236"/>
      <c r="GT109" s="236"/>
      <c r="GU109" s="236"/>
      <c r="GV109" s="236"/>
      <c r="GW109" s="236"/>
      <c r="GX109" s="236"/>
      <c r="GY109" s="236"/>
      <c r="GZ109" s="236"/>
      <c r="HA109" s="236"/>
      <c r="HB109" s="236"/>
      <c r="HC109" s="236"/>
      <c r="HD109" s="236"/>
      <c r="HE109" s="236"/>
      <c r="HF109" s="236"/>
      <c r="HG109" s="236"/>
      <c r="HH109" s="236"/>
      <c r="HI109" s="236"/>
      <c r="HJ109" s="236"/>
      <c r="HK109" s="236"/>
      <c r="HL109" s="236"/>
      <c r="HM109" s="236"/>
      <c r="HN109" s="236"/>
      <c r="HO109" s="236"/>
      <c r="HP109" s="236"/>
      <c r="HQ109" s="236"/>
      <c r="HR109" s="236"/>
      <c r="HS109" s="236"/>
      <c r="HT109" s="236"/>
      <c r="HU109" s="236"/>
      <c r="HV109" s="236"/>
      <c r="HW109" s="236"/>
      <c r="HX109" s="236"/>
      <c r="HY109" s="236"/>
      <c r="HZ109" s="236"/>
      <c r="IA109" s="236"/>
      <c r="IB109" s="236"/>
      <c r="IC109" s="236"/>
      <c r="ID109" s="236"/>
      <c r="IE109" s="236"/>
      <c r="IF109" s="236"/>
      <c r="IG109" s="236"/>
      <c r="IH109" s="236"/>
      <c r="II109" s="236"/>
      <c r="IJ109" s="236"/>
      <c r="IK109" s="236"/>
      <c r="IL109" s="236"/>
      <c r="IM109" s="236"/>
      <c r="IN109" s="236"/>
      <c r="IO109" s="236"/>
      <c r="IP109" s="236"/>
      <c r="IQ109" s="236"/>
      <c r="IR109" s="236"/>
      <c r="IS109" s="236"/>
      <c r="IT109" s="236"/>
      <c r="IU109" s="236"/>
      <c r="IV109" s="236"/>
      <c r="IW109" s="236"/>
      <c r="IX109" s="236"/>
      <c r="IY109" s="236"/>
      <c r="IZ109" s="236"/>
      <c r="JA109" s="236"/>
      <c r="JB109" s="236"/>
      <c r="JC109" s="236"/>
      <c r="JD109" s="236"/>
      <c r="JE109" s="236"/>
      <c r="JF109" s="236"/>
      <c r="JG109" s="236"/>
      <c r="JH109" s="236"/>
      <c r="JI109" s="236"/>
      <c r="JJ109" s="236"/>
      <c r="JK109" s="236"/>
      <c r="JL109" s="236"/>
      <c r="JM109" s="236"/>
      <c r="JN109" s="236"/>
      <c r="JO109" s="236"/>
      <c r="JP109" s="236"/>
      <c r="JQ109" s="236"/>
      <c r="JR109" s="236"/>
      <c r="JS109" s="236"/>
      <c r="JT109" s="236"/>
      <c r="JU109" s="236"/>
      <c r="JV109" s="236"/>
      <c r="JW109" s="236"/>
      <c r="JX109" s="409"/>
      <c r="JY109" s="409"/>
      <c r="JZ109" s="409"/>
      <c r="KA109" s="409"/>
      <c r="KB109" s="409"/>
      <c r="KC109" s="409"/>
      <c r="KD109" s="409"/>
      <c r="KE109" s="409"/>
      <c r="KF109" s="409"/>
      <c r="KG109" s="410"/>
    </row>
    <row r="110" spans="3:297" ht="24" customHeight="1">
      <c r="C110"/>
      <c r="D110" s="57" t="str">
        <f ca="1">INDIRECT(ADDRESS(ROWS($D$3:D109)+6,D$3,1,1,"3_TIME SUM"))</f>
        <v>Tunggu Hari Terang</v>
      </c>
      <c r="E110" s="81" t="str">
        <f ca="1">IF(INDIRECT(ADDRESS(ROWS($E$3:E109)+6,E$3,1,1,"3_TIME SUM"))=0,E109,INDIRECT(ADDRESS(ROWS($E$3:E109)+6,E$3,1,1,"3_TIME SUM")))</f>
        <v>Uncontrol Situation</v>
      </c>
      <c r="F110" s="57" t="str">
        <f t="shared" ca="1" si="24"/>
        <v>Uncontrol Situation : Tunggu Hari Terang</v>
      </c>
      <c r="G110" s="58" t="str">
        <f ca="1">VLOOKUP($D110,INDIRECT(ADDRESS(7,5,1,1,"3_TIME SUM")):INDIRECT(ADDRESS(200,7,1,1,"3_TIME SUM")),2,FALSE)</f>
        <v>23c</v>
      </c>
      <c r="H110" s="58" t="str">
        <f ca="1">IF(VLOOKUP($D110,INDIRECT(ADDRESS(7,5,1,1,"3_TIME SUM")):INDIRECT(ADDRESS(200,7,1,1,"3_TIME SUM")),3,FALSE)="","PT",VLOOKUP($D110,INDIRECT(ADDRESS(7,5,1,1,"3_TIME SUM")):INDIRECT(ADDRESS(200,7,1,1,"3_TIME SUM")),3,FALSE))</f>
        <v>PT</v>
      </c>
      <c r="I110" s="59">
        <f ca="1">IFERROR(IF(AND($D$2="NON PRODUCTIVE TIME",$H110="NPT"),SUMIF(INDIRECT(ADDRESS(8,COLUMN('2_DATA'!$M$9),1,1,"2_DATA")):INDIRECT(ADDRESS(3000,COLUMN('2_DATA'!$M$9),1,1,"2_DATA")),$G110,INDIRECT(ADDRESS(8,COLUMN('2_DATA'!$N$9),1,1,"2_DATA")):INDIRECT(ADDRESS(3000,COLUMN('2_DATA'!$N$9),1,1,"2_DATA"))),IF($D$2="ALL ACTIVITY",SUMIF(INDIRECT(ADDRESS(9,COLUMN('2_DATA'!$M$9),1,1,"2_DATA")):INDIRECT(ADDRESS(3000,COLUMN('2_DATA'!$M$9),1,1,"2_DATA")),$G110,INDIRECT(ADDRESS(9,COLUMN('2_DATA'!$N$9),1,1,"2_DATA")):INDIRECT(ADDRESS(3000,COLUMN('2_DATA'!$N$9),1,1,"2_DATA"))),SUMIF(INDIRECT(ADDRESS(OFFSET($A$3,MATCH($D$2,$A$4:$A$16,0)-1,1,,)+1,COLUMN('2_DATA'!$M$9),1,1,"2_DATA")):INDIRECT(ADDRESS(VLOOKUP($D$2,$A$4:$B$16,2,FALSE)-1,COLUMN('2_DATA'!$M$9),1,1,"2_DATA")),$G110,INDIRECT(ADDRESS(OFFSET($A$3,MATCH($D$2,$A$4:$A$16,0)-1,1,,)+1,COLUMN('2_DATA'!$N$9),1,1,"2_DATA")):INDIRECT(ADDRESS(VLOOKUP($D$2,$A$4:$B$16,2,FALSE)-1,COLUMN('2_DATA'!$N$9),1,1,"2_DATA"))))),0)</f>
        <v>0</v>
      </c>
      <c r="J110" s="58" t="str">
        <f ca="1">IF(I110=0,"",MAX($J$3:J109)+1)</f>
        <v/>
      </c>
      <c r="L110" s="55">
        <f t="shared" ca="1" si="21"/>
        <v>1000</v>
      </c>
      <c r="M110" s="55" t="str">
        <f t="shared" ca="1" si="25"/>
        <v/>
      </c>
      <c r="N110" s="55"/>
      <c r="O110" s="55" t="str">
        <f t="shared" ca="1" si="29"/>
        <v/>
      </c>
      <c r="P110" s="55">
        <f t="shared" ca="1" si="22"/>
        <v>0</v>
      </c>
      <c r="Q110" s="55" t="str">
        <f ca="1">IFERROR(INDEX($O$4:$P$226,MATCH(ROWS($Q$3:Q109),$P$4:$P$226,0),1),"-")</f>
        <v>-</v>
      </c>
      <c r="R110" s="62" t="str">
        <f t="shared" ca="1" si="23"/>
        <v/>
      </c>
      <c r="S110" s="55" t="str">
        <f t="shared" ca="1" si="26"/>
        <v/>
      </c>
      <c r="T110" s="67" t="str">
        <f t="shared" ca="1" si="38"/>
        <v>-</v>
      </c>
      <c r="V110" s="68" t="str">
        <f t="shared" ca="1" si="30"/>
        <v/>
      </c>
      <c r="W110" s="69" t="str">
        <f t="shared" ca="1" si="31"/>
        <v/>
      </c>
      <c r="X110" s="70" t="s">
        <v>84</v>
      </c>
      <c r="Y110" s="68" t="str">
        <f t="shared" ca="1" si="35"/>
        <v/>
      </c>
      <c r="Z110" s="71" t="str">
        <f t="shared" ca="1" si="32"/>
        <v/>
      </c>
      <c r="AA110" s="72" t="str">
        <f t="shared" ca="1" si="33"/>
        <v/>
      </c>
      <c r="AB110" s="305" t="str">
        <f t="shared" ca="1" si="34"/>
        <v/>
      </c>
      <c r="AC110" s="236"/>
      <c r="AD110" s="236"/>
      <c r="AE110" s="236"/>
      <c r="AF110" s="236"/>
      <c r="AG110" s="236"/>
      <c r="AH110" s="236"/>
      <c r="AI110" s="236"/>
      <c r="AJ110" s="236"/>
      <c r="AK110" s="236"/>
      <c r="AL110" s="236"/>
      <c r="AM110" s="236"/>
      <c r="AN110" s="236"/>
      <c r="AO110" s="236"/>
      <c r="AP110" s="236"/>
      <c r="AQ110" s="236"/>
      <c r="AR110" s="236"/>
      <c r="AS110" s="236"/>
      <c r="AT110" s="236"/>
      <c r="AU110" s="236"/>
      <c r="AV110" s="236"/>
      <c r="AW110" s="236"/>
      <c r="AX110" s="236"/>
      <c r="AY110" s="236"/>
      <c r="AZ110" s="236"/>
      <c r="BA110" s="236"/>
      <c r="BB110" s="236"/>
      <c r="BC110" s="236"/>
      <c r="BD110" s="236"/>
      <c r="BE110" s="236"/>
      <c r="BF110" s="236"/>
      <c r="BG110" s="236"/>
      <c r="BH110" s="236"/>
      <c r="BI110" s="236"/>
      <c r="BJ110" s="236"/>
      <c r="BK110" s="236"/>
      <c r="BL110" s="236"/>
      <c r="BM110" s="236"/>
      <c r="BN110" s="236"/>
      <c r="BO110" s="236"/>
      <c r="BP110" s="236"/>
      <c r="BQ110" s="236"/>
      <c r="BR110" s="236"/>
      <c r="BS110" s="236"/>
      <c r="BT110" s="236"/>
      <c r="BU110" s="236"/>
      <c r="BV110" s="236"/>
      <c r="BW110" s="236"/>
      <c r="BX110" s="236"/>
      <c r="BY110" s="236"/>
      <c r="BZ110" s="236"/>
      <c r="CA110" s="236"/>
      <c r="CB110" s="236"/>
      <c r="CC110" s="236"/>
      <c r="CD110" s="236"/>
      <c r="CE110" s="236"/>
      <c r="CF110" s="236"/>
      <c r="CG110" s="236"/>
      <c r="CH110" s="236"/>
      <c r="CI110" s="236"/>
      <c r="CJ110" s="236"/>
      <c r="CK110" s="236"/>
      <c r="CL110" s="236"/>
      <c r="CM110" s="236"/>
      <c r="CN110" s="236"/>
      <c r="CO110" s="236"/>
      <c r="CP110" s="236"/>
      <c r="CQ110" s="236"/>
      <c r="CR110" s="236"/>
      <c r="CS110" s="236"/>
      <c r="CT110" s="236"/>
      <c r="CU110" s="236"/>
      <c r="CV110" s="236"/>
      <c r="CW110" s="236"/>
      <c r="CX110" s="236"/>
      <c r="CY110" s="236"/>
      <c r="CZ110" s="236"/>
      <c r="DA110" s="236"/>
      <c r="DB110" s="236"/>
      <c r="DC110" s="236"/>
      <c r="DD110" s="236"/>
      <c r="DE110" s="236"/>
      <c r="DF110" s="236"/>
      <c r="DG110" s="236"/>
      <c r="DH110" s="236"/>
      <c r="DI110" s="236"/>
      <c r="DJ110" s="236"/>
      <c r="DK110" s="236"/>
      <c r="DL110" s="236"/>
      <c r="DM110" s="236"/>
      <c r="DN110" s="236"/>
      <c r="DO110" s="236"/>
      <c r="DP110" s="236"/>
      <c r="DQ110" s="236"/>
      <c r="DR110" s="236"/>
      <c r="DS110" s="236"/>
      <c r="DT110" s="236"/>
      <c r="DU110" s="236"/>
      <c r="DV110" s="236"/>
      <c r="DW110" s="236"/>
      <c r="DX110" s="236"/>
      <c r="DY110" s="236"/>
      <c r="DZ110" s="236"/>
      <c r="EA110" s="236"/>
      <c r="EB110" s="236"/>
      <c r="EC110" s="236"/>
      <c r="ED110" s="236"/>
      <c r="EE110" s="236"/>
      <c r="EF110" s="236"/>
      <c r="EG110" s="236"/>
      <c r="EH110" s="236"/>
      <c r="EI110" s="236"/>
      <c r="EJ110" s="236"/>
      <c r="EK110" s="236"/>
      <c r="EL110" s="236"/>
      <c r="EM110" s="236"/>
      <c r="EN110" s="236"/>
      <c r="EO110" s="236"/>
      <c r="EP110" s="236"/>
      <c r="EQ110" s="236"/>
      <c r="ER110" s="236"/>
      <c r="ES110" s="236"/>
      <c r="ET110" s="236"/>
      <c r="EU110" s="236"/>
      <c r="EV110" s="236"/>
      <c r="EW110" s="236"/>
      <c r="EX110" s="236"/>
      <c r="EY110" s="236"/>
      <c r="EZ110" s="236"/>
      <c r="FA110" s="236"/>
      <c r="FB110" s="236"/>
      <c r="FC110" s="236"/>
      <c r="FD110" s="236"/>
      <c r="FE110" s="236"/>
      <c r="FF110" s="236"/>
      <c r="FG110" s="236"/>
      <c r="FH110" s="236"/>
      <c r="FI110" s="236"/>
      <c r="FJ110" s="236"/>
      <c r="FK110" s="236"/>
      <c r="FL110" s="236"/>
      <c r="FM110" s="236"/>
      <c r="FN110" s="236"/>
      <c r="FO110" s="236"/>
      <c r="FP110" s="236"/>
      <c r="FQ110" s="236"/>
      <c r="FR110" s="236"/>
      <c r="FS110" s="236"/>
      <c r="FT110" s="236"/>
      <c r="FU110" s="236"/>
      <c r="FV110" s="236"/>
      <c r="FW110" s="236"/>
      <c r="FX110" s="236"/>
      <c r="FY110" s="236"/>
      <c r="FZ110" s="236"/>
      <c r="GA110" s="236"/>
      <c r="GB110" s="236"/>
      <c r="GC110" s="236"/>
      <c r="GD110" s="236"/>
      <c r="GE110" s="236"/>
      <c r="GF110" s="236"/>
      <c r="GG110" s="236"/>
      <c r="GH110" s="236"/>
      <c r="GI110" s="236"/>
      <c r="GJ110" s="236"/>
      <c r="GK110" s="236"/>
      <c r="GL110" s="236"/>
      <c r="GM110" s="236"/>
      <c r="GN110" s="236"/>
      <c r="GO110" s="236"/>
      <c r="GP110" s="236"/>
      <c r="GQ110" s="236"/>
      <c r="GR110" s="236"/>
      <c r="GS110" s="236"/>
      <c r="GT110" s="236"/>
      <c r="GU110" s="236"/>
      <c r="GV110" s="236"/>
      <c r="GW110" s="236"/>
      <c r="GX110" s="236"/>
      <c r="GY110" s="236"/>
      <c r="GZ110" s="236"/>
      <c r="HA110" s="236"/>
      <c r="HB110" s="236"/>
      <c r="HC110" s="236"/>
      <c r="HD110" s="236"/>
      <c r="HE110" s="236"/>
      <c r="HF110" s="236"/>
      <c r="HG110" s="236"/>
      <c r="HH110" s="236"/>
      <c r="HI110" s="236"/>
      <c r="HJ110" s="236"/>
      <c r="HK110" s="236"/>
      <c r="HL110" s="236"/>
      <c r="HM110" s="236"/>
      <c r="HN110" s="236"/>
      <c r="HO110" s="236"/>
      <c r="HP110" s="236"/>
      <c r="HQ110" s="236"/>
      <c r="HR110" s="236"/>
      <c r="HS110" s="236"/>
      <c r="HT110" s="236"/>
      <c r="HU110" s="236"/>
      <c r="HV110" s="236"/>
      <c r="HW110" s="236"/>
      <c r="HX110" s="236"/>
      <c r="HY110" s="236"/>
      <c r="HZ110" s="236"/>
      <c r="IA110" s="236"/>
      <c r="IB110" s="236"/>
      <c r="IC110" s="236"/>
      <c r="ID110" s="236"/>
      <c r="IE110" s="236"/>
      <c r="IF110" s="236"/>
      <c r="IG110" s="236"/>
      <c r="IH110" s="236"/>
      <c r="II110" s="236"/>
      <c r="IJ110" s="236"/>
      <c r="IK110" s="236"/>
      <c r="IL110" s="236"/>
      <c r="IM110" s="236"/>
      <c r="IN110" s="236"/>
      <c r="IO110" s="236"/>
      <c r="IP110" s="236"/>
      <c r="IQ110" s="236"/>
      <c r="IR110" s="236"/>
      <c r="IS110" s="236"/>
      <c r="IT110" s="236"/>
      <c r="IU110" s="236"/>
      <c r="IV110" s="236"/>
      <c r="IW110" s="236"/>
      <c r="IX110" s="236"/>
      <c r="IY110" s="236"/>
      <c r="IZ110" s="236"/>
      <c r="JA110" s="236"/>
      <c r="JB110" s="236"/>
      <c r="JC110" s="236"/>
      <c r="JD110" s="236"/>
      <c r="JE110" s="236"/>
      <c r="JF110" s="236"/>
      <c r="JG110" s="236"/>
      <c r="JH110" s="236"/>
      <c r="JI110" s="236"/>
      <c r="JJ110" s="236"/>
      <c r="JK110" s="236"/>
      <c r="JL110" s="236"/>
      <c r="JM110" s="236"/>
      <c r="JN110" s="236"/>
      <c r="JO110" s="236"/>
      <c r="JP110" s="236"/>
      <c r="JQ110" s="236"/>
      <c r="JR110" s="236"/>
      <c r="JS110" s="236"/>
      <c r="JT110" s="236"/>
      <c r="JU110" s="236"/>
      <c r="JV110" s="236"/>
      <c r="JW110" s="236"/>
      <c r="JX110" s="409"/>
      <c r="JY110" s="409"/>
      <c r="JZ110" s="409"/>
      <c r="KA110" s="409"/>
      <c r="KB110" s="409"/>
      <c r="KC110" s="409"/>
      <c r="KD110" s="409"/>
      <c r="KE110" s="409"/>
      <c r="KF110" s="409"/>
      <c r="KG110" s="410"/>
    </row>
    <row r="111" spans="3:297" ht="24" customHeight="1">
      <c r="C111"/>
      <c r="D111" s="57" t="str">
        <f ca="1">INDIRECT(ADDRESS(ROWS($D$3:D110)+6,D$3,1,1,"3_TIME SUM"))</f>
        <v>Kick Drill, Medivac drill, Pit drill, H2S Drill, etc</v>
      </c>
      <c r="E111" s="81" t="str">
        <f ca="1">IF(INDIRECT(ADDRESS(ROWS($E$3:E110)+6,E$3,1,1,"3_TIME SUM"))=0,E110,INDIRECT(ADDRESS(ROWS($E$3:E110)+6,E$3,1,1,"3_TIME SUM")))</f>
        <v>Drills</v>
      </c>
      <c r="F111" s="57" t="str">
        <f t="shared" ca="1" si="24"/>
        <v>Drills : Kick Drill, Medivac drill, Pit drill, H2S Drill, etc</v>
      </c>
      <c r="G111" s="58" t="str">
        <f ca="1">VLOOKUP($D111,INDIRECT(ADDRESS(7,5,1,1,"3_TIME SUM")):INDIRECT(ADDRESS(200,7,1,1,"3_TIME SUM")),2,FALSE)</f>
        <v>24a</v>
      </c>
      <c r="H111" s="58" t="str">
        <f ca="1">IF(VLOOKUP($D111,INDIRECT(ADDRESS(7,5,1,1,"3_TIME SUM")):INDIRECT(ADDRESS(200,7,1,1,"3_TIME SUM")),3,FALSE)="","PT",VLOOKUP($D111,INDIRECT(ADDRESS(7,5,1,1,"3_TIME SUM")):INDIRECT(ADDRESS(200,7,1,1,"3_TIME SUM")),3,FALSE))</f>
        <v>PT</v>
      </c>
      <c r="I111" s="59">
        <f ca="1">IFERROR(IF(AND($D$2="NON PRODUCTIVE TIME",$H111="NPT"),SUMIF(INDIRECT(ADDRESS(8,COLUMN('2_DATA'!$M$9),1,1,"2_DATA")):INDIRECT(ADDRESS(3000,COLUMN('2_DATA'!$M$9),1,1,"2_DATA")),$G111,INDIRECT(ADDRESS(8,COLUMN('2_DATA'!$N$9),1,1,"2_DATA")):INDIRECT(ADDRESS(3000,COLUMN('2_DATA'!$N$9),1,1,"2_DATA"))),IF($D$2="ALL ACTIVITY",SUMIF(INDIRECT(ADDRESS(9,COLUMN('2_DATA'!$M$9),1,1,"2_DATA")):INDIRECT(ADDRESS(3000,COLUMN('2_DATA'!$M$9),1,1,"2_DATA")),$G111,INDIRECT(ADDRESS(9,COLUMN('2_DATA'!$N$9),1,1,"2_DATA")):INDIRECT(ADDRESS(3000,COLUMN('2_DATA'!$N$9),1,1,"2_DATA"))),SUMIF(INDIRECT(ADDRESS(OFFSET($A$3,MATCH($D$2,$A$4:$A$16,0)-1,1,,)+1,COLUMN('2_DATA'!$M$9),1,1,"2_DATA")):INDIRECT(ADDRESS(VLOOKUP($D$2,$A$4:$B$16,2,FALSE)-1,COLUMN('2_DATA'!$M$9),1,1,"2_DATA")),$G111,INDIRECT(ADDRESS(OFFSET($A$3,MATCH($D$2,$A$4:$A$16,0)-1,1,,)+1,COLUMN('2_DATA'!$N$9),1,1,"2_DATA")):INDIRECT(ADDRESS(VLOOKUP($D$2,$A$4:$B$16,2,FALSE)-1,COLUMN('2_DATA'!$N$9),1,1,"2_DATA"))))),0)</f>
        <v>0</v>
      </c>
      <c r="J111" s="58" t="str">
        <f ca="1">IF(I111=0,"",MAX($J$3:J110)+1)</f>
        <v/>
      </c>
      <c r="L111" s="55">
        <f t="shared" ca="1" si="21"/>
        <v>1000</v>
      </c>
      <c r="M111" s="55" t="str">
        <f t="shared" ca="1" si="25"/>
        <v/>
      </c>
      <c r="N111" s="55"/>
      <c r="O111" s="55">
        <f t="shared" ca="1" si="29"/>
        <v>1022</v>
      </c>
      <c r="P111" s="55">
        <f t="shared" ca="1" si="22"/>
        <v>23</v>
      </c>
      <c r="Q111" s="55" t="str">
        <f ca="1">IFERROR(INDEX($O$4:$P$226,MATCH(ROWS($Q$3:Q110),$P$4:$P$226,0),1),"-")</f>
        <v>-</v>
      </c>
      <c r="R111" s="62" t="str">
        <f t="shared" ca="1" si="23"/>
        <v/>
      </c>
      <c r="S111" s="55" t="str">
        <f t="shared" ca="1" si="26"/>
        <v/>
      </c>
      <c r="T111" s="67" t="str">
        <f t="shared" ca="1" si="38"/>
        <v>-</v>
      </c>
      <c r="V111" s="68" t="str">
        <f t="shared" ca="1" si="30"/>
        <v/>
      </c>
      <c r="W111" s="69" t="str">
        <f t="shared" ca="1" si="31"/>
        <v/>
      </c>
      <c r="X111" s="70" t="s">
        <v>84</v>
      </c>
      <c r="Y111" s="68" t="str">
        <f t="shared" ca="1" si="35"/>
        <v/>
      </c>
      <c r="Z111" s="71" t="str">
        <f t="shared" ca="1" si="32"/>
        <v/>
      </c>
      <c r="AA111" s="72" t="str">
        <f t="shared" ca="1" si="33"/>
        <v/>
      </c>
      <c r="AB111" s="305" t="str">
        <f t="shared" ca="1" si="34"/>
        <v/>
      </c>
      <c r="AC111" s="236"/>
      <c r="AD111" s="236"/>
      <c r="AE111" s="236"/>
      <c r="AF111" s="236"/>
      <c r="AG111" s="236"/>
      <c r="AH111" s="236"/>
      <c r="AI111" s="236"/>
      <c r="AJ111" s="236"/>
      <c r="AK111" s="236"/>
      <c r="AL111" s="236"/>
      <c r="AM111" s="236"/>
      <c r="AN111" s="236"/>
      <c r="AO111" s="236"/>
      <c r="AP111" s="236"/>
      <c r="AQ111" s="236"/>
      <c r="AR111" s="236"/>
      <c r="AS111" s="236"/>
      <c r="AT111" s="236"/>
      <c r="AU111" s="236"/>
      <c r="AV111" s="236"/>
      <c r="AW111" s="236"/>
      <c r="AX111" s="236"/>
      <c r="AY111" s="236"/>
      <c r="AZ111" s="236"/>
      <c r="BA111" s="236"/>
      <c r="BB111" s="236"/>
      <c r="BC111" s="236"/>
      <c r="BD111" s="236"/>
      <c r="BE111" s="236"/>
      <c r="BF111" s="236"/>
      <c r="BG111" s="236"/>
      <c r="BH111" s="236"/>
      <c r="BI111" s="236"/>
      <c r="BJ111" s="236"/>
      <c r="BK111" s="236"/>
      <c r="BL111" s="236"/>
      <c r="BM111" s="236"/>
      <c r="BN111" s="236"/>
      <c r="BO111" s="236"/>
      <c r="BP111" s="236"/>
      <c r="BQ111" s="236"/>
      <c r="BR111" s="236"/>
      <c r="BS111" s="236"/>
      <c r="BT111" s="236"/>
      <c r="BU111" s="236"/>
      <c r="BV111" s="236"/>
      <c r="BW111" s="236"/>
      <c r="BX111" s="236"/>
      <c r="BY111" s="236"/>
      <c r="BZ111" s="236"/>
      <c r="CA111" s="236"/>
      <c r="CB111" s="236"/>
      <c r="CC111" s="236"/>
      <c r="CD111" s="236"/>
      <c r="CE111" s="236"/>
      <c r="CF111" s="236"/>
      <c r="CG111" s="236"/>
      <c r="CH111" s="236"/>
      <c r="CI111" s="236"/>
      <c r="CJ111" s="236"/>
      <c r="CK111" s="236"/>
      <c r="CL111" s="236"/>
      <c r="CM111" s="236"/>
      <c r="CN111" s="236"/>
      <c r="CO111" s="236"/>
      <c r="CP111" s="236"/>
      <c r="CQ111" s="236"/>
      <c r="CR111" s="236"/>
      <c r="CS111" s="236"/>
      <c r="CT111" s="236"/>
      <c r="CU111" s="236"/>
      <c r="CV111" s="236"/>
      <c r="CW111" s="236"/>
      <c r="CX111" s="236"/>
      <c r="CY111" s="236"/>
      <c r="CZ111" s="236"/>
      <c r="DA111" s="236"/>
      <c r="DB111" s="236"/>
      <c r="DC111" s="236"/>
      <c r="DD111" s="236"/>
      <c r="DE111" s="236"/>
      <c r="DF111" s="236"/>
      <c r="DG111" s="236"/>
      <c r="DH111" s="236"/>
      <c r="DI111" s="236"/>
      <c r="DJ111" s="236"/>
      <c r="DK111" s="236"/>
      <c r="DL111" s="236"/>
      <c r="DM111" s="236"/>
      <c r="DN111" s="236"/>
      <c r="DO111" s="236"/>
      <c r="DP111" s="236"/>
      <c r="DQ111" s="236"/>
      <c r="DR111" s="236"/>
      <c r="DS111" s="236"/>
      <c r="DT111" s="236"/>
      <c r="DU111" s="236"/>
      <c r="DV111" s="236"/>
      <c r="DW111" s="236"/>
      <c r="DX111" s="236"/>
      <c r="DY111" s="236"/>
      <c r="DZ111" s="236"/>
      <c r="EA111" s="236"/>
      <c r="EB111" s="236"/>
      <c r="EC111" s="236"/>
      <c r="ED111" s="236"/>
      <c r="EE111" s="236"/>
      <c r="EF111" s="236"/>
      <c r="EG111" s="236"/>
      <c r="EH111" s="236"/>
      <c r="EI111" s="236"/>
      <c r="EJ111" s="236"/>
      <c r="EK111" s="236"/>
      <c r="EL111" s="236"/>
      <c r="EM111" s="236"/>
      <c r="EN111" s="236"/>
      <c r="EO111" s="236"/>
      <c r="EP111" s="236"/>
      <c r="EQ111" s="236"/>
      <c r="ER111" s="236"/>
      <c r="ES111" s="236"/>
      <c r="ET111" s="236"/>
      <c r="EU111" s="236"/>
      <c r="EV111" s="236"/>
      <c r="EW111" s="236"/>
      <c r="EX111" s="236"/>
      <c r="EY111" s="236"/>
      <c r="EZ111" s="236"/>
      <c r="FA111" s="236"/>
      <c r="FB111" s="236"/>
      <c r="FC111" s="236"/>
      <c r="FD111" s="236"/>
      <c r="FE111" s="236"/>
      <c r="FF111" s="236"/>
      <c r="FG111" s="236"/>
      <c r="FH111" s="236"/>
      <c r="FI111" s="236"/>
      <c r="FJ111" s="236"/>
      <c r="FK111" s="236"/>
      <c r="FL111" s="236"/>
      <c r="FM111" s="236"/>
      <c r="FN111" s="236"/>
      <c r="FO111" s="236"/>
      <c r="FP111" s="236"/>
      <c r="FQ111" s="236"/>
      <c r="FR111" s="236"/>
      <c r="FS111" s="236"/>
      <c r="FT111" s="236"/>
      <c r="FU111" s="236"/>
      <c r="FV111" s="236"/>
      <c r="FW111" s="236"/>
      <c r="FX111" s="236"/>
      <c r="FY111" s="236"/>
      <c r="FZ111" s="236"/>
      <c r="GA111" s="236"/>
      <c r="GB111" s="236"/>
      <c r="GC111" s="236"/>
      <c r="GD111" s="236"/>
      <c r="GE111" s="236"/>
      <c r="GF111" s="236"/>
      <c r="GG111" s="236"/>
      <c r="GH111" s="236"/>
      <c r="GI111" s="236"/>
      <c r="GJ111" s="236"/>
      <c r="GK111" s="236"/>
      <c r="GL111" s="236"/>
      <c r="GM111" s="236"/>
      <c r="GN111" s="236"/>
      <c r="GO111" s="236"/>
      <c r="GP111" s="236"/>
      <c r="GQ111" s="236"/>
      <c r="GR111" s="236"/>
      <c r="GS111" s="236"/>
      <c r="GT111" s="236"/>
      <c r="GU111" s="236"/>
      <c r="GV111" s="236"/>
      <c r="GW111" s="236"/>
      <c r="GX111" s="236"/>
      <c r="GY111" s="236"/>
      <c r="GZ111" s="236"/>
      <c r="HA111" s="236"/>
      <c r="HB111" s="236"/>
      <c r="HC111" s="236"/>
      <c r="HD111" s="236"/>
      <c r="HE111" s="236"/>
      <c r="HF111" s="236"/>
      <c r="HG111" s="236"/>
      <c r="HH111" s="236"/>
      <c r="HI111" s="236"/>
      <c r="HJ111" s="236"/>
      <c r="HK111" s="236"/>
      <c r="HL111" s="236"/>
      <c r="HM111" s="236"/>
      <c r="HN111" s="236"/>
      <c r="HO111" s="236"/>
      <c r="HP111" s="236"/>
      <c r="HQ111" s="236"/>
      <c r="HR111" s="236"/>
      <c r="HS111" s="236"/>
      <c r="HT111" s="236"/>
      <c r="HU111" s="236"/>
      <c r="HV111" s="236"/>
      <c r="HW111" s="236"/>
      <c r="HX111" s="236"/>
      <c r="HY111" s="236"/>
      <c r="HZ111" s="236"/>
      <c r="IA111" s="236"/>
      <c r="IB111" s="236"/>
      <c r="IC111" s="236"/>
      <c r="ID111" s="236"/>
      <c r="IE111" s="236"/>
      <c r="IF111" s="236"/>
      <c r="IG111" s="236"/>
      <c r="IH111" s="236"/>
      <c r="II111" s="236"/>
      <c r="IJ111" s="236"/>
      <c r="IK111" s="236"/>
      <c r="IL111" s="236"/>
      <c r="IM111" s="236"/>
      <c r="IN111" s="236"/>
      <c r="IO111" s="236"/>
      <c r="IP111" s="236"/>
      <c r="IQ111" s="236"/>
      <c r="IR111" s="236"/>
      <c r="IS111" s="236"/>
      <c r="IT111" s="236"/>
      <c r="IU111" s="236"/>
      <c r="IV111" s="236"/>
      <c r="IW111" s="236"/>
      <c r="IX111" s="236"/>
      <c r="IY111" s="236"/>
      <c r="IZ111" s="236"/>
      <c r="JA111" s="236"/>
      <c r="JB111" s="236"/>
      <c r="JC111" s="236"/>
      <c r="JD111" s="236"/>
      <c r="JE111" s="236"/>
      <c r="JF111" s="236"/>
      <c r="JG111" s="236"/>
      <c r="JH111" s="236"/>
      <c r="JI111" s="236"/>
      <c r="JJ111" s="236"/>
      <c r="JK111" s="236"/>
      <c r="JL111" s="236"/>
      <c r="JM111" s="236"/>
      <c r="JN111" s="236"/>
      <c r="JO111" s="236"/>
      <c r="JP111" s="236"/>
      <c r="JQ111" s="236"/>
      <c r="JR111" s="236"/>
      <c r="JS111" s="236"/>
      <c r="JT111" s="236"/>
      <c r="JU111" s="236"/>
      <c r="JV111" s="236"/>
      <c r="JW111" s="236"/>
      <c r="JX111" s="409"/>
      <c r="JY111" s="409"/>
      <c r="JZ111" s="409"/>
      <c r="KA111" s="409"/>
      <c r="KB111" s="409"/>
      <c r="KC111" s="409"/>
      <c r="KD111" s="409"/>
      <c r="KE111" s="409"/>
      <c r="KF111" s="409"/>
      <c r="KG111" s="410"/>
    </row>
    <row r="112" spans="3:297" ht="24" customHeight="1">
      <c r="C112"/>
      <c r="D112" s="57" t="str">
        <f ca="1">INDIRECT(ADDRESS(ROWS($D$3:D111)+6,D$3,1,1,"3_TIME SUM"))</f>
        <v>Cased hole logging</v>
      </c>
      <c r="E112" s="81" t="str">
        <f ca="1">IF(INDIRECT(ADDRESS(ROWS($E$3:E111)+6,E$3,1,1,"3_TIME SUM"))=0,E111,INDIRECT(ADDRESS(ROWS($E$3:E111)+6,E$3,1,1,"3_TIME SUM")))</f>
        <v>Cased Hole Logging &amp; Perforating</v>
      </c>
      <c r="F112" s="57" t="str">
        <f t="shared" ca="1" si="24"/>
        <v>Cased Hole Logging &amp; Perforating : Cased hole logging</v>
      </c>
      <c r="G112" s="58" t="str">
        <f ca="1">VLOOKUP($D112,INDIRECT(ADDRESS(7,5,1,1,"3_TIME SUM")):INDIRECT(ADDRESS(200,7,1,1,"3_TIME SUM")),2,FALSE)</f>
        <v>25a</v>
      </c>
      <c r="H112" s="58" t="str">
        <f ca="1">IF(VLOOKUP($D112,INDIRECT(ADDRESS(7,5,1,1,"3_TIME SUM")):INDIRECT(ADDRESS(200,7,1,1,"3_TIME SUM")),3,FALSE)="","PT",VLOOKUP($D112,INDIRECT(ADDRESS(7,5,1,1,"3_TIME SUM")):INDIRECT(ADDRESS(200,7,1,1,"3_TIME SUM")),3,FALSE))</f>
        <v>PT</v>
      </c>
      <c r="I112" s="59">
        <f ca="1">IFERROR(IF(AND($D$2="NON PRODUCTIVE TIME",$H112="NPT"),SUMIF(INDIRECT(ADDRESS(8,COLUMN('2_DATA'!$M$9),1,1,"2_DATA")):INDIRECT(ADDRESS(3000,COLUMN('2_DATA'!$M$9),1,1,"2_DATA")),$G112,INDIRECT(ADDRESS(8,COLUMN('2_DATA'!$N$9),1,1,"2_DATA")):INDIRECT(ADDRESS(3000,COLUMN('2_DATA'!$N$9),1,1,"2_DATA"))),IF($D$2="ALL ACTIVITY",SUMIF(INDIRECT(ADDRESS(9,COLUMN('2_DATA'!$M$9),1,1,"2_DATA")):INDIRECT(ADDRESS(3000,COLUMN('2_DATA'!$M$9),1,1,"2_DATA")),$G112,INDIRECT(ADDRESS(9,COLUMN('2_DATA'!$N$9),1,1,"2_DATA")):INDIRECT(ADDRESS(3000,COLUMN('2_DATA'!$N$9),1,1,"2_DATA"))),SUMIF(INDIRECT(ADDRESS(OFFSET($A$3,MATCH($D$2,$A$4:$A$16,0)-1,1,,)+1,COLUMN('2_DATA'!$M$9),1,1,"2_DATA")):INDIRECT(ADDRESS(VLOOKUP($D$2,$A$4:$B$16,2,FALSE)-1,COLUMN('2_DATA'!$M$9),1,1,"2_DATA")),$G112,INDIRECT(ADDRESS(OFFSET($A$3,MATCH($D$2,$A$4:$A$16,0)-1,1,,)+1,COLUMN('2_DATA'!$N$9),1,1,"2_DATA")):INDIRECT(ADDRESS(VLOOKUP($D$2,$A$4:$B$16,2,FALSE)-1,COLUMN('2_DATA'!$N$9),1,1,"2_DATA"))))),0)</f>
        <v>0</v>
      </c>
      <c r="J112" s="58" t="str">
        <f ca="1">IF(I112=0,"",MAX($J$3:J111)+1)</f>
        <v/>
      </c>
      <c r="L112" s="55">
        <f t="shared" ca="1" si="21"/>
        <v>1000</v>
      </c>
      <c r="M112" s="55" t="str">
        <f t="shared" ca="1" si="25"/>
        <v/>
      </c>
      <c r="N112" s="55"/>
      <c r="O112" s="55" t="str">
        <f t="shared" ca="1" si="29"/>
        <v/>
      </c>
      <c r="P112" s="55">
        <f t="shared" ca="1" si="22"/>
        <v>0</v>
      </c>
      <c r="Q112" s="55" t="str">
        <f ca="1">IFERROR(INDEX($O$4:$P$226,MATCH(ROWS($Q$3:Q111),$P$4:$P$226,0),1),"-")</f>
        <v>-</v>
      </c>
      <c r="R112" s="62" t="str">
        <f t="shared" ca="1" si="23"/>
        <v/>
      </c>
      <c r="S112" s="55" t="str">
        <f t="shared" ca="1" si="26"/>
        <v/>
      </c>
      <c r="T112" s="67" t="str">
        <f t="shared" ca="1" si="38"/>
        <v>-</v>
      </c>
      <c r="V112" s="68" t="str">
        <f t="shared" ca="1" si="30"/>
        <v/>
      </c>
      <c r="W112" s="69" t="str">
        <f t="shared" ca="1" si="31"/>
        <v/>
      </c>
      <c r="X112" s="70" t="s">
        <v>84</v>
      </c>
      <c r="Y112" s="68" t="str">
        <f t="shared" ca="1" si="35"/>
        <v/>
      </c>
      <c r="Z112" s="71" t="str">
        <f t="shared" ca="1" si="32"/>
        <v/>
      </c>
      <c r="AA112" s="72" t="str">
        <f t="shared" ca="1" si="33"/>
        <v/>
      </c>
      <c r="AB112" s="305" t="str">
        <f t="shared" ca="1" si="34"/>
        <v/>
      </c>
      <c r="AC112" s="236"/>
      <c r="AD112" s="236"/>
      <c r="AE112" s="236"/>
      <c r="AF112" s="236"/>
      <c r="AG112" s="236"/>
      <c r="AH112" s="236"/>
      <c r="AI112" s="236"/>
      <c r="AJ112" s="236"/>
      <c r="AK112" s="236"/>
      <c r="AL112" s="236"/>
      <c r="AM112" s="236"/>
      <c r="AN112" s="236"/>
      <c r="AO112" s="236"/>
      <c r="AP112" s="236"/>
      <c r="AQ112" s="236"/>
      <c r="AR112" s="236"/>
      <c r="AS112" s="236"/>
      <c r="AT112" s="236"/>
      <c r="AU112" s="236"/>
      <c r="AV112" s="236"/>
      <c r="AW112" s="236"/>
      <c r="AX112" s="236"/>
      <c r="AY112" s="236"/>
      <c r="AZ112" s="236"/>
      <c r="BA112" s="236"/>
      <c r="BB112" s="236"/>
      <c r="BC112" s="236"/>
      <c r="BD112" s="236"/>
      <c r="BE112" s="236"/>
      <c r="BF112" s="236"/>
      <c r="BG112" s="236"/>
      <c r="BH112" s="236"/>
      <c r="BI112" s="236"/>
      <c r="BJ112" s="236"/>
      <c r="BK112" s="236"/>
      <c r="BL112" s="236"/>
      <c r="BM112" s="236"/>
      <c r="BN112" s="236"/>
      <c r="BO112" s="236"/>
      <c r="BP112" s="236"/>
      <c r="BQ112" s="236"/>
      <c r="BR112" s="236"/>
      <c r="BS112" s="236"/>
      <c r="BT112" s="236"/>
      <c r="BU112" s="236"/>
      <c r="BV112" s="236"/>
      <c r="BW112" s="236"/>
      <c r="BX112" s="236"/>
      <c r="BY112" s="236"/>
      <c r="BZ112" s="236"/>
      <c r="CA112" s="236"/>
      <c r="CB112" s="236"/>
      <c r="CC112" s="236"/>
      <c r="CD112" s="236"/>
      <c r="CE112" s="236"/>
      <c r="CF112" s="236"/>
      <c r="CG112" s="236"/>
      <c r="CH112" s="236"/>
      <c r="CI112" s="236"/>
      <c r="CJ112" s="236"/>
      <c r="CK112" s="236"/>
      <c r="CL112" s="236"/>
      <c r="CM112" s="236"/>
      <c r="CN112" s="236"/>
      <c r="CO112" s="236"/>
      <c r="CP112" s="236"/>
      <c r="CQ112" s="236"/>
      <c r="CR112" s="236"/>
      <c r="CS112" s="236"/>
      <c r="CT112" s="236"/>
      <c r="CU112" s="236"/>
      <c r="CV112" s="236"/>
      <c r="CW112" s="236"/>
      <c r="CX112" s="236"/>
      <c r="CY112" s="236"/>
      <c r="CZ112" s="236"/>
      <c r="DA112" s="236"/>
      <c r="DB112" s="236"/>
      <c r="DC112" s="236"/>
      <c r="DD112" s="236"/>
      <c r="DE112" s="236"/>
      <c r="DF112" s="236"/>
      <c r="DG112" s="236"/>
      <c r="DH112" s="236"/>
      <c r="DI112" s="236"/>
      <c r="DJ112" s="236"/>
      <c r="DK112" s="236"/>
      <c r="DL112" s="236"/>
      <c r="DM112" s="236"/>
      <c r="DN112" s="236"/>
      <c r="DO112" s="236"/>
      <c r="DP112" s="236"/>
      <c r="DQ112" s="236"/>
      <c r="DR112" s="236"/>
      <c r="DS112" s="236"/>
      <c r="DT112" s="236"/>
      <c r="DU112" s="236"/>
      <c r="DV112" s="236"/>
      <c r="DW112" s="236"/>
      <c r="DX112" s="236"/>
      <c r="DY112" s="236"/>
      <c r="DZ112" s="236"/>
      <c r="EA112" s="236"/>
      <c r="EB112" s="236"/>
      <c r="EC112" s="236"/>
      <c r="ED112" s="236"/>
      <c r="EE112" s="236"/>
      <c r="EF112" s="236"/>
      <c r="EG112" s="236"/>
      <c r="EH112" s="236"/>
      <c r="EI112" s="236"/>
      <c r="EJ112" s="236"/>
      <c r="EK112" s="236"/>
      <c r="EL112" s="236"/>
      <c r="EM112" s="236"/>
      <c r="EN112" s="236"/>
      <c r="EO112" s="236"/>
      <c r="EP112" s="236"/>
      <c r="EQ112" s="236"/>
      <c r="ER112" s="236"/>
      <c r="ES112" s="236"/>
      <c r="ET112" s="236"/>
      <c r="EU112" s="236"/>
      <c r="EV112" s="236"/>
      <c r="EW112" s="236"/>
      <c r="EX112" s="236"/>
      <c r="EY112" s="236"/>
      <c r="EZ112" s="236"/>
      <c r="FA112" s="236"/>
      <c r="FB112" s="236"/>
      <c r="FC112" s="236"/>
      <c r="FD112" s="236"/>
      <c r="FE112" s="236"/>
      <c r="FF112" s="236"/>
      <c r="FG112" s="236"/>
      <c r="FH112" s="236"/>
      <c r="FI112" s="236"/>
      <c r="FJ112" s="236"/>
      <c r="FK112" s="236"/>
      <c r="FL112" s="236"/>
      <c r="FM112" s="236"/>
      <c r="FN112" s="236"/>
      <c r="FO112" s="236"/>
      <c r="FP112" s="236"/>
      <c r="FQ112" s="236"/>
      <c r="FR112" s="236"/>
      <c r="FS112" s="236"/>
      <c r="FT112" s="236"/>
      <c r="FU112" s="236"/>
      <c r="FV112" s="236"/>
      <c r="FW112" s="236"/>
      <c r="FX112" s="236"/>
      <c r="FY112" s="236"/>
      <c r="FZ112" s="236"/>
      <c r="GA112" s="236"/>
      <c r="GB112" s="236"/>
      <c r="GC112" s="236"/>
      <c r="GD112" s="236"/>
      <c r="GE112" s="236"/>
      <c r="GF112" s="236"/>
      <c r="GG112" s="236"/>
      <c r="GH112" s="236"/>
      <c r="GI112" s="236"/>
      <c r="GJ112" s="236"/>
      <c r="GK112" s="236"/>
      <c r="GL112" s="236"/>
      <c r="GM112" s="236"/>
      <c r="GN112" s="236"/>
      <c r="GO112" s="236"/>
      <c r="GP112" s="236"/>
      <c r="GQ112" s="236"/>
      <c r="GR112" s="236"/>
      <c r="GS112" s="236"/>
      <c r="GT112" s="236"/>
      <c r="GU112" s="236"/>
      <c r="GV112" s="236"/>
      <c r="GW112" s="236"/>
      <c r="GX112" s="236"/>
      <c r="GY112" s="236"/>
      <c r="GZ112" s="236"/>
      <c r="HA112" s="236"/>
      <c r="HB112" s="236"/>
      <c r="HC112" s="236"/>
      <c r="HD112" s="236"/>
      <c r="HE112" s="236"/>
      <c r="HF112" s="236"/>
      <c r="HG112" s="236"/>
      <c r="HH112" s="236"/>
      <c r="HI112" s="236"/>
      <c r="HJ112" s="236"/>
      <c r="HK112" s="236"/>
      <c r="HL112" s="236"/>
      <c r="HM112" s="236"/>
      <c r="HN112" s="236"/>
      <c r="HO112" s="236"/>
      <c r="HP112" s="236"/>
      <c r="HQ112" s="236"/>
      <c r="HR112" s="236"/>
      <c r="HS112" s="236"/>
      <c r="HT112" s="236"/>
      <c r="HU112" s="236"/>
      <c r="HV112" s="236"/>
      <c r="HW112" s="236"/>
      <c r="HX112" s="236"/>
      <c r="HY112" s="236"/>
      <c r="HZ112" s="236"/>
      <c r="IA112" s="236"/>
      <c r="IB112" s="236"/>
      <c r="IC112" s="236"/>
      <c r="ID112" s="236"/>
      <c r="IE112" s="236"/>
      <c r="IF112" s="236"/>
      <c r="IG112" s="236"/>
      <c r="IH112" s="236"/>
      <c r="II112" s="236"/>
      <c r="IJ112" s="236"/>
      <c r="IK112" s="236"/>
      <c r="IL112" s="236"/>
      <c r="IM112" s="236"/>
      <c r="IN112" s="236"/>
      <c r="IO112" s="236"/>
      <c r="IP112" s="236"/>
      <c r="IQ112" s="236"/>
      <c r="IR112" s="236"/>
      <c r="IS112" s="236"/>
      <c r="IT112" s="236"/>
      <c r="IU112" s="236"/>
      <c r="IV112" s="236"/>
      <c r="IW112" s="236"/>
      <c r="IX112" s="236"/>
      <c r="IY112" s="236"/>
      <c r="IZ112" s="236"/>
      <c r="JA112" s="236"/>
      <c r="JB112" s="236"/>
      <c r="JC112" s="236"/>
      <c r="JD112" s="236"/>
      <c r="JE112" s="236"/>
      <c r="JF112" s="236"/>
      <c r="JG112" s="236"/>
      <c r="JH112" s="236"/>
      <c r="JI112" s="236"/>
      <c r="JJ112" s="236"/>
      <c r="JK112" s="236"/>
      <c r="JL112" s="236"/>
      <c r="JM112" s="236"/>
      <c r="JN112" s="236"/>
      <c r="JO112" s="236"/>
      <c r="JP112" s="236"/>
      <c r="JQ112" s="236"/>
      <c r="JR112" s="236"/>
      <c r="JS112" s="236"/>
      <c r="JT112" s="236"/>
      <c r="JU112" s="236"/>
      <c r="JV112" s="236"/>
      <c r="JW112" s="236"/>
      <c r="JX112" s="409"/>
      <c r="JY112" s="409"/>
      <c r="JZ112" s="409"/>
      <c r="KA112" s="409"/>
      <c r="KB112" s="409"/>
      <c r="KC112" s="409"/>
      <c r="KD112" s="409"/>
      <c r="KE112" s="409"/>
      <c r="KF112" s="409"/>
      <c r="KG112" s="410"/>
    </row>
    <row r="113" spans="3:293" ht="24" customHeight="1">
      <c r="C113"/>
      <c r="D113" s="57" t="str">
        <f ca="1">INDIRECT(ADDRESS(ROWS($D$3:D112)+6,D$3,1,1,"3_TIME SUM"))</f>
        <v xml:space="preserve">Perforating </v>
      </c>
      <c r="E113" s="81" t="str">
        <f ca="1">IF(INDIRECT(ADDRESS(ROWS($E$3:E112)+6,E$3,1,1,"3_TIME SUM"))=0,E112,INDIRECT(ADDRESS(ROWS($E$3:E112)+6,E$3,1,1,"3_TIME SUM")))</f>
        <v>Cased Hole Logging &amp; Perforating</v>
      </c>
      <c r="F113" s="57" t="str">
        <f t="shared" ca="1" si="24"/>
        <v xml:space="preserve">Cased Hole Logging &amp; Perforating : Perforating </v>
      </c>
      <c r="G113" s="58" t="str">
        <f ca="1">VLOOKUP($D113,INDIRECT(ADDRESS(7,5,1,1,"3_TIME SUM")):INDIRECT(ADDRESS(200,7,1,1,"3_TIME SUM")),2,FALSE)</f>
        <v>25b</v>
      </c>
      <c r="H113" s="58" t="str">
        <f ca="1">IF(VLOOKUP($D113,INDIRECT(ADDRESS(7,5,1,1,"3_TIME SUM")):INDIRECT(ADDRESS(200,7,1,1,"3_TIME SUM")),3,FALSE)="","PT",VLOOKUP($D113,INDIRECT(ADDRESS(7,5,1,1,"3_TIME SUM")):INDIRECT(ADDRESS(200,7,1,1,"3_TIME SUM")),3,FALSE))</f>
        <v>PT</v>
      </c>
      <c r="I113" s="59">
        <f ca="1">IFERROR(IF(AND($D$2="NON PRODUCTIVE TIME",$H113="NPT"),SUMIF(INDIRECT(ADDRESS(8,COLUMN('2_DATA'!$M$9),1,1,"2_DATA")):INDIRECT(ADDRESS(3000,COLUMN('2_DATA'!$M$9),1,1,"2_DATA")),$G113,INDIRECT(ADDRESS(8,COLUMN('2_DATA'!$N$9),1,1,"2_DATA")):INDIRECT(ADDRESS(3000,COLUMN('2_DATA'!$N$9),1,1,"2_DATA"))),IF($D$2="ALL ACTIVITY",SUMIF(INDIRECT(ADDRESS(9,COLUMN('2_DATA'!$M$9),1,1,"2_DATA")):INDIRECT(ADDRESS(3000,COLUMN('2_DATA'!$M$9),1,1,"2_DATA")),$G113,INDIRECT(ADDRESS(9,COLUMN('2_DATA'!$N$9),1,1,"2_DATA")):INDIRECT(ADDRESS(3000,COLUMN('2_DATA'!$N$9),1,1,"2_DATA"))),SUMIF(INDIRECT(ADDRESS(OFFSET($A$3,MATCH($D$2,$A$4:$A$16,0)-1,1,,)+1,COLUMN('2_DATA'!$M$9),1,1,"2_DATA")):INDIRECT(ADDRESS(VLOOKUP($D$2,$A$4:$B$16,2,FALSE)-1,COLUMN('2_DATA'!$M$9),1,1,"2_DATA")),$G113,INDIRECT(ADDRESS(OFFSET($A$3,MATCH($D$2,$A$4:$A$16,0)-1,1,,)+1,COLUMN('2_DATA'!$N$9),1,1,"2_DATA")):INDIRECT(ADDRESS(VLOOKUP($D$2,$A$4:$B$16,2,FALSE)-1,COLUMN('2_DATA'!$N$9),1,1,"2_DATA"))))),0)</f>
        <v>0</v>
      </c>
      <c r="J113" s="58" t="str">
        <f ca="1">IF(I113=0,"",MAX($J$3:J112)+1)</f>
        <v/>
      </c>
      <c r="L113" s="55">
        <f t="shared" ca="1" si="21"/>
        <v>1000</v>
      </c>
      <c r="M113" s="55" t="str">
        <f t="shared" ca="1" si="25"/>
        <v/>
      </c>
      <c r="N113" s="55"/>
      <c r="O113" s="55" t="str">
        <f t="shared" ca="1" si="29"/>
        <v/>
      </c>
      <c r="P113" s="55">
        <f t="shared" ca="1" si="22"/>
        <v>0</v>
      </c>
      <c r="Q113" s="55" t="str">
        <f ca="1">IFERROR(INDEX($O$4:$P$226,MATCH(ROWS($Q$3:Q112),$P$4:$P$226,0),1),"-")</f>
        <v>-</v>
      </c>
      <c r="R113" s="62" t="str">
        <f t="shared" ca="1" si="23"/>
        <v/>
      </c>
      <c r="S113" s="55" t="str">
        <f t="shared" ca="1" si="26"/>
        <v/>
      </c>
      <c r="T113" s="67" t="str">
        <f t="shared" ca="1" si="38"/>
        <v>-</v>
      </c>
      <c r="V113" s="68" t="str">
        <f t="shared" ca="1" si="30"/>
        <v/>
      </c>
      <c r="W113" s="69" t="str">
        <f t="shared" ca="1" si="31"/>
        <v/>
      </c>
      <c r="X113" s="70" t="s">
        <v>84</v>
      </c>
      <c r="Y113" s="68" t="str">
        <f t="shared" ca="1" si="35"/>
        <v/>
      </c>
      <c r="Z113" s="71" t="str">
        <f t="shared" ca="1" si="32"/>
        <v/>
      </c>
      <c r="AA113" s="72" t="str">
        <f t="shared" ca="1" si="33"/>
        <v/>
      </c>
      <c r="AB113" s="305" t="str">
        <f t="shared" ca="1" si="34"/>
        <v/>
      </c>
      <c r="AC113" s="236"/>
      <c r="AD113" s="236"/>
      <c r="AE113" s="236"/>
      <c r="AF113" s="236"/>
      <c r="AG113" s="236"/>
      <c r="AH113" s="236"/>
      <c r="AI113" s="236"/>
      <c r="AJ113" s="236"/>
      <c r="AK113" s="236"/>
      <c r="AL113" s="236"/>
      <c r="AM113" s="236"/>
      <c r="AN113" s="236"/>
      <c r="AO113" s="236"/>
      <c r="AP113" s="236"/>
      <c r="AQ113" s="236"/>
      <c r="AR113" s="236"/>
      <c r="AS113" s="236"/>
      <c r="AT113" s="236"/>
      <c r="AU113" s="236"/>
      <c r="AV113" s="236"/>
      <c r="AW113" s="236"/>
      <c r="AX113" s="236"/>
      <c r="AY113" s="236"/>
      <c r="AZ113" s="236"/>
      <c r="BA113" s="236"/>
      <c r="BB113" s="236"/>
      <c r="BC113" s="236"/>
      <c r="BD113" s="236"/>
      <c r="BE113" s="236"/>
      <c r="BF113" s="236"/>
      <c r="BG113" s="236"/>
      <c r="BH113" s="236"/>
      <c r="BI113" s="236"/>
      <c r="BJ113" s="236"/>
      <c r="BK113" s="236"/>
      <c r="BL113" s="236"/>
      <c r="BM113" s="236"/>
      <c r="BN113" s="236"/>
      <c r="BO113" s="236"/>
      <c r="BP113" s="236"/>
      <c r="BQ113" s="236"/>
      <c r="BR113" s="236"/>
      <c r="BS113" s="236"/>
      <c r="BT113" s="236"/>
      <c r="BU113" s="236"/>
      <c r="BV113" s="236"/>
      <c r="BW113" s="236"/>
      <c r="BX113" s="236"/>
      <c r="BY113" s="236"/>
      <c r="BZ113" s="236"/>
      <c r="CA113" s="236"/>
      <c r="CB113" s="236"/>
      <c r="CC113" s="236"/>
      <c r="CD113" s="236"/>
      <c r="CE113" s="236"/>
      <c r="CF113" s="236"/>
      <c r="CG113" s="236"/>
      <c r="CH113" s="236"/>
      <c r="CI113" s="236"/>
      <c r="CJ113" s="236"/>
      <c r="CK113" s="236"/>
      <c r="CL113" s="236"/>
      <c r="CM113" s="236"/>
      <c r="CN113" s="236"/>
      <c r="CO113" s="236"/>
      <c r="CP113" s="236"/>
      <c r="CQ113" s="236"/>
      <c r="CR113" s="236"/>
      <c r="CS113" s="236"/>
      <c r="CT113" s="236"/>
      <c r="CU113" s="236"/>
      <c r="CV113" s="236"/>
      <c r="CW113" s="236"/>
      <c r="CX113" s="236"/>
      <c r="CY113" s="236"/>
      <c r="CZ113" s="236"/>
      <c r="DA113" s="236"/>
      <c r="DB113" s="236"/>
      <c r="DC113" s="236"/>
      <c r="DD113" s="236"/>
      <c r="DE113" s="236"/>
      <c r="DF113" s="236"/>
      <c r="DG113" s="236"/>
      <c r="DH113" s="236"/>
      <c r="DI113" s="236"/>
      <c r="DJ113" s="236"/>
      <c r="DK113" s="236"/>
      <c r="DL113" s="236"/>
      <c r="DM113" s="236"/>
      <c r="DN113" s="236"/>
      <c r="DO113" s="236"/>
      <c r="DP113" s="236"/>
      <c r="DQ113" s="236"/>
      <c r="DR113" s="236"/>
      <c r="DS113" s="236"/>
      <c r="DT113" s="236"/>
      <c r="DU113" s="236"/>
      <c r="DV113" s="236"/>
      <c r="DW113" s="236"/>
      <c r="DX113" s="236"/>
      <c r="DY113" s="236"/>
      <c r="DZ113" s="236"/>
      <c r="EA113" s="236"/>
      <c r="EB113" s="236"/>
      <c r="EC113" s="236"/>
      <c r="ED113" s="236"/>
      <c r="EE113" s="236"/>
      <c r="EF113" s="236"/>
      <c r="EG113" s="236"/>
      <c r="EH113" s="236"/>
      <c r="EI113" s="236"/>
      <c r="EJ113" s="236"/>
      <c r="EK113" s="236"/>
      <c r="EL113" s="236"/>
      <c r="EM113" s="236"/>
      <c r="EN113" s="236"/>
      <c r="EO113" s="236"/>
      <c r="EP113" s="236"/>
      <c r="EQ113" s="236"/>
      <c r="ER113" s="236"/>
      <c r="ES113" s="236"/>
      <c r="ET113" s="236"/>
      <c r="EU113" s="236"/>
      <c r="EV113" s="236"/>
      <c r="EW113" s="236"/>
      <c r="EX113" s="236"/>
      <c r="EY113" s="236"/>
      <c r="EZ113" s="236"/>
      <c r="FA113" s="236"/>
      <c r="FB113" s="236"/>
      <c r="FC113" s="236"/>
      <c r="FD113" s="236"/>
      <c r="FE113" s="236"/>
      <c r="FF113" s="236"/>
      <c r="FG113" s="236"/>
      <c r="FH113" s="236"/>
      <c r="FI113" s="236"/>
      <c r="FJ113" s="236"/>
      <c r="FK113" s="236"/>
      <c r="FL113" s="236"/>
      <c r="FM113" s="236"/>
      <c r="FN113" s="236"/>
      <c r="FO113" s="236"/>
      <c r="FP113" s="236"/>
      <c r="FQ113" s="236"/>
      <c r="FR113" s="236"/>
      <c r="FS113" s="236"/>
      <c r="FT113" s="236"/>
      <c r="FU113" s="236"/>
      <c r="FV113" s="236"/>
      <c r="FW113" s="236"/>
      <c r="FX113" s="236"/>
      <c r="FY113" s="236"/>
      <c r="FZ113" s="236"/>
      <c r="GA113" s="236"/>
      <c r="GB113" s="236"/>
      <c r="GC113" s="236"/>
      <c r="GD113" s="236"/>
      <c r="GE113" s="236"/>
      <c r="GF113" s="236"/>
      <c r="GG113" s="236"/>
      <c r="GH113" s="236"/>
      <c r="GI113" s="236"/>
      <c r="GJ113" s="236"/>
      <c r="GK113" s="236"/>
      <c r="GL113" s="236"/>
      <c r="GM113" s="236"/>
      <c r="GN113" s="236"/>
      <c r="GO113" s="236"/>
      <c r="GP113" s="236"/>
      <c r="GQ113" s="236"/>
      <c r="GR113" s="236"/>
      <c r="GS113" s="236"/>
      <c r="GT113" s="236"/>
      <c r="GU113" s="236"/>
      <c r="GV113" s="236"/>
      <c r="GW113" s="236"/>
      <c r="GX113" s="236"/>
      <c r="GY113" s="236"/>
      <c r="GZ113" s="236"/>
      <c r="HA113" s="236"/>
      <c r="HB113" s="236"/>
      <c r="HC113" s="236"/>
      <c r="HD113" s="236"/>
      <c r="HE113" s="236"/>
      <c r="HF113" s="236"/>
      <c r="HG113" s="236"/>
      <c r="HH113" s="236"/>
      <c r="HI113" s="236"/>
      <c r="HJ113" s="236"/>
      <c r="HK113" s="236"/>
      <c r="HL113" s="236"/>
      <c r="HM113" s="236"/>
      <c r="HN113" s="236"/>
      <c r="HO113" s="236"/>
      <c r="HP113" s="236"/>
      <c r="HQ113" s="236"/>
      <c r="HR113" s="236"/>
      <c r="HS113" s="236"/>
      <c r="HT113" s="236"/>
      <c r="HU113" s="236"/>
      <c r="HV113" s="236"/>
      <c r="HW113" s="236"/>
      <c r="HX113" s="236"/>
      <c r="HY113" s="236"/>
      <c r="HZ113" s="236"/>
      <c r="IA113" s="236"/>
      <c r="IB113" s="236"/>
      <c r="IC113" s="236"/>
      <c r="ID113" s="236"/>
      <c r="IE113" s="236"/>
      <c r="IF113" s="236"/>
      <c r="IG113" s="236"/>
      <c r="IH113" s="236"/>
      <c r="II113" s="236"/>
      <c r="IJ113" s="236"/>
      <c r="IK113" s="236"/>
      <c r="IL113" s="236"/>
      <c r="IM113" s="236"/>
      <c r="IN113" s="236"/>
      <c r="IO113" s="236"/>
      <c r="IP113" s="236"/>
      <c r="IQ113" s="236"/>
      <c r="IR113" s="236"/>
      <c r="IS113" s="236"/>
      <c r="IT113" s="236"/>
      <c r="IU113" s="236"/>
      <c r="IV113" s="236"/>
      <c r="IW113" s="236"/>
      <c r="IX113" s="236"/>
      <c r="IY113" s="236"/>
      <c r="IZ113" s="236"/>
      <c r="JA113" s="236"/>
      <c r="JB113" s="236"/>
      <c r="JC113" s="236"/>
      <c r="JD113" s="236"/>
      <c r="JE113" s="236"/>
      <c r="JF113" s="236"/>
      <c r="JG113" s="236"/>
      <c r="JH113" s="236"/>
      <c r="JI113" s="236"/>
      <c r="JJ113" s="236"/>
      <c r="JK113" s="236"/>
      <c r="JL113" s="236"/>
      <c r="JM113" s="236"/>
      <c r="JN113" s="236"/>
      <c r="JO113" s="236"/>
      <c r="JP113" s="236"/>
      <c r="JQ113" s="236"/>
      <c r="JR113" s="236"/>
      <c r="JS113" s="236"/>
      <c r="JT113" s="236"/>
      <c r="JU113" s="236"/>
      <c r="JV113" s="236"/>
      <c r="JW113" s="236"/>
      <c r="JX113" s="409"/>
      <c r="JY113" s="409"/>
      <c r="JZ113" s="409"/>
      <c r="KA113" s="409"/>
      <c r="KB113" s="409"/>
      <c r="KC113" s="409"/>
      <c r="KD113" s="409"/>
      <c r="KE113" s="409"/>
      <c r="KF113" s="409"/>
      <c r="KG113" s="410"/>
    </row>
    <row r="114" spans="3:293" ht="24" customHeight="1">
      <c r="C114"/>
      <c r="D114" s="57" t="str">
        <f ca="1">INDIRECT(ADDRESS(ROWS($D$3:D113)+6,D$3,1,1,"3_TIME SUM"))</f>
        <v>Running / pulling Scraper</v>
      </c>
      <c r="E114" s="81" t="str">
        <f ca="1">IF(INDIRECT(ADDRESS(ROWS($E$3:E113)+6,E$3,1,1,"3_TIME SUM"))=0,E113,INDIRECT(ADDRESS(ROWS($E$3:E113)+6,E$3,1,1,"3_TIME SUM")))</f>
        <v>Trips</v>
      </c>
      <c r="F114" s="57" t="str">
        <f t="shared" ca="1" si="24"/>
        <v>Trips : Running / pulling Scraper</v>
      </c>
      <c r="G114" s="58" t="str">
        <f ca="1">VLOOKUP($D114,INDIRECT(ADDRESS(7,5,1,1,"3_TIME SUM")):INDIRECT(ADDRESS(200,7,1,1,"3_TIME SUM")),2,FALSE)</f>
        <v>26a</v>
      </c>
      <c r="H114" s="58" t="str">
        <f ca="1">IF(VLOOKUP($D114,INDIRECT(ADDRESS(7,5,1,1,"3_TIME SUM")):INDIRECT(ADDRESS(200,7,1,1,"3_TIME SUM")),3,FALSE)="","PT",VLOOKUP($D114,INDIRECT(ADDRESS(7,5,1,1,"3_TIME SUM")):INDIRECT(ADDRESS(200,7,1,1,"3_TIME SUM")),3,FALSE))</f>
        <v>PT</v>
      </c>
      <c r="I114" s="59">
        <f ca="1">IFERROR(IF(AND($D$2="NON PRODUCTIVE TIME",$H114="NPT"),SUMIF(INDIRECT(ADDRESS(8,COLUMN('2_DATA'!$M$9),1,1,"2_DATA")):INDIRECT(ADDRESS(3000,COLUMN('2_DATA'!$M$9),1,1,"2_DATA")),$G114,INDIRECT(ADDRESS(8,COLUMN('2_DATA'!$N$9),1,1,"2_DATA")):INDIRECT(ADDRESS(3000,COLUMN('2_DATA'!$N$9),1,1,"2_DATA"))),IF($D$2="ALL ACTIVITY",SUMIF(INDIRECT(ADDRESS(9,COLUMN('2_DATA'!$M$9),1,1,"2_DATA")):INDIRECT(ADDRESS(3000,COLUMN('2_DATA'!$M$9),1,1,"2_DATA")),$G114,INDIRECT(ADDRESS(9,COLUMN('2_DATA'!$N$9),1,1,"2_DATA")):INDIRECT(ADDRESS(3000,COLUMN('2_DATA'!$N$9),1,1,"2_DATA"))),SUMIF(INDIRECT(ADDRESS(OFFSET($A$3,MATCH($D$2,$A$4:$A$16,0)-1,1,,)+1,COLUMN('2_DATA'!$M$9),1,1,"2_DATA")):INDIRECT(ADDRESS(VLOOKUP($D$2,$A$4:$B$16,2,FALSE)-1,COLUMN('2_DATA'!$M$9),1,1,"2_DATA")),$G114,INDIRECT(ADDRESS(OFFSET($A$3,MATCH($D$2,$A$4:$A$16,0)-1,1,,)+1,COLUMN('2_DATA'!$N$9),1,1,"2_DATA")):INDIRECT(ADDRESS(VLOOKUP($D$2,$A$4:$B$16,2,FALSE)-1,COLUMN('2_DATA'!$N$9),1,1,"2_DATA"))))),0)</f>
        <v>24</v>
      </c>
      <c r="J114" s="58">
        <f ca="1">IF(I114=0,"",MAX($J$3:J113)+1)</f>
        <v>23</v>
      </c>
      <c r="L114" s="55">
        <f t="shared" ca="1" si="21"/>
        <v>1000</v>
      </c>
      <c r="M114" s="55">
        <f t="shared" ca="1" si="25"/>
        <v>1023</v>
      </c>
      <c r="N114" s="55"/>
      <c r="O114" s="55" t="str">
        <f t="shared" ca="1" si="29"/>
        <v/>
      </c>
      <c r="P114" s="55">
        <f t="shared" ca="1" si="22"/>
        <v>0</v>
      </c>
      <c r="Q114" s="55" t="str">
        <f ca="1">IFERROR(INDEX($O$4:$P$226,MATCH(ROWS($Q$3:Q113),$P$4:$P$226,0),1),"-")</f>
        <v>-</v>
      </c>
      <c r="R114" s="62" t="str">
        <f t="shared" ca="1" si="23"/>
        <v/>
      </c>
      <c r="S114" s="55" t="str">
        <f t="shared" ca="1" si="26"/>
        <v/>
      </c>
      <c r="T114" s="67" t="str">
        <f t="shared" ca="1" si="38"/>
        <v>-</v>
      </c>
      <c r="V114" s="68" t="str">
        <f t="shared" ca="1" si="30"/>
        <v/>
      </c>
      <c r="W114" s="69" t="str">
        <f t="shared" ca="1" si="31"/>
        <v/>
      </c>
      <c r="X114" s="70" t="s">
        <v>84</v>
      </c>
      <c r="Y114" s="68" t="str">
        <f t="shared" ca="1" si="35"/>
        <v/>
      </c>
      <c r="Z114" s="71" t="str">
        <f t="shared" ca="1" si="32"/>
        <v/>
      </c>
      <c r="AA114" s="72" t="str">
        <f t="shared" ca="1" si="33"/>
        <v/>
      </c>
      <c r="AB114" s="305" t="str">
        <f t="shared" ca="1" si="34"/>
        <v/>
      </c>
      <c r="AC114" s="236"/>
      <c r="AD114" s="236"/>
      <c r="AE114" s="236"/>
      <c r="AF114" s="236"/>
      <c r="AG114" s="236"/>
      <c r="AH114" s="236"/>
      <c r="AI114" s="236"/>
      <c r="AJ114" s="236"/>
      <c r="AK114" s="236"/>
      <c r="AL114" s="236"/>
      <c r="AM114" s="236"/>
      <c r="AN114" s="236"/>
      <c r="AO114" s="236"/>
      <c r="AP114" s="236"/>
      <c r="AQ114" s="236"/>
      <c r="AR114" s="236"/>
      <c r="AS114" s="236"/>
      <c r="AT114" s="236"/>
      <c r="AU114" s="236"/>
      <c r="AV114" s="236"/>
      <c r="AW114" s="236"/>
      <c r="AX114" s="236"/>
      <c r="AY114" s="236"/>
      <c r="AZ114" s="236"/>
      <c r="BA114" s="236"/>
      <c r="BB114" s="236"/>
      <c r="BC114" s="236"/>
      <c r="BD114" s="236"/>
      <c r="BE114" s="236"/>
      <c r="BF114" s="236"/>
      <c r="BG114" s="236"/>
      <c r="BH114" s="236"/>
      <c r="BI114" s="236"/>
      <c r="BJ114" s="236"/>
      <c r="BK114" s="236"/>
      <c r="BL114" s="236"/>
      <c r="BM114" s="236"/>
      <c r="BN114" s="236"/>
      <c r="BO114" s="236"/>
      <c r="BP114" s="236"/>
      <c r="BQ114" s="236"/>
      <c r="BR114" s="236"/>
      <c r="BS114" s="236"/>
      <c r="BT114" s="236"/>
      <c r="BU114" s="236"/>
      <c r="BV114" s="236"/>
      <c r="BW114" s="236"/>
      <c r="BX114" s="236"/>
      <c r="BY114" s="236"/>
      <c r="BZ114" s="236"/>
      <c r="CA114" s="236"/>
      <c r="CB114" s="236"/>
      <c r="CC114" s="236"/>
      <c r="CD114" s="236"/>
      <c r="CE114" s="236"/>
      <c r="CF114" s="236"/>
      <c r="CG114" s="236"/>
      <c r="CH114" s="236"/>
      <c r="CI114" s="236"/>
      <c r="CJ114" s="236"/>
      <c r="CK114" s="236"/>
      <c r="CL114" s="236"/>
      <c r="CM114" s="236"/>
      <c r="CN114" s="236"/>
      <c r="CO114" s="236"/>
      <c r="CP114" s="236"/>
      <c r="CQ114" s="236"/>
      <c r="CR114" s="236"/>
      <c r="CS114" s="236"/>
      <c r="CT114" s="236"/>
      <c r="CU114" s="236"/>
      <c r="CV114" s="236"/>
      <c r="CW114" s="236"/>
      <c r="CX114" s="236"/>
      <c r="CY114" s="236"/>
      <c r="CZ114" s="236"/>
      <c r="DA114" s="236"/>
      <c r="DB114" s="236"/>
      <c r="DC114" s="236"/>
      <c r="DD114" s="236"/>
      <c r="DE114" s="236"/>
      <c r="DF114" s="236"/>
      <c r="DG114" s="236"/>
      <c r="DH114" s="236"/>
      <c r="DI114" s="236"/>
      <c r="DJ114" s="236"/>
      <c r="DK114" s="236"/>
      <c r="DL114" s="236"/>
      <c r="DM114" s="236"/>
      <c r="DN114" s="236"/>
      <c r="DO114" s="236"/>
      <c r="DP114" s="236"/>
      <c r="DQ114" s="236"/>
      <c r="DR114" s="236"/>
      <c r="DS114" s="236"/>
      <c r="DT114" s="236"/>
      <c r="DU114" s="236"/>
      <c r="DV114" s="236"/>
      <c r="DW114" s="236"/>
      <c r="DX114" s="236"/>
      <c r="DY114" s="236"/>
      <c r="DZ114" s="236"/>
      <c r="EA114" s="236"/>
      <c r="EB114" s="236"/>
      <c r="EC114" s="236"/>
      <c r="ED114" s="236"/>
      <c r="EE114" s="236"/>
      <c r="EF114" s="236"/>
      <c r="EG114" s="236"/>
      <c r="EH114" s="236"/>
      <c r="EI114" s="236"/>
      <c r="EJ114" s="236"/>
      <c r="EK114" s="236"/>
      <c r="EL114" s="236"/>
      <c r="EM114" s="236"/>
      <c r="EN114" s="236"/>
      <c r="EO114" s="236"/>
      <c r="EP114" s="236"/>
      <c r="EQ114" s="236"/>
      <c r="ER114" s="236"/>
      <c r="ES114" s="236"/>
      <c r="ET114" s="236"/>
      <c r="EU114" s="236"/>
      <c r="EV114" s="236"/>
      <c r="EW114" s="236"/>
      <c r="EX114" s="236"/>
      <c r="EY114" s="236"/>
      <c r="EZ114" s="236"/>
      <c r="FA114" s="236"/>
      <c r="FB114" s="236"/>
      <c r="FC114" s="236"/>
      <c r="FD114" s="236"/>
      <c r="FE114" s="236"/>
      <c r="FF114" s="236"/>
      <c r="FG114" s="236"/>
      <c r="FH114" s="236"/>
      <c r="FI114" s="236"/>
      <c r="FJ114" s="236"/>
      <c r="FK114" s="236"/>
      <c r="FL114" s="236"/>
      <c r="FM114" s="236"/>
      <c r="FN114" s="236"/>
      <c r="FO114" s="236"/>
      <c r="FP114" s="236"/>
      <c r="FQ114" s="236"/>
      <c r="FR114" s="236"/>
      <c r="FS114" s="236"/>
      <c r="FT114" s="236"/>
      <c r="FU114" s="236"/>
      <c r="FV114" s="236"/>
      <c r="FW114" s="236"/>
      <c r="FX114" s="236"/>
      <c r="FY114" s="236"/>
      <c r="FZ114" s="236"/>
      <c r="GA114" s="236"/>
      <c r="GB114" s="236"/>
      <c r="GC114" s="236"/>
      <c r="GD114" s="236"/>
      <c r="GE114" s="236"/>
      <c r="GF114" s="236"/>
      <c r="GG114" s="236"/>
      <c r="GH114" s="236"/>
      <c r="GI114" s="236"/>
      <c r="GJ114" s="236"/>
      <c r="GK114" s="236"/>
      <c r="GL114" s="236"/>
      <c r="GM114" s="236"/>
      <c r="GN114" s="236"/>
      <c r="GO114" s="236"/>
      <c r="GP114" s="236"/>
      <c r="GQ114" s="236"/>
      <c r="GR114" s="236"/>
      <c r="GS114" s="236"/>
      <c r="GT114" s="236"/>
      <c r="GU114" s="236"/>
      <c r="GV114" s="236"/>
      <c r="GW114" s="236"/>
      <c r="GX114" s="236"/>
      <c r="GY114" s="236"/>
      <c r="GZ114" s="236"/>
      <c r="HA114" s="236"/>
      <c r="HB114" s="236"/>
      <c r="HC114" s="236"/>
      <c r="HD114" s="236"/>
      <c r="HE114" s="236"/>
      <c r="HF114" s="236"/>
      <c r="HG114" s="236"/>
      <c r="HH114" s="236"/>
      <c r="HI114" s="236"/>
      <c r="HJ114" s="236"/>
      <c r="HK114" s="236"/>
      <c r="HL114" s="236"/>
      <c r="HM114" s="236"/>
      <c r="HN114" s="236"/>
      <c r="HO114" s="236"/>
      <c r="HP114" s="236"/>
      <c r="HQ114" s="236"/>
      <c r="HR114" s="236"/>
      <c r="HS114" s="236"/>
      <c r="HT114" s="236"/>
      <c r="HU114" s="236"/>
      <c r="HV114" s="236"/>
      <c r="HW114" s="236"/>
      <c r="HX114" s="236"/>
      <c r="HY114" s="236"/>
      <c r="HZ114" s="236"/>
      <c r="IA114" s="236"/>
      <c r="IB114" s="236"/>
      <c r="IC114" s="236"/>
      <c r="ID114" s="236"/>
      <c r="IE114" s="236"/>
      <c r="IF114" s="236"/>
      <c r="IG114" s="236"/>
      <c r="IH114" s="236"/>
      <c r="II114" s="236"/>
      <c r="IJ114" s="236"/>
      <c r="IK114" s="236"/>
      <c r="IL114" s="236"/>
      <c r="IM114" s="236"/>
      <c r="IN114" s="236"/>
      <c r="IO114" s="236"/>
      <c r="IP114" s="236"/>
      <c r="IQ114" s="236"/>
      <c r="IR114" s="236"/>
      <c r="IS114" s="236"/>
      <c r="IT114" s="236"/>
      <c r="IU114" s="236"/>
      <c r="IV114" s="236"/>
      <c r="IW114" s="236"/>
      <c r="IX114" s="236"/>
      <c r="IY114" s="236"/>
      <c r="IZ114" s="236"/>
      <c r="JA114" s="236"/>
      <c r="JB114" s="236"/>
      <c r="JC114" s="236"/>
      <c r="JD114" s="236"/>
      <c r="JE114" s="236"/>
      <c r="JF114" s="236"/>
      <c r="JG114" s="236"/>
      <c r="JH114" s="236"/>
      <c r="JI114" s="236"/>
      <c r="JJ114" s="236"/>
      <c r="JK114" s="236"/>
      <c r="JL114" s="236"/>
      <c r="JM114" s="236"/>
      <c r="JN114" s="236"/>
      <c r="JO114" s="236"/>
      <c r="JP114" s="236"/>
      <c r="JQ114" s="236"/>
      <c r="JR114" s="236"/>
      <c r="JS114" s="236"/>
      <c r="JT114" s="236"/>
      <c r="JU114" s="236"/>
      <c r="JV114" s="236"/>
      <c r="JW114" s="236"/>
      <c r="JX114" s="409"/>
      <c r="JY114" s="409"/>
      <c r="JZ114" s="409"/>
      <c r="KA114" s="409"/>
      <c r="KB114" s="409"/>
      <c r="KC114" s="409"/>
      <c r="KD114" s="409"/>
      <c r="KE114" s="409"/>
      <c r="KF114" s="409"/>
      <c r="KG114" s="410"/>
    </row>
    <row r="115" spans="3:293" ht="24" customHeight="1">
      <c r="C115"/>
      <c r="D115" s="57" t="str">
        <f ca="1">INDIRECT(ADDRESS(ROWS($D$3:D114)+6,D$3,1,1,"3_TIME SUM"))</f>
        <v>Running / pulling Production Tubing (Tubing Trips)</v>
      </c>
      <c r="E115" s="81" t="str">
        <f ca="1">IF(INDIRECT(ADDRESS(ROWS($E$3:E114)+6,E$3,1,1,"3_TIME SUM"))=0,E114,INDIRECT(ADDRESS(ROWS($E$3:E114)+6,E$3,1,1,"3_TIME SUM")))</f>
        <v>Trips</v>
      </c>
      <c r="F115" s="57" t="str">
        <f t="shared" ca="1" si="24"/>
        <v>Trips : Running / pulling Production Tubing (Tubing Trips)</v>
      </c>
      <c r="G115" s="58" t="str">
        <f ca="1">VLOOKUP($D115,INDIRECT(ADDRESS(7,5,1,1,"3_TIME SUM")):INDIRECT(ADDRESS(200,7,1,1,"3_TIME SUM")),2,FALSE)</f>
        <v>26b</v>
      </c>
      <c r="H115" s="58" t="str">
        <f ca="1">IF(VLOOKUP($D115,INDIRECT(ADDRESS(7,5,1,1,"3_TIME SUM")):INDIRECT(ADDRESS(200,7,1,1,"3_TIME SUM")),3,FALSE)="","PT",VLOOKUP($D115,INDIRECT(ADDRESS(7,5,1,1,"3_TIME SUM")):INDIRECT(ADDRESS(200,7,1,1,"3_TIME SUM")),3,FALSE))</f>
        <v>PT</v>
      </c>
      <c r="I115" s="59">
        <f ca="1">IFERROR(IF(AND($D$2="NON PRODUCTIVE TIME",$H115="NPT"),SUMIF(INDIRECT(ADDRESS(8,COLUMN('2_DATA'!$M$9),1,1,"2_DATA")):INDIRECT(ADDRESS(3000,COLUMN('2_DATA'!$M$9),1,1,"2_DATA")),$G115,INDIRECT(ADDRESS(8,COLUMN('2_DATA'!$N$9),1,1,"2_DATA")):INDIRECT(ADDRESS(3000,COLUMN('2_DATA'!$N$9),1,1,"2_DATA"))),IF($D$2="ALL ACTIVITY",SUMIF(INDIRECT(ADDRESS(9,COLUMN('2_DATA'!$M$9),1,1,"2_DATA")):INDIRECT(ADDRESS(3000,COLUMN('2_DATA'!$M$9),1,1,"2_DATA")),$G115,INDIRECT(ADDRESS(9,COLUMN('2_DATA'!$N$9),1,1,"2_DATA")):INDIRECT(ADDRESS(3000,COLUMN('2_DATA'!$N$9),1,1,"2_DATA"))),SUMIF(INDIRECT(ADDRESS(OFFSET($A$3,MATCH($D$2,$A$4:$A$16,0)-1,1,,)+1,COLUMN('2_DATA'!$M$9),1,1,"2_DATA")):INDIRECT(ADDRESS(VLOOKUP($D$2,$A$4:$B$16,2,FALSE)-1,COLUMN('2_DATA'!$M$9),1,1,"2_DATA")),$G115,INDIRECT(ADDRESS(OFFSET($A$3,MATCH($D$2,$A$4:$A$16,0)-1,1,,)+1,COLUMN('2_DATA'!$N$9),1,1,"2_DATA")):INDIRECT(ADDRESS(VLOOKUP($D$2,$A$4:$B$16,2,FALSE)-1,COLUMN('2_DATA'!$N$9),1,1,"2_DATA"))))),0)</f>
        <v>54</v>
      </c>
      <c r="J115" s="58">
        <f ca="1">IF(I115=0,"",MAX($J$3:J114)+1)</f>
        <v>24</v>
      </c>
      <c r="L115" s="55">
        <f t="shared" ca="1" si="21"/>
        <v>1000</v>
      </c>
      <c r="M115" s="55">
        <f t="shared" ca="1" si="25"/>
        <v>1024</v>
      </c>
      <c r="N115" s="55"/>
      <c r="O115" s="55" t="str">
        <f t="shared" ca="1" si="29"/>
        <v/>
      </c>
      <c r="P115" s="55">
        <f t="shared" ca="1" si="22"/>
        <v>0</v>
      </c>
      <c r="Q115" s="55" t="str">
        <f ca="1">IFERROR(INDEX($O$4:$P$226,MATCH(ROWS($Q$3:Q114),$P$4:$P$226,0),1),"-")</f>
        <v>-</v>
      </c>
      <c r="R115" s="62" t="str">
        <f t="shared" ca="1" si="23"/>
        <v/>
      </c>
      <c r="S115" s="55" t="str">
        <f t="shared" ca="1" si="26"/>
        <v/>
      </c>
      <c r="T115" s="67" t="str">
        <f t="shared" ca="1" si="38"/>
        <v>-</v>
      </c>
      <c r="V115" s="68" t="str">
        <f t="shared" ca="1" si="30"/>
        <v/>
      </c>
      <c r="W115" s="69" t="str">
        <f t="shared" ca="1" si="31"/>
        <v/>
      </c>
      <c r="X115" s="70" t="s">
        <v>84</v>
      </c>
      <c r="Y115" s="68" t="str">
        <f t="shared" ca="1" si="35"/>
        <v/>
      </c>
      <c r="Z115" s="71" t="str">
        <f t="shared" ca="1" si="32"/>
        <v/>
      </c>
      <c r="AA115" s="72" t="str">
        <f t="shared" ca="1" si="33"/>
        <v/>
      </c>
      <c r="AB115" s="305" t="str">
        <f t="shared" ca="1" si="34"/>
        <v/>
      </c>
      <c r="AC115" s="236"/>
      <c r="AD115" s="236"/>
      <c r="AE115" s="236"/>
      <c r="AF115" s="236"/>
      <c r="AG115" s="236"/>
      <c r="AH115" s="236"/>
      <c r="AI115" s="236"/>
      <c r="AJ115" s="236"/>
      <c r="AK115" s="236"/>
      <c r="AL115" s="236"/>
      <c r="AM115" s="236"/>
      <c r="AN115" s="236"/>
      <c r="AO115" s="236"/>
      <c r="AP115" s="236"/>
      <c r="AQ115" s="236"/>
      <c r="AR115" s="236"/>
      <c r="AS115" s="236"/>
      <c r="AT115" s="236"/>
      <c r="AU115" s="236"/>
      <c r="AV115" s="236"/>
      <c r="AW115" s="236"/>
      <c r="AX115" s="236"/>
      <c r="AY115" s="236"/>
      <c r="AZ115" s="236"/>
      <c r="BA115" s="236"/>
      <c r="BB115" s="236"/>
      <c r="BC115" s="236"/>
      <c r="BD115" s="236"/>
      <c r="BE115" s="236"/>
      <c r="BF115" s="236"/>
      <c r="BG115" s="236"/>
      <c r="BH115" s="236"/>
      <c r="BI115" s="236"/>
      <c r="BJ115" s="236"/>
      <c r="BK115" s="236"/>
      <c r="BL115" s="236"/>
      <c r="BM115" s="236"/>
      <c r="BN115" s="236"/>
      <c r="BO115" s="236"/>
      <c r="BP115" s="236"/>
      <c r="BQ115" s="236"/>
      <c r="BR115" s="236"/>
      <c r="BS115" s="236"/>
      <c r="BT115" s="236"/>
      <c r="BU115" s="236"/>
      <c r="BV115" s="236"/>
      <c r="BW115" s="236"/>
      <c r="BX115" s="236"/>
      <c r="BY115" s="236"/>
      <c r="BZ115" s="236"/>
      <c r="CA115" s="236"/>
      <c r="CB115" s="236"/>
      <c r="CC115" s="236"/>
      <c r="CD115" s="236"/>
      <c r="CE115" s="236"/>
      <c r="CF115" s="236"/>
      <c r="CG115" s="236"/>
      <c r="CH115" s="236"/>
      <c r="CI115" s="236"/>
      <c r="CJ115" s="236"/>
      <c r="CK115" s="236"/>
      <c r="CL115" s="236"/>
      <c r="CM115" s="236"/>
      <c r="CN115" s="236"/>
      <c r="CO115" s="236"/>
      <c r="CP115" s="236"/>
      <c r="CQ115" s="236"/>
      <c r="CR115" s="236"/>
      <c r="CS115" s="236"/>
      <c r="CT115" s="236"/>
      <c r="CU115" s="236"/>
      <c r="CV115" s="236"/>
      <c r="CW115" s="236"/>
      <c r="CX115" s="236"/>
      <c r="CY115" s="236"/>
      <c r="CZ115" s="236"/>
      <c r="DA115" s="236"/>
      <c r="DB115" s="236"/>
      <c r="DC115" s="236"/>
      <c r="DD115" s="236"/>
      <c r="DE115" s="236"/>
      <c r="DF115" s="236"/>
      <c r="DG115" s="236"/>
      <c r="DH115" s="236"/>
      <c r="DI115" s="236"/>
      <c r="DJ115" s="236"/>
      <c r="DK115" s="236"/>
      <c r="DL115" s="236"/>
      <c r="DM115" s="236"/>
      <c r="DN115" s="236"/>
      <c r="DO115" s="236"/>
      <c r="DP115" s="236"/>
      <c r="DQ115" s="236"/>
      <c r="DR115" s="236"/>
      <c r="DS115" s="236"/>
      <c r="DT115" s="236"/>
      <c r="DU115" s="236"/>
      <c r="DV115" s="236"/>
      <c r="DW115" s="236"/>
      <c r="DX115" s="236"/>
      <c r="DY115" s="236"/>
      <c r="DZ115" s="236"/>
      <c r="EA115" s="236"/>
      <c r="EB115" s="236"/>
      <c r="EC115" s="236"/>
      <c r="ED115" s="236"/>
      <c r="EE115" s="236"/>
      <c r="EF115" s="236"/>
      <c r="EG115" s="236"/>
      <c r="EH115" s="236"/>
      <c r="EI115" s="236"/>
      <c r="EJ115" s="236"/>
      <c r="EK115" s="236"/>
      <c r="EL115" s="236"/>
      <c r="EM115" s="236"/>
      <c r="EN115" s="236"/>
      <c r="EO115" s="236"/>
      <c r="EP115" s="236"/>
      <c r="EQ115" s="236"/>
      <c r="ER115" s="236"/>
      <c r="ES115" s="236"/>
      <c r="ET115" s="236"/>
      <c r="EU115" s="236"/>
      <c r="EV115" s="236"/>
      <c r="EW115" s="236"/>
      <c r="EX115" s="236"/>
      <c r="EY115" s="236"/>
      <c r="EZ115" s="236"/>
      <c r="FA115" s="236"/>
      <c r="FB115" s="236"/>
      <c r="FC115" s="236"/>
      <c r="FD115" s="236"/>
      <c r="FE115" s="236"/>
      <c r="FF115" s="236"/>
      <c r="FG115" s="236"/>
      <c r="FH115" s="236"/>
      <c r="FI115" s="236"/>
      <c r="FJ115" s="236"/>
      <c r="FK115" s="236"/>
      <c r="FL115" s="236"/>
      <c r="FM115" s="236"/>
      <c r="FN115" s="236"/>
      <c r="FO115" s="236"/>
      <c r="FP115" s="236"/>
      <c r="FQ115" s="236"/>
      <c r="FR115" s="236"/>
      <c r="FS115" s="236"/>
      <c r="FT115" s="236"/>
      <c r="FU115" s="236"/>
      <c r="FV115" s="236"/>
      <c r="FW115" s="236"/>
      <c r="FX115" s="236"/>
      <c r="FY115" s="236"/>
      <c r="FZ115" s="236"/>
      <c r="GA115" s="236"/>
      <c r="GB115" s="236"/>
      <c r="GC115" s="236"/>
      <c r="GD115" s="236"/>
      <c r="GE115" s="236"/>
      <c r="GF115" s="236"/>
      <c r="GG115" s="236"/>
      <c r="GH115" s="236"/>
      <c r="GI115" s="236"/>
      <c r="GJ115" s="236"/>
      <c r="GK115" s="236"/>
      <c r="GL115" s="236"/>
      <c r="GM115" s="236"/>
      <c r="GN115" s="236"/>
      <c r="GO115" s="236"/>
      <c r="GP115" s="236"/>
      <c r="GQ115" s="236"/>
      <c r="GR115" s="236"/>
      <c r="GS115" s="236"/>
      <c r="GT115" s="236"/>
      <c r="GU115" s="236"/>
      <c r="GV115" s="236"/>
      <c r="GW115" s="236"/>
      <c r="GX115" s="236"/>
      <c r="GY115" s="236"/>
      <c r="GZ115" s="236"/>
      <c r="HA115" s="236"/>
      <c r="HB115" s="236"/>
      <c r="HC115" s="236"/>
      <c r="HD115" s="236"/>
      <c r="HE115" s="236"/>
      <c r="HF115" s="236"/>
      <c r="HG115" s="236"/>
      <c r="HH115" s="236"/>
      <c r="HI115" s="236"/>
      <c r="HJ115" s="236"/>
      <c r="HK115" s="236"/>
      <c r="HL115" s="236"/>
      <c r="HM115" s="236"/>
      <c r="HN115" s="236"/>
      <c r="HO115" s="236"/>
      <c r="HP115" s="236"/>
      <c r="HQ115" s="236"/>
      <c r="HR115" s="236"/>
      <c r="HS115" s="236"/>
      <c r="HT115" s="236"/>
      <c r="HU115" s="236"/>
      <c r="HV115" s="236"/>
      <c r="HW115" s="236"/>
      <c r="HX115" s="236"/>
      <c r="HY115" s="236"/>
      <c r="HZ115" s="236"/>
      <c r="IA115" s="236"/>
      <c r="IB115" s="236"/>
      <c r="IC115" s="236"/>
      <c r="ID115" s="236"/>
      <c r="IE115" s="236"/>
      <c r="IF115" s="236"/>
      <c r="IG115" s="236"/>
      <c r="IH115" s="236"/>
      <c r="II115" s="236"/>
      <c r="IJ115" s="236"/>
      <c r="IK115" s="236"/>
      <c r="IL115" s="236"/>
      <c r="IM115" s="236"/>
      <c r="IN115" s="236"/>
      <c r="IO115" s="236"/>
      <c r="IP115" s="236"/>
      <c r="IQ115" s="236"/>
      <c r="IR115" s="236"/>
      <c r="IS115" s="236"/>
      <c r="IT115" s="236"/>
      <c r="IU115" s="236"/>
      <c r="IV115" s="236"/>
      <c r="IW115" s="236"/>
      <c r="IX115" s="236"/>
      <c r="IY115" s="236"/>
      <c r="IZ115" s="236"/>
      <c r="JA115" s="236"/>
      <c r="JB115" s="236"/>
      <c r="JC115" s="236"/>
      <c r="JD115" s="236"/>
      <c r="JE115" s="236"/>
      <c r="JF115" s="236"/>
      <c r="JG115" s="236"/>
      <c r="JH115" s="236"/>
      <c r="JI115" s="236"/>
      <c r="JJ115" s="236"/>
      <c r="JK115" s="236"/>
      <c r="JL115" s="236"/>
      <c r="JM115" s="236"/>
      <c r="JN115" s="236"/>
      <c r="JO115" s="236"/>
      <c r="JP115" s="236"/>
      <c r="JQ115" s="236"/>
      <c r="JR115" s="236"/>
      <c r="JS115" s="236"/>
      <c r="JT115" s="236"/>
      <c r="JU115" s="236"/>
      <c r="JV115" s="236"/>
      <c r="JW115" s="236"/>
      <c r="JX115" s="409"/>
      <c r="JY115" s="409"/>
      <c r="JZ115" s="409"/>
      <c r="KA115" s="409"/>
      <c r="KB115" s="409"/>
      <c r="KC115" s="409"/>
      <c r="KD115" s="409"/>
      <c r="KE115" s="409"/>
      <c r="KF115" s="409"/>
      <c r="KG115" s="410"/>
    </row>
    <row r="116" spans="3:293" ht="24" customHeight="1">
      <c r="C116"/>
      <c r="D116" s="57" t="str">
        <f ca="1">INDIRECT(ADDRESS(ROWS($D$3:D115)+6,D$3,1,1,"3_TIME SUM"))</f>
        <v>Test / Presure test  production tubing</v>
      </c>
      <c r="E116" s="81" t="str">
        <f ca="1">IF(INDIRECT(ADDRESS(ROWS($E$3:E115)+6,E$3,1,1,"3_TIME SUM"))=0,E115,INDIRECT(ADDRESS(ROWS($E$3:E115)+6,E$3,1,1,"3_TIME SUM")))</f>
        <v>Trips</v>
      </c>
      <c r="F116" s="57" t="str">
        <f t="shared" ca="1" si="24"/>
        <v>Trips : Test / Presure test  production tubing</v>
      </c>
      <c r="G116" s="58" t="str">
        <f ca="1">VLOOKUP($D116,INDIRECT(ADDRESS(7,5,1,1,"3_TIME SUM")):INDIRECT(ADDRESS(200,7,1,1,"3_TIME SUM")),2,FALSE)</f>
        <v>26c</v>
      </c>
      <c r="H116" s="58" t="str">
        <f ca="1">IF(VLOOKUP($D116,INDIRECT(ADDRESS(7,5,1,1,"3_TIME SUM")):INDIRECT(ADDRESS(200,7,1,1,"3_TIME SUM")),3,FALSE)="","PT",VLOOKUP($D116,INDIRECT(ADDRESS(7,5,1,1,"3_TIME SUM")):INDIRECT(ADDRESS(200,7,1,1,"3_TIME SUM")),3,FALSE))</f>
        <v>PT</v>
      </c>
      <c r="I116" s="59">
        <f ca="1">IFERROR(IF(AND($D$2="NON PRODUCTIVE TIME",$H116="NPT"),SUMIF(INDIRECT(ADDRESS(8,COLUMN('2_DATA'!$M$9),1,1,"2_DATA")):INDIRECT(ADDRESS(3000,COLUMN('2_DATA'!$M$9),1,1,"2_DATA")),$G116,INDIRECT(ADDRESS(8,COLUMN('2_DATA'!$N$9),1,1,"2_DATA")):INDIRECT(ADDRESS(3000,COLUMN('2_DATA'!$N$9),1,1,"2_DATA"))),IF($D$2="ALL ACTIVITY",SUMIF(INDIRECT(ADDRESS(9,COLUMN('2_DATA'!$M$9),1,1,"2_DATA")):INDIRECT(ADDRESS(3000,COLUMN('2_DATA'!$M$9),1,1,"2_DATA")),$G116,INDIRECT(ADDRESS(9,COLUMN('2_DATA'!$N$9),1,1,"2_DATA")):INDIRECT(ADDRESS(3000,COLUMN('2_DATA'!$N$9),1,1,"2_DATA"))),SUMIF(INDIRECT(ADDRESS(OFFSET($A$3,MATCH($D$2,$A$4:$A$16,0)-1,1,,)+1,COLUMN('2_DATA'!$M$9),1,1,"2_DATA")):INDIRECT(ADDRESS(VLOOKUP($D$2,$A$4:$B$16,2,FALSE)-1,COLUMN('2_DATA'!$M$9),1,1,"2_DATA")),$G116,INDIRECT(ADDRESS(OFFSET($A$3,MATCH($D$2,$A$4:$A$16,0)-1,1,,)+1,COLUMN('2_DATA'!$N$9),1,1,"2_DATA")):INDIRECT(ADDRESS(VLOOKUP($D$2,$A$4:$B$16,2,FALSE)-1,COLUMN('2_DATA'!$N$9),1,1,"2_DATA"))))),0)</f>
        <v>20</v>
      </c>
      <c r="J116" s="58">
        <f ca="1">IF(I116=0,"",MAX($J$3:J115)+1)</f>
        <v>25</v>
      </c>
      <c r="L116" s="55">
        <f t="shared" ca="1" si="21"/>
        <v>1000</v>
      </c>
      <c r="M116" s="55">
        <f t="shared" ca="1" si="25"/>
        <v>1025</v>
      </c>
      <c r="N116" s="55"/>
      <c r="O116" s="55" t="str">
        <f t="shared" ca="1" si="29"/>
        <v/>
      </c>
      <c r="P116" s="55">
        <f t="shared" ca="1" si="22"/>
        <v>0</v>
      </c>
      <c r="Q116" s="55" t="str">
        <f ca="1">IFERROR(INDEX($O$4:$P$226,MATCH(ROWS($Q$3:Q115),$P$4:$P$226,0),1),"-")</f>
        <v>-</v>
      </c>
      <c r="R116" s="62" t="str">
        <f t="shared" ca="1" si="23"/>
        <v/>
      </c>
      <c r="S116" s="55" t="str">
        <f t="shared" ca="1" si="26"/>
        <v/>
      </c>
      <c r="T116" s="67" t="str">
        <f t="shared" ca="1" si="38"/>
        <v>-</v>
      </c>
      <c r="V116" s="68" t="str">
        <f t="shared" ca="1" si="30"/>
        <v/>
      </c>
      <c r="W116" s="69" t="str">
        <f t="shared" ca="1" si="31"/>
        <v/>
      </c>
      <c r="X116" s="70" t="s">
        <v>84</v>
      </c>
      <c r="Y116" s="68" t="str">
        <f t="shared" ca="1" si="35"/>
        <v/>
      </c>
      <c r="Z116" s="71" t="str">
        <f t="shared" ca="1" si="32"/>
        <v/>
      </c>
      <c r="AA116" s="72" t="str">
        <f t="shared" ca="1" si="33"/>
        <v/>
      </c>
      <c r="AB116" s="305" t="str">
        <f t="shared" ca="1" si="34"/>
        <v/>
      </c>
      <c r="AC116" s="236"/>
      <c r="AD116" s="236"/>
      <c r="AE116" s="236"/>
      <c r="AF116" s="236"/>
      <c r="AG116" s="236"/>
      <c r="AH116" s="236"/>
      <c r="AI116" s="236"/>
      <c r="AJ116" s="236"/>
      <c r="AK116" s="236"/>
      <c r="AL116" s="236"/>
      <c r="AM116" s="236"/>
      <c r="AN116" s="236"/>
      <c r="AO116" s="236"/>
      <c r="AP116" s="236"/>
      <c r="AQ116" s="236"/>
      <c r="AR116" s="236"/>
      <c r="AS116" s="236"/>
      <c r="AT116" s="236"/>
      <c r="AU116" s="236"/>
      <c r="AV116" s="236"/>
      <c r="AW116" s="236"/>
      <c r="AX116" s="236"/>
      <c r="AY116" s="236"/>
      <c r="AZ116" s="236"/>
      <c r="BA116" s="236"/>
      <c r="BB116" s="236"/>
      <c r="BC116" s="236"/>
      <c r="BD116" s="236"/>
      <c r="BE116" s="236"/>
      <c r="BF116" s="236"/>
      <c r="BG116" s="236"/>
      <c r="BH116" s="236"/>
      <c r="BI116" s="236"/>
      <c r="BJ116" s="236"/>
      <c r="BK116" s="236"/>
      <c r="BL116" s="236"/>
      <c r="BM116" s="236"/>
      <c r="BN116" s="236"/>
      <c r="BO116" s="236"/>
      <c r="BP116" s="236"/>
      <c r="BQ116" s="236"/>
      <c r="BR116" s="236"/>
      <c r="BS116" s="236"/>
      <c r="BT116" s="236"/>
      <c r="BU116" s="236"/>
      <c r="BV116" s="236"/>
      <c r="BW116" s="236"/>
      <c r="BX116" s="236"/>
      <c r="BY116" s="236"/>
      <c r="BZ116" s="236"/>
      <c r="CA116" s="236"/>
      <c r="CB116" s="236"/>
      <c r="CC116" s="236"/>
      <c r="CD116" s="236"/>
      <c r="CE116" s="236"/>
      <c r="CF116" s="236"/>
      <c r="CG116" s="236"/>
      <c r="CH116" s="236"/>
      <c r="CI116" s="236"/>
      <c r="CJ116" s="236"/>
      <c r="CK116" s="236"/>
      <c r="CL116" s="236"/>
      <c r="CM116" s="236"/>
      <c r="CN116" s="236"/>
      <c r="CO116" s="236"/>
      <c r="CP116" s="236"/>
      <c r="CQ116" s="236"/>
      <c r="CR116" s="236"/>
      <c r="CS116" s="236"/>
      <c r="CT116" s="236"/>
      <c r="CU116" s="236"/>
      <c r="CV116" s="236"/>
      <c r="CW116" s="236"/>
      <c r="CX116" s="236"/>
      <c r="CY116" s="236"/>
      <c r="CZ116" s="236"/>
      <c r="DA116" s="236"/>
      <c r="DB116" s="236"/>
      <c r="DC116" s="236"/>
      <c r="DD116" s="236"/>
      <c r="DE116" s="236"/>
      <c r="DF116" s="236"/>
      <c r="DG116" s="236"/>
      <c r="DH116" s="236"/>
      <c r="DI116" s="236"/>
      <c r="DJ116" s="236"/>
      <c r="DK116" s="236"/>
      <c r="DL116" s="236"/>
      <c r="DM116" s="236"/>
      <c r="DN116" s="236"/>
      <c r="DO116" s="236"/>
      <c r="DP116" s="236"/>
      <c r="DQ116" s="236"/>
      <c r="DR116" s="236"/>
      <c r="DS116" s="236"/>
      <c r="DT116" s="236"/>
      <c r="DU116" s="236"/>
      <c r="DV116" s="236"/>
      <c r="DW116" s="236"/>
      <c r="DX116" s="236"/>
      <c r="DY116" s="236"/>
      <c r="DZ116" s="236"/>
      <c r="EA116" s="236"/>
      <c r="EB116" s="236"/>
      <c r="EC116" s="236"/>
      <c r="ED116" s="236"/>
      <c r="EE116" s="236"/>
      <c r="EF116" s="236"/>
      <c r="EG116" s="236"/>
      <c r="EH116" s="236"/>
      <c r="EI116" s="236"/>
      <c r="EJ116" s="236"/>
      <c r="EK116" s="236"/>
      <c r="EL116" s="236"/>
      <c r="EM116" s="236"/>
      <c r="EN116" s="236"/>
      <c r="EO116" s="236"/>
      <c r="EP116" s="236"/>
      <c r="EQ116" s="236"/>
      <c r="ER116" s="236"/>
      <c r="ES116" s="236"/>
      <c r="ET116" s="236"/>
      <c r="EU116" s="236"/>
      <c r="EV116" s="236"/>
      <c r="EW116" s="236"/>
      <c r="EX116" s="236"/>
      <c r="EY116" s="236"/>
      <c r="EZ116" s="236"/>
      <c r="FA116" s="236"/>
      <c r="FB116" s="236"/>
      <c r="FC116" s="236"/>
      <c r="FD116" s="236"/>
      <c r="FE116" s="236"/>
      <c r="FF116" s="236"/>
      <c r="FG116" s="236"/>
      <c r="FH116" s="236"/>
      <c r="FI116" s="236"/>
      <c r="FJ116" s="236"/>
      <c r="FK116" s="236"/>
      <c r="FL116" s="236"/>
      <c r="FM116" s="236"/>
      <c r="FN116" s="236"/>
      <c r="FO116" s="236"/>
      <c r="FP116" s="236"/>
      <c r="FQ116" s="236"/>
      <c r="FR116" s="236"/>
      <c r="FS116" s="236"/>
      <c r="FT116" s="236"/>
      <c r="FU116" s="236"/>
      <c r="FV116" s="236"/>
      <c r="FW116" s="236"/>
      <c r="FX116" s="236"/>
      <c r="FY116" s="236"/>
      <c r="FZ116" s="236"/>
      <c r="GA116" s="236"/>
      <c r="GB116" s="236"/>
      <c r="GC116" s="236"/>
      <c r="GD116" s="236"/>
      <c r="GE116" s="236"/>
      <c r="GF116" s="236"/>
      <c r="GG116" s="236"/>
      <c r="GH116" s="236"/>
      <c r="GI116" s="236"/>
      <c r="GJ116" s="236"/>
      <c r="GK116" s="236"/>
      <c r="GL116" s="236"/>
      <c r="GM116" s="236"/>
      <c r="GN116" s="236"/>
      <c r="GO116" s="236"/>
      <c r="GP116" s="236"/>
      <c r="GQ116" s="236"/>
      <c r="GR116" s="236"/>
      <c r="GS116" s="236"/>
      <c r="GT116" s="236"/>
      <c r="GU116" s="236"/>
      <c r="GV116" s="236"/>
      <c r="GW116" s="236"/>
      <c r="GX116" s="236"/>
      <c r="GY116" s="236"/>
      <c r="GZ116" s="236"/>
      <c r="HA116" s="236"/>
      <c r="HB116" s="236"/>
      <c r="HC116" s="236"/>
      <c r="HD116" s="236"/>
      <c r="HE116" s="236"/>
      <c r="HF116" s="236"/>
      <c r="HG116" s="236"/>
      <c r="HH116" s="236"/>
      <c r="HI116" s="236"/>
      <c r="HJ116" s="236"/>
      <c r="HK116" s="236"/>
      <c r="HL116" s="236"/>
      <c r="HM116" s="236"/>
      <c r="HN116" s="236"/>
      <c r="HO116" s="236"/>
      <c r="HP116" s="236"/>
      <c r="HQ116" s="236"/>
      <c r="HR116" s="236"/>
      <c r="HS116" s="236"/>
      <c r="HT116" s="236"/>
      <c r="HU116" s="236"/>
      <c r="HV116" s="236"/>
      <c r="HW116" s="236"/>
      <c r="HX116" s="236"/>
      <c r="HY116" s="236"/>
      <c r="HZ116" s="236"/>
      <c r="IA116" s="236"/>
      <c r="IB116" s="236"/>
      <c r="IC116" s="236"/>
      <c r="ID116" s="236"/>
      <c r="IE116" s="236"/>
      <c r="IF116" s="236"/>
      <c r="IG116" s="236"/>
      <c r="IH116" s="236"/>
      <c r="II116" s="236"/>
      <c r="IJ116" s="236"/>
      <c r="IK116" s="236"/>
      <c r="IL116" s="236"/>
      <c r="IM116" s="236"/>
      <c r="IN116" s="236"/>
      <c r="IO116" s="236"/>
      <c r="IP116" s="236"/>
      <c r="IQ116" s="236"/>
      <c r="IR116" s="236"/>
      <c r="IS116" s="236"/>
      <c r="IT116" s="236"/>
      <c r="IU116" s="236"/>
      <c r="IV116" s="236"/>
      <c r="IW116" s="236"/>
      <c r="IX116" s="236"/>
      <c r="IY116" s="236"/>
      <c r="IZ116" s="236"/>
      <c r="JA116" s="236"/>
      <c r="JB116" s="236"/>
      <c r="JC116" s="236"/>
      <c r="JD116" s="236"/>
      <c r="JE116" s="236"/>
      <c r="JF116" s="236"/>
      <c r="JG116" s="236"/>
      <c r="JH116" s="236"/>
      <c r="JI116" s="236"/>
      <c r="JJ116" s="236"/>
      <c r="JK116" s="236"/>
      <c r="JL116" s="236"/>
      <c r="JM116" s="236"/>
      <c r="JN116" s="236"/>
      <c r="JO116" s="236"/>
      <c r="JP116" s="236"/>
      <c r="JQ116" s="236"/>
      <c r="JR116" s="236"/>
      <c r="JS116" s="236"/>
      <c r="JT116" s="236"/>
      <c r="JU116" s="236"/>
      <c r="JV116" s="236"/>
      <c r="JW116" s="236"/>
      <c r="JX116" s="409"/>
      <c r="JY116" s="409"/>
      <c r="JZ116" s="409"/>
      <c r="KA116" s="409"/>
      <c r="KB116" s="409"/>
      <c r="KC116" s="409"/>
      <c r="KD116" s="409"/>
      <c r="KE116" s="409"/>
      <c r="KF116" s="409"/>
      <c r="KG116" s="410"/>
    </row>
    <row r="117" spans="3:293" ht="24" customHeight="1">
      <c r="C117"/>
      <c r="D117" s="57" t="str">
        <f ca="1">INDIRECT(ADDRESS(ROWS($D$3:D116)+6,D$3,1,1,"3_TIME SUM"))</f>
        <v>Stimulation/Fracturing/Unloading/Production Treatment</v>
      </c>
      <c r="E117" s="81" t="str">
        <f ca="1">IF(INDIRECT(ADDRESS(ROWS($E$3:E116)+6,E$3,1,1,"3_TIME SUM"))=0,E116,INDIRECT(ADDRESS(ROWS($E$3:E116)+6,E$3,1,1,"3_TIME SUM")))</f>
        <v>Stimulation</v>
      </c>
      <c r="F117" s="57" t="str">
        <f t="shared" ca="1" si="24"/>
        <v>Stimulation : Stimulation/Fracturing/Unloading/Production Treatment</v>
      </c>
      <c r="G117" s="58" t="str">
        <f ca="1">VLOOKUP($D117,INDIRECT(ADDRESS(7,5,1,1,"3_TIME SUM")):INDIRECT(ADDRESS(200,7,1,1,"3_TIME SUM")),2,FALSE)</f>
        <v>27a</v>
      </c>
      <c r="H117" s="58" t="str">
        <f ca="1">IF(VLOOKUP($D117,INDIRECT(ADDRESS(7,5,1,1,"3_TIME SUM")):INDIRECT(ADDRESS(200,7,1,1,"3_TIME SUM")),3,FALSE)="","PT",VLOOKUP($D117,INDIRECT(ADDRESS(7,5,1,1,"3_TIME SUM")):INDIRECT(ADDRESS(200,7,1,1,"3_TIME SUM")),3,FALSE))</f>
        <v>PT</v>
      </c>
      <c r="I117" s="59">
        <f ca="1">IFERROR(IF(AND($D$2="NON PRODUCTIVE TIME",$H117="NPT"),SUMIF(INDIRECT(ADDRESS(8,COLUMN('2_DATA'!$M$9),1,1,"2_DATA")):INDIRECT(ADDRESS(3000,COLUMN('2_DATA'!$M$9),1,1,"2_DATA")),$G117,INDIRECT(ADDRESS(8,COLUMN('2_DATA'!$N$9),1,1,"2_DATA")):INDIRECT(ADDRESS(3000,COLUMN('2_DATA'!$N$9),1,1,"2_DATA"))),IF($D$2="ALL ACTIVITY",SUMIF(INDIRECT(ADDRESS(9,COLUMN('2_DATA'!$M$9),1,1,"2_DATA")):INDIRECT(ADDRESS(3000,COLUMN('2_DATA'!$M$9),1,1,"2_DATA")),$G117,INDIRECT(ADDRESS(9,COLUMN('2_DATA'!$N$9),1,1,"2_DATA")):INDIRECT(ADDRESS(3000,COLUMN('2_DATA'!$N$9),1,1,"2_DATA"))),SUMIF(INDIRECT(ADDRESS(OFFSET($A$3,MATCH($D$2,$A$4:$A$16,0)-1,1,,)+1,COLUMN('2_DATA'!$M$9),1,1,"2_DATA")):INDIRECT(ADDRESS(VLOOKUP($D$2,$A$4:$B$16,2,FALSE)-1,COLUMN('2_DATA'!$M$9),1,1,"2_DATA")),$G117,INDIRECT(ADDRESS(OFFSET($A$3,MATCH($D$2,$A$4:$A$16,0)-1,1,,)+1,COLUMN('2_DATA'!$N$9),1,1,"2_DATA")):INDIRECT(ADDRESS(VLOOKUP($D$2,$A$4:$B$16,2,FALSE)-1,COLUMN('2_DATA'!$N$9),1,1,"2_DATA"))))),0)</f>
        <v>11.5</v>
      </c>
      <c r="J117" s="58">
        <f ca="1">IF(I117=0,"",MAX($J$3:J116)+1)</f>
        <v>26</v>
      </c>
      <c r="L117" s="55">
        <f t="shared" ca="1" si="21"/>
        <v>1000</v>
      </c>
      <c r="M117" s="55">
        <f t="shared" ca="1" si="25"/>
        <v>1026</v>
      </c>
      <c r="N117" s="55"/>
      <c r="O117" s="55">
        <f t="shared" ca="1" si="29"/>
        <v>1023</v>
      </c>
      <c r="P117" s="55">
        <f t="shared" ca="1" si="22"/>
        <v>24</v>
      </c>
      <c r="Q117" s="55" t="str">
        <f ca="1">IFERROR(INDEX($O$4:$P$226,MATCH(ROWS($Q$3:Q116),$P$4:$P$226,0),1),"-")</f>
        <v>-</v>
      </c>
      <c r="R117" s="62" t="str">
        <f t="shared" ca="1" si="23"/>
        <v/>
      </c>
      <c r="S117" s="55" t="str">
        <f t="shared" ca="1" si="26"/>
        <v/>
      </c>
      <c r="T117" s="67" t="str">
        <f t="shared" ca="1" si="38"/>
        <v>-</v>
      </c>
      <c r="V117" s="68" t="str">
        <f t="shared" ca="1" si="30"/>
        <v/>
      </c>
      <c r="W117" s="69" t="str">
        <f t="shared" ca="1" si="31"/>
        <v/>
      </c>
      <c r="X117" s="70" t="s">
        <v>84</v>
      </c>
      <c r="Y117" s="68" t="str">
        <f t="shared" ca="1" si="35"/>
        <v/>
      </c>
      <c r="Z117" s="71" t="str">
        <f t="shared" ca="1" si="32"/>
        <v/>
      </c>
      <c r="AA117" s="72" t="str">
        <f t="shared" ca="1" si="33"/>
        <v/>
      </c>
      <c r="AB117" s="305" t="str">
        <f t="shared" ca="1" si="34"/>
        <v/>
      </c>
      <c r="AC117" s="236"/>
      <c r="AD117" s="236"/>
      <c r="AE117" s="236"/>
      <c r="AF117" s="236"/>
      <c r="AG117" s="236"/>
      <c r="AH117" s="236"/>
      <c r="AI117" s="236"/>
      <c r="AJ117" s="236"/>
      <c r="AK117" s="236"/>
      <c r="AL117" s="236"/>
      <c r="AM117" s="236"/>
      <c r="AN117" s="236"/>
      <c r="AO117" s="236"/>
      <c r="AP117" s="236"/>
      <c r="AQ117" s="236"/>
      <c r="AR117" s="236"/>
      <c r="AS117" s="236"/>
      <c r="AT117" s="236"/>
      <c r="AU117" s="236"/>
      <c r="AV117" s="236"/>
      <c r="AW117" s="236"/>
      <c r="AX117" s="236"/>
      <c r="AY117" s="236"/>
      <c r="AZ117" s="236"/>
      <c r="BA117" s="236"/>
      <c r="BB117" s="236"/>
      <c r="BC117" s="236"/>
      <c r="BD117" s="236"/>
      <c r="BE117" s="236"/>
      <c r="BF117" s="236"/>
      <c r="BG117" s="236"/>
      <c r="BH117" s="236"/>
      <c r="BI117" s="236"/>
      <c r="BJ117" s="236"/>
      <c r="BK117" s="236"/>
      <c r="BL117" s="236"/>
      <c r="BM117" s="236"/>
      <c r="BN117" s="236"/>
      <c r="BO117" s="236"/>
      <c r="BP117" s="236"/>
      <c r="BQ117" s="236"/>
      <c r="BR117" s="236"/>
      <c r="BS117" s="236"/>
      <c r="BT117" s="236"/>
      <c r="BU117" s="236"/>
      <c r="BV117" s="236"/>
      <c r="BW117" s="236"/>
      <c r="BX117" s="236"/>
      <c r="BY117" s="236"/>
      <c r="BZ117" s="236"/>
      <c r="CA117" s="236"/>
      <c r="CB117" s="236"/>
      <c r="CC117" s="236"/>
      <c r="CD117" s="236"/>
      <c r="CE117" s="236"/>
      <c r="CF117" s="236"/>
      <c r="CG117" s="236"/>
      <c r="CH117" s="236"/>
      <c r="CI117" s="236"/>
      <c r="CJ117" s="236"/>
      <c r="CK117" s="236"/>
      <c r="CL117" s="236"/>
      <c r="CM117" s="236"/>
      <c r="CN117" s="236"/>
      <c r="CO117" s="236"/>
      <c r="CP117" s="236"/>
      <c r="CQ117" s="236"/>
      <c r="CR117" s="236"/>
      <c r="CS117" s="236"/>
      <c r="CT117" s="236"/>
      <c r="CU117" s="236"/>
      <c r="CV117" s="236"/>
      <c r="CW117" s="236"/>
      <c r="CX117" s="236"/>
      <c r="CY117" s="236"/>
      <c r="CZ117" s="236"/>
      <c r="DA117" s="236"/>
      <c r="DB117" s="236"/>
      <c r="DC117" s="236"/>
      <c r="DD117" s="236"/>
      <c r="DE117" s="236"/>
      <c r="DF117" s="236"/>
      <c r="DG117" s="236"/>
      <c r="DH117" s="236"/>
      <c r="DI117" s="236"/>
      <c r="DJ117" s="236"/>
      <c r="DK117" s="236"/>
      <c r="DL117" s="236"/>
      <c r="DM117" s="236"/>
      <c r="DN117" s="236"/>
      <c r="DO117" s="236"/>
      <c r="DP117" s="236"/>
      <c r="DQ117" s="236"/>
      <c r="DR117" s="236"/>
      <c r="DS117" s="236"/>
      <c r="DT117" s="236"/>
      <c r="DU117" s="236"/>
      <c r="DV117" s="236"/>
      <c r="DW117" s="236"/>
      <c r="DX117" s="236"/>
      <c r="DY117" s="236"/>
      <c r="DZ117" s="236"/>
      <c r="EA117" s="236"/>
      <c r="EB117" s="236"/>
      <c r="EC117" s="236"/>
      <c r="ED117" s="236"/>
      <c r="EE117" s="236"/>
      <c r="EF117" s="236"/>
      <c r="EG117" s="236"/>
      <c r="EH117" s="236"/>
      <c r="EI117" s="236"/>
      <c r="EJ117" s="236"/>
      <c r="EK117" s="236"/>
      <c r="EL117" s="236"/>
      <c r="EM117" s="236"/>
      <c r="EN117" s="236"/>
      <c r="EO117" s="236"/>
      <c r="EP117" s="236"/>
      <c r="EQ117" s="236"/>
      <c r="ER117" s="236"/>
      <c r="ES117" s="236"/>
      <c r="ET117" s="236"/>
      <c r="EU117" s="236"/>
      <c r="EV117" s="236"/>
      <c r="EW117" s="236"/>
      <c r="EX117" s="236"/>
      <c r="EY117" s="236"/>
      <c r="EZ117" s="236"/>
      <c r="FA117" s="236"/>
      <c r="FB117" s="236"/>
      <c r="FC117" s="236"/>
      <c r="FD117" s="236"/>
      <c r="FE117" s="236"/>
      <c r="FF117" s="236"/>
      <c r="FG117" s="236"/>
      <c r="FH117" s="236"/>
      <c r="FI117" s="236"/>
      <c r="FJ117" s="236"/>
      <c r="FK117" s="236"/>
      <c r="FL117" s="236"/>
      <c r="FM117" s="236"/>
      <c r="FN117" s="236"/>
      <c r="FO117" s="236"/>
      <c r="FP117" s="236"/>
      <c r="FQ117" s="236"/>
      <c r="FR117" s="236"/>
      <c r="FS117" s="236"/>
      <c r="FT117" s="236"/>
      <c r="FU117" s="236"/>
      <c r="FV117" s="236"/>
      <c r="FW117" s="236"/>
      <c r="FX117" s="236"/>
      <c r="FY117" s="236"/>
      <c r="FZ117" s="236"/>
      <c r="GA117" s="236"/>
      <c r="GB117" s="236"/>
      <c r="GC117" s="236"/>
      <c r="GD117" s="236"/>
      <c r="GE117" s="236"/>
      <c r="GF117" s="236"/>
      <c r="GG117" s="236"/>
      <c r="GH117" s="236"/>
      <c r="GI117" s="236"/>
      <c r="GJ117" s="236"/>
      <c r="GK117" s="236"/>
      <c r="GL117" s="236"/>
      <c r="GM117" s="236"/>
      <c r="GN117" s="236"/>
      <c r="GO117" s="236"/>
      <c r="GP117" s="236"/>
      <c r="GQ117" s="236"/>
      <c r="GR117" s="236"/>
      <c r="GS117" s="236"/>
      <c r="GT117" s="236"/>
      <c r="GU117" s="236"/>
      <c r="GV117" s="236"/>
      <c r="GW117" s="236"/>
      <c r="GX117" s="236"/>
      <c r="GY117" s="236"/>
      <c r="GZ117" s="236"/>
      <c r="HA117" s="236"/>
      <c r="HB117" s="236"/>
      <c r="HC117" s="236"/>
      <c r="HD117" s="236"/>
      <c r="HE117" s="236"/>
      <c r="HF117" s="236"/>
      <c r="HG117" s="236"/>
      <c r="HH117" s="236"/>
      <c r="HI117" s="236"/>
      <c r="HJ117" s="236"/>
      <c r="HK117" s="236"/>
      <c r="HL117" s="236"/>
      <c r="HM117" s="236"/>
      <c r="HN117" s="236"/>
      <c r="HO117" s="236"/>
      <c r="HP117" s="236"/>
      <c r="HQ117" s="236"/>
      <c r="HR117" s="236"/>
      <c r="HS117" s="236"/>
      <c r="HT117" s="236"/>
      <c r="HU117" s="236"/>
      <c r="HV117" s="236"/>
      <c r="HW117" s="236"/>
      <c r="HX117" s="236"/>
      <c r="HY117" s="236"/>
      <c r="HZ117" s="236"/>
      <c r="IA117" s="236"/>
      <c r="IB117" s="236"/>
      <c r="IC117" s="236"/>
      <c r="ID117" s="236"/>
      <c r="IE117" s="236"/>
      <c r="IF117" s="236"/>
      <c r="IG117" s="236"/>
      <c r="IH117" s="236"/>
      <c r="II117" s="236"/>
      <c r="IJ117" s="236"/>
      <c r="IK117" s="236"/>
      <c r="IL117" s="236"/>
      <c r="IM117" s="236"/>
      <c r="IN117" s="236"/>
      <c r="IO117" s="236"/>
      <c r="IP117" s="236"/>
      <c r="IQ117" s="236"/>
      <c r="IR117" s="236"/>
      <c r="IS117" s="236"/>
      <c r="IT117" s="236"/>
      <c r="IU117" s="236"/>
      <c r="IV117" s="236"/>
      <c r="IW117" s="236"/>
      <c r="IX117" s="236"/>
      <c r="IY117" s="236"/>
      <c r="IZ117" s="236"/>
      <c r="JA117" s="236"/>
      <c r="JB117" s="236"/>
      <c r="JC117" s="236"/>
      <c r="JD117" s="236"/>
      <c r="JE117" s="236"/>
      <c r="JF117" s="236"/>
      <c r="JG117" s="236"/>
      <c r="JH117" s="236"/>
      <c r="JI117" s="236"/>
      <c r="JJ117" s="236"/>
      <c r="JK117" s="236"/>
      <c r="JL117" s="236"/>
      <c r="JM117" s="236"/>
      <c r="JN117" s="236"/>
      <c r="JO117" s="236"/>
      <c r="JP117" s="236"/>
      <c r="JQ117" s="236"/>
      <c r="JR117" s="236"/>
      <c r="JS117" s="236"/>
      <c r="JT117" s="236"/>
      <c r="JU117" s="236"/>
      <c r="JV117" s="236"/>
      <c r="JW117" s="236"/>
      <c r="JX117" s="409"/>
      <c r="JY117" s="409"/>
      <c r="JZ117" s="409"/>
      <c r="KA117" s="409"/>
      <c r="KB117" s="409"/>
      <c r="KC117" s="409"/>
      <c r="KD117" s="409"/>
      <c r="KE117" s="409"/>
      <c r="KF117" s="409"/>
      <c r="KG117" s="410"/>
    </row>
    <row r="118" spans="3:293" ht="24" customHeight="1">
      <c r="C118"/>
      <c r="D118" s="57" t="str">
        <f ca="1">INDIRECT(ADDRESS(ROWS($D$3:D117)+6,D$3,1,1,"3_TIME SUM"))</f>
        <v>Swabbing Well</v>
      </c>
      <c r="E118" s="81" t="str">
        <f ca="1">IF(INDIRECT(ADDRESS(ROWS($E$3:E117)+6,E$3,1,1,"3_TIME SUM"))=0,E117,INDIRECT(ADDRESS(ROWS($E$3:E117)+6,E$3,1,1,"3_TIME SUM")))</f>
        <v>Swabbing</v>
      </c>
      <c r="F118" s="57" t="str">
        <f t="shared" ca="1" si="24"/>
        <v>Swabbing : Swabbing Well</v>
      </c>
      <c r="G118" s="58" t="str">
        <f ca="1">VLOOKUP($D118,INDIRECT(ADDRESS(7,5,1,1,"3_TIME SUM")):INDIRECT(ADDRESS(200,7,1,1,"3_TIME SUM")),2,FALSE)</f>
        <v>28a</v>
      </c>
      <c r="H118" s="58" t="str">
        <f ca="1">IF(VLOOKUP($D118,INDIRECT(ADDRESS(7,5,1,1,"3_TIME SUM")):INDIRECT(ADDRESS(200,7,1,1,"3_TIME SUM")),3,FALSE)="","PT",VLOOKUP($D118,INDIRECT(ADDRESS(7,5,1,1,"3_TIME SUM")):INDIRECT(ADDRESS(200,7,1,1,"3_TIME SUM")),3,FALSE))</f>
        <v>PT</v>
      </c>
      <c r="I118" s="59">
        <f ca="1">IFERROR(IF(AND($D$2="NON PRODUCTIVE TIME",$H118="NPT"),SUMIF(INDIRECT(ADDRESS(8,COLUMN('2_DATA'!$M$9),1,1,"2_DATA")):INDIRECT(ADDRESS(3000,COLUMN('2_DATA'!$M$9),1,1,"2_DATA")),$G118,INDIRECT(ADDRESS(8,COLUMN('2_DATA'!$N$9),1,1,"2_DATA")):INDIRECT(ADDRESS(3000,COLUMN('2_DATA'!$N$9),1,1,"2_DATA"))),IF($D$2="ALL ACTIVITY",SUMIF(INDIRECT(ADDRESS(9,COLUMN('2_DATA'!$M$9),1,1,"2_DATA")):INDIRECT(ADDRESS(3000,COLUMN('2_DATA'!$M$9),1,1,"2_DATA")),$G118,INDIRECT(ADDRESS(9,COLUMN('2_DATA'!$N$9),1,1,"2_DATA")):INDIRECT(ADDRESS(3000,COLUMN('2_DATA'!$N$9),1,1,"2_DATA"))),SUMIF(INDIRECT(ADDRESS(OFFSET($A$3,MATCH($D$2,$A$4:$A$16,0)-1,1,,)+1,COLUMN('2_DATA'!$M$9),1,1,"2_DATA")):INDIRECT(ADDRESS(VLOOKUP($D$2,$A$4:$B$16,2,FALSE)-1,COLUMN('2_DATA'!$M$9),1,1,"2_DATA")),$G118,INDIRECT(ADDRESS(OFFSET($A$3,MATCH($D$2,$A$4:$A$16,0)-1,1,,)+1,COLUMN('2_DATA'!$N$9),1,1,"2_DATA")):INDIRECT(ADDRESS(VLOOKUP($D$2,$A$4:$B$16,2,FALSE)-1,COLUMN('2_DATA'!$N$9),1,1,"2_DATA"))))),0)</f>
        <v>0</v>
      </c>
      <c r="J118" s="58" t="str">
        <f ca="1">IF(I118=0,"",MAX($J$3:J117)+1)</f>
        <v/>
      </c>
      <c r="L118" s="55">
        <f t="shared" ca="1" si="21"/>
        <v>1000</v>
      </c>
      <c r="M118" s="55" t="str">
        <f t="shared" ca="1" si="25"/>
        <v/>
      </c>
      <c r="N118" s="55"/>
      <c r="O118" s="55">
        <f t="shared" ca="1" si="29"/>
        <v>1024</v>
      </c>
      <c r="P118" s="55">
        <f t="shared" ca="1" si="22"/>
        <v>25</v>
      </c>
      <c r="Q118" s="55" t="str">
        <f ca="1">IFERROR(INDEX($O$4:$P$226,MATCH(ROWS($Q$3:Q117),$P$4:$P$226,0),1),"-")</f>
        <v>-</v>
      </c>
      <c r="R118" s="62" t="str">
        <f t="shared" ca="1" si="23"/>
        <v/>
      </c>
      <c r="S118" s="55" t="str">
        <f t="shared" ca="1" si="26"/>
        <v/>
      </c>
      <c r="T118" s="67" t="str">
        <f t="shared" ca="1" si="38"/>
        <v>-</v>
      </c>
      <c r="V118" s="68" t="str">
        <f t="shared" ca="1" si="30"/>
        <v/>
      </c>
      <c r="W118" s="69" t="str">
        <f t="shared" ca="1" si="31"/>
        <v/>
      </c>
      <c r="X118" s="70" t="s">
        <v>84</v>
      </c>
      <c r="Y118" s="68" t="str">
        <f t="shared" ca="1" si="35"/>
        <v/>
      </c>
      <c r="Z118" s="71" t="str">
        <f t="shared" ca="1" si="32"/>
        <v/>
      </c>
      <c r="AA118" s="72" t="str">
        <f t="shared" ca="1" si="33"/>
        <v/>
      </c>
      <c r="AB118" s="305" t="str">
        <f t="shared" ca="1" si="34"/>
        <v/>
      </c>
      <c r="AC118" s="236"/>
      <c r="AD118" s="236"/>
      <c r="AE118" s="236"/>
      <c r="AF118" s="236"/>
      <c r="AG118" s="236"/>
      <c r="AH118" s="236"/>
      <c r="AI118" s="236"/>
      <c r="AJ118" s="236"/>
      <c r="AK118" s="236"/>
      <c r="AL118" s="236"/>
      <c r="AM118" s="236"/>
      <c r="AN118" s="236"/>
      <c r="AO118" s="236"/>
      <c r="AP118" s="236"/>
      <c r="AQ118" s="236"/>
      <c r="AR118" s="236"/>
      <c r="AS118" s="236"/>
      <c r="AT118" s="236"/>
      <c r="AU118" s="236"/>
      <c r="AV118" s="236"/>
      <c r="AW118" s="236"/>
      <c r="AX118" s="236"/>
      <c r="AY118" s="236"/>
      <c r="AZ118" s="236"/>
      <c r="BA118" s="236"/>
      <c r="BB118" s="236"/>
      <c r="BC118" s="236"/>
      <c r="BD118" s="236"/>
      <c r="BE118" s="236"/>
      <c r="BF118" s="236"/>
      <c r="BG118" s="236"/>
      <c r="BH118" s="236"/>
      <c r="BI118" s="236"/>
      <c r="BJ118" s="236"/>
      <c r="BK118" s="236"/>
      <c r="BL118" s="236"/>
      <c r="BM118" s="236"/>
      <c r="BN118" s="236"/>
      <c r="BO118" s="236"/>
      <c r="BP118" s="236"/>
      <c r="BQ118" s="236"/>
      <c r="BR118" s="236"/>
      <c r="BS118" s="236"/>
      <c r="BT118" s="236"/>
      <c r="BU118" s="236"/>
      <c r="BV118" s="236"/>
      <c r="BW118" s="236"/>
      <c r="BX118" s="236"/>
      <c r="BY118" s="236"/>
      <c r="BZ118" s="236"/>
      <c r="CA118" s="236"/>
      <c r="CB118" s="236"/>
      <c r="CC118" s="236"/>
      <c r="CD118" s="236"/>
      <c r="CE118" s="236"/>
      <c r="CF118" s="236"/>
      <c r="CG118" s="236"/>
      <c r="CH118" s="236"/>
      <c r="CI118" s="236"/>
      <c r="CJ118" s="236"/>
      <c r="CK118" s="236"/>
      <c r="CL118" s="236"/>
      <c r="CM118" s="236"/>
      <c r="CN118" s="236"/>
      <c r="CO118" s="236"/>
      <c r="CP118" s="236"/>
      <c r="CQ118" s="236"/>
      <c r="CR118" s="236"/>
      <c r="CS118" s="236"/>
      <c r="CT118" s="236"/>
      <c r="CU118" s="236"/>
      <c r="CV118" s="236"/>
      <c r="CW118" s="236"/>
      <c r="CX118" s="236"/>
      <c r="CY118" s="236"/>
      <c r="CZ118" s="236"/>
      <c r="DA118" s="236"/>
      <c r="DB118" s="236"/>
      <c r="DC118" s="236"/>
      <c r="DD118" s="236"/>
      <c r="DE118" s="236"/>
      <c r="DF118" s="236"/>
      <c r="DG118" s="236"/>
      <c r="DH118" s="236"/>
      <c r="DI118" s="236"/>
      <c r="DJ118" s="236"/>
      <c r="DK118" s="236"/>
      <c r="DL118" s="236"/>
      <c r="DM118" s="236"/>
      <c r="DN118" s="236"/>
      <c r="DO118" s="236"/>
      <c r="DP118" s="236"/>
      <c r="DQ118" s="236"/>
      <c r="DR118" s="236"/>
      <c r="DS118" s="236"/>
      <c r="DT118" s="236"/>
      <c r="DU118" s="236"/>
      <c r="DV118" s="236"/>
      <c r="DW118" s="236"/>
      <c r="DX118" s="236"/>
      <c r="DY118" s="236"/>
      <c r="DZ118" s="236"/>
      <c r="EA118" s="236"/>
      <c r="EB118" s="236"/>
      <c r="EC118" s="236"/>
      <c r="ED118" s="236"/>
      <c r="EE118" s="236"/>
      <c r="EF118" s="236"/>
      <c r="EG118" s="236"/>
      <c r="EH118" s="236"/>
      <c r="EI118" s="236"/>
      <c r="EJ118" s="236"/>
      <c r="EK118" s="236"/>
      <c r="EL118" s="236"/>
      <c r="EM118" s="236"/>
      <c r="EN118" s="236"/>
      <c r="EO118" s="236"/>
      <c r="EP118" s="236"/>
      <c r="EQ118" s="236"/>
      <c r="ER118" s="236"/>
      <c r="ES118" s="236"/>
      <c r="ET118" s="236"/>
      <c r="EU118" s="236"/>
      <c r="EV118" s="236"/>
      <c r="EW118" s="236"/>
      <c r="EX118" s="236"/>
      <c r="EY118" s="236"/>
      <c r="EZ118" s="236"/>
      <c r="FA118" s="236"/>
      <c r="FB118" s="236"/>
      <c r="FC118" s="236"/>
      <c r="FD118" s="236"/>
      <c r="FE118" s="236"/>
      <c r="FF118" s="236"/>
      <c r="FG118" s="236"/>
      <c r="FH118" s="236"/>
      <c r="FI118" s="236"/>
      <c r="FJ118" s="236"/>
      <c r="FK118" s="236"/>
      <c r="FL118" s="236"/>
      <c r="FM118" s="236"/>
      <c r="FN118" s="236"/>
      <c r="FO118" s="236"/>
      <c r="FP118" s="236"/>
      <c r="FQ118" s="236"/>
      <c r="FR118" s="236"/>
      <c r="FS118" s="236"/>
      <c r="FT118" s="236"/>
      <c r="FU118" s="236"/>
      <c r="FV118" s="236"/>
      <c r="FW118" s="236"/>
      <c r="FX118" s="236"/>
      <c r="FY118" s="236"/>
      <c r="FZ118" s="236"/>
      <c r="GA118" s="236"/>
      <c r="GB118" s="236"/>
      <c r="GC118" s="236"/>
      <c r="GD118" s="236"/>
      <c r="GE118" s="236"/>
      <c r="GF118" s="236"/>
      <c r="GG118" s="236"/>
      <c r="GH118" s="236"/>
      <c r="GI118" s="236"/>
      <c r="GJ118" s="236"/>
      <c r="GK118" s="236"/>
      <c r="GL118" s="236"/>
      <c r="GM118" s="236"/>
      <c r="GN118" s="236"/>
      <c r="GO118" s="236"/>
      <c r="GP118" s="236"/>
      <c r="GQ118" s="236"/>
      <c r="GR118" s="236"/>
      <c r="GS118" s="236"/>
      <c r="GT118" s="236"/>
      <c r="GU118" s="236"/>
      <c r="GV118" s="236"/>
      <c r="GW118" s="236"/>
      <c r="GX118" s="236"/>
      <c r="GY118" s="236"/>
      <c r="GZ118" s="236"/>
      <c r="HA118" s="236"/>
      <c r="HB118" s="236"/>
      <c r="HC118" s="236"/>
      <c r="HD118" s="236"/>
      <c r="HE118" s="236"/>
      <c r="HF118" s="236"/>
      <c r="HG118" s="236"/>
      <c r="HH118" s="236"/>
      <c r="HI118" s="236"/>
      <c r="HJ118" s="236"/>
      <c r="HK118" s="236"/>
      <c r="HL118" s="236"/>
      <c r="HM118" s="236"/>
      <c r="HN118" s="236"/>
      <c r="HO118" s="236"/>
      <c r="HP118" s="236"/>
      <c r="HQ118" s="236"/>
      <c r="HR118" s="236"/>
      <c r="HS118" s="236"/>
      <c r="HT118" s="236"/>
      <c r="HU118" s="236"/>
      <c r="HV118" s="236"/>
      <c r="HW118" s="236"/>
      <c r="HX118" s="236"/>
      <c r="HY118" s="236"/>
      <c r="HZ118" s="236"/>
      <c r="IA118" s="236"/>
      <c r="IB118" s="236"/>
      <c r="IC118" s="236"/>
      <c r="ID118" s="236"/>
      <c r="IE118" s="236"/>
      <c r="IF118" s="236"/>
      <c r="IG118" s="236"/>
      <c r="IH118" s="236"/>
      <c r="II118" s="236"/>
      <c r="IJ118" s="236"/>
      <c r="IK118" s="236"/>
      <c r="IL118" s="236"/>
      <c r="IM118" s="236"/>
      <c r="IN118" s="236"/>
      <c r="IO118" s="236"/>
      <c r="IP118" s="236"/>
      <c r="IQ118" s="236"/>
      <c r="IR118" s="236"/>
      <c r="IS118" s="236"/>
      <c r="IT118" s="236"/>
      <c r="IU118" s="236"/>
      <c r="IV118" s="236"/>
      <c r="IW118" s="236"/>
      <c r="IX118" s="236"/>
      <c r="IY118" s="236"/>
      <c r="IZ118" s="236"/>
      <c r="JA118" s="236"/>
      <c r="JB118" s="236"/>
      <c r="JC118" s="236"/>
      <c r="JD118" s="236"/>
      <c r="JE118" s="236"/>
      <c r="JF118" s="236"/>
      <c r="JG118" s="236"/>
      <c r="JH118" s="236"/>
      <c r="JI118" s="236"/>
      <c r="JJ118" s="236"/>
      <c r="JK118" s="236"/>
      <c r="JL118" s="236"/>
      <c r="JM118" s="236"/>
      <c r="JN118" s="236"/>
      <c r="JO118" s="236"/>
      <c r="JP118" s="236"/>
      <c r="JQ118" s="236"/>
      <c r="JR118" s="236"/>
      <c r="JS118" s="236"/>
      <c r="JT118" s="236"/>
      <c r="JU118" s="236"/>
      <c r="JV118" s="236"/>
      <c r="JW118" s="236"/>
      <c r="JX118" s="409"/>
      <c r="JY118" s="409"/>
      <c r="JZ118" s="409"/>
      <c r="KA118" s="409"/>
      <c r="KB118" s="409"/>
      <c r="KC118" s="409"/>
      <c r="KD118" s="409"/>
      <c r="KE118" s="409"/>
      <c r="KF118" s="409"/>
      <c r="KG118" s="410"/>
    </row>
    <row r="119" spans="3:293" ht="24" customHeight="1">
      <c r="C119"/>
      <c r="D119" s="57" t="str">
        <f ca="1">INDIRECT(ADDRESS(ROWS($D$3:D118)+6,D$3,1,1,"3_TIME SUM"))</f>
        <v>Well Testing</v>
      </c>
      <c r="E119" s="81" t="str">
        <f ca="1">IF(INDIRECT(ADDRESS(ROWS($E$3:E118)+6,E$3,1,1,"3_TIME SUM"))=0,E118,INDIRECT(ADDRESS(ROWS($E$3:E118)+6,E$3,1,1,"3_TIME SUM")))</f>
        <v>Production Test</v>
      </c>
      <c r="F119" s="57" t="str">
        <f t="shared" ca="1" si="24"/>
        <v>Production Test : Well Testing</v>
      </c>
      <c r="G119" s="58" t="str">
        <f ca="1">VLOOKUP($D119,INDIRECT(ADDRESS(7,5,1,1,"3_TIME SUM")):INDIRECT(ADDRESS(200,7,1,1,"3_TIME SUM")),2,FALSE)</f>
        <v>29a</v>
      </c>
      <c r="H119" s="58" t="str">
        <f ca="1">IF(VLOOKUP($D119,INDIRECT(ADDRESS(7,5,1,1,"3_TIME SUM")):INDIRECT(ADDRESS(200,7,1,1,"3_TIME SUM")),3,FALSE)="","PT",VLOOKUP($D119,INDIRECT(ADDRESS(7,5,1,1,"3_TIME SUM")):INDIRECT(ADDRESS(200,7,1,1,"3_TIME SUM")),3,FALSE))</f>
        <v>PT</v>
      </c>
      <c r="I119" s="59">
        <f ca="1">IFERROR(IF(AND($D$2="NON PRODUCTIVE TIME",$H119="NPT"),SUMIF(INDIRECT(ADDRESS(8,COLUMN('2_DATA'!$M$9),1,1,"2_DATA")):INDIRECT(ADDRESS(3000,COLUMN('2_DATA'!$M$9),1,1,"2_DATA")),$G119,INDIRECT(ADDRESS(8,COLUMN('2_DATA'!$N$9),1,1,"2_DATA")):INDIRECT(ADDRESS(3000,COLUMN('2_DATA'!$N$9),1,1,"2_DATA"))),IF($D$2="ALL ACTIVITY",SUMIF(INDIRECT(ADDRESS(9,COLUMN('2_DATA'!$M$9),1,1,"2_DATA")):INDIRECT(ADDRESS(3000,COLUMN('2_DATA'!$M$9),1,1,"2_DATA")),$G119,INDIRECT(ADDRESS(9,COLUMN('2_DATA'!$N$9),1,1,"2_DATA")):INDIRECT(ADDRESS(3000,COLUMN('2_DATA'!$N$9),1,1,"2_DATA"))),SUMIF(INDIRECT(ADDRESS(OFFSET($A$3,MATCH($D$2,$A$4:$A$16,0)-1,1,,)+1,COLUMN('2_DATA'!$M$9),1,1,"2_DATA")):INDIRECT(ADDRESS(VLOOKUP($D$2,$A$4:$B$16,2,FALSE)-1,COLUMN('2_DATA'!$M$9),1,1,"2_DATA")),$G119,INDIRECT(ADDRESS(OFFSET($A$3,MATCH($D$2,$A$4:$A$16,0)-1,1,,)+1,COLUMN('2_DATA'!$N$9),1,1,"2_DATA")):INDIRECT(ADDRESS(VLOOKUP($D$2,$A$4:$B$16,2,FALSE)-1,COLUMN('2_DATA'!$N$9),1,1,"2_DATA"))))),0)</f>
        <v>35</v>
      </c>
      <c r="J119" s="58">
        <f ca="1">IF(I119=0,"",MAX($J$3:J118)+1)</f>
        <v>27</v>
      </c>
      <c r="L119" s="55">
        <f t="shared" ca="1" si="21"/>
        <v>1000</v>
      </c>
      <c r="M119" s="55">
        <f t="shared" ca="1" si="25"/>
        <v>1027</v>
      </c>
      <c r="N119" s="55"/>
      <c r="O119" s="55">
        <f t="shared" ca="1" si="29"/>
        <v>1025</v>
      </c>
      <c r="P119" s="55">
        <f t="shared" ca="1" si="22"/>
        <v>26</v>
      </c>
      <c r="Q119" s="55" t="str">
        <f ca="1">IFERROR(INDEX($O$4:$P$226,MATCH(ROWS($Q$3:Q118),$P$4:$P$226,0),1),"-")</f>
        <v>-</v>
      </c>
      <c r="R119" s="62" t="str">
        <f t="shared" ca="1" si="23"/>
        <v/>
      </c>
      <c r="S119" s="55" t="str">
        <f t="shared" ca="1" si="26"/>
        <v/>
      </c>
      <c r="T119" s="67" t="str">
        <f t="shared" ca="1" si="38"/>
        <v>-</v>
      </c>
      <c r="V119" s="68" t="str">
        <f t="shared" ca="1" si="30"/>
        <v/>
      </c>
      <c r="W119" s="69" t="str">
        <f t="shared" ca="1" si="31"/>
        <v/>
      </c>
      <c r="X119" s="70" t="s">
        <v>84</v>
      </c>
      <c r="Y119" s="68" t="str">
        <f t="shared" ca="1" si="35"/>
        <v/>
      </c>
      <c r="Z119" s="71" t="str">
        <f t="shared" ca="1" si="32"/>
        <v/>
      </c>
      <c r="AA119" s="72" t="str">
        <f t="shared" ca="1" si="33"/>
        <v/>
      </c>
      <c r="AB119" s="305" t="str">
        <f t="shared" ca="1" si="34"/>
        <v/>
      </c>
      <c r="AC119" s="236"/>
      <c r="AD119" s="236"/>
      <c r="AE119" s="236"/>
      <c r="AF119" s="236"/>
      <c r="AG119" s="236"/>
      <c r="AH119" s="236"/>
      <c r="AI119" s="236"/>
      <c r="AJ119" s="236"/>
      <c r="AK119" s="236"/>
      <c r="AL119" s="236"/>
      <c r="AM119" s="236"/>
      <c r="AN119" s="236"/>
      <c r="AO119" s="236"/>
      <c r="AP119" s="236"/>
      <c r="AQ119" s="236"/>
      <c r="AR119" s="236"/>
      <c r="AS119" s="236"/>
      <c r="AT119" s="236"/>
      <c r="AU119" s="236"/>
      <c r="AV119" s="236"/>
      <c r="AW119" s="236"/>
      <c r="AX119" s="236"/>
      <c r="AY119" s="236"/>
      <c r="AZ119" s="236"/>
      <c r="BA119" s="236"/>
      <c r="BB119" s="236"/>
      <c r="BC119" s="236"/>
      <c r="BD119" s="236"/>
      <c r="BE119" s="236"/>
      <c r="BF119" s="236"/>
      <c r="BG119" s="236"/>
      <c r="BH119" s="236"/>
      <c r="BI119" s="236"/>
      <c r="BJ119" s="236"/>
      <c r="BK119" s="236"/>
      <c r="BL119" s="236"/>
      <c r="BM119" s="236"/>
      <c r="BN119" s="236"/>
      <c r="BO119" s="236"/>
      <c r="BP119" s="236"/>
      <c r="BQ119" s="236"/>
      <c r="BR119" s="236"/>
      <c r="BS119" s="236"/>
      <c r="BT119" s="236"/>
      <c r="BU119" s="236"/>
      <c r="BV119" s="236"/>
      <c r="BW119" s="236"/>
      <c r="BX119" s="236"/>
      <c r="BY119" s="236"/>
      <c r="BZ119" s="236"/>
      <c r="CA119" s="236"/>
      <c r="CB119" s="236"/>
      <c r="CC119" s="236"/>
      <c r="CD119" s="236"/>
      <c r="CE119" s="236"/>
      <c r="CF119" s="236"/>
      <c r="CG119" s="236"/>
      <c r="CH119" s="236"/>
      <c r="CI119" s="236"/>
      <c r="CJ119" s="236"/>
      <c r="CK119" s="236"/>
      <c r="CL119" s="236"/>
      <c r="CM119" s="236"/>
      <c r="CN119" s="236"/>
      <c r="CO119" s="236"/>
      <c r="CP119" s="236"/>
      <c r="CQ119" s="236"/>
      <c r="CR119" s="236"/>
      <c r="CS119" s="236"/>
      <c r="CT119" s="236"/>
      <c r="CU119" s="236"/>
      <c r="CV119" s="236"/>
      <c r="CW119" s="236"/>
      <c r="CX119" s="236"/>
      <c r="CY119" s="236"/>
      <c r="CZ119" s="236"/>
      <c r="DA119" s="236"/>
      <c r="DB119" s="236"/>
      <c r="DC119" s="236"/>
      <c r="DD119" s="236"/>
      <c r="DE119" s="236"/>
      <c r="DF119" s="236"/>
      <c r="DG119" s="236"/>
      <c r="DH119" s="236"/>
      <c r="DI119" s="236"/>
      <c r="DJ119" s="236"/>
      <c r="DK119" s="236"/>
      <c r="DL119" s="236"/>
      <c r="DM119" s="236"/>
      <c r="DN119" s="236"/>
      <c r="DO119" s="236"/>
      <c r="DP119" s="236"/>
      <c r="DQ119" s="236"/>
      <c r="DR119" s="236"/>
      <c r="DS119" s="236"/>
      <c r="DT119" s="236"/>
      <c r="DU119" s="236"/>
      <c r="DV119" s="236"/>
      <c r="DW119" s="236"/>
      <c r="DX119" s="236"/>
      <c r="DY119" s="236"/>
      <c r="DZ119" s="236"/>
      <c r="EA119" s="236"/>
      <c r="EB119" s="236"/>
      <c r="EC119" s="236"/>
      <c r="ED119" s="236"/>
      <c r="EE119" s="236"/>
      <c r="EF119" s="236"/>
      <c r="EG119" s="236"/>
      <c r="EH119" s="236"/>
      <c r="EI119" s="236"/>
      <c r="EJ119" s="236"/>
      <c r="EK119" s="236"/>
      <c r="EL119" s="236"/>
      <c r="EM119" s="236"/>
      <c r="EN119" s="236"/>
      <c r="EO119" s="236"/>
      <c r="EP119" s="236"/>
      <c r="EQ119" s="236"/>
      <c r="ER119" s="236"/>
      <c r="ES119" s="236"/>
      <c r="ET119" s="236"/>
      <c r="EU119" s="236"/>
      <c r="EV119" s="236"/>
      <c r="EW119" s="236"/>
      <c r="EX119" s="236"/>
      <c r="EY119" s="236"/>
      <c r="EZ119" s="236"/>
      <c r="FA119" s="236"/>
      <c r="FB119" s="236"/>
      <c r="FC119" s="236"/>
      <c r="FD119" s="236"/>
      <c r="FE119" s="236"/>
      <c r="FF119" s="236"/>
      <c r="FG119" s="236"/>
      <c r="FH119" s="236"/>
      <c r="FI119" s="236"/>
      <c r="FJ119" s="236"/>
      <c r="FK119" s="236"/>
      <c r="FL119" s="236"/>
      <c r="FM119" s="236"/>
      <c r="FN119" s="236"/>
      <c r="FO119" s="236"/>
      <c r="FP119" s="236"/>
      <c r="FQ119" s="236"/>
      <c r="FR119" s="236"/>
      <c r="FS119" s="236"/>
      <c r="FT119" s="236"/>
      <c r="FU119" s="236"/>
      <c r="FV119" s="236"/>
      <c r="FW119" s="236"/>
      <c r="FX119" s="236"/>
      <c r="FY119" s="236"/>
      <c r="FZ119" s="236"/>
      <c r="GA119" s="236"/>
      <c r="GB119" s="236"/>
      <c r="GC119" s="236"/>
      <c r="GD119" s="236"/>
      <c r="GE119" s="236"/>
      <c r="GF119" s="236"/>
      <c r="GG119" s="236"/>
      <c r="GH119" s="236"/>
      <c r="GI119" s="236"/>
      <c r="GJ119" s="236"/>
      <c r="GK119" s="236"/>
      <c r="GL119" s="236"/>
      <c r="GM119" s="236"/>
      <c r="GN119" s="236"/>
      <c r="GO119" s="236"/>
      <c r="GP119" s="236"/>
      <c r="GQ119" s="236"/>
      <c r="GR119" s="236"/>
      <c r="GS119" s="236"/>
      <c r="GT119" s="236"/>
      <c r="GU119" s="236"/>
      <c r="GV119" s="236"/>
      <c r="GW119" s="236"/>
      <c r="GX119" s="236"/>
      <c r="GY119" s="236"/>
      <c r="GZ119" s="236"/>
      <c r="HA119" s="236"/>
      <c r="HB119" s="236"/>
      <c r="HC119" s="236"/>
      <c r="HD119" s="236"/>
      <c r="HE119" s="236"/>
      <c r="HF119" s="236"/>
      <c r="HG119" s="236"/>
      <c r="HH119" s="236"/>
      <c r="HI119" s="236"/>
      <c r="HJ119" s="236"/>
      <c r="HK119" s="236"/>
      <c r="HL119" s="236"/>
      <c r="HM119" s="236"/>
      <c r="HN119" s="236"/>
      <c r="HO119" s="236"/>
      <c r="HP119" s="236"/>
      <c r="HQ119" s="236"/>
      <c r="HR119" s="236"/>
      <c r="HS119" s="236"/>
      <c r="HT119" s="236"/>
      <c r="HU119" s="236"/>
      <c r="HV119" s="236"/>
      <c r="HW119" s="236"/>
      <c r="HX119" s="236"/>
      <c r="HY119" s="236"/>
      <c r="HZ119" s="236"/>
      <c r="IA119" s="236"/>
      <c r="IB119" s="236"/>
      <c r="IC119" s="236"/>
      <c r="ID119" s="236"/>
      <c r="IE119" s="236"/>
      <c r="IF119" s="236"/>
      <c r="IG119" s="236"/>
      <c r="IH119" s="236"/>
      <c r="II119" s="236"/>
      <c r="IJ119" s="236"/>
      <c r="IK119" s="236"/>
      <c r="IL119" s="236"/>
      <c r="IM119" s="236"/>
      <c r="IN119" s="236"/>
      <c r="IO119" s="236"/>
      <c r="IP119" s="236"/>
      <c r="IQ119" s="236"/>
      <c r="IR119" s="236"/>
      <c r="IS119" s="236"/>
      <c r="IT119" s="236"/>
      <c r="IU119" s="236"/>
      <c r="IV119" s="236"/>
      <c r="IW119" s="236"/>
      <c r="IX119" s="236"/>
      <c r="IY119" s="236"/>
      <c r="IZ119" s="236"/>
      <c r="JA119" s="236"/>
      <c r="JB119" s="236"/>
      <c r="JC119" s="236"/>
      <c r="JD119" s="236"/>
      <c r="JE119" s="236"/>
      <c r="JF119" s="236"/>
      <c r="JG119" s="236"/>
      <c r="JH119" s="236"/>
      <c r="JI119" s="236"/>
      <c r="JJ119" s="236"/>
      <c r="JK119" s="236"/>
      <c r="JL119" s="236"/>
      <c r="JM119" s="236"/>
      <c r="JN119" s="236"/>
      <c r="JO119" s="236"/>
      <c r="JP119" s="236"/>
      <c r="JQ119" s="236"/>
      <c r="JR119" s="236"/>
      <c r="JS119" s="236"/>
      <c r="JT119" s="236"/>
      <c r="JU119" s="236"/>
      <c r="JV119" s="236"/>
      <c r="JW119" s="236"/>
      <c r="JX119" s="409"/>
      <c r="JY119" s="409"/>
      <c r="JZ119" s="409"/>
      <c r="KA119" s="409"/>
      <c r="KB119" s="409"/>
      <c r="KC119" s="409"/>
      <c r="KD119" s="409"/>
      <c r="KE119" s="409"/>
      <c r="KF119" s="409"/>
      <c r="KG119" s="410"/>
    </row>
    <row r="120" spans="3:293" ht="24" customHeight="1">
      <c r="C120"/>
      <c r="D120" s="57" t="str">
        <f ca="1">INDIRECT(ADDRESS(ROWS($D$3:D119)+6,D$3,1,1,"3_TIME SUM"))</f>
        <v>N/U &amp; N/D</v>
      </c>
      <c r="E120" s="81" t="str">
        <f ca="1">IF(INDIRECT(ADDRESS(ROWS($E$3:E119)+6,E$3,1,1,"3_TIME SUM"))=0,E119,INDIRECT(ADDRESS(ROWS($E$3:E119)+6,E$3,1,1,"3_TIME SUM")))</f>
        <v>X-Mastree</v>
      </c>
      <c r="F120" s="57" t="str">
        <f t="shared" ca="1" si="24"/>
        <v>X-Mastree : N/U &amp; N/D</v>
      </c>
      <c r="G120" s="58" t="str">
        <f ca="1">VLOOKUP($D120,INDIRECT(ADDRESS(7,5,1,1,"3_TIME SUM")):INDIRECT(ADDRESS(200,7,1,1,"3_TIME SUM")),2,FALSE)</f>
        <v>30a</v>
      </c>
      <c r="H120" s="58" t="str">
        <f ca="1">IF(VLOOKUP($D120,INDIRECT(ADDRESS(7,5,1,1,"3_TIME SUM")):INDIRECT(ADDRESS(200,7,1,1,"3_TIME SUM")),3,FALSE)="","PT",VLOOKUP($D120,INDIRECT(ADDRESS(7,5,1,1,"3_TIME SUM")):INDIRECT(ADDRESS(200,7,1,1,"3_TIME SUM")),3,FALSE))</f>
        <v>PT</v>
      </c>
      <c r="I120" s="59">
        <f ca="1">IFERROR(IF(AND($D$2="NON PRODUCTIVE TIME",$H120="NPT"),SUMIF(INDIRECT(ADDRESS(8,COLUMN('2_DATA'!$M$9),1,1,"2_DATA")):INDIRECT(ADDRESS(3000,COLUMN('2_DATA'!$M$9),1,1,"2_DATA")),$G120,INDIRECT(ADDRESS(8,COLUMN('2_DATA'!$N$9),1,1,"2_DATA")):INDIRECT(ADDRESS(3000,COLUMN('2_DATA'!$N$9),1,1,"2_DATA"))),IF($D$2="ALL ACTIVITY",SUMIF(INDIRECT(ADDRESS(9,COLUMN('2_DATA'!$M$9),1,1,"2_DATA")):INDIRECT(ADDRESS(3000,COLUMN('2_DATA'!$M$9),1,1,"2_DATA")),$G120,INDIRECT(ADDRESS(9,COLUMN('2_DATA'!$N$9),1,1,"2_DATA")):INDIRECT(ADDRESS(3000,COLUMN('2_DATA'!$N$9),1,1,"2_DATA"))),SUMIF(INDIRECT(ADDRESS(OFFSET($A$3,MATCH($D$2,$A$4:$A$16,0)-1,1,,)+1,COLUMN('2_DATA'!$M$9),1,1,"2_DATA")):INDIRECT(ADDRESS(VLOOKUP($D$2,$A$4:$B$16,2,FALSE)-1,COLUMN('2_DATA'!$M$9),1,1,"2_DATA")),$G120,INDIRECT(ADDRESS(OFFSET($A$3,MATCH($D$2,$A$4:$A$16,0)-1,1,,)+1,COLUMN('2_DATA'!$N$9),1,1,"2_DATA")):INDIRECT(ADDRESS(VLOOKUP($D$2,$A$4:$B$16,2,FALSE)-1,COLUMN('2_DATA'!$N$9),1,1,"2_DATA"))))),0)</f>
        <v>0</v>
      </c>
      <c r="J120" s="58" t="str">
        <f ca="1">IF(I120=0,"",MAX($J$3:J119)+1)</f>
        <v/>
      </c>
      <c r="L120" s="55">
        <f t="shared" ca="1" si="21"/>
        <v>1000</v>
      </c>
      <c r="M120" s="55" t="str">
        <f t="shared" ca="1" si="25"/>
        <v/>
      </c>
      <c r="N120" s="55"/>
      <c r="O120" s="55">
        <f t="shared" ca="1" si="29"/>
        <v>1026</v>
      </c>
      <c r="P120" s="55">
        <f t="shared" ca="1" si="22"/>
        <v>27</v>
      </c>
      <c r="Q120" s="55" t="str">
        <f ca="1">IFERROR(INDEX($O$4:$P$226,MATCH(ROWS($Q$3:Q119),$P$4:$P$226,0),1),"-")</f>
        <v>-</v>
      </c>
      <c r="R120" s="62" t="str">
        <f t="shared" ca="1" si="23"/>
        <v/>
      </c>
      <c r="S120" s="55" t="str">
        <f t="shared" ca="1" si="26"/>
        <v/>
      </c>
      <c r="T120" s="67" t="str">
        <f t="shared" ca="1" si="38"/>
        <v>-</v>
      </c>
      <c r="V120" s="68" t="str">
        <f t="shared" ca="1" si="30"/>
        <v/>
      </c>
      <c r="W120" s="69" t="str">
        <f t="shared" ca="1" si="31"/>
        <v/>
      </c>
      <c r="X120" s="70" t="s">
        <v>84</v>
      </c>
      <c r="Y120" s="68" t="str">
        <f t="shared" ca="1" si="35"/>
        <v/>
      </c>
      <c r="Z120" s="71" t="str">
        <f t="shared" ca="1" si="32"/>
        <v/>
      </c>
      <c r="AA120" s="72" t="str">
        <f t="shared" ca="1" si="33"/>
        <v/>
      </c>
      <c r="AB120" s="305" t="str">
        <f t="shared" ca="1" si="34"/>
        <v/>
      </c>
      <c r="AC120" s="236"/>
      <c r="AD120" s="236"/>
      <c r="AE120" s="236"/>
      <c r="AF120" s="236"/>
      <c r="AG120" s="236"/>
      <c r="AH120" s="236"/>
      <c r="AI120" s="236"/>
      <c r="AJ120" s="236"/>
      <c r="AK120" s="236"/>
      <c r="AL120" s="236"/>
      <c r="AM120" s="236"/>
      <c r="AN120" s="236"/>
      <c r="AO120" s="236"/>
      <c r="AP120" s="236"/>
      <c r="AQ120" s="236"/>
      <c r="AR120" s="236"/>
      <c r="AS120" s="236"/>
      <c r="AT120" s="236"/>
      <c r="AU120" s="236"/>
      <c r="AV120" s="236"/>
      <c r="AW120" s="236"/>
      <c r="AX120" s="236"/>
      <c r="AY120" s="236"/>
      <c r="AZ120" s="236"/>
      <c r="BA120" s="236"/>
      <c r="BB120" s="236"/>
      <c r="BC120" s="236"/>
      <c r="BD120" s="236"/>
      <c r="BE120" s="236"/>
      <c r="BF120" s="236"/>
      <c r="BG120" s="236"/>
      <c r="BH120" s="236"/>
      <c r="BI120" s="236"/>
      <c r="BJ120" s="236"/>
      <c r="BK120" s="236"/>
      <c r="BL120" s="236"/>
      <c r="BM120" s="236"/>
      <c r="BN120" s="236"/>
      <c r="BO120" s="236"/>
      <c r="BP120" s="236"/>
      <c r="BQ120" s="236"/>
      <c r="BR120" s="236"/>
      <c r="BS120" s="236"/>
      <c r="BT120" s="236"/>
      <c r="BU120" s="236"/>
      <c r="BV120" s="236"/>
      <c r="BW120" s="236"/>
      <c r="BX120" s="236"/>
      <c r="BY120" s="236"/>
      <c r="BZ120" s="236"/>
      <c r="CA120" s="236"/>
      <c r="CB120" s="236"/>
      <c r="CC120" s="236"/>
      <c r="CD120" s="236"/>
      <c r="CE120" s="236"/>
      <c r="CF120" s="236"/>
      <c r="CG120" s="236"/>
      <c r="CH120" s="236"/>
      <c r="CI120" s="236"/>
      <c r="CJ120" s="236"/>
      <c r="CK120" s="236"/>
      <c r="CL120" s="236"/>
      <c r="CM120" s="236"/>
      <c r="CN120" s="236"/>
      <c r="CO120" s="236"/>
      <c r="CP120" s="236"/>
      <c r="CQ120" s="236"/>
      <c r="CR120" s="236"/>
      <c r="CS120" s="236"/>
      <c r="CT120" s="236"/>
      <c r="CU120" s="236"/>
      <c r="CV120" s="236"/>
      <c r="CW120" s="236"/>
      <c r="CX120" s="236"/>
      <c r="CY120" s="236"/>
      <c r="CZ120" s="236"/>
      <c r="DA120" s="236"/>
      <c r="DB120" s="236"/>
      <c r="DC120" s="236"/>
      <c r="DD120" s="236"/>
      <c r="DE120" s="236"/>
      <c r="DF120" s="236"/>
      <c r="DG120" s="236"/>
      <c r="DH120" s="236"/>
      <c r="DI120" s="236"/>
      <c r="DJ120" s="236"/>
      <c r="DK120" s="236"/>
      <c r="DL120" s="236"/>
      <c r="DM120" s="236"/>
      <c r="DN120" s="236"/>
      <c r="DO120" s="236"/>
      <c r="DP120" s="236"/>
      <c r="DQ120" s="236"/>
      <c r="DR120" s="236"/>
      <c r="DS120" s="236"/>
      <c r="DT120" s="236"/>
      <c r="DU120" s="236"/>
      <c r="DV120" s="236"/>
      <c r="DW120" s="236"/>
      <c r="DX120" s="236"/>
      <c r="DY120" s="236"/>
      <c r="DZ120" s="236"/>
      <c r="EA120" s="236"/>
      <c r="EB120" s="236"/>
      <c r="EC120" s="236"/>
      <c r="ED120" s="236"/>
      <c r="EE120" s="236"/>
      <c r="EF120" s="236"/>
      <c r="EG120" s="236"/>
      <c r="EH120" s="236"/>
      <c r="EI120" s="236"/>
      <c r="EJ120" s="236"/>
      <c r="EK120" s="236"/>
      <c r="EL120" s="236"/>
      <c r="EM120" s="236"/>
      <c r="EN120" s="236"/>
      <c r="EO120" s="236"/>
      <c r="EP120" s="236"/>
      <c r="EQ120" s="236"/>
      <c r="ER120" s="236"/>
      <c r="ES120" s="236"/>
      <c r="ET120" s="236"/>
      <c r="EU120" s="236"/>
      <c r="EV120" s="236"/>
      <c r="EW120" s="236"/>
      <c r="EX120" s="236"/>
      <c r="EY120" s="236"/>
      <c r="EZ120" s="236"/>
      <c r="FA120" s="236"/>
      <c r="FB120" s="236"/>
      <c r="FC120" s="236"/>
      <c r="FD120" s="236"/>
      <c r="FE120" s="236"/>
      <c r="FF120" s="236"/>
      <c r="FG120" s="236"/>
      <c r="FH120" s="236"/>
      <c r="FI120" s="236"/>
      <c r="FJ120" s="236"/>
      <c r="FK120" s="236"/>
      <c r="FL120" s="236"/>
      <c r="FM120" s="236"/>
      <c r="FN120" s="236"/>
      <c r="FO120" s="236"/>
      <c r="FP120" s="236"/>
      <c r="FQ120" s="236"/>
      <c r="FR120" s="236"/>
      <c r="FS120" s="236"/>
      <c r="FT120" s="236"/>
      <c r="FU120" s="236"/>
      <c r="FV120" s="236"/>
      <c r="FW120" s="236"/>
      <c r="FX120" s="236"/>
      <c r="FY120" s="236"/>
      <c r="FZ120" s="236"/>
      <c r="GA120" s="236"/>
      <c r="GB120" s="236"/>
      <c r="GC120" s="236"/>
      <c r="GD120" s="236"/>
      <c r="GE120" s="236"/>
      <c r="GF120" s="236"/>
      <c r="GG120" s="236"/>
      <c r="GH120" s="236"/>
      <c r="GI120" s="236"/>
      <c r="GJ120" s="236"/>
      <c r="GK120" s="236"/>
      <c r="GL120" s="236"/>
      <c r="GM120" s="236"/>
      <c r="GN120" s="236"/>
      <c r="GO120" s="236"/>
      <c r="GP120" s="236"/>
      <c r="GQ120" s="236"/>
      <c r="GR120" s="236"/>
      <c r="GS120" s="236"/>
      <c r="GT120" s="236"/>
      <c r="GU120" s="236"/>
      <c r="GV120" s="236"/>
      <c r="GW120" s="236"/>
      <c r="GX120" s="236"/>
      <c r="GY120" s="236"/>
      <c r="GZ120" s="236"/>
      <c r="HA120" s="236"/>
      <c r="HB120" s="236"/>
      <c r="HC120" s="236"/>
      <c r="HD120" s="236"/>
      <c r="HE120" s="236"/>
      <c r="HF120" s="236"/>
      <c r="HG120" s="236"/>
      <c r="HH120" s="236"/>
      <c r="HI120" s="236"/>
      <c r="HJ120" s="236"/>
      <c r="HK120" s="236"/>
      <c r="HL120" s="236"/>
      <c r="HM120" s="236"/>
      <c r="HN120" s="236"/>
      <c r="HO120" s="236"/>
      <c r="HP120" s="236"/>
      <c r="HQ120" s="236"/>
      <c r="HR120" s="236"/>
      <c r="HS120" s="236"/>
      <c r="HT120" s="236"/>
      <c r="HU120" s="236"/>
      <c r="HV120" s="236"/>
      <c r="HW120" s="236"/>
      <c r="HX120" s="236"/>
      <c r="HY120" s="236"/>
      <c r="HZ120" s="236"/>
      <c r="IA120" s="236"/>
      <c r="IB120" s="236"/>
      <c r="IC120" s="236"/>
      <c r="ID120" s="236"/>
      <c r="IE120" s="236"/>
      <c r="IF120" s="236"/>
      <c r="IG120" s="236"/>
      <c r="IH120" s="236"/>
      <c r="II120" s="236"/>
      <c r="IJ120" s="236"/>
      <c r="IK120" s="236"/>
      <c r="IL120" s="236"/>
      <c r="IM120" s="236"/>
      <c r="IN120" s="236"/>
      <c r="IO120" s="236"/>
      <c r="IP120" s="236"/>
      <c r="IQ120" s="236"/>
      <c r="IR120" s="236"/>
      <c r="IS120" s="236"/>
      <c r="IT120" s="236"/>
      <c r="IU120" s="236"/>
      <c r="IV120" s="236"/>
      <c r="IW120" s="236"/>
      <c r="IX120" s="236"/>
      <c r="IY120" s="236"/>
      <c r="IZ120" s="236"/>
      <c r="JA120" s="236"/>
      <c r="JB120" s="236"/>
      <c r="JC120" s="236"/>
      <c r="JD120" s="236"/>
      <c r="JE120" s="236"/>
      <c r="JF120" s="236"/>
      <c r="JG120" s="236"/>
      <c r="JH120" s="236"/>
      <c r="JI120" s="236"/>
      <c r="JJ120" s="236"/>
      <c r="JK120" s="236"/>
      <c r="JL120" s="236"/>
      <c r="JM120" s="236"/>
      <c r="JN120" s="236"/>
      <c r="JO120" s="236"/>
      <c r="JP120" s="236"/>
      <c r="JQ120" s="236"/>
      <c r="JR120" s="236"/>
      <c r="JS120" s="236"/>
      <c r="JT120" s="236"/>
      <c r="JU120" s="236"/>
      <c r="JV120" s="236"/>
      <c r="JW120" s="236"/>
      <c r="JX120" s="409"/>
      <c r="JY120" s="409"/>
      <c r="JZ120" s="409"/>
      <c r="KA120" s="409"/>
      <c r="KB120" s="409"/>
      <c r="KC120" s="409"/>
      <c r="KD120" s="409"/>
      <c r="KE120" s="409"/>
      <c r="KF120" s="409"/>
      <c r="KG120" s="410"/>
    </row>
    <row r="121" spans="3:293" ht="24" customHeight="1">
      <c r="C121"/>
      <c r="D121" s="57" t="str">
        <f ca="1">INDIRECT(ADDRESS(ROWS($D$3:D120)+6,D$3,1,1,"3_TIME SUM"))</f>
        <v>Tree Pressure Testing</v>
      </c>
      <c r="E121" s="81" t="str">
        <f ca="1">IF(INDIRECT(ADDRESS(ROWS($E$3:E120)+6,E$3,1,1,"3_TIME SUM"))=0,E120,INDIRECT(ADDRESS(ROWS($E$3:E120)+6,E$3,1,1,"3_TIME SUM")))</f>
        <v>X-Mastree</v>
      </c>
      <c r="F121" s="57" t="str">
        <f t="shared" ca="1" si="24"/>
        <v>X-Mastree : Tree Pressure Testing</v>
      </c>
      <c r="G121" s="58" t="str">
        <f ca="1">VLOOKUP($D121,INDIRECT(ADDRESS(7,5,1,1,"3_TIME SUM")):INDIRECT(ADDRESS(200,7,1,1,"3_TIME SUM")),2,FALSE)</f>
        <v>30b</v>
      </c>
      <c r="H121" s="58" t="str">
        <f ca="1">IF(VLOOKUP($D121,INDIRECT(ADDRESS(7,5,1,1,"3_TIME SUM")):INDIRECT(ADDRESS(200,7,1,1,"3_TIME SUM")),3,FALSE)="","PT",VLOOKUP($D121,INDIRECT(ADDRESS(7,5,1,1,"3_TIME SUM")):INDIRECT(ADDRESS(200,7,1,1,"3_TIME SUM")),3,FALSE))</f>
        <v>NPT</v>
      </c>
      <c r="I121" s="59">
        <f ca="1">IFERROR(IF(AND($D$2="NON PRODUCTIVE TIME",$H121="NPT"),SUMIF(INDIRECT(ADDRESS(8,COLUMN('2_DATA'!$M$9),1,1,"2_DATA")):INDIRECT(ADDRESS(3000,COLUMN('2_DATA'!$M$9),1,1,"2_DATA")),$G121,INDIRECT(ADDRESS(8,COLUMN('2_DATA'!$N$9),1,1,"2_DATA")):INDIRECT(ADDRESS(3000,COLUMN('2_DATA'!$N$9),1,1,"2_DATA"))),IF($D$2="ALL ACTIVITY",SUMIF(INDIRECT(ADDRESS(9,COLUMN('2_DATA'!$M$9),1,1,"2_DATA")):INDIRECT(ADDRESS(3000,COLUMN('2_DATA'!$M$9),1,1,"2_DATA")),$G121,INDIRECT(ADDRESS(9,COLUMN('2_DATA'!$N$9),1,1,"2_DATA")):INDIRECT(ADDRESS(3000,COLUMN('2_DATA'!$N$9),1,1,"2_DATA"))),SUMIF(INDIRECT(ADDRESS(OFFSET($A$3,MATCH($D$2,$A$4:$A$16,0)-1,1,,)+1,COLUMN('2_DATA'!$M$9),1,1,"2_DATA")):INDIRECT(ADDRESS(VLOOKUP($D$2,$A$4:$B$16,2,FALSE)-1,COLUMN('2_DATA'!$M$9),1,1,"2_DATA")),$G121,INDIRECT(ADDRESS(OFFSET($A$3,MATCH($D$2,$A$4:$A$16,0)-1,1,,)+1,COLUMN('2_DATA'!$N$9),1,1,"2_DATA")):INDIRECT(ADDRESS(VLOOKUP($D$2,$A$4:$B$16,2,FALSE)-1,COLUMN('2_DATA'!$N$9),1,1,"2_DATA"))))),0)</f>
        <v>0</v>
      </c>
      <c r="J121" s="58" t="str">
        <f ca="1">IF(I121=0,"",MAX($J$3:J120)+1)</f>
        <v/>
      </c>
      <c r="L121" s="55">
        <f t="shared" ca="1" si="21"/>
        <v>1000</v>
      </c>
      <c r="M121" s="55" t="str">
        <f t="shared" ca="1" si="25"/>
        <v/>
      </c>
      <c r="N121" s="55"/>
      <c r="O121" s="55" t="str">
        <f t="shared" ca="1" si="29"/>
        <v/>
      </c>
      <c r="P121" s="55">
        <f t="shared" ca="1" si="22"/>
        <v>0</v>
      </c>
      <c r="Q121" s="55" t="str">
        <f ca="1">IFERROR(INDEX($O$4:$P$226,MATCH(ROWS($Q$3:Q120),$P$4:$P$226,0),1),"-")</f>
        <v>-</v>
      </c>
      <c r="R121" s="62" t="str">
        <f t="shared" ca="1" si="23"/>
        <v/>
      </c>
      <c r="S121" s="55" t="str">
        <f t="shared" ca="1" si="26"/>
        <v/>
      </c>
      <c r="T121" s="67" t="str">
        <f t="shared" ca="1" si="38"/>
        <v>-</v>
      </c>
      <c r="V121" s="68" t="str">
        <f t="shared" ca="1" si="30"/>
        <v/>
      </c>
      <c r="W121" s="69" t="str">
        <f t="shared" ca="1" si="31"/>
        <v/>
      </c>
      <c r="X121" s="70" t="s">
        <v>84</v>
      </c>
      <c r="Y121" s="68" t="str">
        <f t="shared" ca="1" si="35"/>
        <v/>
      </c>
      <c r="Z121" s="71" t="str">
        <f t="shared" ca="1" si="32"/>
        <v/>
      </c>
      <c r="AA121" s="72" t="str">
        <f t="shared" ca="1" si="33"/>
        <v/>
      </c>
      <c r="AB121" s="305" t="str">
        <f t="shared" ca="1" si="34"/>
        <v/>
      </c>
      <c r="AC121" s="236"/>
      <c r="AD121" s="236"/>
      <c r="AE121" s="236"/>
      <c r="AF121" s="236"/>
      <c r="AG121" s="236"/>
      <c r="AH121" s="236"/>
      <c r="AI121" s="236"/>
      <c r="AJ121" s="236"/>
      <c r="AK121" s="236"/>
      <c r="AL121" s="236"/>
      <c r="AM121" s="236"/>
      <c r="AN121" s="236"/>
      <c r="AO121" s="236"/>
      <c r="AP121" s="236"/>
      <c r="AQ121" s="236"/>
      <c r="AR121" s="236"/>
      <c r="AS121" s="236"/>
      <c r="AT121" s="236"/>
      <c r="AU121" s="236"/>
      <c r="AV121" s="236"/>
      <c r="AW121" s="236"/>
      <c r="AX121" s="236"/>
      <c r="AY121" s="236"/>
      <c r="AZ121" s="236"/>
      <c r="BA121" s="236"/>
      <c r="BB121" s="236"/>
      <c r="BC121" s="236"/>
      <c r="BD121" s="236"/>
      <c r="BE121" s="236"/>
      <c r="BF121" s="236"/>
      <c r="BG121" s="236"/>
      <c r="BH121" s="236"/>
      <c r="BI121" s="236"/>
      <c r="BJ121" s="236"/>
      <c r="BK121" s="236"/>
      <c r="BL121" s="236"/>
      <c r="BM121" s="236"/>
      <c r="BN121" s="236"/>
      <c r="BO121" s="236"/>
      <c r="BP121" s="236"/>
      <c r="BQ121" s="236"/>
      <c r="BR121" s="236"/>
      <c r="BS121" s="236"/>
      <c r="BT121" s="236"/>
      <c r="BU121" s="236"/>
      <c r="BV121" s="236"/>
      <c r="BW121" s="236"/>
      <c r="BX121" s="236"/>
      <c r="BY121" s="236"/>
      <c r="BZ121" s="236"/>
      <c r="CA121" s="236"/>
      <c r="CB121" s="236"/>
      <c r="CC121" s="236"/>
      <c r="CD121" s="236"/>
      <c r="CE121" s="236"/>
      <c r="CF121" s="236"/>
      <c r="CG121" s="236"/>
      <c r="CH121" s="236"/>
      <c r="CI121" s="236"/>
      <c r="CJ121" s="236"/>
      <c r="CK121" s="236"/>
      <c r="CL121" s="236"/>
      <c r="CM121" s="236"/>
      <c r="CN121" s="236"/>
      <c r="CO121" s="236"/>
      <c r="CP121" s="236"/>
      <c r="CQ121" s="236"/>
      <c r="CR121" s="236"/>
      <c r="CS121" s="236"/>
      <c r="CT121" s="236"/>
      <c r="CU121" s="236"/>
      <c r="CV121" s="236"/>
      <c r="CW121" s="236"/>
      <c r="CX121" s="236"/>
      <c r="CY121" s="236"/>
      <c r="CZ121" s="236"/>
      <c r="DA121" s="236"/>
      <c r="DB121" s="236"/>
      <c r="DC121" s="236"/>
      <c r="DD121" s="236"/>
      <c r="DE121" s="236"/>
      <c r="DF121" s="236"/>
      <c r="DG121" s="236"/>
      <c r="DH121" s="236"/>
      <c r="DI121" s="236"/>
      <c r="DJ121" s="236"/>
      <c r="DK121" s="236"/>
      <c r="DL121" s="236"/>
      <c r="DM121" s="236"/>
      <c r="DN121" s="236"/>
      <c r="DO121" s="236"/>
      <c r="DP121" s="236"/>
      <c r="DQ121" s="236"/>
      <c r="DR121" s="236"/>
      <c r="DS121" s="236"/>
      <c r="DT121" s="236"/>
      <c r="DU121" s="236"/>
      <c r="DV121" s="236"/>
      <c r="DW121" s="236"/>
      <c r="DX121" s="236"/>
      <c r="DY121" s="236"/>
      <c r="DZ121" s="236"/>
      <c r="EA121" s="236"/>
      <c r="EB121" s="236"/>
      <c r="EC121" s="236"/>
      <c r="ED121" s="236"/>
      <c r="EE121" s="236"/>
      <c r="EF121" s="236"/>
      <c r="EG121" s="236"/>
      <c r="EH121" s="236"/>
      <c r="EI121" s="236"/>
      <c r="EJ121" s="236"/>
      <c r="EK121" s="236"/>
      <c r="EL121" s="236"/>
      <c r="EM121" s="236"/>
      <c r="EN121" s="236"/>
      <c r="EO121" s="236"/>
      <c r="EP121" s="236"/>
      <c r="EQ121" s="236"/>
      <c r="ER121" s="236"/>
      <c r="ES121" s="236"/>
      <c r="ET121" s="236"/>
      <c r="EU121" s="236"/>
      <c r="EV121" s="236"/>
      <c r="EW121" s="236"/>
      <c r="EX121" s="236"/>
      <c r="EY121" s="236"/>
      <c r="EZ121" s="236"/>
      <c r="FA121" s="236"/>
      <c r="FB121" s="236"/>
      <c r="FC121" s="236"/>
      <c r="FD121" s="236"/>
      <c r="FE121" s="236"/>
      <c r="FF121" s="236"/>
      <c r="FG121" s="236"/>
      <c r="FH121" s="236"/>
      <c r="FI121" s="236"/>
      <c r="FJ121" s="236"/>
      <c r="FK121" s="236"/>
      <c r="FL121" s="236"/>
      <c r="FM121" s="236"/>
      <c r="FN121" s="236"/>
      <c r="FO121" s="236"/>
      <c r="FP121" s="236"/>
      <c r="FQ121" s="236"/>
      <c r="FR121" s="236"/>
      <c r="FS121" s="236"/>
      <c r="FT121" s="236"/>
      <c r="FU121" s="236"/>
      <c r="FV121" s="236"/>
      <c r="FW121" s="236"/>
      <c r="FX121" s="236"/>
      <c r="FY121" s="236"/>
      <c r="FZ121" s="236"/>
      <c r="GA121" s="236"/>
      <c r="GB121" s="236"/>
      <c r="GC121" s="236"/>
      <c r="GD121" s="236"/>
      <c r="GE121" s="236"/>
      <c r="GF121" s="236"/>
      <c r="GG121" s="236"/>
      <c r="GH121" s="236"/>
      <c r="GI121" s="236"/>
      <c r="GJ121" s="236"/>
      <c r="GK121" s="236"/>
      <c r="GL121" s="236"/>
      <c r="GM121" s="236"/>
      <c r="GN121" s="236"/>
      <c r="GO121" s="236"/>
      <c r="GP121" s="236"/>
      <c r="GQ121" s="236"/>
      <c r="GR121" s="236"/>
      <c r="GS121" s="236"/>
      <c r="GT121" s="236"/>
      <c r="GU121" s="236"/>
      <c r="GV121" s="236"/>
      <c r="GW121" s="236"/>
      <c r="GX121" s="236"/>
      <c r="GY121" s="236"/>
      <c r="GZ121" s="236"/>
      <c r="HA121" s="236"/>
      <c r="HB121" s="236"/>
      <c r="HC121" s="236"/>
      <c r="HD121" s="236"/>
      <c r="HE121" s="236"/>
      <c r="HF121" s="236"/>
      <c r="HG121" s="236"/>
      <c r="HH121" s="236"/>
      <c r="HI121" s="236"/>
      <c r="HJ121" s="236"/>
      <c r="HK121" s="236"/>
      <c r="HL121" s="236"/>
      <c r="HM121" s="236"/>
      <c r="HN121" s="236"/>
      <c r="HO121" s="236"/>
      <c r="HP121" s="236"/>
      <c r="HQ121" s="236"/>
      <c r="HR121" s="236"/>
      <c r="HS121" s="236"/>
      <c r="HT121" s="236"/>
      <c r="HU121" s="236"/>
      <c r="HV121" s="236"/>
      <c r="HW121" s="236"/>
      <c r="HX121" s="236"/>
      <c r="HY121" s="236"/>
      <c r="HZ121" s="236"/>
      <c r="IA121" s="236"/>
      <c r="IB121" s="236"/>
      <c r="IC121" s="236"/>
      <c r="ID121" s="236"/>
      <c r="IE121" s="236"/>
      <c r="IF121" s="236"/>
      <c r="IG121" s="236"/>
      <c r="IH121" s="236"/>
      <c r="II121" s="236"/>
      <c r="IJ121" s="236"/>
      <c r="IK121" s="236"/>
      <c r="IL121" s="236"/>
      <c r="IM121" s="236"/>
      <c r="IN121" s="236"/>
      <c r="IO121" s="236"/>
      <c r="IP121" s="236"/>
      <c r="IQ121" s="236"/>
      <c r="IR121" s="236"/>
      <c r="IS121" s="236"/>
      <c r="IT121" s="236"/>
      <c r="IU121" s="236"/>
      <c r="IV121" s="236"/>
      <c r="IW121" s="236"/>
      <c r="IX121" s="236"/>
      <c r="IY121" s="236"/>
      <c r="IZ121" s="236"/>
      <c r="JA121" s="236"/>
      <c r="JB121" s="236"/>
      <c r="JC121" s="236"/>
      <c r="JD121" s="236"/>
      <c r="JE121" s="236"/>
      <c r="JF121" s="236"/>
      <c r="JG121" s="236"/>
      <c r="JH121" s="236"/>
      <c r="JI121" s="236"/>
      <c r="JJ121" s="236"/>
      <c r="JK121" s="236"/>
      <c r="JL121" s="236"/>
      <c r="JM121" s="236"/>
      <c r="JN121" s="236"/>
      <c r="JO121" s="236"/>
      <c r="JP121" s="236"/>
      <c r="JQ121" s="236"/>
      <c r="JR121" s="236"/>
      <c r="JS121" s="236"/>
      <c r="JT121" s="236"/>
      <c r="JU121" s="236"/>
      <c r="JV121" s="236"/>
      <c r="JW121" s="236"/>
      <c r="JX121" s="409"/>
      <c r="JY121" s="409"/>
      <c r="JZ121" s="409"/>
      <c r="KA121" s="409"/>
      <c r="KB121" s="409"/>
      <c r="KC121" s="409"/>
      <c r="KD121" s="409"/>
      <c r="KE121" s="409"/>
      <c r="KF121" s="409"/>
      <c r="KG121" s="410"/>
    </row>
    <row r="122" spans="3:293" ht="24" customHeight="1">
      <c r="C122"/>
      <c r="D122" s="57">
        <f ca="1">INDIRECT(ADDRESS(ROWS($D$3:D121)+6,D$3,1,1,"3_TIME SUM"))</f>
        <v>0</v>
      </c>
      <c r="E122" s="81" t="str">
        <f ca="1">IF(INDIRECT(ADDRESS(ROWS($E$3:E121)+6,E$3,1,1,"3_TIME SUM"))=0,E121,INDIRECT(ADDRESS(ROWS($E$3:E121)+6,E$3,1,1,"3_TIME SUM")))</f>
        <v>X-Mastree</v>
      </c>
      <c r="F122" s="57" t="str">
        <f t="shared" ca="1" si="24"/>
        <v>X-Mastree : 0</v>
      </c>
      <c r="G122" s="58" t="e">
        <f ca="1">VLOOKUP($D122,INDIRECT(ADDRESS(7,5,1,1,"3_TIME SUM")):INDIRECT(ADDRESS(200,7,1,1,"3_TIME SUM")),2,FALSE)</f>
        <v>#N/A</v>
      </c>
      <c r="H122" s="58" t="e">
        <f ca="1">IF(VLOOKUP($D122,INDIRECT(ADDRESS(7,5,1,1,"3_TIME SUM")):INDIRECT(ADDRESS(200,7,1,1,"3_TIME SUM")),3,FALSE)="","PT",VLOOKUP($D122,INDIRECT(ADDRESS(7,5,1,1,"3_TIME SUM")):INDIRECT(ADDRESS(200,7,1,1,"3_TIME SUM")),3,FALSE))</f>
        <v>#N/A</v>
      </c>
      <c r="I122" s="59">
        <f ca="1">IFERROR(IF(AND($D$2="NON PRODUCTIVE TIME",$H122="NPT"),SUMIF(INDIRECT(ADDRESS(8,COLUMN('2_DATA'!$M$9),1,1,"2_DATA")):INDIRECT(ADDRESS(3000,COLUMN('2_DATA'!$M$9),1,1,"2_DATA")),$G122,INDIRECT(ADDRESS(8,COLUMN('2_DATA'!$N$9),1,1,"2_DATA")):INDIRECT(ADDRESS(3000,COLUMN('2_DATA'!$N$9),1,1,"2_DATA"))),IF($D$2="ALL ACTIVITY",SUMIF(INDIRECT(ADDRESS(9,COLUMN('2_DATA'!$M$9),1,1,"2_DATA")):INDIRECT(ADDRESS(3000,COLUMN('2_DATA'!$M$9),1,1,"2_DATA")),$G122,INDIRECT(ADDRESS(9,COLUMN('2_DATA'!$N$9),1,1,"2_DATA")):INDIRECT(ADDRESS(3000,COLUMN('2_DATA'!$N$9),1,1,"2_DATA"))),SUMIF(INDIRECT(ADDRESS(OFFSET($A$3,MATCH($D$2,$A$4:$A$16,0)-1,1,,)+1,COLUMN('2_DATA'!$M$9),1,1,"2_DATA")):INDIRECT(ADDRESS(VLOOKUP($D$2,$A$4:$B$16,2,FALSE)-1,COLUMN('2_DATA'!$M$9),1,1,"2_DATA")),$G122,INDIRECT(ADDRESS(OFFSET($A$3,MATCH($D$2,$A$4:$A$16,0)-1,1,,)+1,COLUMN('2_DATA'!$N$9),1,1,"2_DATA")):INDIRECT(ADDRESS(VLOOKUP($D$2,$A$4:$B$16,2,FALSE)-1,COLUMN('2_DATA'!$N$9),1,1,"2_DATA"))))),0)</f>
        <v>0</v>
      </c>
      <c r="J122" s="58" t="str">
        <f ca="1">IF(I122=0,"",MAX($J$3:J121)+1)</f>
        <v/>
      </c>
      <c r="L122" s="55" t="str">
        <f t="shared" ca="1" si="21"/>
        <v/>
      </c>
      <c r="M122" s="55" t="str">
        <f t="shared" ca="1" si="25"/>
        <v/>
      </c>
      <c r="N122" s="55"/>
      <c r="O122" s="55">
        <f t="shared" ca="1" si="29"/>
        <v>1027</v>
      </c>
      <c r="P122" s="55">
        <f t="shared" ca="1" si="22"/>
        <v>28</v>
      </c>
      <c r="Q122" s="55" t="str">
        <f ca="1">IFERROR(INDEX($O$4:$P$226,MATCH(ROWS($Q$3:Q121),$P$4:$P$226,0),1),"-")</f>
        <v>-</v>
      </c>
      <c r="R122" s="62" t="str">
        <f t="shared" ca="1" si="23"/>
        <v/>
      </c>
      <c r="S122" s="55" t="str">
        <f t="shared" ca="1" si="26"/>
        <v/>
      </c>
      <c r="T122" s="67" t="str">
        <f t="shared" ca="1" si="38"/>
        <v>-</v>
      </c>
      <c r="V122" s="68" t="str">
        <f t="shared" ca="1" si="30"/>
        <v/>
      </c>
      <c r="W122" s="69" t="str">
        <f t="shared" ca="1" si="31"/>
        <v/>
      </c>
      <c r="X122" s="70" t="s">
        <v>84</v>
      </c>
      <c r="Y122" s="68" t="str">
        <f t="shared" ca="1" si="35"/>
        <v/>
      </c>
      <c r="Z122" s="71" t="str">
        <f t="shared" ca="1" si="32"/>
        <v/>
      </c>
      <c r="AA122" s="72" t="str">
        <f t="shared" ca="1" si="33"/>
        <v/>
      </c>
      <c r="AB122" s="305" t="str">
        <f t="shared" ca="1" si="34"/>
        <v/>
      </c>
      <c r="AC122" s="236"/>
      <c r="AD122" s="236"/>
      <c r="AE122" s="236"/>
      <c r="AF122" s="236"/>
      <c r="AG122" s="236"/>
      <c r="AH122" s="236"/>
      <c r="AI122" s="236"/>
      <c r="AJ122" s="236"/>
      <c r="AK122" s="236"/>
      <c r="AL122" s="236"/>
      <c r="AM122" s="236"/>
      <c r="AN122" s="236"/>
      <c r="AO122" s="236"/>
      <c r="AP122" s="236"/>
      <c r="AQ122" s="236"/>
      <c r="AR122" s="236"/>
      <c r="AS122" s="236"/>
      <c r="AT122" s="236"/>
      <c r="AU122" s="236"/>
      <c r="AV122" s="236"/>
      <c r="AW122" s="236"/>
      <c r="AX122" s="236"/>
      <c r="AY122" s="236"/>
      <c r="AZ122" s="236"/>
      <c r="BA122" s="236"/>
      <c r="BB122" s="236"/>
      <c r="BC122" s="236"/>
      <c r="BD122" s="236"/>
      <c r="BE122" s="236"/>
      <c r="BF122" s="236"/>
      <c r="BG122" s="236"/>
      <c r="BH122" s="236"/>
      <c r="BI122" s="236"/>
      <c r="BJ122" s="236"/>
      <c r="BK122" s="236"/>
      <c r="BL122" s="236"/>
      <c r="BM122" s="236"/>
      <c r="BN122" s="236"/>
      <c r="BO122" s="236"/>
      <c r="BP122" s="236"/>
      <c r="BQ122" s="236"/>
      <c r="BR122" s="236"/>
      <c r="BS122" s="236"/>
      <c r="BT122" s="236"/>
      <c r="BU122" s="236"/>
      <c r="BV122" s="236"/>
      <c r="BW122" s="236"/>
      <c r="BX122" s="236"/>
      <c r="BY122" s="236"/>
      <c r="BZ122" s="236"/>
      <c r="CA122" s="236"/>
      <c r="CB122" s="236"/>
      <c r="CC122" s="236"/>
      <c r="CD122" s="236"/>
      <c r="CE122" s="236"/>
      <c r="CF122" s="236"/>
      <c r="CG122" s="236"/>
      <c r="CH122" s="236"/>
      <c r="CI122" s="236"/>
      <c r="CJ122" s="236"/>
      <c r="CK122" s="236"/>
      <c r="CL122" s="236"/>
      <c r="CM122" s="236"/>
      <c r="CN122" s="236"/>
      <c r="CO122" s="236"/>
      <c r="CP122" s="236"/>
      <c r="CQ122" s="236"/>
      <c r="CR122" s="236"/>
      <c r="CS122" s="236"/>
      <c r="CT122" s="236"/>
      <c r="CU122" s="236"/>
      <c r="CV122" s="236"/>
      <c r="CW122" s="236"/>
      <c r="CX122" s="236"/>
      <c r="CY122" s="236"/>
      <c r="CZ122" s="236"/>
      <c r="DA122" s="236"/>
      <c r="DB122" s="236"/>
      <c r="DC122" s="236"/>
      <c r="DD122" s="236"/>
      <c r="DE122" s="236"/>
      <c r="DF122" s="236"/>
      <c r="DG122" s="236"/>
      <c r="DH122" s="236"/>
      <c r="DI122" s="236"/>
      <c r="DJ122" s="236"/>
      <c r="DK122" s="236"/>
      <c r="DL122" s="236"/>
      <c r="DM122" s="236"/>
      <c r="DN122" s="236"/>
      <c r="DO122" s="236"/>
      <c r="DP122" s="236"/>
      <c r="DQ122" s="236"/>
      <c r="DR122" s="236"/>
      <c r="DS122" s="236"/>
      <c r="DT122" s="236"/>
      <c r="DU122" s="236"/>
      <c r="DV122" s="236"/>
      <c r="DW122" s="236"/>
      <c r="DX122" s="236"/>
      <c r="DY122" s="236"/>
      <c r="DZ122" s="236"/>
      <c r="EA122" s="236"/>
      <c r="EB122" s="236"/>
      <c r="EC122" s="236"/>
      <c r="ED122" s="236"/>
      <c r="EE122" s="236"/>
      <c r="EF122" s="236"/>
      <c r="EG122" s="236"/>
      <c r="EH122" s="236"/>
      <c r="EI122" s="236"/>
      <c r="EJ122" s="236"/>
      <c r="EK122" s="236"/>
      <c r="EL122" s="236"/>
      <c r="EM122" s="236"/>
      <c r="EN122" s="236"/>
      <c r="EO122" s="236"/>
      <c r="EP122" s="236"/>
      <c r="EQ122" s="236"/>
      <c r="ER122" s="236"/>
      <c r="ES122" s="236"/>
      <c r="ET122" s="236"/>
      <c r="EU122" s="236"/>
      <c r="EV122" s="236"/>
      <c r="EW122" s="236"/>
      <c r="EX122" s="236"/>
      <c r="EY122" s="236"/>
      <c r="EZ122" s="236"/>
      <c r="FA122" s="236"/>
      <c r="FB122" s="236"/>
      <c r="FC122" s="236"/>
      <c r="FD122" s="236"/>
      <c r="FE122" s="236"/>
      <c r="FF122" s="236"/>
      <c r="FG122" s="236"/>
      <c r="FH122" s="236"/>
      <c r="FI122" s="236"/>
      <c r="FJ122" s="236"/>
      <c r="FK122" s="236"/>
      <c r="FL122" s="236"/>
      <c r="FM122" s="236"/>
      <c r="FN122" s="236"/>
      <c r="FO122" s="236"/>
      <c r="FP122" s="236"/>
      <c r="FQ122" s="236"/>
      <c r="FR122" s="236"/>
      <c r="FS122" s="236"/>
      <c r="FT122" s="236"/>
      <c r="FU122" s="236"/>
      <c r="FV122" s="236"/>
      <c r="FW122" s="236"/>
      <c r="FX122" s="236"/>
      <c r="FY122" s="236"/>
      <c r="FZ122" s="236"/>
      <c r="GA122" s="236"/>
      <c r="GB122" s="236"/>
      <c r="GC122" s="236"/>
      <c r="GD122" s="236"/>
      <c r="GE122" s="236"/>
      <c r="GF122" s="236"/>
      <c r="GG122" s="236"/>
      <c r="GH122" s="236"/>
      <c r="GI122" s="236"/>
      <c r="GJ122" s="236"/>
      <c r="GK122" s="236"/>
      <c r="GL122" s="236"/>
      <c r="GM122" s="236"/>
      <c r="GN122" s="236"/>
      <c r="GO122" s="236"/>
      <c r="GP122" s="236"/>
      <c r="GQ122" s="236"/>
      <c r="GR122" s="236"/>
      <c r="GS122" s="236"/>
      <c r="GT122" s="236"/>
      <c r="GU122" s="236"/>
      <c r="GV122" s="236"/>
      <c r="GW122" s="236"/>
      <c r="GX122" s="236"/>
      <c r="GY122" s="236"/>
      <c r="GZ122" s="236"/>
      <c r="HA122" s="236"/>
      <c r="HB122" s="236"/>
      <c r="HC122" s="236"/>
      <c r="HD122" s="236"/>
      <c r="HE122" s="236"/>
      <c r="HF122" s="236"/>
      <c r="HG122" s="236"/>
      <c r="HH122" s="236"/>
      <c r="HI122" s="236"/>
      <c r="HJ122" s="236"/>
      <c r="HK122" s="236"/>
      <c r="HL122" s="236"/>
      <c r="HM122" s="236"/>
      <c r="HN122" s="236"/>
      <c r="HO122" s="236"/>
      <c r="HP122" s="236"/>
      <c r="HQ122" s="236"/>
      <c r="HR122" s="236"/>
      <c r="HS122" s="236"/>
      <c r="HT122" s="236"/>
      <c r="HU122" s="236"/>
      <c r="HV122" s="236"/>
      <c r="HW122" s="236"/>
      <c r="HX122" s="236"/>
      <c r="HY122" s="236"/>
      <c r="HZ122" s="236"/>
      <c r="IA122" s="236"/>
      <c r="IB122" s="236"/>
      <c r="IC122" s="236"/>
      <c r="ID122" s="236"/>
      <c r="IE122" s="236"/>
      <c r="IF122" s="236"/>
      <c r="IG122" s="236"/>
      <c r="IH122" s="236"/>
      <c r="II122" s="236"/>
      <c r="IJ122" s="236"/>
      <c r="IK122" s="236"/>
      <c r="IL122" s="236"/>
      <c r="IM122" s="236"/>
      <c r="IN122" s="236"/>
      <c r="IO122" s="236"/>
      <c r="IP122" s="236"/>
      <c r="IQ122" s="236"/>
      <c r="IR122" s="236"/>
      <c r="IS122" s="236"/>
      <c r="IT122" s="236"/>
      <c r="IU122" s="236"/>
      <c r="IV122" s="236"/>
      <c r="IW122" s="236"/>
      <c r="IX122" s="236"/>
      <c r="IY122" s="236"/>
      <c r="IZ122" s="236"/>
      <c r="JA122" s="236"/>
      <c r="JB122" s="236"/>
      <c r="JC122" s="236"/>
      <c r="JD122" s="236"/>
      <c r="JE122" s="236"/>
      <c r="JF122" s="236"/>
      <c r="JG122" s="236"/>
      <c r="JH122" s="236"/>
      <c r="JI122" s="236"/>
      <c r="JJ122" s="236"/>
      <c r="JK122" s="236"/>
      <c r="JL122" s="236"/>
      <c r="JM122" s="236"/>
      <c r="JN122" s="236"/>
      <c r="JO122" s="236"/>
      <c r="JP122" s="236"/>
      <c r="JQ122" s="236"/>
      <c r="JR122" s="236"/>
      <c r="JS122" s="236"/>
      <c r="JT122" s="236"/>
      <c r="JU122" s="236"/>
      <c r="JV122" s="236"/>
      <c r="JW122" s="236"/>
      <c r="JX122" s="409"/>
      <c r="JY122" s="409"/>
      <c r="JZ122" s="409"/>
      <c r="KA122" s="409"/>
      <c r="KB122" s="409"/>
      <c r="KC122" s="409"/>
      <c r="KD122" s="409"/>
      <c r="KE122" s="409"/>
      <c r="KF122" s="409"/>
      <c r="KG122" s="410"/>
    </row>
    <row r="123" spans="3:293" ht="24" customHeight="1">
      <c r="C123"/>
      <c r="D123" s="57">
        <f ca="1">INDIRECT(ADDRESS(ROWS($D$3:D122)+6,D$3,1,1,"3_TIME SUM"))</f>
        <v>0</v>
      </c>
      <c r="E123" s="81" t="str">
        <f ca="1">IF(INDIRECT(ADDRESS(ROWS($E$3:E122)+6,E$3,1,1,"3_TIME SUM"))=0,E122,INDIRECT(ADDRESS(ROWS($E$3:E122)+6,E$3,1,1,"3_TIME SUM")))</f>
        <v>X-Mastree</v>
      </c>
      <c r="F123" s="57" t="str">
        <f t="shared" ca="1" si="24"/>
        <v>X-Mastree : 0</v>
      </c>
      <c r="G123" s="58" t="e">
        <f ca="1">VLOOKUP($D123,INDIRECT(ADDRESS(7,5,1,1,"3_TIME SUM")):INDIRECT(ADDRESS(200,7,1,1,"3_TIME SUM")),2,FALSE)</f>
        <v>#N/A</v>
      </c>
      <c r="H123" s="58" t="e">
        <f ca="1">IF(VLOOKUP($D123,INDIRECT(ADDRESS(7,5,1,1,"3_TIME SUM")):INDIRECT(ADDRESS(200,7,1,1,"3_TIME SUM")),3,FALSE)="","PT",VLOOKUP($D123,INDIRECT(ADDRESS(7,5,1,1,"3_TIME SUM")):INDIRECT(ADDRESS(200,7,1,1,"3_TIME SUM")),3,FALSE))</f>
        <v>#N/A</v>
      </c>
      <c r="I123" s="59">
        <f ca="1">IFERROR(IF(AND($D$2="NON PRODUCTIVE TIME",$H123="NPT"),SUMIF(INDIRECT(ADDRESS(8,COLUMN('2_DATA'!$M$9),1,1,"2_DATA")):INDIRECT(ADDRESS(3000,COLUMN('2_DATA'!$M$9),1,1,"2_DATA")),$G123,INDIRECT(ADDRESS(8,COLUMN('2_DATA'!$N$9),1,1,"2_DATA")):INDIRECT(ADDRESS(3000,COLUMN('2_DATA'!$N$9),1,1,"2_DATA"))),IF($D$2="ALL ACTIVITY",SUMIF(INDIRECT(ADDRESS(9,COLUMN('2_DATA'!$M$9),1,1,"2_DATA")):INDIRECT(ADDRESS(3000,COLUMN('2_DATA'!$M$9),1,1,"2_DATA")),$G123,INDIRECT(ADDRESS(9,COLUMN('2_DATA'!$N$9),1,1,"2_DATA")):INDIRECT(ADDRESS(3000,COLUMN('2_DATA'!$N$9),1,1,"2_DATA"))),SUMIF(INDIRECT(ADDRESS(OFFSET($A$3,MATCH($D$2,$A$4:$A$16,0)-1,1,,)+1,COLUMN('2_DATA'!$M$9),1,1,"2_DATA")):INDIRECT(ADDRESS(VLOOKUP($D$2,$A$4:$B$16,2,FALSE)-1,COLUMN('2_DATA'!$M$9),1,1,"2_DATA")),$G123,INDIRECT(ADDRESS(OFFSET($A$3,MATCH($D$2,$A$4:$A$16,0)-1,1,,)+1,COLUMN('2_DATA'!$N$9),1,1,"2_DATA")):INDIRECT(ADDRESS(VLOOKUP($D$2,$A$4:$B$16,2,FALSE)-1,COLUMN('2_DATA'!$N$9),1,1,"2_DATA"))))),0)</f>
        <v>0</v>
      </c>
      <c r="J123" s="58" t="str">
        <f ca="1">IF(I123=0,"",MAX($J$3:J122)+1)</f>
        <v/>
      </c>
      <c r="L123" s="55" t="str">
        <f t="shared" ca="1" si="21"/>
        <v/>
      </c>
      <c r="M123" s="55" t="str">
        <f t="shared" ca="1" si="25"/>
        <v/>
      </c>
      <c r="N123" s="55"/>
      <c r="O123" s="55" t="str">
        <f t="shared" ca="1" si="29"/>
        <v/>
      </c>
      <c r="P123" s="55">
        <f t="shared" ca="1" si="22"/>
        <v>0</v>
      </c>
      <c r="Q123" s="55" t="str">
        <f ca="1">IFERROR(INDEX($O$4:$P$226,MATCH(ROWS($Q$3:Q122),$P$4:$P$226,0),1),"-")</f>
        <v>-</v>
      </c>
      <c r="R123" s="62" t="str">
        <f t="shared" ca="1" si="23"/>
        <v/>
      </c>
      <c r="S123" s="55" t="str">
        <f t="shared" ca="1" si="26"/>
        <v/>
      </c>
      <c r="T123" s="67" t="str">
        <f t="shared" ca="1" si="38"/>
        <v>-</v>
      </c>
      <c r="V123" s="68" t="str">
        <f t="shared" ca="1" si="30"/>
        <v/>
      </c>
      <c r="W123" s="69" t="str">
        <f t="shared" ca="1" si="31"/>
        <v/>
      </c>
      <c r="X123" s="70" t="s">
        <v>84</v>
      </c>
      <c r="Y123" s="68" t="str">
        <f t="shared" ca="1" si="35"/>
        <v/>
      </c>
      <c r="Z123" s="71" t="str">
        <f t="shared" ca="1" si="32"/>
        <v/>
      </c>
      <c r="AA123" s="72" t="str">
        <f t="shared" ca="1" si="33"/>
        <v/>
      </c>
      <c r="AB123" s="72" t="str">
        <f t="shared" ca="1" si="34"/>
        <v/>
      </c>
      <c r="AC123" s="236"/>
      <c r="AD123" s="236"/>
      <c r="AE123" s="236"/>
      <c r="AF123" s="236"/>
      <c r="AG123" s="236"/>
      <c r="AH123" s="236"/>
      <c r="AI123" s="236"/>
      <c r="AJ123" s="236"/>
      <c r="AK123" s="236"/>
      <c r="AL123" s="236"/>
      <c r="AM123" s="236"/>
      <c r="AN123" s="236"/>
      <c r="AO123" s="236"/>
      <c r="AP123" s="236"/>
      <c r="AQ123" s="236"/>
      <c r="AR123" s="236"/>
      <c r="AS123" s="236"/>
      <c r="AT123" s="236"/>
      <c r="AU123" s="236"/>
      <c r="AV123" s="236"/>
      <c r="AW123" s="236"/>
      <c r="AX123" s="236"/>
      <c r="AY123" s="236"/>
      <c r="AZ123" s="236"/>
      <c r="BA123" s="236"/>
      <c r="BB123" s="236"/>
      <c r="BC123" s="236"/>
      <c r="BD123" s="236"/>
      <c r="BE123" s="236"/>
      <c r="BF123" s="236"/>
      <c r="BG123" s="236"/>
      <c r="BH123" s="236"/>
      <c r="BI123" s="236"/>
      <c r="BJ123" s="236"/>
      <c r="BK123" s="236"/>
      <c r="BL123" s="236"/>
      <c r="BM123" s="236"/>
      <c r="BN123" s="236"/>
      <c r="BO123" s="236"/>
      <c r="BP123" s="236"/>
      <c r="BQ123" s="236"/>
      <c r="BR123" s="236"/>
      <c r="BS123" s="236"/>
      <c r="BT123" s="236"/>
      <c r="BU123" s="236"/>
      <c r="BV123" s="236"/>
      <c r="BW123" s="236"/>
      <c r="BX123" s="236"/>
      <c r="BY123" s="236"/>
      <c r="BZ123" s="236"/>
      <c r="CA123" s="236"/>
      <c r="CB123" s="236"/>
      <c r="CC123" s="236"/>
      <c r="CD123" s="236"/>
      <c r="CE123" s="236"/>
      <c r="CF123" s="236"/>
      <c r="CG123" s="236"/>
      <c r="CH123" s="236"/>
      <c r="CI123" s="236"/>
      <c r="CJ123" s="236"/>
      <c r="CK123" s="236"/>
      <c r="CL123" s="236"/>
      <c r="CM123" s="236"/>
      <c r="CN123" s="236"/>
      <c r="CO123" s="236"/>
      <c r="CP123" s="236"/>
      <c r="CQ123" s="236"/>
      <c r="CR123" s="236"/>
      <c r="CS123" s="236"/>
      <c r="CT123" s="236"/>
      <c r="CU123" s="236"/>
      <c r="CV123" s="236"/>
      <c r="CW123" s="236"/>
      <c r="CX123" s="236"/>
      <c r="CY123" s="236"/>
      <c r="CZ123" s="236"/>
      <c r="DA123" s="236"/>
      <c r="DB123" s="236"/>
      <c r="DC123" s="236"/>
      <c r="DD123" s="236"/>
      <c r="DE123" s="236"/>
      <c r="DF123" s="236"/>
      <c r="DG123" s="236"/>
      <c r="DH123" s="236"/>
      <c r="DI123" s="236"/>
      <c r="DJ123" s="236"/>
      <c r="DK123" s="236"/>
      <c r="DL123" s="236"/>
      <c r="DM123" s="236"/>
      <c r="DN123" s="236"/>
      <c r="DO123" s="236"/>
      <c r="DP123" s="236"/>
      <c r="DQ123" s="236"/>
      <c r="DR123" s="236"/>
      <c r="DS123" s="236"/>
      <c r="DT123" s="236"/>
      <c r="DU123" s="236"/>
      <c r="DV123" s="236"/>
      <c r="DW123" s="236"/>
      <c r="DX123" s="236"/>
      <c r="DY123" s="236"/>
      <c r="DZ123" s="236"/>
      <c r="EA123" s="236"/>
      <c r="EB123" s="236"/>
      <c r="EC123" s="236"/>
      <c r="ED123" s="236"/>
      <c r="EE123" s="236"/>
      <c r="EF123" s="236"/>
      <c r="EG123" s="236"/>
      <c r="EH123" s="236"/>
      <c r="EI123" s="236"/>
      <c r="EJ123" s="236"/>
      <c r="EK123" s="236"/>
      <c r="EL123" s="236"/>
      <c r="EM123" s="236"/>
      <c r="EN123" s="236"/>
      <c r="EO123" s="236"/>
      <c r="EP123" s="236"/>
      <c r="EQ123" s="236"/>
      <c r="ER123" s="236"/>
      <c r="ES123" s="236"/>
      <c r="ET123" s="236"/>
      <c r="EU123" s="236"/>
      <c r="EV123" s="236"/>
      <c r="EW123" s="236"/>
      <c r="EX123" s="236"/>
      <c r="EY123" s="236"/>
      <c r="EZ123" s="236"/>
      <c r="FA123" s="236"/>
      <c r="FB123" s="236"/>
      <c r="FC123" s="236"/>
      <c r="FD123" s="236"/>
      <c r="FE123" s="236"/>
      <c r="FF123" s="236"/>
      <c r="FG123" s="236"/>
      <c r="FH123" s="236"/>
      <c r="FI123" s="236"/>
      <c r="FJ123" s="236"/>
      <c r="FK123" s="236"/>
      <c r="FL123" s="236"/>
      <c r="FM123" s="236"/>
      <c r="FN123" s="236"/>
      <c r="FO123" s="236"/>
      <c r="FP123" s="236"/>
      <c r="FQ123" s="236"/>
      <c r="FR123" s="236"/>
      <c r="FS123" s="236"/>
      <c r="FT123" s="236"/>
      <c r="FU123" s="236"/>
      <c r="FV123" s="236"/>
      <c r="FW123" s="236"/>
      <c r="FX123" s="236"/>
      <c r="FY123" s="236"/>
      <c r="FZ123" s="236"/>
      <c r="GA123" s="236"/>
      <c r="GB123" s="236"/>
      <c r="GC123" s="236"/>
      <c r="GD123" s="236"/>
      <c r="GE123" s="236"/>
      <c r="GF123" s="236"/>
      <c r="GG123" s="236"/>
      <c r="GH123" s="236"/>
      <c r="GI123" s="236"/>
      <c r="GJ123" s="236"/>
      <c r="GK123" s="236"/>
      <c r="GL123" s="236"/>
      <c r="GM123" s="236"/>
      <c r="GN123" s="236"/>
      <c r="GO123" s="236"/>
      <c r="GP123" s="236"/>
      <c r="GQ123" s="236"/>
      <c r="GR123" s="236"/>
      <c r="GS123" s="236"/>
      <c r="GT123" s="236"/>
      <c r="GU123" s="236"/>
      <c r="GV123" s="236"/>
      <c r="GW123" s="236"/>
      <c r="GX123" s="236"/>
      <c r="GY123" s="236"/>
      <c r="GZ123" s="236"/>
      <c r="HA123" s="236"/>
      <c r="HB123" s="236"/>
      <c r="HC123" s="236"/>
      <c r="HD123" s="236"/>
      <c r="HE123" s="236"/>
      <c r="HF123" s="236"/>
      <c r="HG123" s="236"/>
      <c r="HH123" s="236"/>
      <c r="HI123" s="236"/>
      <c r="HJ123" s="236"/>
      <c r="HK123" s="236"/>
      <c r="HL123" s="236"/>
      <c r="HM123" s="236"/>
      <c r="HN123" s="236"/>
      <c r="HO123" s="236"/>
      <c r="HP123" s="236"/>
      <c r="HQ123" s="236"/>
      <c r="HR123" s="236"/>
      <c r="HS123" s="236"/>
      <c r="HT123" s="236"/>
      <c r="HU123" s="236"/>
      <c r="HV123" s="236"/>
      <c r="HW123" s="236"/>
      <c r="HX123" s="236"/>
      <c r="HY123" s="236"/>
      <c r="HZ123" s="236"/>
      <c r="IA123" s="236"/>
      <c r="IB123" s="236"/>
      <c r="IC123" s="236"/>
      <c r="ID123" s="236"/>
      <c r="IE123" s="236"/>
      <c r="IF123" s="236"/>
      <c r="IG123" s="236"/>
      <c r="IH123" s="236"/>
      <c r="II123" s="236"/>
      <c r="IJ123" s="236"/>
      <c r="IK123" s="236"/>
      <c r="IL123" s="236"/>
      <c r="IM123" s="236"/>
      <c r="IN123" s="236"/>
      <c r="IO123" s="236"/>
      <c r="IP123" s="236"/>
      <c r="IQ123" s="236"/>
      <c r="IR123" s="236"/>
      <c r="IS123" s="236"/>
      <c r="IT123" s="236"/>
      <c r="IU123" s="236"/>
      <c r="IV123" s="236"/>
      <c r="IW123" s="236"/>
      <c r="IX123" s="236"/>
      <c r="IY123" s="236"/>
      <c r="IZ123" s="236"/>
      <c r="JA123" s="236"/>
      <c r="JB123" s="236"/>
      <c r="JC123" s="236"/>
      <c r="JD123" s="236"/>
      <c r="JE123" s="236"/>
      <c r="JF123" s="236"/>
      <c r="JG123" s="236"/>
      <c r="JH123" s="236"/>
      <c r="JI123" s="236"/>
      <c r="JJ123" s="236"/>
      <c r="JK123" s="236"/>
      <c r="JL123" s="236"/>
      <c r="JM123" s="236"/>
      <c r="JN123" s="236"/>
      <c r="JO123" s="236"/>
      <c r="JP123" s="236"/>
      <c r="JQ123" s="236"/>
      <c r="JR123" s="236"/>
      <c r="JS123" s="236"/>
      <c r="JT123" s="236"/>
      <c r="JU123" s="236"/>
      <c r="JV123" s="236"/>
      <c r="JW123" s="236"/>
      <c r="JX123" s="409"/>
      <c r="JY123" s="409"/>
      <c r="JZ123" s="409"/>
      <c r="KA123" s="409"/>
      <c r="KB123" s="409"/>
      <c r="KC123" s="409"/>
      <c r="KD123" s="409"/>
      <c r="KE123" s="409"/>
      <c r="KF123" s="409"/>
      <c r="KG123" s="410"/>
    </row>
    <row r="124" spans="3:293" ht="24" customHeight="1">
      <c r="C124"/>
      <c r="D124" s="57">
        <f ca="1">INDIRECT(ADDRESS(ROWS($D$3:D123)+6,D$3,1,1,"3_TIME SUM"))</f>
        <v>0</v>
      </c>
      <c r="E124" s="81" t="str">
        <f ca="1">IF(INDIRECT(ADDRESS(ROWS($E$3:E123)+6,E$3,1,1,"3_TIME SUM"))=0,E123,INDIRECT(ADDRESS(ROWS($E$3:E123)+6,E$3,1,1,"3_TIME SUM")))</f>
        <v>X-Mastree</v>
      </c>
      <c r="F124" s="57" t="str">
        <f t="shared" ca="1" si="24"/>
        <v>X-Mastree : 0</v>
      </c>
      <c r="G124" s="58" t="e">
        <f ca="1">VLOOKUP($D124,INDIRECT(ADDRESS(7,5,1,1,"3_TIME SUM")):INDIRECT(ADDRESS(200,7,1,1,"3_TIME SUM")),2,FALSE)</f>
        <v>#N/A</v>
      </c>
      <c r="H124" s="58" t="e">
        <f ca="1">IF(VLOOKUP($D124,INDIRECT(ADDRESS(7,5,1,1,"3_TIME SUM")):INDIRECT(ADDRESS(200,7,1,1,"3_TIME SUM")),3,FALSE)="","PT",VLOOKUP($D124,INDIRECT(ADDRESS(7,5,1,1,"3_TIME SUM")):INDIRECT(ADDRESS(200,7,1,1,"3_TIME SUM")),3,FALSE))</f>
        <v>#N/A</v>
      </c>
      <c r="I124" s="59">
        <f ca="1">IFERROR(IF(AND($D$2="NON PRODUCTIVE TIME",$H124="NPT"),SUMIF(INDIRECT(ADDRESS(8,COLUMN('2_DATA'!$M$9),1,1,"2_DATA")):INDIRECT(ADDRESS(3000,COLUMN('2_DATA'!$M$9),1,1,"2_DATA")),$G124,INDIRECT(ADDRESS(8,COLUMN('2_DATA'!$N$9),1,1,"2_DATA")):INDIRECT(ADDRESS(3000,COLUMN('2_DATA'!$N$9),1,1,"2_DATA"))),IF($D$2="ALL ACTIVITY",SUMIF(INDIRECT(ADDRESS(9,COLUMN('2_DATA'!$M$9),1,1,"2_DATA")):INDIRECT(ADDRESS(3000,COLUMN('2_DATA'!$M$9),1,1,"2_DATA")),$G124,INDIRECT(ADDRESS(9,COLUMN('2_DATA'!$N$9),1,1,"2_DATA")):INDIRECT(ADDRESS(3000,COLUMN('2_DATA'!$N$9),1,1,"2_DATA"))),SUMIF(INDIRECT(ADDRESS(OFFSET($A$3,MATCH($D$2,$A$4:$A$16,0)-1,1,,)+1,COLUMN('2_DATA'!$M$9),1,1,"2_DATA")):INDIRECT(ADDRESS(VLOOKUP($D$2,$A$4:$B$16,2,FALSE)-1,COLUMN('2_DATA'!$M$9),1,1,"2_DATA")),$G124,INDIRECT(ADDRESS(OFFSET($A$3,MATCH($D$2,$A$4:$A$16,0)-1,1,,)+1,COLUMN('2_DATA'!$N$9),1,1,"2_DATA")):INDIRECT(ADDRESS(VLOOKUP($D$2,$A$4:$B$16,2,FALSE)-1,COLUMN('2_DATA'!$N$9),1,1,"2_DATA"))))),0)</f>
        <v>0</v>
      </c>
      <c r="J124" s="58" t="str">
        <f ca="1">IF(I124=0,"",MAX($J$3:J123)+1)</f>
        <v/>
      </c>
      <c r="L124" s="55" t="str">
        <f t="shared" ca="1" si="21"/>
        <v/>
      </c>
      <c r="M124" s="55" t="str">
        <f t="shared" ca="1" si="25"/>
        <v/>
      </c>
      <c r="N124" s="55"/>
      <c r="O124" s="55" t="str">
        <f t="shared" ca="1" si="29"/>
        <v/>
      </c>
      <c r="P124" s="55">
        <f t="shared" ca="1" si="22"/>
        <v>0</v>
      </c>
      <c r="Q124" s="55" t="str">
        <f ca="1">IFERROR(INDEX($O$4:$P$226,MATCH(ROWS($Q$3:Q123),$P$4:$P$226,0),1),"-")</f>
        <v>-</v>
      </c>
      <c r="R124" s="62" t="str">
        <f t="shared" ca="1" si="23"/>
        <v/>
      </c>
      <c r="S124" s="55" t="str">
        <f t="shared" ca="1" si="26"/>
        <v/>
      </c>
      <c r="T124" s="67" t="str">
        <f t="shared" ca="1" si="38"/>
        <v>-</v>
      </c>
      <c r="V124" s="68" t="str">
        <f t="shared" ca="1" si="30"/>
        <v/>
      </c>
      <c r="W124" s="69" t="str">
        <f t="shared" ca="1" si="31"/>
        <v/>
      </c>
      <c r="X124" s="70" t="s">
        <v>84</v>
      </c>
      <c r="Y124" s="68" t="str">
        <f t="shared" ca="1" si="35"/>
        <v/>
      </c>
      <c r="Z124" s="71" t="str">
        <f t="shared" ca="1" si="32"/>
        <v/>
      </c>
      <c r="AA124" s="72" t="str">
        <f t="shared" ca="1" si="33"/>
        <v/>
      </c>
      <c r="AB124" s="72" t="str">
        <f t="shared" ca="1" si="34"/>
        <v/>
      </c>
      <c r="AC124" s="236"/>
      <c r="AD124" s="236"/>
      <c r="AE124" s="236"/>
      <c r="AF124" s="236"/>
      <c r="AG124" s="236"/>
      <c r="AH124" s="236"/>
      <c r="AI124" s="236"/>
      <c r="AJ124" s="236"/>
      <c r="AK124" s="236"/>
      <c r="AL124" s="236"/>
      <c r="AM124" s="236"/>
      <c r="AN124" s="236"/>
      <c r="AO124" s="236"/>
      <c r="AP124" s="236"/>
      <c r="AQ124" s="236"/>
      <c r="AR124" s="236"/>
      <c r="AS124" s="236"/>
      <c r="AT124" s="236"/>
      <c r="AU124" s="236"/>
      <c r="AV124" s="236"/>
      <c r="AW124" s="236"/>
      <c r="AX124" s="236"/>
      <c r="AY124" s="236"/>
      <c r="AZ124" s="236"/>
      <c r="BA124" s="236"/>
      <c r="BB124" s="236"/>
      <c r="BC124" s="236"/>
      <c r="BD124" s="236"/>
      <c r="BE124" s="236"/>
      <c r="BF124" s="236"/>
      <c r="BG124" s="236"/>
      <c r="BH124" s="236"/>
      <c r="BI124" s="236"/>
      <c r="BJ124" s="236"/>
      <c r="BK124" s="236"/>
      <c r="BL124" s="236"/>
      <c r="BM124" s="236"/>
      <c r="BN124" s="236"/>
      <c r="BO124" s="236"/>
      <c r="BP124" s="236"/>
      <c r="BQ124" s="236"/>
      <c r="BR124" s="236"/>
      <c r="BS124" s="236"/>
      <c r="BT124" s="236"/>
      <c r="BU124" s="236"/>
      <c r="BV124" s="236"/>
      <c r="BW124" s="236"/>
      <c r="BX124" s="236"/>
      <c r="BY124" s="236"/>
      <c r="BZ124" s="236"/>
      <c r="CA124" s="236"/>
      <c r="CB124" s="236"/>
      <c r="CC124" s="236"/>
      <c r="CD124" s="236"/>
      <c r="CE124" s="236"/>
      <c r="CF124" s="236"/>
      <c r="CG124" s="236"/>
      <c r="CH124" s="236"/>
      <c r="CI124" s="236"/>
      <c r="CJ124" s="236"/>
      <c r="CK124" s="236"/>
      <c r="CL124" s="236"/>
      <c r="CM124" s="236"/>
      <c r="CN124" s="236"/>
      <c r="CO124" s="236"/>
      <c r="CP124" s="236"/>
      <c r="CQ124" s="236"/>
      <c r="CR124" s="236"/>
      <c r="CS124" s="236"/>
      <c r="CT124" s="236"/>
      <c r="CU124" s="236"/>
      <c r="CV124" s="236"/>
      <c r="CW124" s="236"/>
      <c r="CX124" s="236"/>
      <c r="CY124" s="236"/>
      <c r="CZ124" s="236"/>
      <c r="DA124" s="236"/>
      <c r="DB124" s="236"/>
      <c r="DC124" s="236"/>
      <c r="DD124" s="236"/>
      <c r="DE124" s="236"/>
      <c r="DF124" s="236"/>
      <c r="DG124" s="236"/>
      <c r="DH124" s="236"/>
      <c r="DI124" s="236"/>
      <c r="DJ124" s="236"/>
      <c r="DK124" s="236"/>
      <c r="DL124" s="236"/>
      <c r="DM124" s="236"/>
      <c r="DN124" s="236"/>
      <c r="DO124" s="236"/>
      <c r="DP124" s="236"/>
      <c r="DQ124" s="236"/>
      <c r="DR124" s="236"/>
      <c r="DS124" s="236"/>
      <c r="DT124" s="236"/>
      <c r="DU124" s="236"/>
      <c r="DV124" s="236"/>
      <c r="DW124" s="236"/>
      <c r="DX124" s="236"/>
      <c r="DY124" s="236"/>
      <c r="DZ124" s="236"/>
      <c r="EA124" s="236"/>
      <c r="EB124" s="236"/>
      <c r="EC124" s="236"/>
      <c r="ED124" s="236"/>
      <c r="EE124" s="236"/>
      <c r="EF124" s="236"/>
      <c r="EG124" s="236"/>
      <c r="EH124" s="236"/>
      <c r="EI124" s="236"/>
      <c r="EJ124" s="236"/>
      <c r="EK124" s="236"/>
      <c r="EL124" s="236"/>
      <c r="EM124" s="236"/>
      <c r="EN124" s="236"/>
      <c r="EO124" s="236"/>
      <c r="EP124" s="236"/>
      <c r="EQ124" s="236"/>
      <c r="ER124" s="236"/>
      <c r="ES124" s="236"/>
      <c r="ET124" s="236"/>
      <c r="EU124" s="236"/>
      <c r="EV124" s="236"/>
      <c r="EW124" s="236"/>
      <c r="EX124" s="236"/>
      <c r="EY124" s="236"/>
      <c r="EZ124" s="236"/>
      <c r="FA124" s="236"/>
      <c r="FB124" s="236"/>
      <c r="FC124" s="236"/>
      <c r="FD124" s="236"/>
      <c r="FE124" s="236"/>
      <c r="FF124" s="236"/>
      <c r="FG124" s="236"/>
      <c r="FH124" s="236"/>
      <c r="FI124" s="236"/>
      <c r="FJ124" s="236"/>
      <c r="FK124" s="236"/>
      <c r="FL124" s="236"/>
      <c r="FM124" s="236"/>
      <c r="FN124" s="236"/>
      <c r="FO124" s="236"/>
      <c r="FP124" s="236"/>
      <c r="FQ124" s="236"/>
      <c r="FR124" s="236"/>
      <c r="FS124" s="236"/>
      <c r="FT124" s="236"/>
      <c r="FU124" s="236"/>
      <c r="FV124" s="236"/>
      <c r="FW124" s="236"/>
      <c r="FX124" s="236"/>
      <c r="FY124" s="236"/>
      <c r="FZ124" s="236"/>
      <c r="GA124" s="236"/>
      <c r="GB124" s="236"/>
      <c r="GC124" s="236"/>
      <c r="GD124" s="236"/>
      <c r="GE124" s="236"/>
      <c r="GF124" s="236"/>
      <c r="GG124" s="236"/>
      <c r="GH124" s="236"/>
      <c r="GI124" s="236"/>
      <c r="GJ124" s="236"/>
      <c r="GK124" s="236"/>
      <c r="GL124" s="236"/>
      <c r="GM124" s="236"/>
      <c r="GN124" s="236"/>
      <c r="GO124" s="236"/>
      <c r="GP124" s="236"/>
      <c r="GQ124" s="236"/>
      <c r="GR124" s="236"/>
      <c r="GS124" s="236"/>
      <c r="GT124" s="236"/>
      <c r="GU124" s="236"/>
      <c r="GV124" s="236"/>
      <c r="GW124" s="236"/>
      <c r="GX124" s="236"/>
      <c r="GY124" s="236"/>
      <c r="GZ124" s="236"/>
      <c r="HA124" s="236"/>
      <c r="HB124" s="236"/>
      <c r="HC124" s="236"/>
      <c r="HD124" s="236"/>
      <c r="HE124" s="236"/>
      <c r="HF124" s="236"/>
      <c r="HG124" s="236"/>
      <c r="HH124" s="236"/>
      <c r="HI124" s="236"/>
      <c r="HJ124" s="236"/>
      <c r="HK124" s="236"/>
      <c r="HL124" s="236"/>
      <c r="HM124" s="236"/>
      <c r="HN124" s="236"/>
      <c r="HO124" s="236"/>
      <c r="HP124" s="236"/>
      <c r="HQ124" s="236"/>
      <c r="HR124" s="236"/>
      <c r="HS124" s="236"/>
      <c r="HT124" s="236"/>
      <c r="HU124" s="236"/>
      <c r="HV124" s="236"/>
      <c r="HW124" s="236"/>
      <c r="HX124" s="236"/>
      <c r="HY124" s="236"/>
      <c r="HZ124" s="236"/>
      <c r="IA124" s="236"/>
      <c r="IB124" s="236"/>
      <c r="IC124" s="236"/>
      <c r="ID124" s="236"/>
      <c r="IE124" s="236"/>
      <c r="IF124" s="236"/>
      <c r="IG124" s="236"/>
      <c r="IH124" s="236"/>
      <c r="II124" s="236"/>
      <c r="IJ124" s="236"/>
      <c r="IK124" s="236"/>
      <c r="IL124" s="236"/>
      <c r="IM124" s="236"/>
      <c r="IN124" s="236"/>
      <c r="IO124" s="236"/>
      <c r="IP124" s="236"/>
      <c r="IQ124" s="236"/>
      <c r="IR124" s="236"/>
      <c r="IS124" s="236"/>
      <c r="IT124" s="236"/>
      <c r="IU124" s="236"/>
      <c r="IV124" s="236"/>
      <c r="IW124" s="236"/>
      <c r="IX124" s="236"/>
      <c r="IY124" s="236"/>
      <c r="IZ124" s="236"/>
      <c r="JA124" s="236"/>
      <c r="JB124" s="236"/>
      <c r="JC124" s="236"/>
      <c r="JD124" s="236"/>
      <c r="JE124" s="236"/>
      <c r="JF124" s="236"/>
      <c r="JG124" s="236"/>
      <c r="JH124" s="236"/>
      <c r="JI124" s="236"/>
      <c r="JJ124" s="236"/>
      <c r="JK124" s="236"/>
      <c r="JL124" s="236"/>
      <c r="JM124" s="236"/>
      <c r="JN124" s="236"/>
      <c r="JO124" s="236"/>
      <c r="JP124" s="236"/>
      <c r="JQ124" s="236"/>
      <c r="JR124" s="236"/>
      <c r="JS124" s="236"/>
      <c r="JT124" s="236"/>
      <c r="JU124" s="236"/>
      <c r="JV124" s="236"/>
      <c r="JW124" s="236"/>
      <c r="JX124" s="409"/>
      <c r="JY124" s="409"/>
      <c r="JZ124" s="409"/>
      <c r="KA124" s="409"/>
      <c r="KB124" s="409"/>
      <c r="KC124" s="409"/>
      <c r="KD124" s="409"/>
      <c r="KE124" s="409"/>
      <c r="KF124" s="409"/>
      <c r="KG124" s="410"/>
    </row>
    <row r="125" spans="3:293" ht="24" customHeight="1">
      <c r="C125"/>
      <c r="D125" s="57">
        <f ca="1">INDIRECT(ADDRESS(ROWS($D$3:D124)+6,D$3,1,1,"3_TIME SUM"))</f>
        <v>0</v>
      </c>
      <c r="E125" s="81" t="str">
        <f ca="1">IF(INDIRECT(ADDRESS(ROWS($E$3:E124)+6,E$3,1,1,"3_TIME SUM"))=0,E124,INDIRECT(ADDRESS(ROWS($E$3:E124)+6,E$3,1,1,"3_TIME SUM")))</f>
        <v>X-Mastree</v>
      </c>
      <c r="F125" s="57" t="str">
        <f t="shared" ca="1" si="24"/>
        <v>X-Mastree : 0</v>
      </c>
      <c r="G125" s="58" t="e">
        <f ca="1">VLOOKUP($D125,INDIRECT(ADDRESS(7,5,1,1,"3_TIME SUM")):INDIRECT(ADDRESS(200,7,1,1,"3_TIME SUM")),2,FALSE)</f>
        <v>#N/A</v>
      </c>
      <c r="H125" s="58" t="e">
        <f ca="1">IF(VLOOKUP($D125,INDIRECT(ADDRESS(7,5,1,1,"3_TIME SUM")):INDIRECT(ADDRESS(200,7,1,1,"3_TIME SUM")),3,FALSE)="","PT",VLOOKUP($D125,INDIRECT(ADDRESS(7,5,1,1,"3_TIME SUM")):INDIRECT(ADDRESS(200,7,1,1,"3_TIME SUM")),3,FALSE))</f>
        <v>#N/A</v>
      </c>
      <c r="I125" s="59">
        <f ca="1">IFERROR(IF(AND($D$2="NON PRODUCTIVE TIME",$H125="NPT"),SUMIF(INDIRECT(ADDRESS(8,COLUMN('2_DATA'!$M$9),1,1,"2_DATA")):INDIRECT(ADDRESS(3000,COLUMN('2_DATA'!$M$9),1,1,"2_DATA")),$G125,INDIRECT(ADDRESS(8,COLUMN('2_DATA'!$N$9),1,1,"2_DATA")):INDIRECT(ADDRESS(3000,COLUMN('2_DATA'!$N$9),1,1,"2_DATA"))),IF($D$2="ALL ACTIVITY",SUMIF(INDIRECT(ADDRESS(9,COLUMN('2_DATA'!$M$9),1,1,"2_DATA")):INDIRECT(ADDRESS(3000,COLUMN('2_DATA'!$M$9),1,1,"2_DATA")),$G125,INDIRECT(ADDRESS(9,COLUMN('2_DATA'!$N$9),1,1,"2_DATA")):INDIRECT(ADDRESS(3000,COLUMN('2_DATA'!$N$9),1,1,"2_DATA"))),SUMIF(INDIRECT(ADDRESS(OFFSET($A$3,MATCH($D$2,$A$4:$A$16,0)-1,1,,)+1,COLUMN('2_DATA'!$M$9),1,1,"2_DATA")):INDIRECT(ADDRESS(VLOOKUP($D$2,$A$4:$B$16,2,FALSE)-1,COLUMN('2_DATA'!$M$9),1,1,"2_DATA")),$G125,INDIRECT(ADDRESS(OFFSET($A$3,MATCH($D$2,$A$4:$A$16,0)-1,1,,)+1,COLUMN('2_DATA'!$N$9),1,1,"2_DATA")):INDIRECT(ADDRESS(VLOOKUP($D$2,$A$4:$B$16,2,FALSE)-1,COLUMN('2_DATA'!$N$9),1,1,"2_DATA"))))),0)</f>
        <v>0</v>
      </c>
      <c r="J125" s="58" t="str">
        <f ca="1">IF(I125=0,"",MAX($J$3:J124)+1)</f>
        <v/>
      </c>
      <c r="L125" s="55" t="str">
        <f t="shared" ca="1" si="21"/>
        <v/>
      </c>
      <c r="M125" s="55" t="str">
        <f t="shared" ca="1" si="25"/>
        <v/>
      </c>
      <c r="N125" s="55"/>
      <c r="O125" s="55" t="str">
        <f t="shared" ca="1" si="29"/>
        <v/>
      </c>
      <c r="P125" s="55">
        <f t="shared" ca="1" si="22"/>
        <v>0</v>
      </c>
      <c r="Q125" s="55" t="str">
        <f ca="1">IFERROR(INDEX($O$4:$P$226,MATCH(ROWS($Q$3:Q124),$P$4:$P$226,0),1),"-")</f>
        <v>-</v>
      </c>
      <c r="R125" s="62" t="str">
        <f t="shared" ca="1" si="23"/>
        <v/>
      </c>
      <c r="S125" s="55" t="str">
        <f t="shared" ca="1" si="26"/>
        <v/>
      </c>
      <c r="T125" s="67" t="str">
        <f t="shared" ca="1" si="38"/>
        <v>-</v>
      </c>
      <c r="V125" s="68" t="str">
        <f t="shared" ca="1" si="30"/>
        <v/>
      </c>
      <c r="W125" s="69" t="str">
        <f t="shared" ca="1" si="31"/>
        <v/>
      </c>
      <c r="X125" s="70" t="s">
        <v>84</v>
      </c>
      <c r="Y125" s="68" t="str">
        <f t="shared" ca="1" si="35"/>
        <v/>
      </c>
      <c r="Z125" s="71" t="str">
        <f t="shared" ca="1" si="32"/>
        <v/>
      </c>
      <c r="AA125" s="72" t="str">
        <f t="shared" ca="1" si="33"/>
        <v/>
      </c>
      <c r="AB125" s="72" t="str">
        <f t="shared" ca="1" si="34"/>
        <v/>
      </c>
      <c r="AC125" s="236"/>
      <c r="AD125" s="236"/>
      <c r="AE125" s="236"/>
      <c r="AF125" s="236"/>
      <c r="AG125" s="236"/>
      <c r="AH125" s="236"/>
      <c r="AI125" s="236"/>
      <c r="AJ125" s="236"/>
      <c r="AK125" s="236"/>
      <c r="AL125" s="236"/>
      <c r="AM125" s="236"/>
      <c r="AN125" s="236"/>
      <c r="AO125" s="236"/>
      <c r="AP125" s="236"/>
      <c r="AQ125" s="236"/>
      <c r="AR125" s="236"/>
      <c r="AS125" s="236"/>
      <c r="AT125" s="236"/>
      <c r="AU125" s="236"/>
      <c r="AV125" s="236"/>
      <c r="AW125" s="236"/>
      <c r="AX125" s="236"/>
      <c r="AY125" s="236"/>
      <c r="AZ125" s="236"/>
      <c r="BA125" s="236"/>
      <c r="BB125" s="236"/>
      <c r="BC125" s="236"/>
      <c r="BD125" s="236"/>
      <c r="BE125" s="236"/>
      <c r="BF125" s="236"/>
      <c r="BG125" s="236"/>
      <c r="BH125" s="236"/>
      <c r="BI125" s="236"/>
      <c r="BJ125" s="236"/>
      <c r="BK125" s="236"/>
      <c r="BL125" s="236"/>
      <c r="BM125" s="236"/>
      <c r="BN125" s="236"/>
      <c r="BO125" s="236"/>
      <c r="BP125" s="236"/>
      <c r="BQ125" s="236"/>
      <c r="BR125" s="236"/>
      <c r="BS125" s="236"/>
      <c r="BT125" s="236"/>
      <c r="BU125" s="236"/>
      <c r="BV125" s="236"/>
      <c r="BW125" s="236"/>
      <c r="BX125" s="236"/>
      <c r="BY125" s="236"/>
      <c r="BZ125" s="236"/>
      <c r="CA125" s="236"/>
      <c r="CB125" s="236"/>
      <c r="CC125" s="236"/>
      <c r="CD125" s="236"/>
      <c r="CE125" s="236"/>
      <c r="CF125" s="236"/>
      <c r="CG125" s="236"/>
      <c r="CH125" s="236"/>
      <c r="CI125" s="236"/>
      <c r="CJ125" s="236"/>
      <c r="CK125" s="236"/>
      <c r="CL125" s="236"/>
      <c r="CM125" s="236"/>
      <c r="CN125" s="236"/>
      <c r="CO125" s="236"/>
      <c r="CP125" s="236"/>
      <c r="CQ125" s="236"/>
      <c r="CR125" s="236"/>
      <c r="CS125" s="236"/>
      <c r="CT125" s="236"/>
      <c r="CU125" s="236"/>
      <c r="CV125" s="236"/>
      <c r="CW125" s="236"/>
      <c r="CX125" s="236"/>
      <c r="CY125" s="236"/>
      <c r="CZ125" s="236"/>
      <c r="DA125" s="236"/>
      <c r="DB125" s="236"/>
      <c r="DC125" s="236"/>
      <c r="DD125" s="236"/>
      <c r="DE125" s="236"/>
      <c r="DF125" s="236"/>
      <c r="DG125" s="236"/>
      <c r="DH125" s="236"/>
      <c r="DI125" s="236"/>
      <c r="DJ125" s="236"/>
      <c r="DK125" s="236"/>
      <c r="DL125" s="236"/>
      <c r="DM125" s="236"/>
      <c r="DN125" s="236"/>
      <c r="DO125" s="236"/>
      <c r="DP125" s="236"/>
      <c r="DQ125" s="236"/>
      <c r="DR125" s="236"/>
      <c r="DS125" s="236"/>
      <c r="DT125" s="236"/>
      <c r="DU125" s="236"/>
      <c r="DV125" s="236"/>
      <c r="DW125" s="236"/>
      <c r="DX125" s="236"/>
      <c r="DY125" s="236"/>
      <c r="DZ125" s="236"/>
      <c r="EA125" s="236"/>
      <c r="EB125" s="236"/>
      <c r="EC125" s="236"/>
      <c r="ED125" s="236"/>
      <c r="EE125" s="236"/>
      <c r="EF125" s="236"/>
      <c r="EG125" s="236"/>
      <c r="EH125" s="236"/>
      <c r="EI125" s="236"/>
      <c r="EJ125" s="236"/>
      <c r="EK125" s="236"/>
      <c r="EL125" s="236"/>
      <c r="EM125" s="236"/>
      <c r="EN125" s="236"/>
      <c r="EO125" s="236"/>
      <c r="EP125" s="236"/>
      <c r="EQ125" s="236"/>
      <c r="ER125" s="236"/>
      <c r="ES125" s="236"/>
      <c r="ET125" s="236"/>
      <c r="EU125" s="236"/>
      <c r="EV125" s="236"/>
      <c r="EW125" s="236"/>
      <c r="EX125" s="236"/>
      <c r="EY125" s="236"/>
      <c r="EZ125" s="236"/>
      <c r="FA125" s="236"/>
      <c r="FB125" s="236"/>
      <c r="FC125" s="236"/>
      <c r="FD125" s="236"/>
      <c r="FE125" s="236"/>
      <c r="FF125" s="236"/>
      <c r="FG125" s="236"/>
      <c r="FH125" s="236"/>
      <c r="FI125" s="236"/>
      <c r="FJ125" s="236"/>
      <c r="FK125" s="236"/>
      <c r="FL125" s="236"/>
      <c r="FM125" s="236"/>
      <c r="FN125" s="236"/>
      <c r="FO125" s="236"/>
      <c r="FP125" s="236"/>
      <c r="FQ125" s="236"/>
      <c r="FR125" s="236"/>
      <c r="FS125" s="236"/>
      <c r="FT125" s="236"/>
      <c r="FU125" s="236"/>
      <c r="FV125" s="236"/>
      <c r="FW125" s="236"/>
      <c r="FX125" s="236"/>
      <c r="FY125" s="236"/>
      <c r="FZ125" s="236"/>
      <c r="GA125" s="236"/>
      <c r="GB125" s="236"/>
      <c r="GC125" s="236"/>
      <c r="GD125" s="236"/>
      <c r="GE125" s="236"/>
      <c r="GF125" s="236"/>
      <c r="GG125" s="236"/>
      <c r="GH125" s="236"/>
      <c r="GI125" s="236"/>
      <c r="GJ125" s="236"/>
      <c r="GK125" s="236"/>
      <c r="GL125" s="236"/>
      <c r="GM125" s="236"/>
      <c r="GN125" s="236"/>
      <c r="GO125" s="236"/>
      <c r="GP125" s="236"/>
      <c r="GQ125" s="236"/>
      <c r="GR125" s="236"/>
      <c r="GS125" s="236"/>
      <c r="GT125" s="236"/>
      <c r="GU125" s="236"/>
      <c r="GV125" s="236"/>
      <c r="GW125" s="236"/>
      <c r="GX125" s="236"/>
      <c r="GY125" s="236"/>
      <c r="GZ125" s="236"/>
      <c r="HA125" s="236"/>
      <c r="HB125" s="236"/>
      <c r="HC125" s="236"/>
      <c r="HD125" s="236"/>
      <c r="HE125" s="236"/>
      <c r="HF125" s="236"/>
      <c r="HG125" s="236"/>
      <c r="HH125" s="236"/>
      <c r="HI125" s="236"/>
      <c r="HJ125" s="236"/>
      <c r="HK125" s="236"/>
      <c r="HL125" s="236"/>
      <c r="HM125" s="236"/>
      <c r="HN125" s="236"/>
      <c r="HO125" s="236"/>
      <c r="HP125" s="236"/>
      <c r="HQ125" s="236"/>
      <c r="HR125" s="236"/>
      <c r="HS125" s="236"/>
      <c r="HT125" s="236"/>
      <c r="HU125" s="236"/>
      <c r="HV125" s="236"/>
      <c r="HW125" s="236"/>
      <c r="HX125" s="236"/>
      <c r="HY125" s="236"/>
      <c r="HZ125" s="236"/>
      <c r="IA125" s="236"/>
      <c r="IB125" s="236"/>
      <c r="IC125" s="236"/>
      <c r="ID125" s="236"/>
      <c r="IE125" s="236"/>
      <c r="IF125" s="236"/>
      <c r="IG125" s="236"/>
      <c r="IH125" s="236"/>
      <c r="II125" s="236"/>
      <c r="IJ125" s="236"/>
      <c r="IK125" s="236"/>
      <c r="IL125" s="236"/>
      <c r="IM125" s="236"/>
      <c r="IN125" s="236"/>
      <c r="IO125" s="236"/>
      <c r="IP125" s="236"/>
      <c r="IQ125" s="236"/>
      <c r="IR125" s="236"/>
      <c r="IS125" s="236"/>
      <c r="IT125" s="236"/>
      <c r="IU125" s="236"/>
      <c r="IV125" s="236"/>
      <c r="IW125" s="236"/>
      <c r="IX125" s="236"/>
      <c r="IY125" s="236"/>
      <c r="IZ125" s="236"/>
      <c r="JA125" s="236"/>
      <c r="JB125" s="236"/>
      <c r="JC125" s="236"/>
      <c r="JD125" s="236"/>
      <c r="JE125" s="236"/>
      <c r="JF125" s="236"/>
      <c r="JG125" s="236"/>
      <c r="JH125" s="236"/>
      <c r="JI125" s="236"/>
      <c r="JJ125" s="236"/>
      <c r="JK125" s="236"/>
      <c r="JL125" s="236"/>
      <c r="JM125" s="236"/>
      <c r="JN125" s="236"/>
      <c r="JO125" s="236"/>
      <c r="JP125" s="236"/>
      <c r="JQ125" s="236"/>
      <c r="JR125" s="236"/>
      <c r="JS125" s="236"/>
      <c r="JT125" s="236"/>
      <c r="JU125" s="236"/>
      <c r="JV125" s="236"/>
      <c r="JW125" s="236"/>
      <c r="JX125" s="409"/>
      <c r="JY125" s="409"/>
      <c r="JZ125" s="409"/>
      <c r="KA125" s="409"/>
      <c r="KB125" s="409"/>
      <c r="KC125" s="409"/>
      <c r="KD125" s="409"/>
      <c r="KE125" s="409"/>
      <c r="KF125" s="409"/>
      <c r="KG125" s="410"/>
    </row>
    <row r="126" spans="3:293" ht="24" customHeight="1">
      <c r="C126"/>
      <c r="D126" s="57">
        <f ca="1">INDIRECT(ADDRESS(ROWS($D$3:D125)+6,D$3,1,1,"3_TIME SUM"))</f>
        <v>0</v>
      </c>
      <c r="E126" s="81" t="str">
        <f ca="1">IF(INDIRECT(ADDRESS(ROWS($E$3:E125)+6,E$3,1,1,"3_TIME SUM"))=0,E125,INDIRECT(ADDRESS(ROWS($E$3:E125)+6,E$3,1,1,"3_TIME SUM")))</f>
        <v>X-Mastree</v>
      </c>
      <c r="F126" s="57" t="str">
        <f t="shared" ca="1" si="24"/>
        <v>X-Mastree : 0</v>
      </c>
      <c r="G126" s="58" t="e">
        <f ca="1">VLOOKUP($D126,INDIRECT(ADDRESS(7,5,1,1,"3_TIME SUM")):INDIRECT(ADDRESS(200,7,1,1,"3_TIME SUM")),2,FALSE)</f>
        <v>#N/A</v>
      </c>
      <c r="H126" s="58" t="e">
        <f ca="1">IF(VLOOKUP($D126,INDIRECT(ADDRESS(7,5,1,1,"3_TIME SUM")):INDIRECT(ADDRESS(200,7,1,1,"3_TIME SUM")),3,FALSE)="","PT",VLOOKUP($D126,INDIRECT(ADDRESS(7,5,1,1,"3_TIME SUM")):INDIRECT(ADDRESS(200,7,1,1,"3_TIME SUM")),3,FALSE))</f>
        <v>#N/A</v>
      </c>
      <c r="I126" s="59">
        <f ca="1">IFERROR(IF(AND($D$2="NON PRODUCTIVE TIME",$H126="NPT"),SUMIF(INDIRECT(ADDRESS(8,COLUMN('2_DATA'!$M$9),1,1,"2_DATA")):INDIRECT(ADDRESS(3000,COLUMN('2_DATA'!$M$9),1,1,"2_DATA")),$G126,INDIRECT(ADDRESS(8,COLUMN('2_DATA'!$N$9),1,1,"2_DATA")):INDIRECT(ADDRESS(3000,COLUMN('2_DATA'!$N$9),1,1,"2_DATA"))),IF($D$2="ALL ACTIVITY",SUMIF(INDIRECT(ADDRESS(9,COLUMN('2_DATA'!$M$9),1,1,"2_DATA")):INDIRECT(ADDRESS(3000,COLUMN('2_DATA'!$M$9),1,1,"2_DATA")),$G126,INDIRECT(ADDRESS(9,COLUMN('2_DATA'!$N$9),1,1,"2_DATA")):INDIRECT(ADDRESS(3000,COLUMN('2_DATA'!$N$9),1,1,"2_DATA"))),SUMIF(INDIRECT(ADDRESS(OFFSET($A$3,MATCH($D$2,$A$4:$A$16,0)-1,1,,)+1,COLUMN('2_DATA'!$M$9),1,1,"2_DATA")):INDIRECT(ADDRESS(VLOOKUP($D$2,$A$4:$B$16,2,FALSE)-1,COLUMN('2_DATA'!$M$9),1,1,"2_DATA")),$G126,INDIRECT(ADDRESS(OFFSET($A$3,MATCH($D$2,$A$4:$A$16,0)-1,1,,)+1,COLUMN('2_DATA'!$N$9),1,1,"2_DATA")):INDIRECT(ADDRESS(VLOOKUP($D$2,$A$4:$B$16,2,FALSE)-1,COLUMN('2_DATA'!$N$9),1,1,"2_DATA"))))),0)</f>
        <v>0</v>
      </c>
      <c r="J126" s="58" t="str">
        <f ca="1">IF(I126=0,"",MAX($J$3:J125)+1)</f>
        <v/>
      </c>
      <c r="L126" s="55" t="str">
        <f t="shared" ca="1" si="21"/>
        <v/>
      </c>
      <c r="M126" s="55" t="str">
        <f t="shared" ca="1" si="25"/>
        <v/>
      </c>
      <c r="N126" s="55"/>
      <c r="O126" s="55" t="str">
        <f t="shared" ca="1" si="29"/>
        <v/>
      </c>
      <c r="P126" s="55">
        <f t="shared" ca="1" si="22"/>
        <v>0</v>
      </c>
      <c r="Q126" s="55" t="str">
        <f ca="1">IFERROR(INDEX($O$4:$P$226,MATCH(ROWS($Q$3:Q125),$P$4:$P$226,0),1),"-")</f>
        <v>-</v>
      </c>
      <c r="R126" s="62" t="str">
        <f t="shared" ca="1" si="23"/>
        <v/>
      </c>
      <c r="S126" s="55" t="str">
        <f t="shared" ca="1" si="26"/>
        <v/>
      </c>
      <c r="T126" s="67" t="str">
        <f t="shared" ca="1" si="38"/>
        <v>-</v>
      </c>
      <c r="V126" s="68" t="str">
        <f t="shared" ca="1" si="30"/>
        <v/>
      </c>
      <c r="W126" s="69" t="str">
        <f t="shared" ca="1" si="31"/>
        <v/>
      </c>
      <c r="X126" s="70" t="s">
        <v>84</v>
      </c>
      <c r="Y126" s="68" t="str">
        <f t="shared" ca="1" si="35"/>
        <v/>
      </c>
      <c r="Z126" s="71" t="str">
        <f t="shared" ca="1" si="32"/>
        <v/>
      </c>
      <c r="AA126" s="72" t="str">
        <f t="shared" ca="1" si="33"/>
        <v/>
      </c>
      <c r="AB126" s="72" t="str">
        <f t="shared" ca="1" si="34"/>
        <v/>
      </c>
      <c r="AC126" s="236"/>
      <c r="AD126" s="236"/>
      <c r="AE126" s="236"/>
      <c r="AF126" s="236"/>
      <c r="AG126" s="236"/>
      <c r="AH126" s="236"/>
      <c r="AI126" s="236"/>
      <c r="AJ126" s="236"/>
      <c r="AK126" s="236"/>
      <c r="AL126" s="236"/>
      <c r="AM126" s="236"/>
      <c r="AN126" s="236"/>
      <c r="AO126" s="236"/>
      <c r="AP126" s="236"/>
      <c r="AQ126" s="236"/>
      <c r="AR126" s="236"/>
      <c r="AS126" s="236"/>
      <c r="AT126" s="236"/>
      <c r="AU126" s="236"/>
      <c r="AV126" s="236"/>
      <c r="AW126" s="236"/>
      <c r="AX126" s="236"/>
      <c r="AY126" s="236"/>
      <c r="AZ126" s="236"/>
      <c r="BA126" s="236"/>
      <c r="BB126" s="236"/>
      <c r="BC126" s="236"/>
      <c r="BD126" s="236"/>
      <c r="BE126" s="236"/>
      <c r="BF126" s="236"/>
      <c r="BG126" s="236"/>
      <c r="BH126" s="236"/>
      <c r="BI126" s="236"/>
      <c r="BJ126" s="236"/>
      <c r="BK126" s="236"/>
      <c r="BL126" s="236"/>
      <c r="BM126" s="236"/>
      <c r="BN126" s="236"/>
      <c r="BO126" s="236"/>
      <c r="BP126" s="236"/>
      <c r="BQ126" s="236"/>
      <c r="BR126" s="236"/>
      <c r="BS126" s="236"/>
      <c r="BT126" s="236"/>
      <c r="BU126" s="236"/>
      <c r="BV126" s="236"/>
      <c r="BW126" s="236"/>
      <c r="BX126" s="236"/>
      <c r="BY126" s="236"/>
      <c r="BZ126" s="236"/>
      <c r="CA126" s="236"/>
      <c r="CB126" s="236"/>
      <c r="CC126" s="236"/>
      <c r="CD126" s="236"/>
      <c r="CE126" s="236"/>
      <c r="CF126" s="236"/>
      <c r="CG126" s="236"/>
      <c r="CH126" s="236"/>
      <c r="CI126" s="236"/>
      <c r="CJ126" s="236"/>
      <c r="CK126" s="236"/>
      <c r="CL126" s="236"/>
      <c r="CM126" s="236"/>
      <c r="CN126" s="236"/>
      <c r="CO126" s="236"/>
      <c r="CP126" s="236"/>
      <c r="CQ126" s="236"/>
      <c r="CR126" s="236"/>
      <c r="CS126" s="236"/>
      <c r="CT126" s="236"/>
      <c r="CU126" s="236"/>
      <c r="CV126" s="236"/>
      <c r="CW126" s="236"/>
      <c r="CX126" s="236"/>
      <c r="CY126" s="236"/>
      <c r="CZ126" s="236"/>
      <c r="DA126" s="236"/>
      <c r="DB126" s="236"/>
      <c r="DC126" s="236"/>
      <c r="DD126" s="236"/>
      <c r="DE126" s="236"/>
      <c r="DF126" s="236"/>
      <c r="DG126" s="236"/>
      <c r="DH126" s="236"/>
      <c r="DI126" s="236"/>
      <c r="DJ126" s="236"/>
      <c r="DK126" s="236"/>
      <c r="DL126" s="236"/>
      <c r="DM126" s="236"/>
      <c r="DN126" s="236"/>
      <c r="DO126" s="236"/>
      <c r="DP126" s="236"/>
      <c r="DQ126" s="236"/>
      <c r="DR126" s="236"/>
      <c r="DS126" s="236"/>
      <c r="DT126" s="236"/>
      <c r="DU126" s="236"/>
      <c r="DV126" s="236"/>
      <c r="DW126" s="236"/>
      <c r="DX126" s="236"/>
      <c r="DY126" s="236"/>
      <c r="DZ126" s="236"/>
      <c r="EA126" s="236"/>
      <c r="EB126" s="236"/>
      <c r="EC126" s="236"/>
      <c r="ED126" s="236"/>
      <c r="EE126" s="236"/>
      <c r="EF126" s="236"/>
      <c r="EG126" s="236"/>
      <c r="EH126" s="236"/>
      <c r="EI126" s="236"/>
      <c r="EJ126" s="236"/>
      <c r="EK126" s="236"/>
      <c r="EL126" s="236"/>
      <c r="EM126" s="236"/>
      <c r="EN126" s="236"/>
      <c r="EO126" s="236"/>
      <c r="EP126" s="236"/>
      <c r="EQ126" s="236"/>
      <c r="ER126" s="236"/>
      <c r="ES126" s="236"/>
      <c r="ET126" s="236"/>
      <c r="EU126" s="236"/>
      <c r="EV126" s="236"/>
      <c r="EW126" s="236"/>
      <c r="EX126" s="236"/>
      <c r="EY126" s="236"/>
      <c r="EZ126" s="236"/>
      <c r="FA126" s="236"/>
      <c r="FB126" s="236"/>
      <c r="FC126" s="236"/>
      <c r="FD126" s="236"/>
      <c r="FE126" s="236"/>
      <c r="FF126" s="236"/>
      <c r="FG126" s="236"/>
      <c r="FH126" s="236"/>
      <c r="FI126" s="236"/>
      <c r="FJ126" s="236"/>
      <c r="FK126" s="236"/>
      <c r="FL126" s="236"/>
      <c r="FM126" s="236"/>
      <c r="FN126" s="236"/>
      <c r="FO126" s="236"/>
      <c r="FP126" s="236"/>
      <c r="FQ126" s="236"/>
      <c r="FR126" s="236"/>
      <c r="FS126" s="236"/>
      <c r="FT126" s="236"/>
      <c r="FU126" s="236"/>
      <c r="FV126" s="236"/>
      <c r="FW126" s="236"/>
      <c r="FX126" s="236"/>
      <c r="FY126" s="236"/>
      <c r="FZ126" s="236"/>
      <c r="GA126" s="236"/>
      <c r="GB126" s="236"/>
      <c r="GC126" s="236"/>
      <c r="GD126" s="236"/>
      <c r="GE126" s="236"/>
      <c r="GF126" s="236"/>
      <c r="GG126" s="236"/>
      <c r="GH126" s="236"/>
      <c r="GI126" s="236"/>
      <c r="GJ126" s="236"/>
      <c r="GK126" s="236"/>
      <c r="GL126" s="236"/>
      <c r="GM126" s="236"/>
      <c r="GN126" s="236"/>
      <c r="GO126" s="236"/>
      <c r="GP126" s="236"/>
      <c r="GQ126" s="236"/>
      <c r="GR126" s="236"/>
      <c r="GS126" s="236"/>
      <c r="GT126" s="236"/>
      <c r="GU126" s="236"/>
      <c r="GV126" s="236"/>
      <c r="GW126" s="236"/>
      <c r="GX126" s="236"/>
      <c r="GY126" s="236"/>
      <c r="GZ126" s="236"/>
      <c r="HA126" s="236"/>
      <c r="HB126" s="236"/>
      <c r="HC126" s="236"/>
      <c r="HD126" s="236"/>
      <c r="HE126" s="236"/>
      <c r="HF126" s="236"/>
      <c r="HG126" s="236"/>
      <c r="HH126" s="236"/>
      <c r="HI126" s="236"/>
      <c r="HJ126" s="236"/>
      <c r="HK126" s="236"/>
      <c r="HL126" s="236"/>
      <c r="HM126" s="236"/>
      <c r="HN126" s="236"/>
      <c r="HO126" s="236"/>
      <c r="HP126" s="236"/>
      <c r="HQ126" s="236"/>
      <c r="HR126" s="236"/>
      <c r="HS126" s="236"/>
      <c r="HT126" s="236"/>
      <c r="HU126" s="236"/>
      <c r="HV126" s="236"/>
      <c r="HW126" s="236"/>
      <c r="HX126" s="236"/>
      <c r="HY126" s="236"/>
      <c r="HZ126" s="236"/>
      <c r="IA126" s="236"/>
      <c r="IB126" s="236"/>
      <c r="IC126" s="236"/>
      <c r="ID126" s="236"/>
      <c r="IE126" s="236"/>
      <c r="IF126" s="236"/>
      <c r="IG126" s="236"/>
      <c r="IH126" s="236"/>
      <c r="II126" s="236"/>
      <c r="IJ126" s="236"/>
      <c r="IK126" s="236"/>
      <c r="IL126" s="236"/>
      <c r="IM126" s="236"/>
      <c r="IN126" s="236"/>
      <c r="IO126" s="236"/>
      <c r="IP126" s="236"/>
      <c r="IQ126" s="236"/>
      <c r="IR126" s="236"/>
      <c r="IS126" s="236"/>
      <c r="IT126" s="236"/>
      <c r="IU126" s="236"/>
      <c r="IV126" s="236"/>
      <c r="IW126" s="236"/>
      <c r="IX126" s="236"/>
      <c r="IY126" s="236"/>
      <c r="IZ126" s="236"/>
      <c r="JA126" s="236"/>
      <c r="JB126" s="236"/>
      <c r="JC126" s="236"/>
      <c r="JD126" s="236"/>
      <c r="JE126" s="236"/>
      <c r="JF126" s="236"/>
      <c r="JG126" s="236"/>
      <c r="JH126" s="236"/>
      <c r="JI126" s="236"/>
      <c r="JJ126" s="236"/>
      <c r="JK126" s="236"/>
      <c r="JL126" s="236"/>
      <c r="JM126" s="236"/>
      <c r="JN126" s="236"/>
      <c r="JO126" s="236"/>
      <c r="JP126" s="236"/>
      <c r="JQ126" s="236"/>
      <c r="JR126" s="236"/>
      <c r="JS126" s="236"/>
      <c r="JT126" s="236"/>
      <c r="JU126" s="236"/>
      <c r="JV126" s="236"/>
      <c r="JW126" s="236"/>
      <c r="JX126" s="409"/>
      <c r="JY126" s="409"/>
      <c r="JZ126" s="409"/>
      <c r="KA126" s="409"/>
      <c r="KB126" s="409"/>
      <c r="KC126" s="409"/>
      <c r="KD126" s="409"/>
      <c r="KE126" s="409"/>
      <c r="KF126" s="409"/>
      <c r="KG126" s="410"/>
    </row>
    <row r="127" spans="3:293" ht="24" customHeight="1">
      <c r="C127"/>
      <c r="D127" s="57">
        <f ca="1">INDIRECT(ADDRESS(ROWS($D$3:D126)+6,D$3,1,1,"3_TIME SUM"))</f>
        <v>0</v>
      </c>
      <c r="E127" s="81" t="str">
        <f ca="1">IF(INDIRECT(ADDRESS(ROWS($E$3:E126)+6,E$3,1,1,"3_TIME SUM"))=0,E126,INDIRECT(ADDRESS(ROWS($E$3:E126)+6,E$3,1,1,"3_TIME SUM")))</f>
        <v>X-Mastree</v>
      </c>
      <c r="F127" s="57" t="str">
        <f t="shared" ca="1" si="24"/>
        <v>X-Mastree : 0</v>
      </c>
      <c r="G127" s="58" t="e">
        <f ca="1">VLOOKUP($D127,INDIRECT(ADDRESS(7,5,1,1,"3_TIME SUM")):INDIRECT(ADDRESS(200,7,1,1,"3_TIME SUM")),2,FALSE)</f>
        <v>#N/A</v>
      </c>
      <c r="H127" s="58" t="e">
        <f ca="1">IF(VLOOKUP($D127,INDIRECT(ADDRESS(7,5,1,1,"3_TIME SUM")):INDIRECT(ADDRESS(200,7,1,1,"3_TIME SUM")),3,FALSE)="","PT",VLOOKUP($D127,INDIRECT(ADDRESS(7,5,1,1,"3_TIME SUM")):INDIRECT(ADDRESS(200,7,1,1,"3_TIME SUM")),3,FALSE))</f>
        <v>#N/A</v>
      </c>
      <c r="I127" s="59">
        <f ca="1">IFERROR(IF(AND($D$2="NON PRODUCTIVE TIME",$H127="NPT"),SUMIF(INDIRECT(ADDRESS(8,COLUMN('2_DATA'!$M$9),1,1,"2_DATA")):INDIRECT(ADDRESS(3000,COLUMN('2_DATA'!$M$9),1,1,"2_DATA")),$G127,INDIRECT(ADDRESS(8,COLUMN('2_DATA'!$N$9),1,1,"2_DATA")):INDIRECT(ADDRESS(3000,COLUMN('2_DATA'!$N$9),1,1,"2_DATA"))),IF($D$2="ALL ACTIVITY",SUMIF(INDIRECT(ADDRESS(9,COLUMN('2_DATA'!$M$9),1,1,"2_DATA")):INDIRECT(ADDRESS(3000,COLUMN('2_DATA'!$M$9),1,1,"2_DATA")),$G127,INDIRECT(ADDRESS(9,COLUMN('2_DATA'!$N$9),1,1,"2_DATA")):INDIRECT(ADDRESS(3000,COLUMN('2_DATA'!$N$9),1,1,"2_DATA"))),SUMIF(INDIRECT(ADDRESS(OFFSET($A$3,MATCH($D$2,$A$4:$A$16,0)-1,1,,)+1,COLUMN('2_DATA'!$M$9),1,1,"2_DATA")):INDIRECT(ADDRESS(VLOOKUP($D$2,$A$4:$B$16,2,FALSE)-1,COLUMN('2_DATA'!$M$9),1,1,"2_DATA")),$G127,INDIRECT(ADDRESS(OFFSET($A$3,MATCH($D$2,$A$4:$A$16,0)-1,1,,)+1,COLUMN('2_DATA'!$N$9),1,1,"2_DATA")):INDIRECT(ADDRESS(VLOOKUP($D$2,$A$4:$B$16,2,FALSE)-1,COLUMN('2_DATA'!$N$9),1,1,"2_DATA"))))),0)</f>
        <v>0</v>
      </c>
      <c r="J127" s="58" t="str">
        <f ca="1">IF(I127=0,"",MAX($J$3:J126)+1)</f>
        <v/>
      </c>
      <c r="L127" s="55" t="str">
        <f t="shared" ca="1" si="21"/>
        <v/>
      </c>
      <c r="M127" s="55" t="str">
        <f t="shared" ca="1" si="25"/>
        <v/>
      </c>
      <c r="N127" s="55"/>
      <c r="O127" s="55" t="str">
        <f t="shared" ca="1" si="29"/>
        <v/>
      </c>
      <c r="P127" s="55">
        <f t="shared" ca="1" si="22"/>
        <v>0</v>
      </c>
      <c r="Q127" s="55" t="str">
        <f ca="1">IFERROR(INDEX($O$4:$P$226,MATCH(ROWS($Q$3:Q126),$P$4:$P$226,0),1),"-")</f>
        <v>-</v>
      </c>
      <c r="R127" s="62" t="str">
        <f t="shared" ca="1" si="23"/>
        <v/>
      </c>
      <c r="S127" s="55" t="str">
        <f t="shared" ca="1" si="26"/>
        <v/>
      </c>
      <c r="T127" s="67" t="str">
        <f t="shared" ca="1" si="38"/>
        <v>-</v>
      </c>
      <c r="V127" s="68" t="str">
        <f t="shared" ca="1" si="30"/>
        <v/>
      </c>
      <c r="W127" s="69" t="str">
        <f t="shared" ca="1" si="31"/>
        <v/>
      </c>
      <c r="X127" s="70" t="s">
        <v>84</v>
      </c>
      <c r="Y127" s="68" t="str">
        <f t="shared" ca="1" si="35"/>
        <v/>
      </c>
      <c r="Z127" s="71" t="str">
        <f t="shared" ca="1" si="32"/>
        <v/>
      </c>
      <c r="AA127" s="72" t="str">
        <f t="shared" ca="1" si="33"/>
        <v/>
      </c>
      <c r="AB127" s="72" t="str">
        <f t="shared" ca="1" si="34"/>
        <v/>
      </c>
      <c r="AC127" s="236"/>
      <c r="AD127" s="236"/>
      <c r="AE127" s="236"/>
      <c r="AF127" s="236"/>
      <c r="AG127" s="236"/>
      <c r="AH127" s="236"/>
      <c r="AI127" s="236"/>
      <c r="AJ127" s="236"/>
      <c r="AK127" s="236"/>
      <c r="AL127" s="236"/>
      <c r="AM127" s="236"/>
      <c r="AN127" s="236"/>
      <c r="AO127" s="236"/>
      <c r="AP127" s="236"/>
      <c r="AQ127" s="236"/>
      <c r="AR127" s="236"/>
      <c r="AS127" s="236"/>
      <c r="AT127" s="236"/>
      <c r="AU127" s="236"/>
      <c r="AV127" s="236"/>
      <c r="AW127" s="236"/>
      <c r="AX127" s="236"/>
      <c r="AY127" s="236"/>
      <c r="AZ127" s="236"/>
      <c r="BA127" s="236"/>
      <c r="BB127" s="236"/>
      <c r="BC127" s="236"/>
      <c r="BD127" s="236"/>
      <c r="BE127" s="236"/>
      <c r="BF127" s="236"/>
      <c r="BG127" s="236"/>
      <c r="BH127" s="236"/>
      <c r="BI127" s="236"/>
      <c r="BJ127" s="236"/>
      <c r="BK127" s="236"/>
      <c r="BL127" s="236"/>
      <c r="BM127" s="236"/>
      <c r="BN127" s="236"/>
      <c r="BO127" s="236"/>
      <c r="BP127" s="236"/>
      <c r="BQ127" s="236"/>
      <c r="BR127" s="236"/>
      <c r="BS127" s="236"/>
      <c r="BT127" s="236"/>
      <c r="BU127" s="236"/>
      <c r="BV127" s="236"/>
      <c r="BW127" s="236"/>
      <c r="BX127" s="236"/>
      <c r="BY127" s="236"/>
      <c r="BZ127" s="236"/>
      <c r="CA127" s="236"/>
      <c r="CB127" s="236"/>
      <c r="CC127" s="236"/>
      <c r="CD127" s="236"/>
      <c r="CE127" s="236"/>
      <c r="CF127" s="236"/>
      <c r="CG127" s="236"/>
      <c r="CH127" s="236"/>
      <c r="CI127" s="236"/>
      <c r="CJ127" s="236"/>
      <c r="CK127" s="236"/>
      <c r="CL127" s="236"/>
      <c r="CM127" s="236"/>
      <c r="CN127" s="236"/>
      <c r="CO127" s="236"/>
      <c r="CP127" s="236"/>
      <c r="CQ127" s="236"/>
      <c r="CR127" s="236"/>
      <c r="CS127" s="236"/>
      <c r="CT127" s="236"/>
      <c r="CU127" s="236"/>
      <c r="CV127" s="236"/>
      <c r="CW127" s="236"/>
      <c r="CX127" s="236"/>
      <c r="CY127" s="236"/>
      <c r="CZ127" s="236"/>
      <c r="DA127" s="236"/>
      <c r="DB127" s="236"/>
      <c r="DC127" s="236"/>
      <c r="DD127" s="236"/>
      <c r="DE127" s="236"/>
      <c r="DF127" s="236"/>
      <c r="DG127" s="236"/>
      <c r="DH127" s="236"/>
      <c r="DI127" s="236"/>
      <c r="DJ127" s="236"/>
      <c r="DK127" s="236"/>
      <c r="DL127" s="236"/>
      <c r="DM127" s="236"/>
      <c r="DN127" s="236"/>
      <c r="DO127" s="236"/>
      <c r="DP127" s="236"/>
      <c r="DQ127" s="236"/>
      <c r="DR127" s="236"/>
      <c r="DS127" s="236"/>
      <c r="DT127" s="236"/>
      <c r="DU127" s="236"/>
      <c r="DV127" s="236"/>
      <c r="DW127" s="236"/>
      <c r="DX127" s="236"/>
      <c r="DY127" s="236"/>
      <c r="DZ127" s="236"/>
      <c r="EA127" s="236"/>
      <c r="EB127" s="236"/>
      <c r="EC127" s="236"/>
      <c r="ED127" s="236"/>
      <c r="EE127" s="236"/>
      <c r="EF127" s="236"/>
      <c r="EG127" s="236"/>
      <c r="EH127" s="236"/>
      <c r="EI127" s="236"/>
      <c r="EJ127" s="236"/>
      <c r="EK127" s="236"/>
      <c r="EL127" s="236"/>
      <c r="EM127" s="236"/>
      <c r="EN127" s="236"/>
      <c r="EO127" s="236"/>
      <c r="EP127" s="236"/>
      <c r="EQ127" s="236"/>
      <c r="ER127" s="236"/>
      <c r="ES127" s="236"/>
      <c r="ET127" s="236"/>
      <c r="EU127" s="236"/>
      <c r="EV127" s="236"/>
      <c r="EW127" s="236"/>
      <c r="EX127" s="236"/>
      <c r="EY127" s="236"/>
      <c r="EZ127" s="236"/>
      <c r="FA127" s="236"/>
      <c r="FB127" s="236"/>
      <c r="FC127" s="236"/>
      <c r="FD127" s="236"/>
      <c r="FE127" s="236"/>
      <c r="FF127" s="236"/>
      <c r="FG127" s="236"/>
      <c r="FH127" s="236"/>
      <c r="FI127" s="236"/>
      <c r="FJ127" s="236"/>
      <c r="FK127" s="236"/>
      <c r="FL127" s="236"/>
      <c r="FM127" s="236"/>
      <c r="FN127" s="236"/>
      <c r="FO127" s="236"/>
      <c r="FP127" s="236"/>
      <c r="FQ127" s="236"/>
      <c r="FR127" s="236"/>
      <c r="FS127" s="236"/>
      <c r="FT127" s="236"/>
      <c r="FU127" s="236"/>
      <c r="FV127" s="236"/>
      <c r="FW127" s="236"/>
      <c r="FX127" s="236"/>
      <c r="FY127" s="236"/>
      <c r="FZ127" s="236"/>
      <c r="GA127" s="236"/>
      <c r="GB127" s="236"/>
      <c r="GC127" s="236"/>
      <c r="GD127" s="236"/>
      <c r="GE127" s="236"/>
      <c r="GF127" s="236"/>
      <c r="GG127" s="236"/>
      <c r="GH127" s="236"/>
      <c r="GI127" s="236"/>
      <c r="GJ127" s="236"/>
      <c r="GK127" s="236"/>
      <c r="GL127" s="236"/>
      <c r="GM127" s="236"/>
      <c r="GN127" s="236"/>
      <c r="GO127" s="236"/>
      <c r="GP127" s="236"/>
      <c r="GQ127" s="236"/>
      <c r="GR127" s="236"/>
      <c r="GS127" s="236"/>
      <c r="GT127" s="236"/>
      <c r="GU127" s="236"/>
      <c r="GV127" s="236"/>
      <c r="GW127" s="236"/>
      <c r="GX127" s="236"/>
      <c r="GY127" s="236"/>
      <c r="GZ127" s="236"/>
      <c r="HA127" s="236"/>
      <c r="HB127" s="236"/>
      <c r="HC127" s="236"/>
      <c r="HD127" s="236"/>
      <c r="HE127" s="236"/>
      <c r="HF127" s="236"/>
      <c r="HG127" s="236"/>
      <c r="HH127" s="236"/>
      <c r="HI127" s="236"/>
      <c r="HJ127" s="236"/>
      <c r="HK127" s="236"/>
      <c r="HL127" s="236"/>
      <c r="HM127" s="236"/>
      <c r="HN127" s="236"/>
      <c r="HO127" s="236"/>
      <c r="HP127" s="236"/>
      <c r="HQ127" s="236"/>
      <c r="HR127" s="236"/>
      <c r="HS127" s="236"/>
      <c r="HT127" s="236"/>
      <c r="HU127" s="236"/>
      <c r="HV127" s="236"/>
      <c r="HW127" s="236"/>
      <c r="HX127" s="236"/>
      <c r="HY127" s="236"/>
      <c r="HZ127" s="236"/>
      <c r="IA127" s="236"/>
      <c r="IB127" s="236"/>
      <c r="IC127" s="236"/>
      <c r="ID127" s="236"/>
      <c r="IE127" s="236"/>
      <c r="IF127" s="236"/>
      <c r="IG127" s="236"/>
      <c r="IH127" s="236"/>
      <c r="II127" s="236"/>
      <c r="IJ127" s="236"/>
      <c r="IK127" s="236"/>
      <c r="IL127" s="236"/>
      <c r="IM127" s="236"/>
      <c r="IN127" s="236"/>
      <c r="IO127" s="236"/>
      <c r="IP127" s="236"/>
      <c r="IQ127" s="236"/>
      <c r="IR127" s="236"/>
      <c r="IS127" s="236"/>
      <c r="IT127" s="236"/>
      <c r="IU127" s="236"/>
      <c r="IV127" s="236"/>
      <c r="IW127" s="236"/>
      <c r="IX127" s="236"/>
      <c r="IY127" s="236"/>
      <c r="IZ127" s="236"/>
      <c r="JA127" s="236"/>
      <c r="JB127" s="236"/>
      <c r="JC127" s="236"/>
      <c r="JD127" s="236"/>
      <c r="JE127" s="236"/>
      <c r="JF127" s="236"/>
      <c r="JG127" s="236"/>
      <c r="JH127" s="236"/>
      <c r="JI127" s="236"/>
      <c r="JJ127" s="236"/>
      <c r="JK127" s="236"/>
      <c r="JL127" s="236"/>
      <c r="JM127" s="236"/>
      <c r="JN127" s="236"/>
      <c r="JO127" s="236"/>
      <c r="JP127" s="236"/>
      <c r="JQ127" s="236"/>
      <c r="JR127" s="236"/>
      <c r="JS127" s="236"/>
      <c r="JT127" s="236"/>
      <c r="JU127" s="236"/>
      <c r="JV127" s="236"/>
      <c r="JW127" s="236"/>
      <c r="JX127" s="409"/>
      <c r="JY127" s="409"/>
      <c r="JZ127" s="409"/>
      <c r="KA127" s="409"/>
      <c r="KB127" s="409"/>
      <c r="KC127" s="409"/>
      <c r="KD127" s="409"/>
      <c r="KE127" s="409"/>
      <c r="KF127" s="409"/>
      <c r="KG127" s="410"/>
    </row>
    <row r="128" spans="3:293" ht="24" customHeight="1">
      <c r="C128"/>
      <c r="D128" s="57">
        <f ca="1">INDIRECT(ADDRESS(ROWS($D$3:D127)+6,D$3,1,1,"3_TIME SUM"))</f>
        <v>0</v>
      </c>
      <c r="E128" s="81" t="str">
        <f ca="1">IF(INDIRECT(ADDRESS(ROWS($E$3:E127)+6,E$3,1,1,"3_TIME SUM"))=0,E127,INDIRECT(ADDRESS(ROWS($E$3:E127)+6,E$3,1,1,"3_TIME SUM")))</f>
        <v>X-Mastree</v>
      </c>
      <c r="F128" s="57" t="str">
        <f t="shared" ca="1" si="24"/>
        <v>X-Mastree : 0</v>
      </c>
      <c r="G128" s="58" t="e">
        <f ca="1">VLOOKUP($D128,INDIRECT(ADDRESS(7,5,1,1,"3_TIME SUM")):INDIRECT(ADDRESS(200,7,1,1,"3_TIME SUM")),2,FALSE)</f>
        <v>#N/A</v>
      </c>
      <c r="H128" s="58" t="e">
        <f ca="1">IF(VLOOKUP($D128,INDIRECT(ADDRESS(7,5,1,1,"3_TIME SUM")):INDIRECT(ADDRESS(200,7,1,1,"3_TIME SUM")),3,FALSE)="","PT",VLOOKUP($D128,INDIRECT(ADDRESS(7,5,1,1,"3_TIME SUM")):INDIRECT(ADDRESS(200,7,1,1,"3_TIME SUM")),3,FALSE))</f>
        <v>#N/A</v>
      </c>
      <c r="I128" s="59">
        <f ca="1">IFERROR(IF(AND($D$2="NON PRODUCTIVE TIME",$H128="NPT"),SUMIF(INDIRECT(ADDRESS(8,COLUMN('2_DATA'!$M$9),1,1,"2_DATA")):INDIRECT(ADDRESS(3000,COLUMN('2_DATA'!$M$9),1,1,"2_DATA")),$G128,INDIRECT(ADDRESS(8,COLUMN('2_DATA'!$N$9),1,1,"2_DATA")):INDIRECT(ADDRESS(3000,COLUMN('2_DATA'!$N$9),1,1,"2_DATA"))),IF($D$2="ALL ACTIVITY",SUMIF(INDIRECT(ADDRESS(9,COLUMN('2_DATA'!$M$9),1,1,"2_DATA")):INDIRECT(ADDRESS(3000,COLUMN('2_DATA'!$M$9),1,1,"2_DATA")),$G128,INDIRECT(ADDRESS(9,COLUMN('2_DATA'!$N$9),1,1,"2_DATA")):INDIRECT(ADDRESS(3000,COLUMN('2_DATA'!$N$9),1,1,"2_DATA"))),SUMIF(INDIRECT(ADDRESS(OFFSET($A$3,MATCH($D$2,$A$4:$A$16,0)-1,1,,)+1,COLUMN('2_DATA'!$M$9),1,1,"2_DATA")):INDIRECT(ADDRESS(VLOOKUP($D$2,$A$4:$B$16,2,FALSE)-1,COLUMN('2_DATA'!$M$9),1,1,"2_DATA")),$G128,INDIRECT(ADDRESS(OFFSET($A$3,MATCH($D$2,$A$4:$A$16,0)-1,1,,)+1,COLUMN('2_DATA'!$N$9),1,1,"2_DATA")):INDIRECT(ADDRESS(VLOOKUP($D$2,$A$4:$B$16,2,FALSE)-1,COLUMN('2_DATA'!$N$9),1,1,"2_DATA"))))),0)</f>
        <v>0</v>
      </c>
      <c r="J128" s="58" t="str">
        <f ca="1">IF(I128=0,"",MAX($J$3:J127)+1)</f>
        <v/>
      </c>
      <c r="L128" s="55" t="str">
        <f t="shared" ca="1" si="21"/>
        <v/>
      </c>
      <c r="M128" s="55" t="str">
        <f t="shared" ca="1" si="25"/>
        <v/>
      </c>
      <c r="N128" s="55"/>
      <c r="O128" s="55" t="str">
        <f t="shared" ca="1" si="29"/>
        <v/>
      </c>
      <c r="P128" s="55">
        <f t="shared" ca="1" si="22"/>
        <v>0</v>
      </c>
      <c r="Q128" s="55" t="str">
        <f ca="1">IFERROR(INDEX($O$4:$P$226,MATCH(ROWS($Q$3:Q127),$P$4:$P$226,0),1),"-")</f>
        <v>-</v>
      </c>
      <c r="R128" s="62" t="str">
        <f t="shared" ca="1" si="23"/>
        <v/>
      </c>
      <c r="S128" s="55" t="str">
        <f t="shared" ca="1" si="26"/>
        <v/>
      </c>
      <c r="T128" s="67" t="str">
        <f t="shared" ca="1" si="38"/>
        <v>-</v>
      </c>
      <c r="V128" s="68" t="str">
        <f t="shared" ca="1" si="30"/>
        <v/>
      </c>
      <c r="W128" s="69" t="str">
        <f t="shared" ca="1" si="31"/>
        <v/>
      </c>
      <c r="X128" s="70" t="s">
        <v>84</v>
      </c>
      <c r="Y128" s="68" t="str">
        <f t="shared" ca="1" si="35"/>
        <v/>
      </c>
      <c r="Z128" s="71" t="str">
        <f t="shared" ca="1" si="32"/>
        <v/>
      </c>
      <c r="AA128" s="72" t="str">
        <f t="shared" ca="1" si="33"/>
        <v/>
      </c>
      <c r="AB128" s="72" t="str">
        <f t="shared" ca="1" si="34"/>
        <v/>
      </c>
      <c r="AC128" s="236"/>
      <c r="AD128" s="236"/>
      <c r="AE128" s="236"/>
      <c r="AF128" s="236"/>
      <c r="AG128" s="236"/>
      <c r="AH128" s="236"/>
      <c r="AI128" s="236"/>
      <c r="AJ128" s="236"/>
      <c r="AK128" s="236"/>
      <c r="AL128" s="236"/>
      <c r="AM128" s="236"/>
      <c r="AN128" s="236"/>
      <c r="AO128" s="236"/>
      <c r="AP128" s="236"/>
      <c r="AQ128" s="236"/>
      <c r="AR128" s="236"/>
      <c r="AS128" s="236"/>
      <c r="AT128" s="236"/>
      <c r="AU128" s="236"/>
      <c r="AV128" s="236"/>
      <c r="AW128" s="236"/>
      <c r="AX128" s="236"/>
      <c r="AY128" s="236"/>
      <c r="AZ128" s="236"/>
      <c r="BA128" s="236"/>
      <c r="BB128" s="236"/>
      <c r="BC128" s="236"/>
      <c r="BD128" s="236"/>
      <c r="BE128" s="236"/>
      <c r="BF128" s="236"/>
      <c r="BG128" s="236"/>
      <c r="BH128" s="236"/>
      <c r="BI128" s="236"/>
      <c r="BJ128" s="236"/>
      <c r="BK128" s="236"/>
      <c r="BL128" s="236"/>
      <c r="BM128" s="236"/>
      <c r="BN128" s="236"/>
      <c r="BO128" s="236"/>
      <c r="BP128" s="236"/>
      <c r="BQ128" s="236"/>
      <c r="BR128" s="236"/>
      <c r="BS128" s="236"/>
      <c r="BT128" s="236"/>
      <c r="BU128" s="236"/>
      <c r="BV128" s="236"/>
      <c r="BW128" s="236"/>
      <c r="BX128" s="236"/>
      <c r="BY128" s="236"/>
      <c r="BZ128" s="236"/>
      <c r="CA128" s="236"/>
      <c r="CB128" s="236"/>
      <c r="CC128" s="236"/>
      <c r="CD128" s="236"/>
      <c r="CE128" s="236"/>
      <c r="CF128" s="236"/>
      <c r="CG128" s="236"/>
      <c r="CH128" s="236"/>
      <c r="CI128" s="236"/>
      <c r="CJ128" s="236"/>
      <c r="CK128" s="236"/>
      <c r="CL128" s="236"/>
      <c r="CM128" s="236"/>
      <c r="CN128" s="236"/>
      <c r="CO128" s="236"/>
      <c r="CP128" s="236"/>
      <c r="CQ128" s="236"/>
      <c r="CR128" s="236"/>
      <c r="CS128" s="236"/>
      <c r="CT128" s="236"/>
      <c r="CU128" s="236"/>
      <c r="CV128" s="236"/>
      <c r="CW128" s="236"/>
      <c r="CX128" s="236"/>
      <c r="CY128" s="236"/>
      <c r="CZ128" s="236"/>
      <c r="DA128" s="236"/>
      <c r="DB128" s="236"/>
      <c r="DC128" s="236"/>
      <c r="DD128" s="236"/>
      <c r="DE128" s="236"/>
      <c r="DF128" s="236"/>
      <c r="DG128" s="236"/>
      <c r="DH128" s="236"/>
      <c r="DI128" s="236"/>
      <c r="DJ128" s="236"/>
      <c r="DK128" s="236"/>
      <c r="DL128" s="236"/>
      <c r="DM128" s="236"/>
      <c r="DN128" s="236"/>
      <c r="DO128" s="236"/>
      <c r="DP128" s="236"/>
      <c r="DQ128" s="236"/>
      <c r="DR128" s="236"/>
      <c r="DS128" s="236"/>
      <c r="DT128" s="236"/>
      <c r="DU128" s="236"/>
      <c r="DV128" s="236"/>
      <c r="DW128" s="236"/>
      <c r="DX128" s="236"/>
      <c r="DY128" s="236"/>
      <c r="DZ128" s="236"/>
      <c r="EA128" s="236"/>
      <c r="EB128" s="236"/>
      <c r="EC128" s="236"/>
      <c r="ED128" s="236"/>
      <c r="EE128" s="236"/>
      <c r="EF128" s="236"/>
      <c r="EG128" s="236"/>
      <c r="EH128" s="236"/>
      <c r="EI128" s="236"/>
      <c r="EJ128" s="236"/>
      <c r="EK128" s="236"/>
      <c r="EL128" s="236"/>
      <c r="EM128" s="236"/>
      <c r="EN128" s="236"/>
      <c r="EO128" s="236"/>
      <c r="EP128" s="236"/>
      <c r="EQ128" s="236"/>
      <c r="ER128" s="236"/>
      <c r="ES128" s="236"/>
      <c r="ET128" s="236"/>
      <c r="EU128" s="236"/>
      <c r="EV128" s="236"/>
      <c r="EW128" s="236"/>
      <c r="EX128" s="236"/>
      <c r="EY128" s="236"/>
      <c r="EZ128" s="236"/>
      <c r="FA128" s="236"/>
      <c r="FB128" s="236"/>
      <c r="FC128" s="236"/>
      <c r="FD128" s="236"/>
      <c r="FE128" s="236"/>
      <c r="FF128" s="236"/>
      <c r="FG128" s="236"/>
      <c r="FH128" s="236"/>
      <c r="FI128" s="236"/>
      <c r="FJ128" s="236"/>
      <c r="FK128" s="236"/>
      <c r="FL128" s="236"/>
      <c r="FM128" s="236"/>
      <c r="FN128" s="236"/>
      <c r="FO128" s="236"/>
      <c r="FP128" s="236"/>
      <c r="FQ128" s="236"/>
      <c r="FR128" s="236"/>
      <c r="FS128" s="236"/>
      <c r="FT128" s="236"/>
      <c r="FU128" s="236"/>
      <c r="FV128" s="236"/>
      <c r="FW128" s="236"/>
      <c r="FX128" s="236"/>
      <c r="FY128" s="236"/>
      <c r="FZ128" s="236"/>
      <c r="GA128" s="236"/>
      <c r="GB128" s="236"/>
      <c r="GC128" s="236"/>
      <c r="GD128" s="236"/>
      <c r="GE128" s="236"/>
      <c r="GF128" s="236"/>
      <c r="GG128" s="236"/>
      <c r="GH128" s="236"/>
      <c r="GI128" s="236"/>
      <c r="GJ128" s="236"/>
      <c r="GK128" s="236"/>
      <c r="GL128" s="236"/>
      <c r="GM128" s="236"/>
      <c r="GN128" s="236"/>
      <c r="GO128" s="236"/>
      <c r="GP128" s="236"/>
      <c r="GQ128" s="236"/>
      <c r="GR128" s="236"/>
      <c r="GS128" s="236"/>
      <c r="GT128" s="236"/>
      <c r="GU128" s="236"/>
      <c r="GV128" s="236"/>
      <c r="GW128" s="236"/>
      <c r="GX128" s="236"/>
      <c r="GY128" s="236"/>
      <c r="GZ128" s="236"/>
      <c r="HA128" s="236"/>
      <c r="HB128" s="236"/>
      <c r="HC128" s="236"/>
      <c r="HD128" s="236"/>
      <c r="HE128" s="236"/>
      <c r="HF128" s="236"/>
      <c r="HG128" s="236"/>
      <c r="HH128" s="236"/>
      <c r="HI128" s="236"/>
      <c r="HJ128" s="236"/>
      <c r="HK128" s="236"/>
      <c r="HL128" s="236"/>
      <c r="HM128" s="236"/>
      <c r="HN128" s="236"/>
      <c r="HO128" s="236"/>
      <c r="HP128" s="236"/>
      <c r="HQ128" s="236"/>
      <c r="HR128" s="236"/>
      <c r="HS128" s="236"/>
      <c r="HT128" s="236"/>
      <c r="HU128" s="236"/>
      <c r="HV128" s="236"/>
      <c r="HW128" s="236"/>
      <c r="HX128" s="236"/>
      <c r="HY128" s="236"/>
      <c r="HZ128" s="236"/>
      <c r="IA128" s="236"/>
      <c r="IB128" s="236"/>
      <c r="IC128" s="236"/>
      <c r="ID128" s="236"/>
      <c r="IE128" s="236"/>
      <c r="IF128" s="236"/>
      <c r="IG128" s="236"/>
      <c r="IH128" s="236"/>
      <c r="II128" s="236"/>
      <c r="IJ128" s="236"/>
      <c r="IK128" s="236"/>
      <c r="IL128" s="236"/>
      <c r="IM128" s="236"/>
      <c r="IN128" s="236"/>
      <c r="IO128" s="236"/>
      <c r="IP128" s="236"/>
      <c r="IQ128" s="236"/>
      <c r="IR128" s="236"/>
      <c r="IS128" s="236"/>
      <c r="IT128" s="236"/>
      <c r="IU128" s="236"/>
      <c r="IV128" s="236"/>
      <c r="IW128" s="236"/>
      <c r="IX128" s="236"/>
      <c r="IY128" s="236"/>
      <c r="IZ128" s="236"/>
      <c r="JA128" s="236"/>
      <c r="JB128" s="236"/>
      <c r="JC128" s="236"/>
      <c r="JD128" s="236"/>
      <c r="JE128" s="236"/>
      <c r="JF128" s="236"/>
      <c r="JG128" s="236"/>
      <c r="JH128" s="236"/>
      <c r="JI128" s="236"/>
      <c r="JJ128" s="236"/>
      <c r="JK128" s="236"/>
      <c r="JL128" s="236"/>
      <c r="JM128" s="236"/>
      <c r="JN128" s="236"/>
      <c r="JO128" s="236"/>
      <c r="JP128" s="236"/>
      <c r="JQ128" s="236"/>
      <c r="JR128" s="236"/>
      <c r="JS128" s="236"/>
      <c r="JT128" s="236"/>
      <c r="JU128" s="236"/>
      <c r="JV128" s="236"/>
      <c r="JW128" s="236"/>
      <c r="JX128" s="409"/>
      <c r="JY128" s="409"/>
      <c r="JZ128" s="409"/>
      <c r="KA128" s="409"/>
      <c r="KB128" s="409"/>
      <c r="KC128" s="409"/>
      <c r="KD128" s="409"/>
      <c r="KE128" s="409"/>
      <c r="KF128" s="409"/>
      <c r="KG128" s="410"/>
    </row>
    <row r="129" spans="3:293" ht="24" customHeight="1">
      <c r="C129"/>
      <c r="D129" s="57">
        <f ca="1">INDIRECT(ADDRESS(ROWS($D$3:D128)+6,D$3,1,1,"3_TIME SUM"))</f>
        <v>0</v>
      </c>
      <c r="E129" s="81" t="str">
        <f ca="1">IF(INDIRECT(ADDRESS(ROWS($E$3:E128)+6,E$3,1,1,"3_TIME SUM"))=0,E128,INDIRECT(ADDRESS(ROWS($E$3:E128)+6,E$3,1,1,"3_TIME SUM")))</f>
        <v>X-Mastree</v>
      </c>
      <c r="F129" s="57" t="str">
        <f t="shared" ca="1" si="24"/>
        <v>X-Mastree : 0</v>
      </c>
      <c r="G129" s="58" t="e">
        <f ca="1">VLOOKUP($D129,INDIRECT(ADDRESS(7,5,1,1,"3_TIME SUM")):INDIRECT(ADDRESS(200,7,1,1,"3_TIME SUM")),2,FALSE)</f>
        <v>#N/A</v>
      </c>
      <c r="H129" s="58" t="e">
        <f ca="1">IF(VLOOKUP($D129,INDIRECT(ADDRESS(7,5,1,1,"3_TIME SUM")):INDIRECT(ADDRESS(200,7,1,1,"3_TIME SUM")),3,FALSE)="","PT",VLOOKUP($D129,INDIRECT(ADDRESS(7,5,1,1,"3_TIME SUM")):INDIRECT(ADDRESS(200,7,1,1,"3_TIME SUM")),3,FALSE))</f>
        <v>#N/A</v>
      </c>
      <c r="I129" s="59">
        <f ca="1">IFERROR(IF(AND($D$2="NON PRODUCTIVE TIME",$H129="NPT"),SUMIF(INDIRECT(ADDRESS(8,COLUMN('2_DATA'!$M$9),1,1,"2_DATA")):INDIRECT(ADDRESS(3000,COLUMN('2_DATA'!$M$9),1,1,"2_DATA")),$G129,INDIRECT(ADDRESS(8,COLUMN('2_DATA'!$N$9),1,1,"2_DATA")):INDIRECT(ADDRESS(3000,COLUMN('2_DATA'!$N$9),1,1,"2_DATA"))),IF($D$2="ALL ACTIVITY",SUMIF(INDIRECT(ADDRESS(9,COLUMN('2_DATA'!$M$9),1,1,"2_DATA")):INDIRECT(ADDRESS(3000,COLUMN('2_DATA'!$M$9),1,1,"2_DATA")),$G129,INDIRECT(ADDRESS(9,COLUMN('2_DATA'!$N$9),1,1,"2_DATA")):INDIRECT(ADDRESS(3000,COLUMN('2_DATA'!$N$9),1,1,"2_DATA"))),SUMIF(INDIRECT(ADDRESS(OFFSET($A$3,MATCH($D$2,$A$4:$A$16,0)-1,1,,)+1,COLUMN('2_DATA'!$M$9),1,1,"2_DATA")):INDIRECT(ADDRESS(VLOOKUP($D$2,$A$4:$B$16,2,FALSE)-1,COLUMN('2_DATA'!$M$9),1,1,"2_DATA")),$G129,INDIRECT(ADDRESS(OFFSET($A$3,MATCH($D$2,$A$4:$A$16,0)-1,1,,)+1,COLUMN('2_DATA'!$N$9),1,1,"2_DATA")):INDIRECT(ADDRESS(VLOOKUP($D$2,$A$4:$B$16,2,FALSE)-1,COLUMN('2_DATA'!$N$9),1,1,"2_DATA"))))),0)</f>
        <v>0</v>
      </c>
      <c r="J129" s="58" t="str">
        <f ca="1">IF(I129=0,"",MAX($J$3:J128)+1)</f>
        <v/>
      </c>
      <c r="L129" s="55" t="str">
        <f t="shared" ca="1" si="21"/>
        <v/>
      </c>
      <c r="M129" s="55" t="str">
        <f t="shared" ca="1" si="25"/>
        <v/>
      </c>
      <c r="N129" s="55"/>
      <c r="O129" s="55" t="str">
        <f t="shared" ca="1" si="29"/>
        <v/>
      </c>
      <c r="P129" s="55">
        <f t="shared" ca="1" si="22"/>
        <v>0</v>
      </c>
      <c r="Q129" s="55" t="str">
        <f ca="1">IFERROR(INDEX($O$4:$P$226,MATCH(ROWS($Q$3:Q128),$P$4:$P$226,0),1),"-")</f>
        <v>-</v>
      </c>
      <c r="R129" s="62" t="str">
        <f t="shared" ca="1" si="23"/>
        <v/>
      </c>
      <c r="S129" s="55" t="str">
        <f t="shared" ca="1" si="26"/>
        <v/>
      </c>
      <c r="T129" s="67" t="str">
        <f t="shared" ca="1" si="38"/>
        <v>-</v>
      </c>
      <c r="V129" s="68" t="str">
        <f t="shared" ca="1" si="30"/>
        <v/>
      </c>
      <c r="W129" s="69" t="str">
        <f t="shared" ca="1" si="31"/>
        <v/>
      </c>
      <c r="X129" s="70" t="s">
        <v>84</v>
      </c>
      <c r="Y129" s="68" t="str">
        <f t="shared" ca="1" si="35"/>
        <v/>
      </c>
      <c r="Z129" s="71" t="str">
        <f t="shared" ca="1" si="32"/>
        <v/>
      </c>
      <c r="AA129" s="72" t="str">
        <f t="shared" ca="1" si="33"/>
        <v/>
      </c>
      <c r="AB129" s="72" t="str">
        <f t="shared" ca="1" si="34"/>
        <v/>
      </c>
      <c r="AC129" s="236"/>
      <c r="AD129" s="236"/>
      <c r="AE129" s="236"/>
      <c r="AF129" s="236"/>
      <c r="AG129" s="236"/>
      <c r="AH129" s="236"/>
      <c r="AI129" s="236"/>
      <c r="AJ129" s="236"/>
      <c r="AK129" s="236"/>
      <c r="AL129" s="236"/>
      <c r="AM129" s="236"/>
      <c r="AN129" s="236"/>
      <c r="AO129" s="236"/>
      <c r="AP129" s="236"/>
      <c r="AQ129" s="236"/>
      <c r="AR129" s="236"/>
      <c r="AS129" s="236"/>
      <c r="AT129" s="236"/>
      <c r="AU129" s="236"/>
      <c r="AV129" s="236"/>
      <c r="AW129" s="236"/>
      <c r="AX129" s="236"/>
      <c r="AY129" s="236"/>
      <c r="AZ129" s="236"/>
      <c r="BA129" s="236"/>
      <c r="BB129" s="236"/>
      <c r="BC129" s="236"/>
      <c r="BD129" s="236"/>
      <c r="BE129" s="236"/>
      <c r="BF129" s="236"/>
      <c r="BG129" s="236"/>
      <c r="BH129" s="236"/>
      <c r="BI129" s="236"/>
      <c r="BJ129" s="236"/>
      <c r="BK129" s="236"/>
      <c r="BL129" s="236"/>
      <c r="BM129" s="236"/>
      <c r="BN129" s="236"/>
      <c r="BO129" s="236"/>
      <c r="BP129" s="236"/>
      <c r="BQ129" s="236"/>
      <c r="BR129" s="236"/>
      <c r="BS129" s="236"/>
      <c r="BT129" s="236"/>
      <c r="BU129" s="236"/>
      <c r="BV129" s="236"/>
      <c r="BW129" s="236"/>
      <c r="BX129" s="236"/>
      <c r="BY129" s="236"/>
      <c r="BZ129" s="236"/>
      <c r="CA129" s="236"/>
      <c r="CB129" s="236"/>
      <c r="CC129" s="236"/>
      <c r="CD129" s="236"/>
      <c r="CE129" s="236"/>
      <c r="CF129" s="236"/>
      <c r="CG129" s="236"/>
      <c r="CH129" s="236"/>
      <c r="CI129" s="236"/>
      <c r="CJ129" s="236"/>
      <c r="CK129" s="236"/>
      <c r="CL129" s="236"/>
      <c r="CM129" s="236"/>
      <c r="CN129" s="236"/>
      <c r="CO129" s="236"/>
      <c r="CP129" s="236"/>
      <c r="CQ129" s="236"/>
      <c r="CR129" s="236"/>
      <c r="CS129" s="236"/>
      <c r="CT129" s="236"/>
      <c r="CU129" s="236"/>
      <c r="CV129" s="236"/>
      <c r="CW129" s="236"/>
      <c r="CX129" s="236"/>
      <c r="CY129" s="236"/>
      <c r="CZ129" s="236"/>
      <c r="DA129" s="236"/>
      <c r="DB129" s="236"/>
      <c r="DC129" s="236"/>
      <c r="DD129" s="236"/>
      <c r="DE129" s="236"/>
      <c r="DF129" s="236"/>
      <c r="DG129" s="236"/>
      <c r="DH129" s="236"/>
      <c r="DI129" s="236"/>
      <c r="DJ129" s="236"/>
      <c r="DK129" s="236"/>
      <c r="DL129" s="236"/>
      <c r="DM129" s="236"/>
      <c r="DN129" s="236"/>
      <c r="DO129" s="236"/>
      <c r="DP129" s="236"/>
      <c r="DQ129" s="236"/>
      <c r="DR129" s="236"/>
      <c r="DS129" s="236"/>
      <c r="DT129" s="236"/>
      <c r="DU129" s="236"/>
      <c r="DV129" s="236"/>
      <c r="DW129" s="236"/>
      <c r="DX129" s="236"/>
      <c r="DY129" s="236"/>
      <c r="DZ129" s="236"/>
      <c r="EA129" s="236"/>
      <c r="EB129" s="236"/>
      <c r="EC129" s="236"/>
      <c r="ED129" s="236"/>
      <c r="EE129" s="236"/>
      <c r="EF129" s="236"/>
      <c r="EG129" s="236"/>
      <c r="EH129" s="236"/>
      <c r="EI129" s="236"/>
      <c r="EJ129" s="236"/>
      <c r="EK129" s="236"/>
      <c r="EL129" s="236"/>
      <c r="EM129" s="236"/>
      <c r="EN129" s="236"/>
      <c r="EO129" s="236"/>
      <c r="EP129" s="236"/>
      <c r="EQ129" s="236"/>
      <c r="ER129" s="236"/>
      <c r="ES129" s="236"/>
      <c r="ET129" s="236"/>
      <c r="EU129" s="236"/>
      <c r="EV129" s="236"/>
      <c r="EW129" s="236"/>
      <c r="EX129" s="236"/>
      <c r="EY129" s="236"/>
      <c r="EZ129" s="236"/>
      <c r="FA129" s="236"/>
      <c r="FB129" s="236"/>
      <c r="FC129" s="236"/>
      <c r="FD129" s="236"/>
      <c r="FE129" s="236"/>
      <c r="FF129" s="236"/>
      <c r="FG129" s="236"/>
      <c r="FH129" s="236"/>
      <c r="FI129" s="236"/>
      <c r="FJ129" s="236"/>
      <c r="FK129" s="236"/>
      <c r="FL129" s="236"/>
      <c r="FM129" s="236"/>
      <c r="FN129" s="236"/>
      <c r="FO129" s="236"/>
      <c r="FP129" s="236"/>
      <c r="FQ129" s="236"/>
      <c r="FR129" s="236"/>
      <c r="FS129" s="236"/>
      <c r="FT129" s="236"/>
      <c r="FU129" s="236"/>
      <c r="FV129" s="236"/>
      <c r="FW129" s="236"/>
      <c r="FX129" s="236"/>
      <c r="FY129" s="236"/>
      <c r="FZ129" s="236"/>
      <c r="GA129" s="236"/>
      <c r="GB129" s="236"/>
      <c r="GC129" s="236"/>
      <c r="GD129" s="236"/>
      <c r="GE129" s="236"/>
      <c r="GF129" s="236"/>
      <c r="GG129" s="236"/>
      <c r="GH129" s="236"/>
      <c r="GI129" s="236"/>
      <c r="GJ129" s="236"/>
      <c r="GK129" s="236"/>
      <c r="GL129" s="236"/>
      <c r="GM129" s="236"/>
      <c r="GN129" s="236"/>
      <c r="GO129" s="236"/>
      <c r="GP129" s="236"/>
      <c r="GQ129" s="236"/>
      <c r="GR129" s="236"/>
      <c r="GS129" s="236"/>
      <c r="GT129" s="236"/>
      <c r="GU129" s="236"/>
      <c r="GV129" s="236"/>
      <c r="GW129" s="236"/>
      <c r="GX129" s="236"/>
      <c r="GY129" s="236"/>
      <c r="GZ129" s="236"/>
      <c r="HA129" s="236"/>
      <c r="HB129" s="236"/>
      <c r="HC129" s="236"/>
      <c r="HD129" s="236"/>
      <c r="HE129" s="236"/>
      <c r="HF129" s="236"/>
      <c r="HG129" s="236"/>
      <c r="HH129" s="236"/>
      <c r="HI129" s="236"/>
      <c r="HJ129" s="236"/>
      <c r="HK129" s="236"/>
      <c r="HL129" s="236"/>
      <c r="HM129" s="236"/>
      <c r="HN129" s="236"/>
      <c r="HO129" s="236"/>
      <c r="HP129" s="236"/>
      <c r="HQ129" s="236"/>
      <c r="HR129" s="236"/>
      <c r="HS129" s="236"/>
      <c r="HT129" s="236"/>
      <c r="HU129" s="236"/>
      <c r="HV129" s="236"/>
      <c r="HW129" s="236"/>
      <c r="HX129" s="236"/>
      <c r="HY129" s="236"/>
      <c r="HZ129" s="236"/>
      <c r="IA129" s="236"/>
      <c r="IB129" s="236"/>
      <c r="IC129" s="236"/>
      <c r="ID129" s="236"/>
      <c r="IE129" s="236"/>
      <c r="IF129" s="236"/>
      <c r="IG129" s="236"/>
      <c r="IH129" s="236"/>
      <c r="II129" s="236"/>
      <c r="IJ129" s="236"/>
      <c r="IK129" s="236"/>
      <c r="IL129" s="236"/>
      <c r="IM129" s="236"/>
      <c r="IN129" s="236"/>
      <c r="IO129" s="236"/>
      <c r="IP129" s="236"/>
      <c r="IQ129" s="236"/>
      <c r="IR129" s="236"/>
      <c r="IS129" s="236"/>
      <c r="IT129" s="236"/>
      <c r="IU129" s="236"/>
      <c r="IV129" s="236"/>
      <c r="IW129" s="236"/>
      <c r="IX129" s="236"/>
      <c r="IY129" s="236"/>
      <c r="IZ129" s="236"/>
      <c r="JA129" s="236"/>
      <c r="JB129" s="236"/>
      <c r="JC129" s="236"/>
      <c r="JD129" s="236"/>
      <c r="JE129" s="236"/>
      <c r="JF129" s="236"/>
      <c r="JG129" s="236"/>
      <c r="JH129" s="236"/>
      <c r="JI129" s="236"/>
      <c r="JJ129" s="236"/>
      <c r="JK129" s="236"/>
      <c r="JL129" s="236"/>
      <c r="JM129" s="236"/>
      <c r="JN129" s="236"/>
      <c r="JO129" s="236"/>
      <c r="JP129" s="236"/>
      <c r="JQ129" s="236"/>
      <c r="JR129" s="236"/>
      <c r="JS129" s="236"/>
      <c r="JT129" s="236"/>
      <c r="JU129" s="236"/>
      <c r="JV129" s="236"/>
      <c r="JW129" s="236"/>
      <c r="JX129" s="409"/>
      <c r="JY129" s="409"/>
      <c r="JZ129" s="409"/>
      <c r="KA129" s="409"/>
      <c r="KB129" s="409"/>
      <c r="KC129" s="409"/>
      <c r="KD129" s="409"/>
      <c r="KE129" s="409"/>
      <c r="KF129" s="409"/>
      <c r="KG129" s="410"/>
    </row>
    <row r="130" spans="3:293" ht="24" customHeight="1">
      <c r="C130"/>
      <c r="D130" s="57">
        <f ca="1">INDIRECT(ADDRESS(ROWS($D$3:D129)+6,D$3,1,1,"3_TIME SUM"))</f>
        <v>0</v>
      </c>
      <c r="E130" s="81" t="str">
        <f ca="1">IF(INDIRECT(ADDRESS(ROWS($E$3:E129)+6,E$3,1,1,"3_TIME SUM"))=0,E129,INDIRECT(ADDRESS(ROWS($E$3:E129)+6,E$3,1,1,"3_TIME SUM")))</f>
        <v>X-Mastree</v>
      </c>
      <c r="F130" s="57" t="str">
        <f t="shared" ca="1" si="24"/>
        <v>X-Mastree : 0</v>
      </c>
      <c r="G130" s="58" t="e">
        <f ca="1">VLOOKUP($D130,INDIRECT(ADDRESS(7,5,1,1,"3_TIME SUM")):INDIRECT(ADDRESS(200,7,1,1,"3_TIME SUM")),2,FALSE)</f>
        <v>#N/A</v>
      </c>
      <c r="H130" s="58" t="e">
        <f ca="1">IF(VLOOKUP($D130,INDIRECT(ADDRESS(7,5,1,1,"3_TIME SUM")):INDIRECT(ADDRESS(200,7,1,1,"3_TIME SUM")),3,FALSE)="","PT",VLOOKUP($D130,INDIRECT(ADDRESS(7,5,1,1,"3_TIME SUM")):INDIRECT(ADDRESS(200,7,1,1,"3_TIME SUM")),3,FALSE))</f>
        <v>#N/A</v>
      </c>
      <c r="I130" s="59">
        <f ca="1">IFERROR(IF(AND($D$2="NON PRODUCTIVE TIME",$H130="NPT"),SUMIF(INDIRECT(ADDRESS(8,COLUMN('2_DATA'!$M$9),1,1,"2_DATA")):INDIRECT(ADDRESS(3000,COLUMN('2_DATA'!$M$9),1,1,"2_DATA")),$G130,INDIRECT(ADDRESS(8,COLUMN('2_DATA'!$N$9),1,1,"2_DATA")):INDIRECT(ADDRESS(3000,COLUMN('2_DATA'!$N$9),1,1,"2_DATA"))),IF($D$2="ALL ACTIVITY",SUMIF(INDIRECT(ADDRESS(9,COLUMN('2_DATA'!$M$9),1,1,"2_DATA")):INDIRECT(ADDRESS(3000,COLUMN('2_DATA'!$M$9),1,1,"2_DATA")),$G130,INDIRECT(ADDRESS(9,COLUMN('2_DATA'!$N$9),1,1,"2_DATA")):INDIRECT(ADDRESS(3000,COLUMN('2_DATA'!$N$9),1,1,"2_DATA"))),SUMIF(INDIRECT(ADDRESS(OFFSET($A$3,MATCH($D$2,$A$4:$A$16,0)-1,1,,)+1,COLUMN('2_DATA'!$M$9),1,1,"2_DATA")):INDIRECT(ADDRESS(VLOOKUP($D$2,$A$4:$B$16,2,FALSE)-1,COLUMN('2_DATA'!$M$9),1,1,"2_DATA")),$G130,INDIRECT(ADDRESS(OFFSET($A$3,MATCH($D$2,$A$4:$A$16,0)-1,1,,)+1,COLUMN('2_DATA'!$N$9),1,1,"2_DATA")):INDIRECT(ADDRESS(VLOOKUP($D$2,$A$4:$B$16,2,FALSE)-1,COLUMN('2_DATA'!$N$9),1,1,"2_DATA"))))),0)</f>
        <v>0</v>
      </c>
      <c r="J130" s="58" t="str">
        <f ca="1">IF(I130=0,"",MAX($J$3:J129)+1)</f>
        <v/>
      </c>
      <c r="L130" s="55" t="str">
        <f t="shared" ca="1" si="21"/>
        <v/>
      </c>
      <c r="M130" s="55" t="str">
        <f t="shared" ca="1" si="25"/>
        <v/>
      </c>
      <c r="N130" s="55"/>
      <c r="O130" s="55" t="str">
        <f t="shared" ca="1" si="29"/>
        <v/>
      </c>
      <c r="P130" s="55">
        <f t="shared" ca="1" si="22"/>
        <v>0</v>
      </c>
      <c r="Q130" s="55" t="str">
        <f ca="1">IFERROR(INDEX($O$4:$P$226,MATCH(ROWS($Q$3:Q129),$P$4:$P$226,0),1),"-")</f>
        <v>-</v>
      </c>
      <c r="R130" s="62" t="str">
        <f t="shared" ca="1" si="23"/>
        <v/>
      </c>
      <c r="S130" s="55" t="str">
        <f t="shared" ca="1" si="26"/>
        <v/>
      </c>
      <c r="T130" s="67" t="str">
        <f t="shared" ca="1" si="38"/>
        <v>-</v>
      </c>
      <c r="V130" s="68" t="str">
        <f t="shared" ca="1" si="30"/>
        <v/>
      </c>
      <c r="W130" s="69" t="str">
        <f t="shared" ca="1" si="31"/>
        <v/>
      </c>
      <c r="X130" s="70" t="s">
        <v>84</v>
      </c>
      <c r="Y130" s="68" t="str">
        <f t="shared" ca="1" si="35"/>
        <v/>
      </c>
      <c r="Z130" s="71" t="str">
        <f t="shared" ca="1" si="32"/>
        <v/>
      </c>
      <c r="AA130" s="72" t="str">
        <f t="shared" ca="1" si="33"/>
        <v/>
      </c>
      <c r="AB130" s="72" t="str">
        <f t="shared" ca="1" si="34"/>
        <v/>
      </c>
      <c r="AC130" s="236"/>
      <c r="AD130" s="236"/>
      <c r="AE130" s="236"/>
      <c r="AF130" s="236"/>
      <c r="AG130" s="236"/>
      <c r="AH130" s="236"/>
      <c r="AI130" s="236"/>
      <c r="AJ130" s="236"/>
      <c r="AK130" s="236"/>
      <c r="AL130" s="236"/>
      <c r="AM130" s="236"/>
      <c r="AN130" s="236"/>
      <c r="AO130" s="236"/>
      <c r="AP130" s="236"/>
      <c r="AQ130" s="236"/>
      <c r="AR130" s="236"/>
      <c r="AS130" s="236"/>
      <c r="AT130" s="236"/>
      <c r="AU130" s="236"/>
      <c r="AV130" s="236"/>
      <c r="AW130" s="236"/>
      <c r="AX130" s="236"/>
      <c r="AY130" s="236"/>
      <c r="AZ130" s="236"/>
      <c r="BA130" s="236"/>
      <c r="BB130" s="236"/>
      <c r="BC130" s="236"/>
      <c r="BD130" s="236"/>
      <c r="BE130" s="236"/>
      <c r="BF130" s="236"/>
      <c r="BG130" s="236"/>
      <c r="BH130" s="236"/>
      <c r="BI130" s="236"/>
      <c r="BJ130" s="236"/>
      <c r="BK130" s="236"/>
      <c r="BL130" s="236"/>
      <c r="BM130" s="236"/>
      <c r="BN130" s="236"/>
      <c r="BO130" s="236"/>
      <c r="BP130" s="236"/>
      <c r="BQ130" s="236"/>
      <c r="BR130" s="236"/>
      <c r="BS130" s="236"/>
      <c r="BT130" s="236"/>
      <c r="BU130" s="236"/>
      <c r="BV130" s="236"/>
      <c r="BW130" s="236"/>
      <c r="BX130" s="236"/>
      <c r="BY130" s="236"/>
      <c r="BZ130" s="236"/>
      <c r="CA130" s="236"/>
      <c r="CB130" s="236"/>
      <c r="CC130" s="236"/>
      <c r="CD130" s="236"/>
      <c r="CE130" s="236"/>
      <c r="CF130" s="236"/>
      <c r="CG130" s="236"/>
      <c r="CH130" s="236"/>
      <c r="CI130" s="236"/>
      <c r="CJ130" s="236"/>
      <c r="CK130" s="236"/>
      <c r="CL130" s="236"/>
      <c r="CM130" s="236"/>
      <c r="CN130" s="236"/>
      <c r="CO130" s="236"/>
      <c r="CP130" s="236"/>
      <c r="CQ130" s="236"/>
      <c r="CR130" s="236"/>
      <c r="CS130" s="236"/>
      <c r="CT130" s="236"/>
      <c r="CU130" s="236"/>
      <c r="CV130" s="236"/>
      <c r="CW130" s="236"/>
      <c r="CX130" s="236"/>
      <c r="CY130" s="236"/>
      <c r="CZ130" s="236"/>
      <c r="DA130" s="236"/>
      <c r="DB130" s="236"/>
      <c r="DC130" s="236"/>
      <c r="DD130" s="236"/>
      <c r="DE130" s="236"/>
      <c r="DF130" s="236"/>
      <c r="DG130" s="236"/>
      <c r="DH130" s="236"/>
      <c r="DI130" s="236"/>
      <c r="DJ130" s="236"/>
      <c r="DK130" s="236"/>
      <c r="DL130" s="236"/>
      <c r="DM130" s="236"/>
      <c r="DN130" s="236"/>
      <c r="DO130" s="236"/>
      <c r="DP130" s="236"/>
      <c r="DQ130" s="236"/>
      <c r="DR130" s="236"/>
      <c r="DS130" s="236"/>
      <c r="DT130" s="236"/>
      <c r="DU130" s="236"/>
      <c r="DV130" s="236"/>
      <c r="DW130" s="236"/>
      <c r="DX130" s="236"/>
      <c r="DY130" s="236"/>
      <c r="DZ130" s="236"/>
      <c r="EA130" s="236"/>
      <c r="EB130" s="236"/>
      <c r="EC130" s="236"/>
      <c r="ED130" s="236"/>
      <c r="EE130" s="236"/>
      <c r="EF130" s="236"/>
      <c r="EG130" s="236"/>
      <c r="EH130" s="236"/>
      <c r="EI130" s="236"/>
      <c r="EJ130" s="236"/>
      <c r="EK130" s="236"/>
      <c r="EL130" s="236"/>
      <c r="EM130" s="236"/>
      <c r="EN130" s="236"/>
      <c r="EO130" s="236"/>
      <c r="EP130" s="236"/>
      <c r="EQ130" s="236"/>
      <c r="ER130" s="236"/>
      <c r="ES130" s="236"/>
      <c r="ET130" s="236"/>
      <c r="EU130" s="236"/>
      <c r="EV130" s="236"/>
      <c r="EW130" s="236"/>
      <c r="EX130" s="236"/>
      <c r="EY130" s="236"/>
      <c r="EZ130" s="236"/>
      <c r="FA130" s="236"/>
      <c r="FB130" s="236"/>
      <c r="FC130" s="236"/>
      <c r="FD130" s="236"/>
      <c r="FE130" s="236"/>
      <c r="FF130" s="236"/>
      <c r="FG130" s="236"/>
      <c r="FH130" s="236"/>
      <c r="FI130" s="236"/>
      <c r="FJ130" s="236"/>
      <c r="FK130" s="236"/>
      <c r="FL130" s="236"/>
      <c r="FM130" s="236"/>
      <c r="FN130" s="236"/>
      <c r="FO130" s="236"/>
      <c r="FP130" s="236"/>
      <c r="FQ130" s="236"/>
      <c r="FR130" s="236"/>
      <c r="FS130" s="236"/>
      <c r="FT130" s="236"/>
      <c r="FU130" s="236"/>
      <c r="FV130" s="236"/>
      <c r="FW130" s="236"/>
      <c r="FX130" s="236"/>
      <c r="FY130" s="236"/>
      <c r="FZ130" s="236"/>
      <c r="GA130" s="236"/>
      <c r="GB130" s="236"/>
      <c r="GC130" s="236"/>
      <c r="GD130" s="236"/>
      <c r="GE130" s="236"/>
      <c r="GF130" s="236"/>
      <c r="GG130" s="236"/>
      <c r="GH130" s="236"/>
      <c r="GI130" s="236"/>
      <c r="GJ130" s="236"/>
      <c r="GK130" s="236"/>
      <c r="GL130" s="236"/>
      <c r="GM130" s="236"/>
      <c r="GN130" s="236"/>
      <c r="GO130" s="236"/>
      <c r="GP130" s="236"/>
      <c r="GQ130" s="236"/>
      <c r="GR130" s="236"/>
      <c r="GS130" s="236"/>
      <c r="GT130" s="236"/>
      <c r="GU130" s="236"/>
      <c r="GV130" s="236"/>
      <c r="GW130" s="236"/>
      <c r="GX130" s="236"/>
      <c r="GY130" s="236"/>
      <c r="GZ130" s="236"/>
      <c r="HA130" s="236"/>
      <c r="HB130" s="236"/>
      <c r="HC130" s="236"/>
      <c r="HD130" s="236"/>
      <c r="HE130" s="236"/>
      <c r="HF130" s="236"/>
      <c r="HG130" s="236"/>
      <c r="HH130" s="236"/>
      <c r="HI130" s="236"/>
      <c r="HJ130" s="236"/>
      <c r="HK130" s="236"/>
      <c r="HL130" s="236"/>
      <c r="HM130" s="236"/>
      <c r="HN130" s="236"/>
      <c r="HO130" s="236"/>
      <c r="HP130" s="236"/>
      <c r="HQ130" s="236"/>
      <c r="HR130" s="236"/>
      <c r="HS130" s="236"/>
      <c r="HT130" s="236"/>
      <c r="HU130" s="236"/>
      <c r="HV130" s="236"/>
      <c r="HW130" s="236"/>
      <c r="HX130" s="236"/>
      <c r="HY130" s="236"/>
      <c r="HZ130" s="236"/>
      <c r="IA130" s="236"/>
      <c r="IB130" s="236"/>
      <c r="IC130" s="236"/>
      <c r="ID130" s="236"/>
      <c r="IE130" s="236"/>
      <c r="IF130" s="236"/>
      <c r="IG130" s="236"/>
      <c r="IH130" s="236"/>
      <c r="II130" s="236"/>
      <c r="IJ130" s="236"/>
      <c r="IK130" s="236"/>
      <c r="IL130" s="236"/>
      <c r="IM130" s="236"/>
      <c r="IN130" s="236"/>
      <c r="IO130" s="236"/>
      <c r="IP130" s="236"/>
      <c r="IQ130" s="236"/>
      <c r="IR130" s="236"/>
      <c r="IS130" s="236"/>
      <c r="IT130" s="236"/>
      <c r="IU130" s="236"/>
      <c r="IV130" s="236"/>
      <c r="IW130" s="236"/>
      <c r="IX130" s="236"/>
      <c r="IY130" s="236"/>
      <c r="IZ130" s="236"/>
      <c r="JA130" s="236"/>
      <c r="JB130" s="236"/>
      <c r="JC130" s="236"/>
      <c r="JD130" s="236"/>
      <c r="JE130" s="236"/>
      <c r="JF130" s="236"/>
      <c r="JG130" s="236"/>
      <c r="JH130" s="236"/>
      <c r="JI130" s="236"/>
      <c r="JJ130" s="236"/>
      <c r="JK130" s="236"/>
      <c r="JL130" s="236"/>
      <c r="JM130" s="236"/>
      <c r="JN130" s="236"/>
      <c r="JO130" s="236"/>
      <c r="JP130" s="236"/>
      <c r="JQ130" s="236"/>
      <c r="JR130" s="236"/>
      <c r="JS130" s="236"/>
      <c r="JT130" s="236"/>
      <c r="JU130" s="236"/>
      <c r="JV130" s="236"/>
      <c r="JW130" s="236"/>
      <c r="JX130" s="409"/>
      <c r="JY130" s="409"/>
      <c r="JZ130" s="409"/>
      <c r="KA130" s="409"/>
      <c r="KB130" s="409"/>
      <c r="KC130" s="409"/>
      <c r="KD130" s="409"/>
      <c r="KE130" s="409"/>
      <c r="KF130" s="409"/>
      <c r="KG130" s="410"/>
    </row>
    <row r="131" spans="3:293" ht="24" customHeight="1">
      <c r="C131"/>
      <c r="D131" s="57">
        <f ca="1">INDIRECT(ADDRESS(ROWS($D$3:D130)+6,D$3,1,1,"3_TIME SUM"))</f>
        <v>0</v>
      </c>
      <c r="E131" s="81" t="str">
        <f ca="1">IF(INDIRECT(ADDRESS(ROWS($E$3:E130)+6,E$3,1,1,"3_TIME SUM"))=0,E130,INDIRECT(ADDRESS(ROWS($E$3:E130)+6,E$3,1,1,"3_TIME SUM")))</f>
        <v>X-Mastree</v>
      </c>
      <c r="F131" s="57" t="str">
        <f t="shared" ca="1" si="24"/>
        <v>X-Mastree : 0</v>
      </c>
      <c r="G131" s="58" t="e">
        <f ca="1">VLOOKUP($D131,INDIRECT(ADDRESS(7,5,1,1,"3_TIME SUM")):INDIRECT(ADDRESS(200,7,1,1,"3_TIME SUM")),2,FALSE)</f>
        <v>#N/A</v>
      </c>
      <c r="H131" s="58" t="e">
        <f ca="1">IF(VLOOKUP($D131,INDIRECT(ADDRESS(7,5,1,1,"3_TIME SUM")):INDIRECT(ADDRESS(200,7,1,1,"3_TIME SUM")),3,FALSE)="","PT",VLOOKUP($D131,INDIRECT(ADDRESS(7,5,1,1,"3_TIME SUM")):INDIRECT(ADDRESS(200,7,1,1,"3_TIME SUM")),3,FALSE))</f>
        <v>#N/A</v>
      </c>
      <c r="I131" s="59">
        <f ca="1">IFERROR(IF(AND($D$2="NON PRODUCTIVE TIME",$H131="NPT"),SUMIF(INDIRECT(ADDRESS(8,COLUMN('2_DATA'!$M$9),1,1,"2_DATA")):INDIRECT(ADDRESS(3000,COLUMN('2_DATA'!$M$9),1,1,"2_DATA")),$G131,INDIRECT(ADDRESS(8,COLUMN('2_DATA'!$N$9),1,1,"2_DATA")):INDIRECT(ADDRESS(3000,COLUMN('2_DATA'!$N$9),1,1,"2_DATA"))),IF($D$2="ALL ACTIVITY",SUMIF(INDIRECT(ADDRESS(9,COLUMN('2_DATA'!$M$9),1,1,"2_DATA")):INDIRECT(ADDRESS(3000,COLUMN('2_DATA'!$M$9),1,1,"2_DATA")),$G131,INDIRECT(ADDRESS(9,COLUMN('2_DATA'!$N$9),1,1,"2_DATA")):INDIRECT(ADDRESS(3000,COLUMN('2_DATA'!$N$9),1,1,"2_DATA"))),SUMIF(INDIRECT(ADDRESS(OFFSET($A$3,MATCH($D$2,$A$4:$A$16,0)-1,1,,)+1,COLUMN('2_DATA'!$M$9),1,1,"2_DATA")):INDIRECT(ADDRESS(VLOOKUP($D$2,$A$4:$B$16,2,FALSE)-1,COLUMN('2_DATA'!$M$9),1,1,"2_DATA")),$G131,INDIRECT(ADDRESS(OFFSET($A$3,MATCH($D$2,$A$4:$A$16,0)-1,1,,)+1,COLUMN('2_DATA'!$N$9),1,1,"2_DATA")):INDIRECT(ADDRESS(VLOOKUP($D$2,$A$4:$B$16,2,FALSE)-1,COLUMN('2_DATA'!$N$9),1,1,"2_DATA"))))),0)</f>
        <v>0</v>
      </c>
      <c r="J131" s="58" t="str">
        <f ca="1">IF(I131=0,"",MAX($J$3:J130)+1)</f>
        <v/>
      </c>
      <c r="L131" s="55" t="str">
        <f t="shared" ca="1" si="21"/>
        <v/>
      </c>
      <c r="M131" s="55" t="str">
        <f t="shared" ca="1" si="25"/>
        <v/>
      </c>
      <c r="N131" s="55"/>
      <c r="O131" s="55" t="str">
        <f t="shared" ca="1" si="29"/>
        <v/>
      </c>
      <c r="P131" s="55">
        <f t="shared" ca="1" si="22"/>
        <v>0</v>
      </c>
      <c r="Q131" s="55" t="str">
        <f ca="1">IFERROR(INDEX($O$4:$P$226,MATCH(ROWS($Q$3:Q130),$P$4:$P$226,0),1),"-")</f>
        <v>-</v>
      </c>
      <c r="R131" s="62" t="str">
        <f t="shared" ca="1" si="23"/>
        <v/>
      </c>
      <c r="S131" s="55" t="str">
        <f t="shared" ca="1" si="26"/>
        <v/>
      </c>
      <c r="T131" s="67" t="str">
        <f t="shared" ca="1" si="38"/>
        <v>-</v>
      </c>
      <c r="V131" s="68" t="str">
        <f t="shared" ca="1" si="30"/>
        <v/>
      </c>
      <c r="W131" s="69" t="str">
        <f t="shared" ca="1" si="31"/>
        <v/>
      </c>
      <c r="X131" s="70" t="s">
        <v>84</v>
      </c>
      <c r="Y131" s="68" t="str">
        <f t="shared" ca="1" si="35"/>
        <v/>
      </c>
      <c r="Z131" s="71" t="str">
        <f t="shared" ca="1" si="32"/>
        <v/>
      </c>
      <c r="AA131" s="72" t="str">
        <f t="shared" ca="1" si="33"/>
        <v/>
      </c>
      <c r="AB131" s="72" t="str">
        <f t="shared" ca="1" si="34"/>
        <v/>
      </c>
      <c r="AC131" s="236"/>
      <c r="AD131" s="236"/>
      <c r="AE131" s="236"/>
      <c r="AF131" s="236"/>
      <c r="AG131" s="236"/>
      <c r="AH131" s="236"/>
      <c r="AI131" s="236"/>
      <c r="AJ131" s="236"/>
      <c r="AK131" s="236"/>
      <c r="AL131" s="236"/>
      <c r="AM131" s="236"/>
      <c r="AN131" s="236"/>
      <c r="AO131" s="236"/>
      <c r="AP131" s="236"/>
      <c r="AQ131" s="236"/>
      <c r="AR131" s="236"/>
      <c r="AS131" s="236"/>
      <c r="AT131" s="236"/>
      <c r="AU131" s="236"/>
      <c r="AV131" s="236"/>
      <c r="AW131" s="236"/>
      <c r="AX131" s="236"/>
      <c r="AY131" s="236"/>
      <c r="AZ131" s="236"/>
      <c r="BA131" s="236"/>
      <c r="BB131" s="236"/>
      <c r="BC131" s="236"/>
      <c r="BD131" s="236"/>
      <c r="BE131" s="236"/>
      <c r="BF131" s="236"/>
      <c r="BG131" s="236"/>
      <c r="BH131" s="236"/>
      <c r="BI131" s="236"/>
      <c r="BJ131" s="236"/>
      <c r="BK131" s="236"/>
      <c r="BL131" s="236"/>
      <c r="BM131" s="236"/>
      <c r="BN131" s="236"/>
      <c r="BO131" s="236"/>
      <c r="BP131" s="236"/>
      <c r="BQ131" s="236"/>
      <c r="BR131" s="236"/>
      <c r="BS131" s="236"/>
      <c r="BT131" s="236"/>
      <c r="BU131" s="236"/>
      <c r="BV131" s="236"/>
      <c r="BW131" s="236"/>
      <c r="BX131" s="236"/>
      <c r="BY131" s="236"/>
      <c r="BZ131" s="236"/>
      <c r="CA131" s="236"/>
      <c r="CB131" s="236"/>
      <c r="CC131" s="236"/>
      <c r="CD131" s="236"/>
      <c r="CE131" s="236"/>
      <c r="CF131" s="236"/>
      <c r="CG131" s="236"/>
      <c r="CH131" s="236"/>
      <c r="CI131" s="236"/>
      <c r="CJ131" s="236"/>
      <c r="CK131" s="236"/>
      <c r="CL131" s="236"/>
      <c r="CM131" s="236"/>
      <c r="CN131" s="236"/>
      <c r="CO131" s="236"/>
      <c r="CP131" s="236"/>
      <c r="CQ131" s="236"/>
      <c r="CR131" s="236"/>
      <c r="CS131" s="236"/>
      <c r="CT131" s="236"/>
      <c r="CU131" s="236"/>
      <c r="CV131" s="236"/>
      <c r="CW131" s="236"/>
      <c r="CX131" s="236"/>
      <c r="CY131" s="236"/>
      <c r="CZ131" s="236"/>
      <c r="DA131" s="236"/>
      <c r="DB131" s="236"/>
      <c r="DC131" s="236"/>
      <c r="DD131" s="236"/>
      <c r="DE131" s="236"/>
      <c r="DF131" s="236"/>
      <c r="DG131" s="236"/>
      <c r="DH131" s="236"/>
      <c r="DI131" s="236"/>
      <c r="DJ131" s="236"/>
      <c r="DK131" s="236"/>
      <c r="DL131" s="236"/>
      <c r="DM131" s="236"/>
      <c r="DN131" s="236"/>
      <c r="DO131" s="236"/>
      <c r="DP131" s="236"/>
      <c r="DQ131" s="236"/>
      <c r="DR131" s="236"/>
      <c r="DS131" s="236"/>
      <c r="DT131" s="236"/>
      <c r="DU131" s="236"/>
      <c r="DV131" s="236"/>
      <c r="DW131" s="236"/>
      <c r="DX131" s="236"/>
      <c r="DY131" s="236"/>
      <c r="DZ131" s="236"/>
      <c r="EA131" s="236"/>
      <c r="EB131" s="236"/>
      <c r="EC131" s="236"/>
      <c r="ED131" s="236"/>
      <c r="EE131" s="236"/>
      <c r="EF131" s="236"/>
      <c r="EG131" s="236"/>
      <c r="EH131" s="236"/>
      <c r="EI131" s="236"/>
      <c r="EJ131" s="236"/>
      <c r="EK131" s="236"/>
      <c r="EL131" s="236"/>
      <c r="EM131" s="236"/>
      <c r="EN131" s="236"/>
      <c r="EO131" s="236"/>
      <c r="EP131" s="236"/>
      <c r="EQ131" s="236"/>
      <c r="ER131" s="236"/>
      <c r="ES131" s="236"/>
      <c r="ET131" s="236"/>
      <c r="EU131" s="236"/>
      <c r="EV131" s="236"/>
      <c r="EW131" s="236"/>
      <c r="EX131" s="236"/>
      <c r="EY131" s="236"/>
      <c r="EZ131" s="236"/>
      <c r="FA131" s="236"/>
      <c r="FB131" s="236"/>
      <c r="FC131" s="236"/>
      <c r="FD131" s="236"/>
      <c r="FE131" s="236"/>
      <c r="FF131" s="236"/>
      <c r="FG131" s="236"/>
      <c r="FH131" s="236"/>
      <c r="FI131" s="236"/>
      <c r="FJ131" s="236"/>
      <c r="FK131" s="236"/>
      <c r="FL131" s="236"/>
      <c r="FM131" s="236"/>
      <c r="FN131" s="236"/>
      <c r="FO131" s="236"/>
      <c r="FP131" s="236"/>
      <c r="FQ131" s="236"/>
      <c r="FR131" s="236"/>
      <c r="FS131" s="236"/>
      <c r="FT131" s="236"/>
      <c r="FU131" s="236"/>
      <c r="FV131" s="236"/>
      <c r="FW131" s="236"/>
      <c r="FX131" s="236"/>
      <c r="FY131" s="236"/>
      <c r="FZ131" s="236"/>
      <c r="GA131" s="236"/>
      <c r="GB131" s="236"/>
      <c r="GC131" s="236"/>
      <c r="GD131" s="236"/>
      <c r="GE131" s="236"/>
      <c r="GF131" s="236"/>
      <c r="GG131" s="236"/>
      <c r="GH131" s="236"/>
      <c r="GI131" s="236"/>
      <c r="GJ131" s="236"/>
      <c r="GK131" s="236"/>
      <c r="GL131" s="236"/>
      <c r="GM131" s="236"/>
      <c r="GN131" s="236"/>
      <c r="GO131" s="236"/>
      <c r="GP131" s="236"/>
      <c r="GQ131" s="236"/>
      <c r="GR131" s="236"/>
      <c r="GS131" s="236"/>
      <c r="GT131" s="236"/>
      <c r="GU131" s="236"/>
      <c r="GV131" s="236"/>
      <c r="GW131" s="236"/>
      <c r="GX131" s="236"/>
      <c r="GY131" s="236"/>
      <c r="GZ131" s="236"/>
      <c r="HA131" s="236"/>
      <c r="HB131" s="236"/>
      <c r="HC131" s="236"/>
      <c r="HD131" s="236"/>
      <c r="HE131" s="236"/>
      <c r="HF131" s="236"/>
      <c r="HG131" s="236"/>
      <c r="HH131" s="236"/>
      <c r="HI131" s="236"/>
      <c r="HJ131" s="236"/>
      <c r="HK131" s="236"/>
      <c r="HL131" s="236"/>
      <c r="HM131" s="236"/>
      <c r="HN131" s="236"/>
      <c r="HO131" s="236"/>
      <c r="HP131" s="236"/>
      <c r="HQ131" s="236"/>
      <c r="HR131" s="236"/>
      <c r="HS131" s="236"/>
      <c r="HT131" s="236"/>
      <c r="HU131" s="236"/>
      <c r="HV131" s="236"/>
      <c r="HW131" s="236"/>
      <c r="HX131" s="236"/>
      <c r="HY131" s="236"/>
      <c r="HZ131" s="236"/>
      <c r="IA131" s="236"/>
      <c r="IB131" s="236"/>
      <c r="IC131" s="236"/>
      <c r="ID131" s="236"/>
      <c r="IE131" s="236"/>
      <c r="IF131" s="236"/>
      <c r="IG131" s="236"/>
      <c r="IH131" s="236"/>
      <c r="II131" s="236"/>
      <c r="IJ131" s="236"/>
      <c r="IK131" s="236"/>
      <c r="IL131" s="236"/>
      <c r="IM131" s="236"/>
      <c r="IN131" s="236"/>
      <c r="IO131" s="236"/>
      <c r="IP131" s="236"/>
      <c r="IQ131" s="236"/>
      <c r="IR131" s="236"/>
      <c r="IS131" s="236"/>
      <c r="IT131" s="236"/>
      <c r="IU131" s="236"/>
      <c r="IV131" s="236"/>
      <c r="IW131" s="236"/>
      <c r="IX131" s="236"/>
      <c r="IY131" s="236"/>
      <c r="IZ131" s="236"/>
      <c r="JA131" s="236"/>
      <c r="JB131" s="236"/>
      <c r="JC131" s="236"/>
      <c r="JD131" s="236"/>
      <c r="JE131" s="236"/>
      <c r="JF131" s="236"/>
      <c r="JG131" s="236"/>
      <c r="JH131" s="236"/>
      <c r="JI131" s="236"/>
      <c r="JJ131" s="236"/>
      <c r="JK131" s="236"/>
      <c r="JL131" s="236"/>
      <c r="JM131" s="236"/>
      <c r="JN131" s="236"/>
      <c r="JO131" s="236"/>
      <c r="JP131" s="236"/>
      <c r="JQ131" s="236"/>
      <c r="JR131" s="236"/>
      <c r="JS131" s="236"/>
      <c r="JT131" s="236"/>
      <c r="JU131" s="236"/>
      <c r="JV131" s="236"/>
      <c r="JW131" s="236"/>
      <c r="JX131" s="409"/>
      <c r="JY131" s="409"/>
      <c r="JZ131" s="409"/>
      <c r="KA131" s="409"/>
      <c r="KB131" s="409"/>
      <c r="KC131" s="409"/>
      <c r="KD131" s="409"/>
      <c r="KE131" s="409"/>
      <c r="KF131" s="409"/>
      <c r="KG131" s="410"/>
    </row>
    <row r="132" spans="3:293" ht="24" customHeight="1">
      <c r="C132"/>
      <c r="D132" s="57">
        <f ca="1">INDIRECT(ADDRESS(ROWS($D$3:D131)+6,D$3,1,1,"3_TIME SUM"))</f>
        <v>0</v>
      </c>
      <c r="E132" s="81" t="str">
        <f ca="1">IF(INDIRECT(ADDRESS(ROWS($E$3:E131)+6,E$3,1,1,"3_TIME SUM"))=0,E131,INDIRECT(ADDRESS(ROWS($E$3:E131)+6,E$3,1,1,"3_TIME SUM")))</f>
        <v>X-Mastree</v>
      </c>
      <c r="F132" s="57" t="str">
        <f t="shared" ca="1" si="24"/>
        <v>X-Mastree : 0</v>
      </c>
      <c r="G132" s="58" t="e">
        <f ca="1">VLOOKUP($D132,INDIRECT(ADDRESS(7,5,1,1,"3_TIME SUM")):INDIRECT(ADDRESS(200,7,1,1,"3_TIME SUM")),2,FALSE)</f>
        <v>#N/A</v>
      </c>
      <c r="H132" s="58" t="e">
        <f ca="1">IF(VLOOKUP($D132,INDIRECT(ADDRESS(7,5,1,1,"3_TIME SUM")):INDIRECT(ADDRESS(200,7,1,1,"3_TIME SUM")),3,FALSE)="","PT",VLOOKUP($D132,INDIRECT(ADDRESS(7,5,1,1,"3_TIME SUM")):INDIRECT(ADDRESS(200,7,1,1,"3_TIME SUM")),3,FALSE))</f>
        <v>#N/A</v>
      </c>
      <c r="I132" s="59">
        <f ca="1">IFERROR(IF(AND($D$2="NON PRODUCTIVE TIME",$H132="NPT"),SUMIF(INDIRECT(ADDRESS(8,COLUMN('2_DATA'!$M$9),1,1,"2_DATA")):INDIRECT(ADDRESS(3000,COLUMN('2_DATA'!$M$9),1,1,"2_DATA")),$G132,INDIRECT(ADDRESS(8,COLUMN('2_DATA'!$N$9),1,1,"2_DATA")):INDIRECT(ADDRESS(3000,COLUMN('2_DATA'!$N$9),1,1,"2_DATA"))),IF($D$2="ALL ACTIVITY",SUMIF(INDIRECT(ADDRESS(9,COLUMN('2_DATA'!$M$9),1,1,"2_DATA")):INDIRECT(ADDRESS(3000,COLUMN('2_DATA'!$M$9),1,1,"2_DATA")),$G132,INDIRECT(ADDRESS(9,COLUMN('2_DATA'!$N$9),1,1,"2_DATA")):INDIRECT(ADDRESS(3000,COLUMN('2_DATA'!$N$9),1,1,"2_DATA"))),SUMIF(INDIRECT(ADDRESS(OFFSET($A$3,MATCH($D$2,$A$4:$A$16,0)-1,1,,)+1,COLUMN('2_DATA'!$M$9),1,1,"2_DATA")):INDIRECT(ADDRESS(VLOOKUP($D$2,$A$4:$B$16,2,FALSE)-1,COLUMN('2_DATA'!$M$9),1,1,"2_DATA")),$G132,INDIRECT(ADDRESS(OFFSET($A$3,MATCH($D$2,$A$4:$A$16,0)-1,1,,)+1,COLUMN('2_DATA'!$N$9),1,1,"2_DATA")):INDIRECT(ADDRESS(VLOOKUP($D$2,$A$4:$B$16,2,FALSE)-1,COLUMN('2_DATA'!$N$9),1,1,"2_DATA"))))),0)</f>
        <v>0</v>
      </c>
      <c r="J132" s="58" t="str">
        <f ca="1">IF(I132=0,"",MAX($J$3:J131)+1)</f>
        <v/>
      </c>
      <c r="L132" s="55" t="str">
        <f t="shared" ref="L132:L195" ca="1" si="39">IF(ISNUMBER((LEFT($G132,1))/1),1000,IF(ISTEXT((LEFT($G132,1))),2000,""))</f>
        <v/>
      </c>
      <c r="M132" s="55" t="str">
        <f t="shared" ca="1" si="25"/>
        <v/>
      </c>
      <c r="N132" s="55"/>
      <c r="O132" s="55" t="str">
        <f t="shared" ca="1" si="29"/>
        <v/>
      </c>
      <c r="P132" s="55">
        <f t="shared" ref="P132:P195" ca="1" si="40">COUNTIF($O$4:$O$226,"&lt;="&amp;O132)</f>
        <v>0</v>
      </c>
      <c r="Q132" s="55" t="str">
        <f ca="1">IFERROR(INDEX($O$4:$P$226,MATCH(ROWS($Q$3:Q131),$P$4:$P$226,0),1),"-")</f>
        <v>-</v>
      </c>
      <c r="R132" s="62" t="str">
        <f t="shared" ref="R132:R195" ca="1" si="41">IFERROR(IF(ISNA(INDEX($N$4:$O$5,MATCH(Q132,$O$4:$O$5,0),1)),INDEX($F$4:$M$226,MATCH(Q132,$M$4:$M$226,0),1),INDEX($N$4:$O$5,MATCH(Q132,$O$4:$O$5,0),1)),"")</f>
        <v/>
      </c>
      <c r="S132" s="55" t="str">
        <f t="shared" ca="1" si="26"/>
        <v/>
      </c>
      <c r="T132" s="67" t="str">
        <f t="shared" ca="1" si="38"/>
        <v>-</v>
      </c>
      <c r="V132" s="68" t="str">
        <f t="shared" ca="1" si="30"/>
        <v/>
      </c>
      <c r="W132" s="69" t="str">
        <f t="shared" ca="1" si="31"/>
        <v/>
      </c>
      <c r="X132" s="70" t="s">
        <v>84</v>
      </c>
      <c r="Y132" s="68" t="str">
        <f t="shared" ca="1" si="35"/>
        <v/>
      </c>
      <c r="Z132" s="71" t="str">
        <f t="shared" ca="1" si="32"/>
        <v/>
      </c>
      <c r="AA132" s="72" t="str">
        <f t="shared" ca="1" si="33"/>
        <v/>
      </c>
      <c r="AB132" s="72" t="str">
        <f t="shared" ca="1" si="34"/>
        <v/>
      </c>
      <c r="AC132" s="236"/>
      <c r="AD132" s="236"/>
      <c r="AE132" s="236"/>
      <c r="AF132" s="236"/>
      <c r="AG132" s="236"/>
      <c r="AH132" s="236"/>
      <c r="AI132" s="236"/>
      <c r="AJ132" s="236"/>
      <c r="AK132" s="236"/>
      <c r="AL132" s="236"/>
      <c r="AM132" s="236"/>
      <c r="AN132" s="236"/>
      <c r="AO132" s="236"/>
      <c r="AP132" s="236"/>
      <c r="AQ132" s="236"/>
      <c r="AR132" s="236"/>
      <c r="AS132" s="236"/>
      <c r="AT132" s="236"/>
      <c r="AU132" s="236"/>
      <c r="AV132" s="236"/>
      <c r="AW132" s="236"/>
      <c r="AX132" s="236"/>
      <c r="AY132" s="236"/>
      <c r="AZ132" s="236"/>
      <c r="BA132" s="236"/>
      <c r="BB132" s="236"/>
      <c r="BC132" s="236"/>
      <c r="BD132" s="236"/>
      <c r="BE132" s="236"/>
      <c r="BF132" s="236"/>
      <c r="BG132" s="236"/>
      <c r="BH132" s="236"/>
      <c r="BI132" s="236"/>
      <c r="BJ132" s="236"/>
      <c r="BK132" s="236"/>
      <c r="BL132" s="236"/>
      <c r="BM132" s="236"/>
      <c r="BN132" s="236"/>
      <c r="BO132" s="236"/>
      <c r="BP132" s="236"/>
      <c r="BQ132" s="236"/>
      <c r="BR132" s="236"/>
      <c r="BS132" s="236"/>
      <c r="BT132" s="236"/>
      <c r="BU132" s="236"/>
      <c r="BV132" s="236"/>
      <c r="BW132" s="236"/>
      <c r="BX132" s="236"/>
      <c r="BY132" s="236"/>
      <c r="BZ132" s="236"/>
      <c r="CA132" s="236"/>
      <c r="CB132" s="236"/>
      <c r="CC132" s="236"/>
      <c r="CD132" s="236"/>
      <c r="CE132" s="236"/>
      <c r="CF132" s="236"/>
      <c r="CG132" s="236"/>
      <c r="CH132" s="236"/>
      <c r="CI132" s="236"/>
      <c r="CJ132" s="236"/>
      <c r="CK132" s="236"/>
      <c r="CL132" s="236"/>
      <c r="CM132" s="236"/>
      <c r="CN132" s="236"/>
      <c r="CO132" s="236"/>
      <c r="CP132" s="236"/>
      <c r="CQ132" s="236"/>
      <c r="CR132" s="236"/>
      <c r="CS132" s="236"/>
      <c r="CT132" s="236"/>
      <c r="CU132" s="236"/>
      <c r="CV132" s="236"/>
      <c r="CW132" s="236"/>
      <c r="CX132" s="236"/>
      <c r="CY132" s="236"/>
      <c r="CZ132" s="236"/>
      <c r="DA132" s="236"/>
      <c r="DB132" s="236"/>
      <c r="DC132" s="236"/>
      <c r="DD132" s="236"/>
      <c r="DE132" s="236"/>
      <c r="DF132" s="236"/>
      <c r="DG132" s="236"/>
      <c r="DH132" s="236"/>
      <c r="DI132" s="236"/>
      <c r="DJ132" s="236"/>
      <c r="DK132" s="236"/>
      <c r="DL132" s="236"/>
      <c r="DM132" s="236"/>
      <c r="DN132" s="236"/>
      <c r="DO132" s="236"/>
      <c r="DP132" s="236"/>
      <c r="DQ132" s="236"/>
      <c r="DR132" s="236"/>
      <c r="DS132" s="236"/>
      <c r="DT132" s="236"/>
      <c r="DU132" s="236"/>
      <c r="DV132" s="236"/>
      <c r="DW132" s="236"/>
      <c r="DX132" s="236"/>
      <c r="DY132" s="236"/>
      <c r="DZ132" s="236"/>
      <c r="EA132" s="236"/>
      <c r="EB132" s="236"/>
      <c r="EC132" s="236"/>
      <c r="ED132" s="236"/>
      <c r="EE132" s="236"/>
      <c r="EF132" s="236"/>
      <c r="EG132" s="236"/>
      <c r="EH132" s="236"/>
      <c r="EI132" s="236"/>
      <c r="EJ132" s="236"/>
      <c r="EK132" s="236"/>
      <c r="EL132" s="236"/>
      <c r="EM132" s="236"/>
      <c r="EN132" s="236"/>
      <c r="EO132" s="236"/>
      <c r="EP132" s="236"/>
      <c r="EQ132" s="236"/>
      <c r="ER132" s="236"/>
      <c r="ES132" s="236"/>
      <c r="ET132" s="236"/>
      <c r="EU132" s="236"/>
      <c r="EV132" s="236"/>
      <c r="EW132" s="236"/>
      <c r="EX132" s="236"/>
      <c r="EY132" s="236"/>
      <c r="EZ132" s="236"/>
      <c r="FA132" s="236"/>
      <c r="FB132" s="236"/>
      <c r="FC132" s="236"/>
      <c r="FD132" s="236"/>
      <c r="FE132" s="236"/>
      <c r="FF132" s="236"/>
      <c r="FG132" s="236"/>
      <c r="FH132" s="236"/>
      <c r="FI132" s="236"/>
      <c r="FJ132" s="236"/>
      <c r="FK132" s="236"/>
      <c r="FL132" s="236"/>
      <c r="FM132" s="236"/>
      <c r="FN132" s="236"/>
      <c r="FO132" s="236"/>
      <c r="FP132" s="236"/>
      <c r="FQ132" s="236"/>
      <c r="FR132" s="236"/>
      <c r="FS132" s="236"/>
      <c r="FT132" s="236"/>
      <c r="FU132" s="236"/>
      <c r="FV132" s="236"/>
      <c r="FW132" s="236"/>
      <c r="FX132" s="236"/>
      <c r="FY132" s="236"/>
      <c r="FZ132" s="236"/>
      <c r="GA132" s="236"/>
      <c r="GB132" s="236"/>
      <c r="GC132" s="236"/>
      <c r="GD132" s="236"/>
      <c r="GE132" s="236"/>
      <c r="GF132" s="236"/>
      <c r="GG132" s="236"/>
      <c r="GH132" s="236"/>
      <c r="GI132" s="236"/>
      <c r="GJ132" s="236"/>
      <c r="GK132" s="236"/>
      <c r="GL132" s="236"/>
      <c r="GM132" s="236"/>
      <c r="GN132" s="236"/>
      <c r="GO132" s="236"/>
      <c r="GP132" s="236"/>
      <c r="GQ132" s="236"/>
      <c r="GR132" s="236"/>
      <c r="GS132" s="236"/>
      <c r="GT132" s="236"/>
      <c r="GU132" s="236"/>
      <c r="GV132" s="236"/>
      <c r="GW132" s="236"/>
      <c r="GX132" s="236"/>
      <c r="GY132" s="236"/>
      <c r="GZ132" s="236"/>
      <c r="HA132" s="236"/>
      <c r="HB132" s="236"/>
      <c r="HC132" s="236"/>
      <c r="HD132" s="236"/>
      <c r="HE132" s="236"/>
      <c r="HF132" s="236"/>
      <c r="HG132" s="236"/>
      <c r="HH132" s="236"/>
      <c r="HI132" s="236"/>
      <c r="HJ132" s="236"/>
      <c r="HK132" s="236"/>
      <c r="HL132" s="236"/>
      <c r="HM132" s="236"/>
      <c r="HN132" s="236"/>
      <c r="HO132" s="236"/>
      <c r="HP132" s="236"/>
      <c r="HQ132" s="236"/>
      <c r="HR132" s="236"/>
      <c r="HS132" s="236"/>
      <c r="HT132" s="236"/>
      <c r="HU132" s="236"/>
      <c r="HV132" s="236"/>
      <c r="HW132" s="236"/>
      <c r="HX132" s="236"/>
      <c r="HY132" s="236"/>
      <c r="HZ132" s="236"/>
      <c r="IA132" s="236"/>
      <c r="IB132" s="236"/>
      <c r="IC132" s="236"/>
      <c r="ID132" s="236"/>
      <c r="IE132" s="236"/>
      <c r="IF132" s="236"/>
      <c r="IG132" s="236"/>
      <c r="IH132" s="236"/>
      <c r="II132" s="236"/>
      <c r="IJ132" s="236"/>
      <c r="IK132" s="236"/>
      <c r="IL132" s="236"/>
      <c r="IM132" s="236"/>
      <c r="IN132" s="236"/>
      <c r="IO132" s="236"/>
      <c r="IP132" s="236"/>
      <c r="IQ132" s="236"/>
      <c r="IR132" s="236"/>
      <c r="IS132" s="236"/>
      <c r="IT132" s="236"/>
      <c r="IU132" s="236"/>
      <c r="IV132" s="236"/>
      <c r="IW132" s="236"/>
      <c r="IX132" s="236"/>
      <c r="IY132" s="236"/>
      <c r="IZ132" s="236"/>
      <c r="JA132" s="236"/>
      <c r="JB132" s="236"/>
      <c r="JC132" s="236"/>
      <c r="JD132" s="236"/>
      <c r="JE132" s="236"/>
      <c r="JF132" s="236"/>
      <c r="JG132" s="236"/>
      <c r="JH132" s="236"/>
      <c r="JI132" s="236"/>
      <c r="JJ132" s="236"/>
      <c r="JK132" s="236"/>
      <c r="JL132" s="236"/>
      <c r="JM132" s="236"/>
      <c r="JN132" s="236"/>
      <c r="JO132" s="236"/>
      <c r="JP132" s="236"/>
      <c r="JQ132" s="236"/>
      <c r="JR132" s="236"/>
      <c r="JS132" s="236"/>
      <c r="JT132" s="236"/>
      <c r="JU132" s="236"/>
      <c r="JV132" s="236"/>
      <c r="JW132" s="236"/>
      <c r="JX132" s="409"/>
      <c r="JY132" s="409"/>
      <c r="JZ132" s="409"/>
      <c r="KA132" s="409"/>
      <c r="KB132" s="409"/>
      <c r="KC132" s="409"/>
      <c r="KD132" s="409"/>
      <c r="KE132" s="409"/>
      <c r="KF132" s="409"/>
      <c r="KG132" s="410"/>
    </row>
    <row r="133" spans="3:293" ht="24" customHeight="1">
      <c r="C133"/>
      <c r="D133" s="57">
        <f ca="1">INDIRECT(ADDRESS(ROWS($D$3:D132)+6,D$3,1,1,"3_TIME SUM"))</f>
        <v>0</v>
      </c>
      <c r="E133" s="81" t="str">
        <f ca="1">IF(INDIRECT(ADDRESS(ROWS($E$3:E132)+6,E$3,1,1,"3_TIME SUM"))=0,E132,INDIRECT(ADDRESS(ROWS($E$3:E132)+6,E$3,1,1,"3_TIME SUM")))</f>
        <v>X-Mastree</v>
      </c>
      <c r="F133" s="57" t="str">
        <f t="shared" ref="F133:F196" ca="1" si="42">IF(D133="","",""&amp;E133&amp;" : "&amp;D133&amp;"")</f>
        <v>X-Mastree : 0</v>
      </c>
      <c r="G133" s="58" t="e">
        <f ca="1">VLOOKUP($D133,INDIRECT(ADDRESS(7,5,1,1,"3_TIME SUM")):INDIRECT(ADDRESS(200,7,1,1,"3_TIME SUM")),2,FALSE)</f>
        <v>#N/A</v>
      </c>
      <c r="H133" s="58" t="e">
        <f ca="1">IF(VLOOKUP($D133,INDIRECT(ADDRESS(7,5,1,1,"3_TIME SUM")):INDIRECT(ADDRESS(200,7,1,1,"3_TIME SUM")),3,FALSE)="","PT",VLOOKUP($D133,INDIRECT(ADDRESS(7,5,1,1,"3_TIME SUM")):INDIRECT(ADDRESS(200,7,1,1,"3_TIME SUM")),3,FALSE))</f>
        <v>#N/A</v>
      </c>
      <c r="I133" s="59">
        <f ca="1">IFERROR(IF(AND($D$2="NON PRODUCTIVE TIME",$H133="NPT"),SUMIF(INDIRECT(ADDRESS(8,COLUMN('2_DATA'!$M$9),1,1,"2_DATA")):INDIRECT(ADDRESS(3000,COLUMN('2_DATA'!$M$9),1,1,"2_DATA")),$G133,INDIRECT(ADDRESS(8,COLUMN('2_DATA'!$N$9),1,1,"2_DATA")):INDIRECT(ADDRESS(3000,COLUMN('2_DATA'!$N$9),1,1,"2_DATA"))),IF($D$2="ALL ACTIVITY",SUMIF(INDIRECT(ADDRESS(9,COLUMN('2_DATA'!$M$9),1,1,"2_DATA")):INDIRECT(ADDRESS(3000,COLUMN('2_DATA'!$M$9),1,1,"2_DATA")),$G133,INDIRECT(ADDRESS(9,COLUMN('2_DATA'!$N$9),1,1,"2_DATA")):INDIRECT(ADDRESS(3000,COLUMN('2_DATA'!$N$9),1,1,"2_DATA"))),SUMIF(INDIRECT(ADDRESS(OFFSET($A$3,MATCH($D$2,$A$4:$A$16,0)-1,1,,)+1,COLUMN('2_DATA'!$M$9),1,1,"2_DATA")):INDIRECT(ADDRESS(VLOOKUP($D$2,$A$4:$B$16,2,FALSE)-1,COLUMN('2_DATA'!$M$9),1,1,"2_DATA")),$G133,INDIRECT(ADDRESS(OFFSET($A$3,MATCH($D$2,$A$4:$A$16,0)-1,1,,)+1,COLUMN('2_DATA'!$N$9),1,1,"2_DATA")):INDIRECT(ADDRESS(VLOOKUP($D$2,$A$4:$B$16,2,FALSE)-1,COLUMN('2_DATA'!$N$9),1,1,"2_DATA"))))),0)</f>
        <v>0</v>
      </c>
      <c r="J133" s="58" t="str">
        <f ca="1">IF(I133=0,"",MAX($J$3:J132)+1)</f>
        <v/>
      </c>
      <c r="L133" s="55" t="str">
        <f t="shared" ca="1" si="39"/>
        <v/>
      </c>
      <c r="M133" s="55" t="str">
        <f t="shared" ref="M133:M196" ca="1" si="43">IFERROR(L133+J133,"")</f>
        <v/>
      </c>
      <c r="N133" s="55"/>
      <c r="O133" s="55" t="str">
        <f t="shared" ca="1" si="29"/>
        <v/>
      </c>
      <c r="P133" s="55">
        <f t="shared" ca="1" si="40"/>
        <v>0</v>
      </c>
      <c r="Q133" s="55" t="str">
        <f ca="1">IFERROR(INDEX($O$4:$P$226,MATCH(ROWS($Q$3:Q132),$P$4:$P$226,0),1),"-")</f>
        <v>-</v>
      </c>
      <c r="R133" s="62" t="str">
        <f t="shared" ca="1" si="41"/>
        <v/>
      </c>
      <c r="S133" s="55" t="str">
        <f t="shared" ref="S133:S196" ca="1" si="44">IFERROR(Q133-ROUND(Q133/1000,0)*1000,"")</f>
        <v/>
      </c>
      <c r="T133" s="67" t="str">
        <f t="shared" ca="1" si="38"/>
        <v>-</v>
      </c>
      <c r="V133" s="68" t="str">
        <f t="shared" ca="1" si="30"/>
        <v/>
      </c>
      <c r="W133" s="69" t="str">
        <f t="shared" ca="1" si="31"/>
        <v/>
      </c>
      <c r="X133" s="70" t="s">
        <v>84</v>
      </c>
      <c r="Y133" s="68" t="str">
        <f t="shared" ca="1" si="35"/>
        <v/>
      </c>
      <c r="Z133" s="71" t="str">
        <f t="shared" ca="1" si="32"/>
        <v/>
      </c>
      <c r="AA133" s="72" t="str">
        <f t="shared" ca="1" si="33"/>
        <v/>
      </c>
      <c r="AB133" s="72" t="str">
        <f t="shared" ca="1" si="34"/>
        <v/>
      </c>
      <c r="AC133" s="236"/>
      <c r="AD133" s="236"/>
      <c r="AE133" s="236"/>
      <c r="AF133" s="236"/>
      <c r="AG133" s="236"/>
      <c r="AH133" s="236"/>
      <c r="AI133" s="236"/>
      <c r="AJ133" s="236"/>
      <c r="AK133" s="236"/>
      <c r="AL133" s="236"/>
      <c r="AM133" s="236"/>
      <c r="AN133" s="236"/>
      <c r="AO133" s="236"/>
      <c r="AP133" s="236"/>
      <c r="AQ133" s="236"/>
      <c r="AR133" s="236"/>
      <c r="AS133" s="236"/>
      <c r="AT133" s="236"/>
      <c r="AU133" s="236"/>
      <c r="AV133" s="236"/>
      <c r="AW133" s="236"/>
      <c r="AX133" s="236"/>
      <c r="AY133" s="236"/>
      <c r="AZ133" s="236"/>
      <c r="BA133" s="236"/>
      <c r="BB133" s="236"/>
      <c r="BC133" s="236"/>
      <c r="BD133" s="236"/>
      <c r="BE133" s="236"/>
      <c r="BF133" s="236"/>
      <c r="BG133" s="236"/>
      <c r="BH133" s="236"/>
      <c r="BI133" s="236"/>
      <c r="BJ133" s="236"/>
      <c r="BK133" s="236"/>
      <c r="BL133" s="236"/>
      <c r="BM133" s="236"/>
      <c r="BN133" s="236"/>
      <c r="BO133" s="236"/>
      <c r="BP133" s="236"/>
      <c r="BQ133" s="236"/>
      <c r="BR133" s="236"/>
      <c r="BS133" s="236"/>
      <c r="BT133" s="236"/>
      <c r="BU133" s="236"/>
      <c r="BV133" s="236"/>
      <c r="BW133" s="236"/>
      <c r="BX133" s="236"/>
      <c r="BY133" s="236"/>
      <c r="BZ133" s="236"/>
      <c r="CA133" s="236"/>
      <c r="CB133" s="236"/>
      <c r="CC133" s="236"/>
      <c r="CD133" s="236"/>
      <c r="CE133" s="236"/>
      <c r="CF133" s="236"/>
      <c r="CG133" s="236"/>
      <c r="CH133" s="236"/>
      <c r="CI133" s="236"/>
      <c r="CJ133" s="236"/>
      <c r="CK133" s="236"/>
      <c r="CL133" s="236"/>
      <c r="CM133" s="236"/>
      <c r="CN133" s="236"/>
      <c r="CO133" s="236"/>
      <c r="CP133" s="236"/>
      <c r="CQ133" s="236"/>
      <c r="CR133" s="236"/>
      <c r="CS133" s="236"/>
      <c r="CT133" s="236"/>
      <c r="CU133" s="236"/>
      <c r="CV133" s="236"/>
      <c r="CW133" s="236"/>
      <c r="CX133" s="236"/>
      <c r="CY133" s="236"/>
      <c r="CZ133" s="236"/>
      <c r="DA133" s="236"/>
      <c r="DB133" s="236"/>
      <c r="DC133" s="236"/>
      <c r="DD133" s="236"/>
      <c r="DE133" s="236"/>
      <c r="DF133" s="236"/>
      <c r="DG133" s="236"/>
      <c r="DH133" s="236"/>
      <c r="DI133" s="236"/>
      <c r="DJ133" s="236"/>
      <c r="DK133" s="236"/>
      <c r="DL133" s="236"/>
      <c r="DM133" s="236"/>
      <c r="DN133" s="236"/>
      <c r="DO133" s="236"/>
      <c r="DP133" s="236"/>
      <c r="DQ133" s="236"/>
      <c r="DR133" s="236"/>
      <c r="DS133" s="236"/>
      <c r="DT133" s="236"/>
      <c r="DU133" s="236"/>
      <c r="DV133" s="236"/>
      <c r="DW133" s="236"/>
      <c r="DX133" s="236"/>
      <c r="DY133" s="236"/>
      <c r="DZ133" s="236"/>
      <c r="EA133" s="236"/>
      <c r="EB133" s="236"/>
      <c r="EC133" s="236"/>
      <c r="ED133" s="236"/>
      <c r="EE133" s="236"/>
      <c r="EF133" s="236"/>
      <c r="EG133" s="236"/>
      <c r="EH133" s="236"/>
      <c r="EI133" s="236"/>
      <c r="EJ133" s="236"/>
      <c r="EK133" s="236"/>
      <c r="EL133" s="236"/>
      <c r="EM133" s="236"/>
      <c r="EN133" s="236"/>
      <c r="EO133" s="236"/>
      <c r="EP133" s="236"/>
      <c r="EQ133" s="236"/>
      <c r="ER133" s="236"/>
      <c r="ES133" s="236"/>
      <c r="ET133" s="236"/>
      <c r="EU133" s="236"/>
      <c r="EV133" s="236"/>
      <c r="EW133" s="236"/>
      <c r="EX133" s="236"/>
      <c r="EY133" s="236"/>
      <c r="EZ133" s="236"/>
      <c r="FA133" s="236"/>
      <c r="FB133" s="236"/>
      <c r="FC133" s="236"/>
      <c r="FD133" s="236"/>
      <c r="FE133" s="236"/>
      <c r="FF133" s="236"/>
      <c r="FG133" s="236"/>
      <c r="FH133" s="236"/>
      <c r="FI133" s="236"/>
      <c r="FJ133" s="236"/>
      <c r="FK133" s="236"/>
      <c r="FL133" s="236"/>
      <c r="FM133" s="236"/>
      <c r="FN133" s="236"/>
      <c r="FO133" s="236"/>
      <c r="FP133" s="236"/>
      <c r="FQ133" s="236"/>
      <c r="FR133" s="236"/>
      <c r="FS133" s="236"/>
      <c r="FT133" s="236"/>
      <c r="FU133" s="236"/>
      <c r="FV133" s="236"/>
      <c r="FW133" s="236"/>
      <c r="FX133" s="236"/>
      <c r="FY133" s="236"/>
      <c r="FZ133" s="236"/>
      <c r="GA133" s="236"/>
      <c r="GB133" s="236"/>
      <c r="GC133" s="236"/>
      <c r="GD133" s="236"/>
      <c r="GE133" s="236"/>
      <c r="GF133" s="236"/>
      <c r="GG133" s="236"/>
      <c r="GH133" s="236"/>
      <c r="GI133" s="236"/>
      <c r="GJ133" s="236"/>
      <c r="GK133" s="236"/>
      <c r="GL133" s="236"/>
      <c r="GM133" s="236"/>
      <c r="GN133" s="236"/>
      <c r="GO133" s="236"/>
      <c r="GP133" s="236"/>
      <c r="GQ133" s="236"/>
      <c r="GR133" s="236"/>
      <c r="GS133" s="236"/>
      <c r="GT133" s="236"/>
      <c r="GU133" s="236"/>
      <c r="GV133" s="236"/>
      <c r="GW133" s="236"/>
      <c r="GX133" s="236"/>
      <c r="GY133" s="236"/>
      <c r="GZ133" s="236"/>
      <c r="HA133" s="236"/>
      <c r="HB133" s="236"/>
      <c r="HC133" s="236"/>
      <c r="HD133" s="236"/>
      <c r="HE133" s="236"/>
      <c r="HF133" s="236"/>
      <c r="HG133" s="236"/>
      <c r="HH133" s="236"/>
      <c r="HI133" s="236"/>
      <c r="HJ133" s="236"/>
      <c r="HK133" s="236"/>
      <c r="HL133" s="236"/>
      <c r="HM133" s="236"/>
      <c r="HN133" s="236"/>
      <c r="HO133" s="236"/>
      <c r="HP133" s="236"/>
      <c r="HQ133" s="236"/>
      <c r="HR133" s="236"/>
      <c r="HS133" s="236"/>
      <c r="HT133" s="236"/>
      <c r="HU133" s="236"/>
      <c r="HV133" s="236"/>
      <c r="HW133" s="236"/>
      <c r="HX133" s="236"/>
      <c r="HY133" s="236"/>
      <c r="HZ133" s="236"/>
      <c r="IA133" s="236"/>
      <c r="IB133" s="236"/>
      <c r="IC133" s="236"/>
      <c r="ID133" s="236"/>
      <c r="IE133" s="236"/>
      <c r="IF133" s="236"/>
      <c r="IG133" s="236"/>
      <c r="IH133" s="236"/>
      <c r="II133" s="236"/>
      <c r="IJ133" s="236"/>
      <c r="IK133" s="236"/>
      <c r="IL133" s="236"/>
      <c r="IM133" s="236"/>
      <c r="IN133" s="236"/>
      <c r="IO133" s="236"/>
      <c r="IP133" s="236"/>
      <c r="IQ133" s="236"/>
      <c r="IR133" s="236"/>
      <c r="IS133" s="236"/>
      <c r="IT133" s="236"/>
      <c r="IU133" s="236"/>
      <c r="IV133" s="236"/>
      <c r="IW133" s="236"/>
      <c r="IX133" s="236"/>
      <c r="IY133" s="236"/>
      <c r="IZ133" s="236"/>
      <c r="JA133" s="236"/>
      <c r="JB133" s="236"/>
      <c r="JC133" s="236"/>
      <c r="JD133" s="236"/>
      <c r="JE133" s="236"/>
      <c r="JF133" s="236"/>
      <c r="JG133" s="236"/>
      <c r="JH133" s="236"/>
      <c r="JI133" s="236"/>
      <c r="JJ133" s="236"/>
      <c r="JK133" s="236"/>
      <c r="JL133" s="236"/>
      <c r="JM133" s="236"/>
      <c r="JN133" s="236"/>
      <c r="JO133" s="236"/>
      <c r="JP133" s="236"/>
      <c r="JQ133" s="236"/>
      <c r="JR133" s="236"/>
      <c r="JS133" s="236"/>
      <c r="JT133" s="236"/>
      <c r="JU133" s="236"/>
      <c r="JV133" s="236"/>
      <c r="JW133" s="236"/>
      <c r="JX133" s="409"/>
      <c r="JY133" s="409"/>
      <c r="JZ133" s="409"/>
      <c r="KA133" s="409"/>
      <c r="KB133" s="409"/>
      <c r="KC133" s="409"/>
      <c r="KD133" s="409"/>
      <c r="KE133" s="409"/>
      <c r="KF133" s="409"/>
      <c r="KG133" s="410"/>
    </row>
    <row r="134" spans="3:293" ht="24" customHeight="1">
      <c r="C134"/>
      <c r="D134" s="57">
        <f ca="1">INDIRECT(ADDRESS(ROWS($D$3:D133)+6,D$3,1,1,"3_TIME SUM"))</f>
        <v>0</v>
      </c>
      <c r="E134" s="81" t="str">
        <f ca="1">IF(INDIRECT(ADDRESS(ROWS($E$3:E133)+6,E$3,1,1,"3_TIME SUM"))=0,E133,INDIRECT(ADDRESS(ROWS($E$3:E133)+6,E$3,1,1,"3_TIME SUM")))</f>
        <v>X-Mastree</v>
      </c>
      <c r="F134" s="57" t="str">
        <f t="shared" ca="1" si="42"/>
        <v>X-Mastree : 0</v>
      </c>
      <c r="G134" s="58" t="e">
        <f ca="1">VLOOKUP($D134,INDIRECT(ADDRESS(7,5,1,1,"3_TIME SUM")):INDIRECT(ADDRESS(200,7,1,1,"3_TIME SUM")),2,FALSE)</f>
        <v>#N/A</v>
      </c>
      <c r="H134" s="58" t="e">
        <f ca="1">IF(VLOOKUP($D134,INDIRECT(ADDRESS(7,5,1,1,"3_TIME SUM")):INDIRECT(ADDRESS(200,7,1,1,"3_TIME SUM")),3,FALSE)="","PT",VLOOKUP($D134,INDIRECT(ADDRESS(7,5,1,1,"3_TIME SUM")):INDIRECT(ADDRESS(200,7,1,1,"3_TIME SUM")),3,FALSE))</f>
        <v>#N/A</v>
      </c>
      <c r="I134" s="59">
        <f ca="1">IFERROR(IF(AND($D$2="NON PRODUCTIVE TIME",$H134="NPT"),SUMIF(INDIRECT(ADDRESS(8,COLUMN('2_DATA'!$M$9),1,1,"2_DATA")):INDIRECT(ADDRESS(3000,COLUMN('2_DATA'!$M$9),1,1,"2_DATA")),$G134,INDIRECT(ADDRESS(8,COLUMN('2_DATA'!$N$9),1,1,"2_DATA")):INDIRECT(ADDRESS(3000,COLUMN('2_DATA'!$N$9),1,1,"2_DATA"))),IF($D$2="ALL ACTIVITY",SUMIF(INDIRECT(ADDRESS(9,COLUMN('2_DATA'!$M$9),1,1,"2_DATA")):INDIRECT(ADDRESS(3000,COLUMN('2_DATA'!$M$9),1,1,"2_DATA")),$G134,INDIRECT(ADDRESS(9,COLUMN('2_DATA'!$N$9),1,1,"2_DATA")):INDIRECT(ADDRESS(3000,COLUMN('2_DATA'!$N$9),1,1,"2_DATA"))),SUMIF(INDIRECT(ADDRESS(OFFSET($A$3,MATCH($D$2,$A$4:$A$16,0)-1,1,,)+1,COLUMN('2_DATA'!$M$9),1,1,"2_DATA")):INDIRECT(ADDRESS(VLOOKUP($D$2,$A$4:$B$16,2,FALSE)-1,COLUMN('2_DATA'!$M$9),1,1,"2_DATA")),$G134,INDIRECT(ADDRESS(OFFSET($A$3,MATCH($D$2,$A$4:$A$16,0)-1,1,,)+1,COLUMN('2_DATA'!$N$9),1,1,"2_DATA")):INDIRECT(ADDRESS(VLOOKUP($D$2,$A$4:$B$16,2,FALSE)-1,COLUMN('2_DATA'!$N$9),1,1,"2_DATA"))))),0)</f>
        <v>0</v>
      </c>
      <c r="J134" s="58" t="str">
        <f ca="1">IF(I134=0,"",MAX($J$3:J133)+1)</f>
        <v/>
      </c>
      <c r="L134" s="55" t="str">
        <f t="shared" ca="1" si="39"/>
        <v/>
      </c>
      <c r="M134" s="55" t="str">
        <f t="shared" ca="1" si="43"/>
        <v/>
      </c>
      <c r="N134" s="55"/>
      <c r="O134" s="55" t="str">
        <f t="shared" ca="1" si="29"/>
        <v/>
      </c>
      <c r="P134" s="55">
        <f t="shared" ca="1" si="40"/>
        <v>0</v>
      </c>
      <c r="Q134" s="55" t="str">
        <f ca="1">IFERROR(INDEX($O$4:$P$226,MATCH(ROWS($Q$3:Q133),$P$4:$P$226,0),1),"-")</f>
        <v>-</v>
      </c>
      <c r="R134" s="62" t="str">
        <f t="shared" ca="1" si="41"/>
        <v/>
      </c>
      <c r="S134" s="55" t="str">
        <f t="shared" ca="1" si="44"/>
        <v/>
      </c>
      <c r="T134" s="67" t="str">
        <f t="shared" ca="1" si="38"/>
        <v>-</v>
      </c>
      <c r="V134" s="68" t="str">
        <f t="shared" ca="1" si="30"/>
        <v/>
      </c>
      <c r="W134" s="69" t="str">
        <f t="shared" ca="1" si="31"/>
        <v/>
      </c>
      <c r="X134" s="70" t="s">
        <v>84</v>
      </c>
      <c r="Y134" s="68" t="str">
        <f t="shared" ca="1" si="35"/>
        <v/>
      </c>
      <c r="Z134" s="71" t="str">
        <f t="shared" ca="1" si="32"/>
        <v/>
      </c>
      <c r="AA134" s="72" t="str">
        <f t="shared" ca="1" si="33"/>
        <v/>
      </c>
      <c r="AB134" s="72" t="str">
        <f t="shared" ca="1" si="34"/>
        <v/>
      </c>
      <c r="AC134" s="236"/>
      <c r="AD134" s="236"/>
      <c r="AE134" s="236"/>
      <c r="AF134" s="236"/>
      <c r="AG134" s="236"/>
      <c r="AH134" s="236"/>
      <c r="AI134" s="236"/>
      <c r="AJ134" s="236"/>
      <c r="AK134" s="236"/>
      <c r="AL134" s="236"/>
      <c r="AM134" s="236"/>
      <c r="AN134" s="236"/>
      <c r="AO134" s="236"/>
      <c r="AP134" s="236"/>
      <c r="AQ134" s="236"/>
      <c r="AR134" s="236"/>
      <c r="AS134" s="236"/>
      <c r="AT134" s="236"/>
      <c r="AU134" s="236"/>
      <c r="AV134" s="236"/>
      <c r="AW134" s="236"/>
      <c r="AX134" s="236"/>
      <c r="AY134" s="236"/>
      <c r="AZ134" s="236"/>
      <c r="BA134" s="236"/>
      <c r="BB134" s="236"/>
      <c r="BC134" s="236"/>
      <c r="BD134" s="236"/>
      <c r="BE134" s="236"/>
      <c r="BF134" s="236"/>
      <c r="BG134" s="236"/>
      <c r="BH134" s="236"/>
      <c r="BI134" s="236"/>
      <c r="BJ134" s="236"/>
      <c r="BK134" s="236"/>
      <c r="BL134" s="236"/>
      <c r="BM134" s="236"/>
      <c r="BN134" s="236"/>
      <c r="BO134" s="236"/>
      <c r="BP134" s="236"/>
      <c r="BQ134" s="236"/>
      <c r="BR134" s="236"/>
      <c r="BS134" s="236"/>
      <c r="BT134" s="236"/>
      <c r="BU134" s="236"/>
      <c r="BV134" s="236"/>
      <c r="BW134" s="236"/>
      <c r="BX134" s="236"/>
      <c r="BY134" s="236"/>
      <c r="BZ134" s="236"/>
      <c r="CA134" s="236"/>
      <c r="CB134" s="236"/>
      <c r="CC134" s="236"/>
      <c r="CD134" s="236"/>
      <c r="CE134" s="236"/>
      <c r="CF134" s="236"/>
      <c r="CG134" s="236"/>
      <c r="CH134" s="236"/>
      <c r="CI134" s="236"/>
      <c r="CJ134" s="236"/>
      <c r="CK134" s="236"/>
      <c r="CL134" s="236"/>
      <c r="CM134" s="236"/>
      <c r="CN134" s="236"/>
      <c r="CO134" s="236"/>
      <c r="CP134" s="236"/>
      <c r="CQ134" s="236"/>
      <c r="CR134" s="236"/>
      <c r="CS134" s="236"/>
      <c r="CT134" s="236"/>
      <c r="CU134" s="236"/>
      <c r="CV134" s="236"/>
      <c r="CW134" s="236"/>
      <c r="CX134" s="236"/>
      <c r="CY134" s="236"/>
      <c r="CZ134" s="236"/>
      <c r="DA134" s="236"/>
      <c r="DB134" s="236"/>
      <c r="DC134" s="236"/>
      <c r="DD134" s="236"/>
      <c r="DE134" s="236"/>
      <c r="DF134" s="236"/>
      <c r="DG134" s="236"/>
      <c r="DH134" s="236"/>
      <c r="DI134" s="236"/>
      <c r="DJ134" s="236"/>
      <c r="DK134" s="236"/>
      <c r="DL134" s="236"/>
      <c r="DM134" s="236"/>
      <c r="DN134" s="236"/>
      <c r="DO134" s="236"/>
      <c r="DP134" s="236"/>
      <c r="DQ134" s="236"/>
      <c r="DR134" s="236"/>
      <c r="DS134" s="236"/>
      <c r="DT134" s="236"/>
      <c r="DU134" s="236"/>
      <c r="DV134" s="236"/>
      <c r="DW134" s="236"/>
      <c r="DX134" s="236"/>
      <c r="DY134" s="236"/>
      <c r="DZ134" s="236"/>
      <c r="EA134" s="236"/>
      <c r="EB134" s="236"/>
      <c r="EC134" s="236"/>
      <c r="ED134" s="236"/>
      <c r="EE134" s="236"/>
      <c r="EF134" s="236"/>
      <c r="EG134" s="236"/>
      <c r="EH134" s="236"/>
      <c r="EI134" s="236"/>
      <c r="EJ134" s="236"/>
      <c r="EK134" s="236"/>
      <c r="EL134" s="236"/>
      <c r="EM134" s="236"/>
      <c r="EN134" s="236"/>
      <c r="EO134" s="236"/>
      <c r="EP134" s="236"/>
      <c r="EQ134" s="236"/>
      <c r="ER134" s="236"/>
      <c r="ES134" s="236"/>
      <c r="ET134" s="236"/>
      <c r="EU134" s="236"/>
      <c r="EV134" s="236"/>
      <c r="EW134" s="236"/>
      <c r="EX134" s="236"/>
      <c r="EY134" s="236"/>
      <c r="EZ134" s="236"/>
      <c r="FA134" s="236"/>
      <c r="FB134" s="236"/>
      <c r="FC134" s="236"/>
      <c r="FD134" s="236"/>
      <c r="FE134" s="236"/>
      <c r="FF134" s="236"/>
      <c r="FG134" s="236"/>
      <c r="FH134" s="236"/>
      <c r="FI134" s="236"/>
      <c r="FJ134" s="236"/>
      <c r="FK134" s="236"/>
      <c r="FL134" s="236"/>
      <c r="FM134" s="236"/>
      <c r="FN134" s="236"/>
      <c r="FO134" s="236"/>
      <c r="FP134" s="236"/>
      <c r="FQ134" s="236"/>
      <c r="FR134" s="236"/>
      <c r="FS134" s="236"/>
      <c r="FT134" s="236"/>
      <c r="FU134" s="236"/>
      <c r="FV134" s="236"/>
      <c r="FW134" s="236"/>
      <c r="FX134" s="236"/>
      <c r="FY134" s="236"/>
      <c r="FZ134" s="236"/>
      <c r="GA134" s="236"/>
      <c r="GB134" s="236"/>
      <c r="GC134" s="236"/>
      <c r="GD134" s="236"/>
      <c r="GE134" s="236"/>
      <c r="GF134" s="236"/>
      <c r="GG134" s="236"/>
      <c r="GH134" s="236"/>
      <c r="GI134" s="236"/>
      <c r="GJ134" s="236"/>
      <c r="GK134" s="236"/>
      <c r="GL134" s="236"/>
      <c r="GM134" s="236"/>
      <c r="GN134" s="236"/>
      <c r="GO134" s="236"/>
      <c r="GP134" s="236"/>
      <c r="GQ134" s="236"/>
      <c r="GR134" s="236"/>
      <c r="GS134" s="236"/>
      <c r="GT134" s="236"/>
      <c r="GU134" s="236"/>
      <c r="GV134" s="236"/>
      <c r="GW134" s="236"/>
      <c r="GX134" s="236"/>
      <c r="GY134" s="236"/>
      <c r="GZ134" s="236"/>
      <c r="HA134" s="236"/>
      <c r="HB134" s="236"/>
      <c r="HC134" s="236"/>
      <c r="HD134" s="236"/>
      <c r="HE134" s="236"/>
      <c r="HF134" s="236"/>
      <c r="HG134" s="236"/>
      <c r="HH134" s="236"/>
      <c r="HI134" s="236"/>
      <c r="HJ134" s="236"/>
      <c r="HK134" s="236"/>
      <c r="HL134" s="236"/>
      <c r="HM134" s="236"/>
      <c r="HN134" s="236"/>
      <c r="HO134" s="236"/>
      <c r="HP134" s="236"/>
      <c r="HQ134" s="236"/>
      <c r="HR134" s="236"/>
      <c r="HS134" s="236"/>
      <c r="HT134" s="236"/>
      <c r="HU134" s="236"/>
      <c r="HV134" s="236"/>
      <c r="HW134" s="236"/>
      <c r="HX134" s="236"/>
      <c r="HY134" s="236"/>
      <c r="HZ134" s="236"/>
      <c r="IA134" s="236"/>
      <c r="IB134" s="236"/>
      <c r="IC134" s="236"/>
      <c r="ID134" s="236"/>
      <c r="IE134" s="236"/>
      <c r="IF134" s="236"/>
      <c r="IG134" s="236"/>
      <c r="IH134" s="236"/>
      <c r="II134" s="236"/>
      <c r="IJ134" s="236"/>
      <c r="IK134" s="236"/>
      <c r="IL134" s="236"/>
      <c r="IM134" s="236"/>
      <c r="IN134" s="236"/>
      <c r="IO134" s="236"/>
      <c r="IP134" s="236"/>
      <c r="IQ134" s="236"/>
      <c r="IR134" s="236"/>
      <c r="IS134" s="236"/>
      <c r="IT134" s="236"/>
      <c r="IU134" s="236"/>
      <c r="IV134" s="236"/>
      <c r="IW134" s="236"/>
      <c r="IX134" s="236"/>
      <c r="IY134" s="236"/>
      <c r="IZ134" s="236"/>
      <c r="JA134" s="236"/>
      <c r="JB134" s="236"/>
      <c r="JC134" s="236"/>
      <c r="JD134" s="236"/>
      <c r="JE134" s="236"/>
      <c r="JF134" s="236"/>
      <c r="JG134" s="236"/>
      <c r="JH134" s="236"/>
      <c r="JI134" s="236"/>
      <c r="JJ134" s="236"/>
      <c r="JK134" s="236"/>
      <c r="JL134" s="236"/>
      <c r="JM134" s="236"/>
      <c r="JN134" s="236"/>
      <c r="JO134" s="236"/>
      <c r="JP134" s="236"/>
      <c r="JQ134" s="236"/>
      <c r="JR134" s="236"/>
      <c r="JS134" s="236"/>
      <c r="JT134" s="236"/>
      <c r="JU134" s="236"/>
      <c r="JV134" s="236"/>
      <c r="JW134" s="236"/>
      <c r="JX134" s="409"/>
      <c r="JY134" s="409"/>
      <c r="JZ134" s="409"/>
      <c r="KA134" s="409"/>
      <c r="KB134" s="409"/>
      <c r="KC134" s="409"/>
      <c r="KD134" s="409"/>
      <c r="KE134" s="409"/>
      <c r="KF134" s="409"/>
      <c r="KG134" s="410"/>
    </row>
    <row r="135" spans="3:293" ht="24" customHeight="1">
      <c r="C135"/>
      <c r="D135" s="57">
        <f ca="1">INDIRECT(ADDRESS(ROWS($D$3:D134)+6,D$3,1,1,"3_TIME SUM"))</f>
        <v>0</v>
      </c>
      <c r="E135" s="81" t="str">
        <f ca="1">IF(INDIRECT(ADDRESS(ROWS($E$3:E134)+6,E$3,1,1,"3_TIME SUM"))=0,E134,INDIRECT(ADDRESS(ROWS($E$3:E134)+6,E$3,1,1,"3_TIME SUM")))</f>
        <v>X-Mastree</v>
      </c>
      <c r="F135" s="57" t="str">
        <f t="shared" ca="1" si="42"/>
        <v>X-Mastree : 0</v>
      </c>
      <c r="G135" s="58" t="e">
        <f ca="1">VLOOKUP($D135,INDIRECT(ADDRESS(7,5,1,1,"3_TIME SUM")):INDIRECT(ADDRESS(200,7,1,1,"3_TIME SUM")),2,FALSE)</f>
        <v>#N/A</v>
      </c>
      <c r="H135" s="58" t="e">
        <f ca="1">IF(VLOOKUP($D135,INDIRECT(ADDRESS(7,5,1,1,"3_TIME SUM")):INDIRECT(ADDRESS(200,7,1,1,"3_TIME SUM")),3,FALSE)="","PT",VLOOKUP($D135,INDIRECT(ADDRESS(7,5,1,1,"3_TIME SUM")):INDIRECT(ADDRESS(200,7,1,1,"3_TIME SUM")),3,FALSE))</f>
        <v>#N/A</v>
      </c>
      <c r="I135" s="59">
        <f ca="1">IFERROR(IF(AND($D$2="NON PRODUCTIVE TIME",$H135="NPT"),SUMIF(INDIRECT(ADDRESS(8,COLUMN('2_DATA'!$M$9),1,1,"2_DATA")):INDIRECT(ADDRESS(3000,COLUMN('2_DATA'!$M$9),1,1,"2_DATA")),$G135,INDIRECT(ADDRESS(8,COLUMN('2_DATA'!$N$9),1,1,"2_DATA")):INDIRECT(ADDRESS(3000,COLUMN('2_DATA'!$N$9),1,1,"2_DATA"))),IF($D$2="ALL ACTIVITY",SUMIF(INDIRECT(ADDRESS(9,COLUMN('2_DATA'!$M$9),1,1,"2_DATA")):INDIRECT(ADDRESS(3000,COLUMN('2_DATA'!$M$9),1,1,"2_DATA")),$G135,INDIRECT(ADDRESS(9,COLUMN('2_DATA'!$N$9),1,1,"2_DATA")):INDIRECT(ADDRESS(3000,COLUMN('2_DATA'!$N$9),1,1,"2_DATA"))),SUMIF(INDIRECT(ADDRESS(OFFSET($A$3,MATCH($D$2,$A$4:$A$16,0)-1,1,,)+1,COLUMN('2_DATA'!$M$9),1,1,"2_DATA")):INDIRECT(ADDRESS(VLOOKUP($D$2,$A$4:$B$16,2,FALSE)-1,COLUMN('2_DATA'!$M$9),1,1,"2_DATA")),$G135,INDIRECT(ADDRESS(OFFSET($A$3,MATCH($D$2,$A$4:$A$16,0)-1,1,,)+1,COLUMN('2_DATA'!$N$9),1,1,"2_DATA")):INDIRECT(ADDRESS(VLOOKUP($D$2,$A$4:$B$16,2,FALSE)-1,COLUMN('2_DATA'!$N$9),1,1,"2_DATA"))))),0)</f>
        <v>0</v>
      </c>
      <c r="J135" s="58" t="str">
        <f ca="1">IF(I135=0,"",MAX($J$3:J134)+1)</f>
        <v/>
      </c>
      <c r="L135" s="55" t="str">
        <f t="shared" ca="1" si="39"/>
        <v/>
      </c>
      <c r="M135" s="55" t="str">
        <f t="shared" ca="1" si="43"/>
        <v/>
      </c>
      <c r="N135" s="55"/>
      <c r="O135" s="55" t="str">
        <f t="shared" ca="1" si="29"/>
        <v/>
      </c>
      <c r="P135" s="55">
        <f t="shared" ca="1" si="40"/>
        <v>0</v>
      </c>
      <c r="Q135" s="55" t="str">
        <f ca="1">IFERROR(INDEX($O$4:$P$226,MATCH(ROWS($Q$3:Q134),$P$4:$P$226,0),1),"-")</f>
        <v>-</v>
      </c>
      <c r="R135" s="62" t="str">
        <f t="shared" ca="1" si="41"/>
        <v/>
      </c>
      <c r="S135" s="55" t="str">
        <f t="shared" ca="1" si="44"/>
        <v/>
      </c>
      <c r="T135" s="67" t="str">
        <f t="shared" ca="1" si="38"/>
        <v>-</v>
      </c>
      <c r="V135" s="68" t="str">
        <f t="shared" ca="1" si="30"/>
        <v/>
      </c>
      <c r="W135" s="69" t="str">
        <f t="shared" ca="1" si="31"/>
        <v/>
      </c>
      <c r="X135" s="70" t="s">
        <v>84</v>
      </c>
      <c r="Y135" s="68" t="str">
        <f t="shared" ca="1" si="35"/>
        <v/>
      </c>
      <c r="Z135" s="71" t="str">
        <f t="shared" ca="1" si="32"/>
        <v/>
      </c>
      <c r="AA135" s="72" t="str">
        <f t="shared" ca="1" si="33"/>
        <v/>
      </c>
      <c r="AB135" s="72" t="str">
        <f t="shared" ca="1" si="34"/>
        <v/>
      </c>
      <c r="AC135" s="236"/>
      <c r="AD135" s="236"/>
      <c r="AE135" s="236"/>
      <c r="AF135" s="236"/>
      <c r="AG135" s="236"/>
      <c r="AH135" s="236"/>
      <c r="AI135" s="236"/>
      <c r="AJ135" s="236"/>
      <c r="AK135" s="236"/>
      <c r="AL135" s="236"/>
      <c r="AM135" s="236"/>
      <c r="AN135" s="236"/>
      <c r="AO135" s="236"/>
      <c r="AP135" s="236"/>
      <c r="AQ135" s="236"/>
      <c r="AR135" s="236"/>
      <c r="AS135" s="236"/>
      <c r="AT135" s="236"/>
      <c r="AU135" s="236"/>
      <c r="AV135" s="236"/>
      <c r="AW135" s="236"/>
      <c r="AX135" s="236"/>
      <c r="AY135" s="236"/>
      <c r="AZ135" s="236"/>
      <c r="BA135" s="236"/>
      <c r="BB135" s="236"/>
      <c r="BC135" s="236"/>
      <c r="BD135" s="236"/>
      <c r="BE135" s="236"/>
      <c r="BF135" s="236"/>
      <c r="BG135" s="236"/>
      <c r="BH135" s="236"/>
      <c r="BI135" s="236"/>
      <c r="BJ135" s="236"/>
      <c r="BK135" s="236"/>
      <c r="BL135" s="236"/>
      <c r="BM135" s="236"/>
      <c r="BN135" s="236"/>
      <c r="BO135" s="236"/>
      <c r="BP135" s="236"/>
      <c r="BQ135" s="236"/>
      <c r="BR135" s="236"/>
      <c r="BS135" s="236"/>
      <c r="BT135" s="236"/>
      <c r="BU135" s="236"/>
      <c r="BV135" s="236"/>
      <c r="BW135" s="236"/>
      <c r="BX135" s="236"/>
      <c r="BY135" s="236"/>
      <c r="BZ135" s="236"/>
      <c r="CA135" s="236"/>
      <c r="CB135" s="236"/>
      <c r="CC135" s="236"/>
      <c r="CD135" s="236"/>
      <c r="CE135" s="236"/>
      <c r="CF135" s="236"/>
      <c r="CG135" s="236"/>
      <c r="CH135" s="236"/>
      <c r="CI135" s="236"/>
      <c r="CJ135" s="236"/>
      <c r="CK135" s="236"/>
      <c r="CL135" s="236"/>
      <c r="CM135" s="236"/>
      <c r="CN135" s="236"/>
      <c r="CO135" s="236"/>
      <c r="CP135" s="236"/>
      <c r="CQ135" s="236"/>
      <c r="CR135" s="236"/>
      <c r="CS135" s="236"/>
      <c r="CT135" s="236"/>
      <c r="CU135" s="236"/>
      <c r="CV135" s="236"/>
      <c r="CW135" s="236"/>
      <c r="CX135" s="236"/>
      <c r="CY135" s="236"/>
      <c r="CZ135" s="236"/>
      <c r="DA135" s="236"/>
      <c r="DB135" s="236"/>
      <c r="DC135" s="236"/>
      <c r="DD135" s="236"/>
      <c r="DE135" s="236"/>
      <c r="DF135" s="236"/>
      <c r="DG135" s="236"/>
      <c r="DH135" s="236"/>
      <c r="DI135" s="236"/>
      <c r="DJ135" s="236"/>
      <c r="DK135" s="236"/>
      <c r="DL135" s="236"/>
      <c r="DM135" s="236"/>
      <c r="DN135" s="236"/>
      <c r="DO135" s="236"/>
      <c r="DP135" s="236"/>
      <c r="DQ135" s="236"/>
      <c r="DR135" s="236"/>
      <c r="DS135" s="236"/>
      <c r="DT135" s="236"/>
      <c r="DU135" s="236"/>
      <c r="DV135" s="236"/>
      <c r="DW135" s="236"/>
      <c r="DX135" s="236"/>
      <c r="DY135" s="236"/>
      <c r="DZ135" s="236"/>
      <c r="EA135" s="236"/>
      <c r="EB135" s="236"/>
      <c r="EC135" s="236"/>
      <c r="ED135" s="236"/>
      <c r="EE135" s="236"/>
      <c r="EF135" s="236"/>
      <c r="EG135" s="236"/>
      <c r="EH135" s="236"/>
      <c r="EI135" s="236"/>
      <c r="EJ135" s="236"/>
      <c r="EK135" s="236"/>
      <c r="EL135" s="236"/>
      <c r="EM135" s="236"/>
      <c r="EN135" s="236"/>
      <c r="EO135" s="236"/>
      <c r="EP135" s="236"/>
      <c r="EQ135" s="236"/>
      <c r="ER135" s="236"/>
      <c r="ES135" s="236"/>
      <c r="ET135" s="236"/>
      <c r="EU135" s="236"/>
      <c r="EV135" s="236"/>
      <c r="EW135" s="236"/>
      <c r="EX135" s="236"/>
      <c r="EY135" s="236"/>
      <c r="EZ135" s="236"/>
      <c r="FA135" s="236"/>
      <c r="FB135" s="236"/>
      <c r="FC135" s="236"/>
      <c r="FD135" s="236"/>
      <c r="FE135" s="236"/>
      <c r="FF135" s="236"/>
      <c r="FG135" s="236"/>
      <c r="FH135" s="236"/>
      <c r="FI135" s="236"/>
      <c r="FJ135" s="236"/>
      <c r="FK135" s="236"/>
      <c r="FL135" s="236"/>
      <c r="FM135" s="236"/>
      <c r="FN135" s="236"/>
      <c r="FO135" s="236"/>
      <c r="FP135" s="236"/>
      <c r="FQ135" s="236"/>
      <c r="FR135" s="236"/>
      <c r="FS135" s="236"/>
      <c r="FT135" s="236"/>
      <c r="FU135" s="236"/>
      <c r="FV135" s="236"/>
      <c r="FW135" s="236"/>
      <c r="FX135" s="236"/>
      <c r="FY135" s="236"/>
      <c r="FZ135" s="236"/>
      <c r="GA135" s="236"/>
      <c r="GB135" s="236"/>
      <c r="GC135" s="236"/>
      <c r="GD135" s="236"/>
      <c r="GE135" s="236"/>
      <c r="GF135" s="236"/>
      <c r="GG135" s="236"/>
      <c r="GH135" s="236"/>
      <c r="GI135" s="236"/>
      <c r="GJ135" s="236"/>
      <c r="GK135" s="236"/>
      <c r="GL135" s="236"/>
      <c r="GM135" s="236"/>
      <c r="GN135" s="236"/>
      <c r="GO135" s="236"/>
      <c r="GP135" s="236"/>
      <c r="GQ135" s="236"/>
      <c r="GR135" s="236"/>
      <c r="GS135" s="236"/>
      <c r="GT135" s="236"/>
      <c r="GU135" s="236"/>
      <c r="GV135" s="236"/>
      <c r="GW135" s="236"/>
      <c r="GX135" s="236"/>
      <c r="GY135" s="236"/>
      <c r="GZ135" s="236"/>
      <c r="HA135" s="236"/>
      <c r="HB135" s="236"/>
      <c r="HC135" s="236"/>
      <c r="HD135" s="236"/>
      <c r="HE135" s="236"/>
      <c r="HF135" s="236"/>
      <c r="HG135" s="236"/>
      <c r="HH135" s="236"/>
      <c r="HI135" s="236"/>
      <c r="HJ135" s="236"/>
      <c r="HK135" s="236"/>
      <c r="HL135" s="236"/>
      <c r="HM135" s="236"/>
      <c r="HN135" s="236"/>
      <c r="HO135" s="236"/>
      <c r="HP135" s="236"/>
      <c r="HQ135" s="236"/>
      <c r="HR135" s="236"/>
      <c r="HS135" s="236"/>
      <c r="HT135" s="236"/>
      <c r="HU135" s="236"/>
      <c r="HV135" s="236"/>
      <c r="HW135" s="236"/>
      <c r="HX135" s="236"/>
      <c r="HY135" s="236"/>
      <c r="HZ135" s="236"/>
      <c r="IA135" s="236"/>
      <c r="IB135" s="236"/>
      <c r="IC135" s="236"/>
      <c r="ID135" s="236"/>
      <c r="IE135" s="236"/>
      <c r="IF135" s="236"/>
      <c r="IG135" s="236"/>
      <c r="IH135" s="236"/>
      <c r="II135" s="236"/>
      <c r="IJ135" s="236"/>
      <c r="IK135" s="236"/>
      <c r="IL135" s="236"/>
      <c r="IM135" s="236"/>
      <c r="IN135" s="236"/>
      <c r="IO135" s="236"/>
      <c r="IP135" s="236"/>
      <c r="IQ135" s="236"/>
      <c r="IR135" s="236"/>
      <c r="IS135" s="236"/>
      <c r="IT135" s="236"/>
      <c r="IU135" s="236"/>
      <c r="IV135" s="236"/>
      <c r="IW135" s="236"/>
      <c r="IX135" s="236"/>
      <c r="IY135" s="236"/>
      <c r="IZ135" s="236"/>
      <c r="JA135" s="236"/>
      <c r="JB135" s="236"/>
      <c r="JC135" s="236"/>
      <c r="JD135" s="236"/>
      <c r="JE135" s="236"/>
      <c r="JF135" s="236"/>
      <c r="JG135" s="236"/>
      <c r="JH135" s="236"/>
      <c r="JI135" s="236"/>
      <c r="JJ135" s="236"/>
      <c r="JK135" s="236"/>
      <c r="JL135" s="236"/>
      <c r="JM135" s="236"/>
      <c r="JN135" s="236"/>
      <c r="JO135" s="236"/>
      <c r="JP135" s="236"/>
      <c r="JQ135" s="236"/>
      <c r="JR135" s="236"/>
      <c r="JS135" s="236"/>
      <c r="JT135" s="236"/>
      <c r="JU135" s="236"/>
      <c r="JV135" s="236"/>
      <c r="JW135" s="236"/>
      <c r="JX135" s="409"/>
      <c r="JY135" s="409"/>
      <c r="JZ135" s="409"/>
      <c r="KA135" s="409"/>
      <c r="KB135" s="409"/>
      <c r="KC135" s="409"/>
      <c r="KD135" s="409"/>
      <c r="KE135" s="409"/>
      <c r="KF135" s="409"/>
      <c r="KG135" s="410"/>
    </row>
    <row r="136" spans="3:293" ht="24" customHeight="1">
      <c r="C136"/>
      <c r="D136" s="57">
        <f ca="1">INDIRECT(ADDRESS(ROWS($D$3:D135)+6,D$3,1,1,"3_TIME SUM"))</f>
        <v>0</v>
      </c>
      <c r="E136" s="81" t="str">
        <f ca="1">IF(INDIRECT(ADDRESS(ROWS($E$3:E135)+6,E$3,1,1,"3_TIME SUM"))=0,E135,INDIRECT(ADDRESS(ROWS($E$3:E135)+6,E$3,1,1,"3_TIME SUM")))</f>
        <v>X-Mastree</v>
      </c>
      <c r="F136" s="57" t="str">
        <f t="shared" ca="1" si="42"/>
        <v>X-Mastree : 0</v>
      </c>
      <c r="G136" s="58" t="e">
        <f ca="1">VLOOKUP($D136,INDIRECT(ADDRESS(7,5,1,1,"3_TIME SUM")):INDIRECT(ADDRESS(200,7,1,1,"3_TIME SUM")),2,FALSE)</f>
        <v>#N/A</v>
      </c>
      <c r="H136" s="58" t="e">
        <f ca="1">IF(VLOOKUP($D136,INDIRECT(ADDRESS(7,5,1,1,"3_TIME SUM")):INDIRECT(ADDRESS(200,7,1,1,"3_TIME SUM")),3,FALSE)="","PT",VLOOKUP($D136,INDIRECT(ADDRESS(7,5,1,1,"3_TIME SUM")):INDIRECT(ADDRESS(200,7,1,1,"3_TIME SUM")),3,FALSE))</f>
        <v>#N/A</v>
      </c>
      <c r="I136" s="59">
        <f ca="1">IFERROR(IF(AND($D$2="NON PRODUCTIVE TIME",$H136="NPT"),SUMIF(INDIRECT(ADDRESS(8,COLUMN('2_DATA'!$M$9),1,1,"2_DATA")):INDIRECT(ADDRESS(3000,COLUMN('2_DATA'!$M$9),1,1,"2_DATA")),$G136,INDIRECT(ADDRESS(8,COLUMN('2_DATA'!$N$9),1,1,"2_DATA")):INDIRECT(ADDRESS(3000,COLUMN('2_DATA'!$N$9),1,1,"2_DATA"))),IF($D$2="ALL ACTIVITY",SUMIF(INDIRECT(ADDRESS(9,COLUMN('2_DATA'!$M$9),1,1,"2_DATA")):INDIRECT(ADDRESS(3000,COLUMN('2_DATA'!$M$9),1,1,"2_DATA")),$G136,INDIRECT(ADDRESS(9,COLUMN('2_DATA'!$N$9),1,1,"2_DATA")):INDIRECT(ADDRESS(3000,COLUMN('2_DATA'!$N$9),1,1,"2_DATA"))),SUMIF(INDIRECT(ADDRESS(OFFSET($A$3,MATCH($D$2,$A$4:$A$16,0)-1,1,,)+1,COLUMN('2_DATA'!$M$9),1,1,"2_DATA")):INDIRECT(ADDRESS(VLOOKUP($D$2,$A$4:$B$16,2,FALSE)-1,COLUMN('2_DATA'!$M$9),1,1,"2_DATA")),$G136,INDIRECT(ADDRESS(OFFSET($A$3,MATCH($D$2,$A$4:$A$16,0)-1,1,,)+1,COLUMN('2_DATA'!$N$9),1,1,"2_DATA")):INDIRECT(ADDRESS(VLOOKUP($D$2,$A$4:$B$16,2,FALSE)-1,COLUMN('2_DATA'!$N$9),1,1,"2_DATA"))))),0)</f>
        <v>0</v>
      </c>
      <c r="J136" s="58" t="str">
        <f ca="1">IF(I136=0,"",MAX($J$3:J135)+1)</f>
        <v/>
      </c>
      <c r="L136" s="55" t="str">
        <f t="shared" ca="1" si="39"/>
        <v/>
      </c>
      <c r="M136" s="55" t="str">
        <f t="shared" ca="1" si="43"/>
        <v/>
      </c>
      <c r="N136" s="55"/>
      <c r="O136" s="55" t="str">
        <f t="shared" ref="O136:O199" ca="1" si="45">+M133</f>
        <v/>
      </c>
      <c r="P136" s="55">
        <f t="shared" ca="1" si="40"/>
        <v>0</v>
      </c>
      <c r="Q136" s="55" t="str">
        <f ca="1">IFERROR(INDEX($O$4:$P$226,MATCH(ROWS($Q$3:Q135),$P$4:$P$226,0),1),"-")</f>
        <v>-</v>
      </c>
      <c r="R136" s="62" t="str">
        <f t="shared" ca="1" si="41"/>
        <v/>
      </c>
      <c r="S136" s="55" t="str">
        <f t="shared" ca="1" si="44"/>
        <v/>
      </c>
      <c r="T136" s="67" t="str">
        <f t="shared" ca="1" si="38"/>
        <v>-</v>
      </c>
      <c r="V136" s="68" t="str">
        <f t="shared" ca="1" si="30"/>
        <v/>
      </c>
      <c r="W136" s="69" t="str">
        <f t="shared" ca="1" si="31"/>
        <v/>
      </c>
      <c r="X136" s="70" t="s">
        <v>84</v>
      </c>
      <c r="Y136" s="68" t="str">
        <f t="shared" ca="1" si="35"/>
        <v/>
      </c>
      <c r="Z136" s="71" t="str">
        <f t="shared" ca="1" si="32"/>
        <v/>
      </c>
      <c r="AA136" s="72" t="str">
        <f t="shared" ca="1" si="33"/>
        <v/>
      </c>
      <c r="AB136" s="72" t="str">
        <f t="shared" ca="1" si="34"/>
        <v/>
      </c>
      <c r="AC136" s="236"/>
      <c r="AD136" s="236"/>
      <c r="AE136" s="236"/>
      <c r="AF136" s="236"/>
      <c r="AG136" s="236"/>
      <c r="AH136" s="236"/>
      <c r="AI136" s="236"/>
      <c r="AJ136" s="236"/>
      <c r="AK136" s="236"/>
      <c r="AL136" s="236"/>
      <c r="AM136" s="236"/>
      <c r="AN136" s="236"/>
      <c r="AO136" s="236"/>
      <c r="AP136" s="236"/>
      <c r="AQ136" s="236"/>
      <c r="AR136" s="236"/>
      <c r="AS136" s="236"/>
      <c r="AT136" s="236"/>
      <c r="AU136" s="236"/>
      <c r="AV136" s="236"/>
      <c r="AW136" s="236"/>
      <c r="AX136" s="236"/>
      <c r="AY136" s="236"/>
      <c r="AZ136" s="236"/>
      <c r="BA136" s="236"/>
      <c r="BB136" s="236"/>
      <c r="BC136" s="236"/>
      <c r="BD136" s="236"/>
      <c r="BE136" s="236"/>
      <c r="BF136" s="236"/>
      <c r="BG136" s="236"/>
      <c r="BH136" s="236"/>
      <c r="BI136" s="236"/>
      <c r="BJ136" s="236"/>
      <c r="BK136" s="236"/>
      <c r="BL136" s="236"/>
      <c r="BM136" s="236"/>
      <c r="BN136" s="236"/>
      <c r="BO136" s="236"/>
      <c r="BP136" s="236"/>
      <c r="BQ136" s="236"/>
      <c r="BR136" s="236"/>
      <c r="BS136" s="236"/>
      <c r="BT136" s="236"/>
      <c r="BU136" s="236"/>
      <c r="BV136" s="236"/>
      <c r="BW136" s="236"/>
      <c r="BX136" s="236"/>
      <c r="BY136" s="236"/>
      <c r="BZ136" s="236"/>
      <c r="CA136" s="236"/>
      <c r="CB136" s="236"/>
      <c r="CC136" s="236"/>
      <c r="CD136" s="236"/>
      <c r="CE136" s="236"/>
      <c r="CF136" s="236"/>
      <c r="CG136" s="236"/>
      <c r="CH136" s="236"/>
      <c r="CI136" s="236"/>
      <c r="CJ136" s="236"/>
      <c r="CK136" s="236"/>
      <c r="CL136" s="236"/>
      <c r="CM136" s="236"/>
      <c r="CN136" s="236"/>
      <c r="CO136" s="236"/>
      <c r="CP136" s="236"/>
      <c r="CQ136" s="236"/>
      <c r="CR136" s="236"/>
      <c r="CS136" s="236"/>
      <c r="CT136" s="236"/>
      <c r="CU136" s="236"/>
      <c r="CV136" s="236"/>
      <c r="CW136" s="236"/>
      <c r="CX136" s="236"/>
      <c r="CY136" s="236"/>
      <c r="CZ136" s="236"/>
      <c r="DA136" s="236"/>
      <c r="DB136" s="236"/>
      <c r="DC136" s="236"/>
      <c r="DD136" s="236"/>
      <c r="DE136" s="236"/>
      <c r="DF136" s="236"/>
      <c r="DG136" s="236"/>
      <c r="DH136" s="236"/>
      <c r="DI136" s="236"/>
      <c r="DJ136" s="236"/>
      <c r="DK136" s="236"/>
      <c r="DL136" s="236"/>
      <c r="DM136" s="236"/>
      <c r="DN136" s="236"/>
      <c r="DO136" s="236"/>
      <c r="DP136" s="236"/>
      <c r="DQ136" s="236"/>
      <c r="DR136" s="236"/>
      <c r="DS136" s="236"/>
      <c r="DT136" s="236"/>
      <c r="DU136" s="236"/>
      <c r="DV136" s="236"/>
      <c r="DW136" s="236"/>
      <c r="DX136" s="236"/>
      <c r="DY136" s="236"/>
      <c r="DZ136" s="236"/>
      <c r="EA136" s="236"/>
      <c r="EB136" s="236"/>
      <c r="EC136" s="236"/>
      <c r="ED136" s="236"/>
      <c r="EE136" s="236"/>
      <c r="EF136" s="236"/>
      <c r="EG136" s="236"/>
      <c r="EH136" s="236"/>
      <c r="EI136" s="236"/>
      <c r="EJ136" s="236"/>
      <c r="EK136" s="236"/>
      <c r="EL136" s="236"/>
      <c r="EM136" s="236"/>
      <c r="EN136" s="236"/>
      <c r="EO136" s="236"/>
      <c r="EP136" s="236"/>
      <c r="EQ136" s="236"/>
      <c r="ER136" s="236"/>
      <c r="ES136" s="236"/>
      <c r="ET136" s="236"/>
      <c r="EU136" s="236"/>
      <c r="EV136" s="236"/>
      <c r="EW136" s="236"/>
      <c r="EX136" s="236"/>
      <c r="EY136" s="236"/>
      <c r="EZ136" s="236"/>
      <c r="FA136" s="236"/>
      <c r="FB136" s="236"/>
      <c r="FC136" s="236"/>
      <c r="FD136" s="236"/>
      <c r="FE136" s="236"/>
      <c r="FF136" s="236"/>
      <c r="FG136" s="236"/>
      <c r="FH136" s="236"/>
      <c r="FI136" s="236"/>
      <c r="FJ136" s="236"/>
      <c r="FK136" s="236"/>
      <c r="FL136" s="236"/>
      <c r="FM136" s="236"/>
      <c r="FN136" s="236"/>
      <c r="FO136" s="236"/>
      <c r="FP136" s="236"/>
      <c r="FQ136" s="236"/>
      <c r="FR136" s="236"/>
      <c r="FS136" s="236"/>
      <c r="FT136" s="236"/>
      <c r="FU136" s="236"/>
      <c r="FV136" s="236"/>
      <c r="FW136" s="236"/>
      <c r="FX136" s="236"/>
      <c r="FY136" s="236"/>
      <c r="FZ136" s="236"/>
      <c r="GA136" s="236"/>
      <c r="GB136" s="236"/>
      <c r="GC136" s="236"/>
      <c r="GD136" s="236"/>
      <c r="GE136" s="236"/>
      <c r="GF136" s="236"/>
      <c r="GG136" s="236"/>
      <c r="GH136" s="236"/>
      <c r="GI136" s="236"/>
      <c r="GJ136" s="236"/>
      <c r="GK136" s="236"/>
      <c r="GL136" s="236"/>
      <c r="GM136" s="236"/>
      <c r="GN136" s="236"/>
      <c r="GO136" s="236"/>
      <c r="GP136" s="236"/>
      <c r="GQ136" s="236"/>
      <c r="GR136" s="236"/>
      <c r="GS136" s="236"/>
      <c r="GT136" s="236"/>
      <c r="GU136" s="236"/>
      <c r="GV136" s="236"/>
      <c r="GW136" s="236"/>
      <c r="GX136" s="236"/>
      <c r="GY136" s="236"/>
      <c r="GZ136" s="236"/>
      <c r="HA136" s="236"/>
      <c r="HB136" s="236"/>
      <c r="HC136" s="236"/>
      <c r="HD136" s="236"/>
      <c r="HE136" s="236"/>
      <c r="HF136" s="236"/>
      <c r="HG136" s="236"/>
      <c r="HH136" s="236"/>
      <c r="HI136" s="236"/>
      <c r="HJ136" s="236"/>
      <c r="HK136" s="236"/>
      <c r="HL136" s="236"/>
      <c r="HM136" s="236"/>
      <c r="HN136" s="236"/>
      <c r="HO136" s="236"/>
      <c r="HP136" s="236"/>
      <c r="HQ136" s="236"/>
      <c r="HR136" s="236"/>
      <c r="HS136" s="236"/>
      <c r="HT136" s="236"/>
      <c r="HU136" s="236"/>
      <c r="HV136" s="236"/>
      <c r="HW136" s="236"/>
      <c r="HX136" s="236"/>
      <c r="HY136" s="236"/>
      <c r="HZ136" s="236"/>
      <c r="IA136" s="236"/>
      <c r="IB136" s="236"/>
      <c r="IC136" s="236"/>
      <c r="ID136" s="236"/>
      <c r="IE136" s="236"/>
      <c r="IF136" s="236"/>
      <c r="IG136" s="236"/>
      <c r="IH136" s="236"/>
      <c r="II136" s="236"/>
      <c r="IJ136" s="236"/>
      <c r="IK136" s="236"/>
      <c r="IL136" s="236"/>
      <c r="IM136" s="236"/>
      <c r="IN136" s="236"/>
      <c r="IO136" s="236"/>
      <c r="IP136" s="236"/>
      <c r="IQ136" s="236"/>
      <c r="IR136" s="236"/>
      <c r="IS136" s="236"/>
      <c r="IT136" s="236"/>
      <c r="IU136" s="236"/>
      <c r="IV136" s="236"/>
      <c r="IW136" s="236"/>
      <c r="IX136" s="236"/>
      <c r="IY136" s="236"/>
      <c r="IZ136" s="236"/>
      <c r="JA136" s="236"/>
      <c r="JB136" s="236"/>
      <c r="JC136" s="236"/>
      <c r="JD136" s="236"/>
      <c r="JE136" s="236"/>
      <c r="JF136" s="236"/>
      <c r="JG136" s="236"/>
      <c r="JH136" s="236"/>
      <c r="JI136" s="236"/>
      <c r="JJ136" s="236"/>
      <c r="JK136" s="236"/>
      <c r="JL136" s="236"/>
      <c r="JM136" s="236"/>
      <c r="JN136" s="236"/>
      <c r="JO136" s="236"/>
      <c r="JP136" s="236"/>
      <c r="JQ136" s="236"/>
      <c r="JR136" s="236"/>
      <c r="JS136" s="236"/>
      <c r="JT136" s="236"/>
      <c r="JU136" s="236"/>
      <c r="JV136" s="236"/>
      <c r="JW136" s="236"/>
      <c r="JX136" s="409"/>
      <c r="JY136" s="409"/>
      <c r="JZ136" s="409"/>
      <c r="KA136" s="409"/>
      <c r="KB136" s="409"/>
      <c r="KC136" s="409"/>
      <c r="KD136" s="409"/>
      <c r="KE136" s="409"/>
      <c r="KF136" s="409"/>
      <c r="KG136" s="410"/>
    </row>
    <row r="137" spans="3:293" ht="24" customHeight="1">
      <c r="C137"/>
      <c r="D137" s="57">
        <f ca="1">INDIRECT(ADDRESS(ROWS($D$3:D136)+6,D$3,1,1,"3_TIME SUM"))</f>
        <v>0</v>
      </c>
      <c r="E137" s="81" t="str">
        <f ca="1">IF(INDIRECT(ADDRESS(ROWS($E$3:E136)+6,E$3,1,1,"3_TIME SUM"))=0,E136,INDIRECT(ADDRESS(ROWS($E$3:E136)+6,E$3,1,1,"3_TIME SUM")))</f>
        <v>X-Mastree</v>
      </c>
      <c r="F137" s="57" t="str">
        <f t="shared" ca="1" si="42"/>
        <v>X-Mastree : 0</v>
      </c>
      <c r="G137" s="58" t="e">
        <f ca="1">VLOOKUP($D137,INDIRECT(ADDRESS(7,5,1,1,"3_TIME SUM")):INDIRECT(ADDRESS(200,7,1,1,"3_TIME SUM")),2,FALSE)</f>
        <v>#N/A</v>
      </c>
      <c r="H137" s="58" t="e">
        <f ca="1">IF(VLOOKUP($D137,INDIRECT(ADDRESS(7,5,1,1,"3_TIME SUM")):INDIRECT(ADDRESS(200,7,1,1,"3_TIME SUM")),3,FALSE)="","PT",VLOOKUP($D137,INDIRECT(ADDRESS(7,5,1,1,"3_TIME SUM")):INDIRECT(ADDRESS(200,7,1,1,"3_TIME SUM")),3,FALSE))</f>
        <v>#N/A</v>
      </c>
      <c r="I137" s="59">
        <f ca="1">IFERROR(IF(AND($D$2="NON PRODUCTIVE TIME",$H137="NPT"),SUMIF(INDIRECT(ADDRESS(8,COLUMN('2_DATA'!$M$9),1,1,"2_DATA")):INDIRECT(ADDRESS(3000,COLUMN('2_DATA'!$M$9),1,1,"2_DATA")),$G137,INDIRECT(ADDRESS(8,COLUMN('2_DATA'!$N$9),1,1,"2_DATA")):INDIRECT(ADDRESS(3000,COLUMN('2_DATA'!$N$9),1,1,"2_DATA"))),IF($D$2="ALL ACTIVITY",SUMIF(INDIRECT(ADDRESS(9,COLUMN('2_DATA'!$M$9),1,1,"2_DATA")):INDIRECT(ADDRESS(3000,COLUMN('2_DATA'!$M$9),1,1,"2_DATA")),$G137,INDIRECT(ADDRESS(9,COLUMN('2_DATA'!$N$9),1,1,"2_DATA")):INDIRECT(ADDRESS(3000,COLUMN('2_DATA'!$N$9),1,1,"2_DATA"))),SUMIF(INDIRECT(ADDRESS(OFFSET($A$3,MATCH($D$2,$A$4:$A$16,0)-1,1,,)+1,COLUMN('2_DATA'!$M$9),1,1,"2_DATA")):INDIRECT(ADDRESS(VLOOKUP($D$2,$A$4:$B$16,2,FALSE)-1,COLUMN('2_DATA'!$M$9),1,1,"2_DATA")),$G137,INDIRECT(ADDRESS(OFFSET($A$3,MATCH($D$2,$A$4:$A$16,0)-1,1,,)+1,COLUMN('2_DATA'!$N$9),1,1,"2_DATA")):INDIRECT(ADDRESS(VLOOKUP($D$2,$A$4:$B$16,2,FALSE)-1,COLUMN('2_DATA'!$N$9),1,1,"2_DATA"))))),0)</f>
        <v>0</v>
      </c>
      <c r="J137" s="58" t="str">
        <f ca="1">IF(I137=0,"",MAX($J$3:J136)+1)</f>
        <v/>
      </c>
      <c r="L137" s="55" t="str">
        <f t="shared" ca="1" si="39"/>
        <v/>
      </c>
      <c r="M137" s="55" t="str">
        <f t="shared" ca="1" si="43"/>
        <v/>
      </c>
      <c r="N137" s="55"/>
      <c r="O137" s="55" t="str">
        <f t="shared" ca="1" si="45"/>
        <v/>
      </c>
      <c r="P137" s="55">
        <f t="shared" ca="1" si="40"/>
        <v>0</v>
      </c>
      <c r="Q137" s="55" t="str">
        <f ca="1">IFERROR(INDEX($O$4:$P$226,MATCH(ROWS($Q$3:Q136),$P$4:$P$226,0),1),"-")</f>
        <v>-</v>
      </c>
      <c r="R137" s="62" t="str">
        <f t="shared" ca="1" si="41"/>
        <v/>
      </c>
      <c r="S137" s="55" t="str">
        <f t="shared" ca="1" si="44"/>
        <v/>
      </c>
      <c r="T137" s="67" t="str">
        <f t="shared" ca="1" si="38"/>
        <v>-</v>
      </c>
      <c r="V137" s="68" t="str">
        <f t="shared" ca="1" si="30"/>
        <v/>
      </c>
      <c r="W137" s="69" t="str">
        <f t="shared" ca="1" si="31"/>
        <v/>
      </c>
      <c r="X137" s="70" t="s">
        <v>84</v>
      </c>
      <c r="Y137" s="68" t="str">
        <f t="shared" ca="1" si="35"/>
        <v/>
      </c>
      <c r="Z137" s="71" t="str">
        <f t="shared" ca="1" si="32"/>
        <v/>
      </c>
      <c r="AA137" s="72" t="str">
        <f t="shared" ca="1" si="33"/>
        <v/>
      </c>
      <c r="AB137" s="72" t="str">
        <f t="shared" ca="1" si="34"/>
        <v/>
      </c>
      <c r="AC137" s="236"/>
      <c r="AD137" s="236"/>
      <c r="AE137" s="236"/>
      <c r="AF137" s="236"/>
      <c r="AG137" s="236"/>
      <c r="AH137" s="236"/>
      <c r="AI137" s="236"/>
      <c r="AJ137" s="236"/>
      <c r="AK137" s="236"/>
      <c r="AL137" s="236"/>
      <c r="AM137" s="236"/>
      <c r="AN137" s="236"/>
      <c r="AO137" s="236"/>
      <c r="AP137" s="236"/>
      <c r="AQ137" s="236"/>
      <c r="AR137" s="236"/>
      <c r="AS137" s="236"/>
      <c r="AT137" s="236"/>
      <c r="AU137" s="236"/>
      <c r="AV137" s="236"/>
      <c r="AW137" s="236"/>
      <c r="AX137" s="236"/>
      <c r="AY137" s="236"/>
      <c r="AZ137" s="236"/>
      <c r="BA137" s="236"/>
      <c r="BB137" s="236"/>
      <c r="BC137" s="236"/>
      <c r="BD137" s="236"/>
      <c r="BE137" s="236"/>
      <c r="BF137" s="236"/>
      <c r="BG137" s="236"/>
      <c r="BH137" s="236"/>
      <c r="BI137" s="236"/>
      <c r="BJ137" s="236"/>
      <c r="BK137" s="236"/>
      <c r="BL137" s="236"/>
      <c r="BM137" s="236"/>
      <c r="BN137" s="236"/>
      <c r="BO137" s="236"/>
      <c r="BP137" s="236"/>
      <c r="BQ137" s="236"/>
      <c r="BR137" s="236"/>
      <c r="BS137" s="236"/>
      <c r="BT137" s="236"/>
      <c r="BU137" s="236"/>
      <c r="BV137" s="236"/>
      <c r="BW137" s="236"/>
      <c r="BX137" s="236"/>
      <c r="BY137" s="236"/>
      <c r="BZ137" s="236"/>
      <c r="CA137" s="236"/>
      <c r="CB137" s="236"/>
      <c r="CC137" s="236"/>
      <c r="CD137" s="236"/>
      <c r="CE137" s="236"/>
      <c r="CF137" s="236"/>
      <c r="CG137" s="236"/>
      <c r="CH137" s="236"/>
      <c r="CI137" s="236"/>
      <c r="CJ137" s="236"/>
      <c r="CK137" s="236"/>
      <c r="CL137" s="236"/>
      <c r="CM137" s="236"/>
      <c r="CN137" s="236"/>
      <c r="CO137" s="236"/>
      <c r="CP137" s="236"/>
      <c r="CQ137" s="236"/>
      <c r="CR137" s="236"/>
      <c r="CS137" s="236"/>
      <c r="CT137" s="236"/>
      <c r="CU137" s="236"/>
      <c r="CV137" s="236"/>
      <c r="CW137" s="236"/>
      <c r="CX137" s="236"/>
      <c r="CY137" s="236"/>
      <c r="CZ137" s="236"/>
      <c r="DA137" s="236"/>
      <c r="DB137" s="236"/>
      <c r="DC137" s="236"/>
      <c r="DD137" s="236"/>
      <c r="DE137" s="236"/>
      <c r="DF137" s="236"/>
      <c r="DG137" s="236"/>
      <c r="DH137" s="236"/>
      <c r="DI137" s="236"/>
      <c r="DJ137" s="236"/>
      <c r="DK137" s="236"/>
      <c r="DL137" s="236"/>
      <c r="DM137" s="236"/>
      <c r="DN137" s="236"/>
      <c r="DO137" s="236"/>
      <c r="DP137" s="236"/>
      <c r="DQ137" s="236"/>
      <c r="DR137" s="236"/>
      <c r="DS137" s="236"/>
      <c r="DT137" s="236"/>
      <c r="DU137" s="236"/>
      <c r="DV137" s="236"/>
      <c r="DW137" s="236"/>
      <c r="DX137" s="236"/>
      <c r="DY137" s="236"/>
      <c r="DZ137" s="236"/>
      <c r="EA137" s="236"/>
      <c r="EB137" s="236"/>
      <c r="EC137" s="236"/>
      <c r="ED137" s="236"/>
      <c r="EE137" s="236"/>
      <c r="EF137" s="236"/>
      <c r="EG137" s="236"/>
      <c r="EH137" s="236"/>
      <c r="EI137" s="236"/>
      <c r="EJ137" s="236"/>
      <c r="EK137" s="236"/>
      <c r="EL137" s="236"/>
      <c r="EM137" s="236"/>
      <c r="EN137" s="236"/>
      <c r="EO137" s="236"/>
      <c r="EP137" s="236"/>
      <c r="EQ137" s="236"/>
      <c r="ER137" s="236"/>
      <c r="ES137" s="236"/>
      <c r="ET137" s="236"/>
      <c r="EU137" s="236"/>
      <c r="EV137" s="236"/>
      <c r="EW137" s="236"/>
      <c r="EX137" s="236"/>
      <c r="EY137" s="236"/>
      <c r="EZ137" s="236"/>
      <c r="FA137" s="236"/>
      <c r="FB137" s="236"/>
      <c r="FC137" s="236"/>
      <c r="FD137" s="236"/>
      <c r="FE137" s="236"/>
      <c r="FF137" s="236"/>
      <c r="FG137" s="236"/>
      <c r="FH137" s="236"/>
      <c r="FI137" s="236"/>
      <c r="FJ137" s="236"/>
      <c r="FK137" s="236"/>
      <c r="FL137" s="236"/>
      <c r="FM137" s="236"/>
      <c r="FN137" s="236"/>
      <c r="FO137" s="236"/>
      <c r="FP137" s="236"/>
      <c r="FQ137" s="236"/>
      <c r="FR137" s="236"/>
      <c r="FS137" s="236"/>
      <c r="FT137" s="236"/>
      <c r="FU137" s="236"/>
      <c r="FV137" s="236"/>
      <c r="FW137" s="236"/>
      <c r="FX137" s="236"/>
      <c r="FY137" s="236"/>
      <c r="FZ137" s="236"/>
      <c r="GA137" s="236"/>
      <c r="GB137" s="236"/>
      <c r="GC137" s="236"/>
      <c r="GD137" s="236"/>
      <c r="GE137" s="236"/>
      <c r="GF137" s="236"/>
      <c r="GG137" s="236"/>
      <c r="GH137" s="236"/>
      <c r="GI137" s="236"/>
      <c r="GJ137" s="236"/>
      <c r="GK137" s="236"/>
      <c r="GL137" s="236"/>
      <c r="GM137" s="236"/>
      <c r="GN137" s="236"/>
      <c r="GO137" s="236"/>
      <c r="GP137" s="236"/>
      <c r="GQ137" s="236"/>
      <c r="GR137" s="236"/>
      <c r="GS137" s="236"/>
      <c r="GT137" s="236"/>
      <c r="GU137" s="236"/>
      <c r="GV137" s="236"/>
      <c r="GW137" s="236"/>
      <c r="GX137" s="236"/>
      <c r="GY137" s="236"/>
      <c r="GZ137" s="236"/>
      <c r="HA137" s="236"/>
      <c r="HB137" s="236"/>
      <c r="HC137" s="236"/>
      <c r="HD137" s="236"/>
      <c r="HE137" s="236"/>
      <c r="HF137" s="236"/>
      <c r="HG137" s="236"/>
      <c r="HH137" s="236"/>
      <c r="HI137" s="236"/>
      <c r="HJ137" s="236"/>
      <c r="HK137" s="236"/>
      <c r="HL137" s="236"/>
      <c r="HM137" s="236"/>
      <c r="HN137" s="236"/>
      <c r="HO137" s="236"/>
      <c r="HP137" s="236"/>
      <c r="HQ137" s="236"/>
      <c r="HR137" s="236"/>
      <c r="HS137" s="236"/>
      <c r="HT137" s="236"/>
      <c r="HU137" s="236"/>
      <c r="HV137" s="236"/>
      <c r="HW137" s="236"/>
      <c r="HX137" s="236"/>
      <c r="HY137" s="236"/>
      <c r="HZ137" s="236"/>
      <c r="IA137" s="236"/>
      <c r="IB137" s="236"/>
      <c r="IC137" s="236"/>
      <c r="ID137" s="236"/>
      <c r="IE137" s="236"/>
      <c r="IF137" s="236"/>
      <c r="IG137" s="236"/>
      <c r="IH137" s="236"/>
      <c r="II137" s="236"/>
      <c r="IJ137" s="236"/>
      <c r="IK137" s="236"/>
      <c r="IL137" s="236"/>
      <c r="IM137" s="236"/>
      <c r="IN137" s="236"/>
      <c r="IO137" s="236"/>
      <c r="IP137" s="236"/>
      <c r="IQ137" s="236"/>
      <c r="IR137" s="236"/>
      <c r="IS137" s="236"/>
      <c r="IT137" s="236"/>
      <c r="IU137" s="236"/>
      <c r="IV137" s="236"/>
      <c r="IW137" s="236"/>
      <c r="IX137" s="236"/>
      <c r="IY137" s="236"/>
      <c r="IZ137" s="236"/>
      <c r="JA137" s="236"/>
      <c r="JB137" s="236"/>
      <c r="JC137" s="236"/>
      <c r="JD137" s="236"/>
      <c r="JE137" s="236"/>
      <c r="JF137" s="236"/>
      <c r="JG137" s="236"/>
      <c r="JH137" s="236"/>
      <c r="JI137" s="236"/>
      <c r="JJ137" s="236"/>
      <c r="JK137" s="236"/>
      <c r="JL137" s="236"/>
      <c r="JM137" s="236"/>
      <c r="JN137" s="236"/>
      <c r="JO137" s="236"/>
      <c r="JP137" s="236"/>
      <c r="JQ137" s="236"/>
      <c r="JR137" s="236"/>
      <c r="JS137" s="236"/>
      <c r="JT137" s="236"/>
      <c r="JU137" s="236"/>
      <c r="JV137" s="236"/>
      <c r="JW137" s="236"/>
      <c r="JX137" s="409"/>
      <c r="JY137" s="409"/>
      <c r="JZ137" s="409"/>
      <c r="KA137" s="409"/>
      <c r="KB137" s="409"/>
      <c r="KC137" s="409"/>
      <c r="KD137" s="409"/>
      <c r="KE137" s="409"/>
      <c r="KF137" s="409"/>
      <c r="KG137" s="410"/>
    </row>
    <row r="138" spans="3:293" ht="24" customHeight="1">
      <c r="C138"/>
      <c r="D138" s="57">
        <f ca="1">INDIRECT(ADDRESS(ROWS($D$3:D137)+6,D$3,1,1,"3_TIME SUM"))</f>
        <v>0</v>
      </c>
      <c r="E138" s="81" t="str">
        <f ca="1">IF(INDIRECT(ADDRESS(ROWS($E$3:E137)+6,E$3,1,1,"3_TIME SUM"))=0,E137,INDIRECT(ADDRESS(ROWS($E$3:E137)+6,E$3,1,1,"3_TIME SUM")))</f>
        <v>X-Mastree</v>
      </c>
      <c r="F138" s="57" t="str">
        <f t="shared" ca="1" si="42"/>
        <v>X-Mastree : 0</v>
      </c>
      <c r="G138" s="58" t="e">
        <f ca="1">VLOOKUP($D138,INDIRECT(ADDRESS(7,5,1,1,"3_TIME SUM")):INDIRECT(ADDRESS(200,7,1,1,"3_TIME SUM")),2,FALSE)</f>
        <v>#N/A</v>
      </c>
      <c r="H138" s="58" t="e">
        <f ca="1">IF(VLOOKUP($D138,INDIRECT(ADDRESS(7,5,1,1,"3_TIME SUM")):INDIRECT(ADDRESS(200,7,1,1,"3_TIME SUM")),3,FALSE)="","PT",VLOOKUP($D138,INDIRECT(ADDRESS(7,5,1,1,"3_TIME SUM")):INDIRECT(ADDRESS(200,7,1,1,"3_TIME SUM")),3,FALSE))</f>
        <v>#N/A</v>
      </c>
      <c r="I138" s="59">
        <f ca="1">IFERROR(IF(AND($D$2="NON PRODUCTIVE TIME",$H138="NPT"),SUMIF(INDIRECT(ADDRESS(8,COLUMN('2_DATA'!$M$9),1,1,"2_DATA")):INDIRECT(ADDRESS(3000,COLUMN('2_DATA'!$M$9),1,1,"2_DATA")),$G138,INDIRECT(ADDRESS(8,COLUMN('2_DATA'!$N$9),1,1,"2_DATA")):INDIRECT(ADDRESS(3000,COLUMN('2_DATA'!$N$9),1,1,"2_DATA"))),IF($D$2="ALL ACTIVITY",SUMIF(INDIRECT(ADDRESS(9,COLUMN('2_DATA'!$M$9),1,1,"2_DATA")):INDIRECT(ADDRESS(3000,COLUMN('2_DATA'!$M$9),1,1,"2_DATA")),$G138,INDIRECT(ADDRESS(9,COLUMN('2_DATA'!$N$9),1,1,"2_DATA")):INDIRECT(ADDRESS(3000,COLUMN('2_DATA'!$N$9),1,1,"2_DATA"))),SUMIF(INDIRECT(ADDRESS(OFFSET($A$3,MATCH($D$2,$A$4:$A$16,0)-1,1,,)+1,COLUMN('2_DATA'!$M$9),1,1,"2_DATA")):INDIRECT(ADDRESS(VLOOKUP($D$2,$A$4:$B$16,2,FALSE)-1,COLUMN('2_DATA'!$M$9),1,1,"2_DATA")),$G138,INDIRECT(ADDRESS(OFFSET($A$3,MATCH($D$2,$A$4:$A$16,0)-1,1,,)+1,COLUMN('2_DATA'!$N$9),1,1,"2_DATA")):INDIRECT(ADDRESS(VLOOKUP($D$2,$A$4:$B$16,2,FALSE)-1,COLUMN('2_DATA'!$N$9),1,1,"2_DATA"))))),0)</f>
        <v>0</v>
      </c>
      <c r="J138" s="58" t="str">
        <f ca="1">IF(I138=0,"",MAX($J$3:J137)+1)</f>
        <v/>
      </c>
      <c r="L138" s="55" t="str">
        <f t="shared" ca="1" si="39"/>
        <v/>
      </c>
      <c r="M138" s="55" t="str">
        <f t="shared" ca="1" si="43"/>
        <v/>
      </c>
      <c r="N138" s="55"/>
      <c r="O138" s="55" t="str">
        <f t="shared" ca="1" si="45"/>
        <v/>
      </c>
      <c r="P138" s="55">
        <f t="shared" ca="1" si="40"/>
        <v>0</v>
      </c>
      <c r="Q138" s="55" t="str">
        <f ca="1">IFERROR(INDEX($O$4:$P$226,MATCH(ROWS($Q$3:Q137),$P$4:$P$226,0),1),"-")</f>
        <v>-</v>
      </c>
      <c r="R138" s="62" t="str">
        <f t="shared" ca="1" si="41"/>
        <v/>
      </c>
      <c r="S138" s="55" t="str">
        <f t="shared" ca="1" si="44"/>
        <v/>
      </c>
      <c r="T138" s="67" t="str">
        <f t="shared" ca="1" si="38"/>
        <v>-</v>
      </c>
      <c r="V138" s="68" t="str">
        <f t="shared" ca="1" si="30"/>
        <v/>
      </c>
      <c r="W138" s="69" t="str">
        <f t="shared" ca="1" si="31"/>
        <v/>
      </c>
      <c r="X138" s="70" t="s">
        <v>84</v>
      </c>
      <c r="Y138" s="68" t="str">
        <f t="shared" ca="1" si="35"/>
        <v/>
      </c>
      <c r="Z138" s="71" t="str">
        <f t="shared" ca="1" si="32"/>
        <v/>
      </c>
      <c r="AA138" s="72" t="str">
        <f t="shared" ca="1" si="33"/>
        <v/>
      </c>
      <c r="AB138" s="72" t="str">
        <f t="shared" ca="1" si="34"/>
        <v/>
      </c>
      <c r="AC138" s="236"/>
      <c r="AD138" s="236"/>
      <c r="AE138" s="236"/>
      <c r="AF138" s="236"/>
      <c r="AG138" s="236"/>
      <c r="AH138" s="236"/>
      <c r="AI138" s="236"/>
      <c r="AJ138" s="236"/>
      <c r="AK138" s="236"/>
      <c r="AL138" s="236"/>
      <c r="AM138" s="236"/>
      <c r="AN138" s="236"/>
      <c r="AO138" s="236"/>
      <c r="AP138" s="236"/>
      <c r="AQ138" s="236"/>
      <c r="AR138" s="236"/>
      <c r="AS138" s="236"/>
      <c r="AT138" s="236"/>
      <c r="AU138" s="236"/>
      <c r="AV138" s="236"/>
      <c r="AW138" s="236"/>
      <c r="AX138" s="236"/>
      <c r="AY138" s="236"/>
      <c r="AZ138" s="236"/>
      <c r="BA138" s="236"/>
      <c r="BB138" s="236"/>
      <c r="BC138" s="236"/>
      <c r="BD138" s="236"/>
      <c r="BE138" s="236"/>
      <c r="BF138" s="236"/>
      <c r="BG138" s="236"/>
      <c r="BH138" s="236"/>
      <c r="BI138" s="236"/>
      <c r="BJ138" s="236"/>
      <c r="BK138" s="236"/>
      <c r="BL138" s="236"/>
      <c r="BM138" s="236"/>
      <c r="BN138" s="236"/>
      <c r="BO138" s="236"/>
      <c r="BP138" s="236"/>
      <c r="BQ138" s="236"/>
      <c r="BR138" s="236"/>
      <c r="BS138" s="236"/>
      <c r="BT138" s="236"/>
      <c r="BU138" s="236"/>
      <c r="BV138" s="236"/>
      <c r="BW138" s="236"/>
      <c r="BX138" s="236"/>
      <c r="BY138" s="236"/>
      <c r="BZ138" s="236"/>
      <c r="CA138" s="236"/>
      <c r="CB138" s="236"/>
      <c r="CC138" s="236"/>
      <c r="CD138" s="236"/>
      <c r="CE138" s="236"/>
      <c r="CF138" s="236"/>
      <c r="CG138" s="236"/>
      <c r="CH138" s="236"/>
      <c r="CI138" s="236"/>
      <c r="CJ138" s="236"/>
      <c r="CK138" s="236"/>
      <c r="CL138" s="236"/>
      <c r="CM138" s="236"/>
      <c r="CN138" s="236"/>
      <c r="CO138" s="236"/>
      <c r="CP138" s="236"/>
      <c r="CQ138" s="236"/>
      <c r="CR138" s="236"/>
      <c r="CS138" s="236"/>
      <c r="CT138" s="236"/>
      <c r="CU138" s="236"/>
      <c r="CV138" s="236"/>
      <c r="CW138" s="236"/>
      <c r="CX138" s="236"/>
      <c r="CY138" s="236"/>
      <c r="CZ138" s="236"/>
      <c r="DA138" s="236"/>
      <c r="DB138" s="236"/>
      <c r="DC138" s="236"/>
      <c r="DD138" s="236"/>
      <c r="DE138" s="236"/>
      <c r="DF138" s="236"/>
      <c r="DG138" s="236"/>
      <c r="DH138" s="236"/>
      <c r="DI138" s="236"/>
      <c r="DJ138" s="236"/>
      <c r="DK138" s="236"/>
      <c r="DL138" s="236"/>
      <c r="DM138" s="236"/>
      <c r="DN138" s="236"/>
      <c r="DO138" s="236"/>
      <c r="DP138" s="236"/>
      <c r="DQ138" s="236"/>
      <c r="DR138" s="236"/>
      <c r="DS138" s="236"/>
      <c r="DT138" s="236"/>
      <c r="DU138" s="236"/>
      <c r="DV138" s="236"/>
      <c r="DW138" s="236"/>
      <c r="DX138" s="236"/>
      <c r="DY138" s="236"/>
      <c r="DZ138" s="236"/>
      <c r="EA138" s="236"/>
      <c r="EB138" s="236"/>
      <c r="EC138" s="236"/>
      <c r="ED138" s="236"/>
      <c r="EE138" s="236"/>
      <c r="EF138" s="236"/>
      <c r="EG138" s="236"/>
      <c r="EH138" s="236"/>
      <c r="EI138" s="236"/>
      <c r="EJ138" s="236"/>
      <c r="EK138" s="236"/>
      <c r="EL138" s="236"/>
      <c r="EM138" s="236"/>
      <c r="EN138" s="236"/>
      <c r="EO138" s="236"/>
      <c r="EP138" s="236"/>
      <c r="EQ138" s="236"/>
      <c r="ER138" s="236"/>
      <c r="ES138" s="236"/>
      <c r="ET138" s="236"/>
      <c r="EU138" s="236"/>
      <c r="EV138" s="236"/>
      <c r="EW138" s="236"/>
      <c r="EX138" s="236"/>
      <c r="EY138" s="236"/>
      <c r="EZ138" s="236"/>
      <c r="FA138" s="236"/>
      <c r="FB138" s="236"/>
      <c r="FC138" s="236"/>
      <c r="FD138" s="236"/>
      <c r="FE138" s="236"/>
      <c r="FF138" s="236"/>
      <c r="FG138" s="236"/>
      <c r="FH138" s="236"/>
      <c r="FI138" s="236"/>
      <c r="FJ138" s="236"/>
      <c r="FK138" s="236"/>
      <c r="FL138" s="236"/>
      <c r="FM138" s="236"/>
      <c r="FN138" s="236"/>
      <c r="FO138" s="236"/>
      <c r="FP138" s="236"/>
      <c r="FQ138" s="236"/>
      <c r="FR138" s="236"/>
      <c r="FS138" s="236"/>
      <c r="FT138" s="236"/>
      <c r="FU138" s="236"/>
      <c r="FV138" s="236"/>
      <c r="FW138" s="236"/>
      <c r="FX138" s="236"/>
      <c r="FY138" s="236"/>
      <c r="FZ138" s="236"/>
      <c r="GA138" s="236"/>
      <c r="GB138" s="236"/>
      <c r="GC138" s="236"/>
      <c r="GD138" s="236"/>
      <c r="GE138" s="236"/>
      <c r="GF138" s="236"/>
      <c r="GG138" s="236"/>
      <c r="GH138" s="236"/>
      <c r="GI138" s="236"/>
      <c r="GJ138" s="236"/>
      <c r="GK138" s="236"/>
      <c r="GL138" s="236"/>
      <c r="GM138" s="236"/>
      <c r="GN138" s="236"/>
      <c r="GO138" s="236"/>
      <c r="GP138" s="236"/>
      <c r="GQ138" s="236"/>
      <c r="GR138" s="236"/>
      <c r="GS138" s="236"/>
      <c r="GT138" s="236"/>
      <c r="GU138" s="236"/>
      <c r="GV138" s="236"/>
      <c r="GW138" s="236"/>
      <c r="GX138" s="236"/>
      <c r="GY138" s="236"/>
      <c r="GZ138" s="236"/>
      <c r="HA138" s="236"/>
      <c r="HB138" s="236"/>
      <c r="HC138" s="236"/>
      <c r="HD138" s="236"/>
      <c r="HE138" s="236"/>
      <c r="HF138" s="236"/>
      <c r="HG138" s="236"/>
      <c r="HH138" s="236"/>
      <c r="HI138" s="236"/>
      <c r="HJ138" s="236"/>
      <c r="HK138" s="236"/>
      <c r="HL138" s="236"/>
      <c r="HM138" s="236"/>
      <c r="HN138" s="236"/>
      <c r="HO138" s="236"/>
      <c r="HP138" s="236"/>
      <c r="HQ138" s="236"/>
      <c r="HR138" s="236"/>
      <c r="HS138" s="236"/>
      <c r="HT138" s="236"/>
      <c r="HU138" s="236"/>
      <c r="HV138" s="236"/>
      <c r="HW138" s="236"/>
      <c r="HX138" s="236"/>
      <c r="HY138" s="236"/>
      <c r="HZ138" s="236"/>
      <c r="IA138" s="236"/>
      <c r="IB138" s="236"/>
      <c r="IC138" s="236"/>
      <c r="ID138" s="236"/>
      <c r="IE138" s="236"/>
      <c r="IF138" s="236"/>
      <c r="IG138" s="236"/>
      <c r="IH138" s="236"/>
      <c r="II138" s="236"/>
      <c r="IJ138" s="236"/>
      <c r="IK138" s="236"/>
      <c r="IL138" s="236"/>
      <c r="IM138" s="236"/>
      <c r="IN138" s="236"/>
      <c r="IO138" s="236"/>
      <c r="IP138" s="236"/>
      <c r="IQ138" s="236"/>
      <c r="IR138" s="236"/>
      <c r="IS138" s="236"/>
      <c r="IT138" s="236"/>
      <c r="IU138" s="236"/>
      <c r="IV138" s="236"/>
      <c r="IW138" s="236"/>
      <c r="IX138" s="236"/>
      <c r="IY138" s="236"/>
      <c r="IZ138" s="236"/>
      <c r="JA138" s="236"/>
      <c r="JB138" s="236"/>
      <c r="JC138" s="236"/>
      <c r="JD138" s="236"/>
      <c r="JE138" s="236"/>
      <c r="JF138" s="236"/>
      <c r="JG138" s="236"/>
      <c r="JH138" s="236"/>
      <c r="JI138" s="236"/>
      <c r="JJ138" s="236"/>
      <c r="JK138" s="236"/>
      <c r="JL138" s="236"/>
      <c r="JM138" s="236"/>
      <c r="JN138" s="236"/>
      <c r="JO138" s="236"/>
      <c r="JP138" s="236"/>
      <c r="JQ138" s="236"/>
      <c r="JR138" s="236"/>
      <c r="JS138" s="236"/>
      <c r="JT138" s="236"/>
      <c r="JU138" s="236"/>
      <c r="JV138" s="236"/>
      <c r="JW138" s="236"/>
      <c r="JX138" s="409"/>
      <c r="JY138" s="409"/>
      <c r="JZ138" s="409"/>
      <c r="KA138" s="409"/>
      <c r="KB138" s="409"/>
      <c r="KC138" s="409"/>
      <c r="KD138" s="409"/>
      <c r="KE138" s="409"/>
      <c r="KF138" s="409"/>
      <c r="KG138" s="410"/>
    </row>
    <row r="139" spans="3:293" ht="24" customHeight="1">
      <c r="C139"/>
      <c r="D139" s="57">
        <f ca="1">INDIRECT(ADDRESS(ROWS($D$3:D138)+6,D$3,1,1,"3_TIME SUM"))</f>
        <v>0</v>
      </c>
      <c r="E139" s="81" t="str">
        <f ca="1">IF(INDIRECT(ADDRESS(ROWS($E$3:E138)+6,E$3,1,1,"3_TIME SUM"))=0,E138,INDIRECT(ADDRESS(ROWS($E$3:E138)+6,E$3,1,1,"3_TIME SUM")))</f>
        <v>X-Mastree</v>
      </c>
      <c r="F139" s="57" t="str">
        <f t="shared" ca="1" si="42"/>
        <v>X-Mastree : 0</v>
      </c>
      <c r="G139" s="58" t="e">
        <f ca="1">VLOOKUP($D139,INDIRECT(ADDRESS(7,5,1,1,"3_TIME SUM")):INDIRECT(ADDRESS(200,7,1,1,"3_TIME SUM")),2,FALSE)</f>
        <v>#N/A</v>
      </c>
      <c r="H139" s="58" t="e">
        <f ca="1">IF(VLOOKUP($D139,INDIRECT(ADDRESS(7,5,1,1,"3_TIME SUM")):INDIRECT(ADDRESS(200,7,1,1,"3_TIME SUM")),3,FALSE)="","PT",VLOOKUP($D139,INDIRECT(ADDRESS(7,5,1,1,"3_TIME SUM")):INDIRECT(ADDRESS(200,7,1,1,"3_TIME SUM")),3,FALSE))</f>
        <v>#N/A</v>
      </c>
      <c r="I139" s="59">
        <f ca="1">IFERROR(IF(AND($D$2="NON PRODUCTIVE TIME",$H139="NPT"),SUMIF(INDIRECT(ADDRESS(8,COLUMN('2_DATA'!$M$9),1,1,"2_DATA")):INDIRECT(ADDRESS(3000,COLUMN('2_DATA'!$M$9),1,1,"2_DATA")),$G139,INDIRECT(ADDRESS(8,COLUMN('2_DATA'!$N$9),1,1,"2_DATA")):INDIRECT(ADDRESS(3000,COLUMN('2_DATA'!$N$9),1,1,"2_DATA"))),IF($D$2="ALL ACTIVITY",SUMIF(INDIRECT(ADDRESS(9,COLUMN('2_DATA'!$M$9),1,1,"2_DATA")):INDIRECT(ADDRESS(3000,COLUMN('2_DATA'!$M$9),1,1,"2_DATA")),$G139,INDIRECT(ADDRESS(9,COLUMN('2_DATA'!$N$9),1,1,"2_DATA")):INDIRECT(ADDRESS(3000,COLUMN('2_DATA'!$N$9),1,1,"2_DATA"))),SUMIF(INDIRECT(ADDRESS(OFFSET($A$3,MATCH($D$2,$A$4:$A$16,0)-1,1,,)+1,COLUMN('2_DATA'!$M$9),1,1,"2_DATA")):INDIRECT(ADDRESS(VLOOKUP($D$2,$A$4:$B$16,2,FALSE)-1,COLUMN('2_DATA'!$M$9),1,1,"2_DATA")),$G139,INDIRECT(ADDRESS(OFFSET($A$3,MATCH($D$2,$A$4:$A$16,0)-1,1,,)+1,COLUMN('2_DATA'!$N$9),1,1,"2_DATA")):INDIRECT(ADDRESS(VLOOKUP($D$2,$A$4:$B$16,2,FALSE)-1,COLUMN('2_DATA'!$N$9),1,1,"2_DATA"))))),0)</f>
        <v>0</v>
      </c>
      <c r="J139" s="58" t="str">
        <f ca="1">IF(I139=0,"",MAX($J$3:J138)+1)</f>
        <v/>
      </c>
      <c r="L139" s="55" t="str">
        <f t="shared" ca="1" si="39"/>
        <v/>
      </c>
      <c r="M139" s="55" t="str">
        <f t="shared" ca="1" si="43"/>
        <v/>
      </c>
      <c r="N139" s="55"/>
      <c r="O139" s="55" t="str">
        <f t="shared" ca="1" si="45"/>
        <v/>
      </c>
      <c r="P139" s="55">
        <f t="shared" ca="1" si="40"/>
        <v>0</v>
      </c>
      <c r="Q139" s="55" t="str">
        <f ca="1">IFERROR(INDEX($O$4:$P$226,MATCH(ROWS($Q$3:Q138),$P$4:$P$226,0),1),"-")</f>
        <v>-</v>
      </c>
      <c r="R139" s="62" t="str">
        <f t="shared" ca="1" si="41"/>
        <v/>
      </c>
      <c r="S139" s="55" t="str">
        <f t="shared" ca="1" si="44"/>
        <v/>
      </c>
      <c r="T139" s="67" t="str">
        <f t="shared" ca="1" si="38"/>
        <v>-</v>
      </c>
      <c r="V139" s="68" t="str">
        <f t="shared" ca="1" si="30"/>
        <v/>
      </c>
      <c r="W139" s="69" t="str">
        <f t="shared" ca="1" si="31"/>
        <v/>
      </c>
      <c r="X139" s="70" t="s">
        <v>84</v>
      </c>
      <c r="Y139" s="68" t="str">
        <f t="shared" ca="1" si="35"/>
        <v/>
      </c>
      <c r="Z139" s="71" t="str">
        <f t="shared" ca="1" si="32"/>
        <v/>
      </c>
      <c r="AA139" s="72" t="str">
        <f t="shared" ca="1" si="33"/>
        <v/>
      </c>
      <c r="AB139" s="72" t="str">
        <f t="shared" ca="1" si="34"/>
        <v/>
      </c>
      <c r="AC139" s="236"/>
      <c r="AD139" s="236"/>
      <c r="AE139" s="236"/>
      <c r="AF139" s="236"/>
      <c r="AG139" s="236"/>
      <c r="AH139" s="236"/>
      <c r="AI139" s="236"/>
      <c r="AJ139" s="236"/>
      <c r="AK139" s="236"/>
      <c r="AL139" s="236"/>
      <c r="AM139" s="236"/>
      <c r="AN139" s="236"/>
      <c r="AO139" s="236"/>
      <c r="AP139" s="236"/>
      <c r="AQ139" s="236"/>
      <c r="AR139" s="236"/>
      <c r="AS139" s="236"/>
      <c r="AT139" s="236"/>
      <c r="AU139" s="236"/>
      <c r="AV139" s="236"/>
      <c r="AW139" s="236"/>
      <c r="AX139" s="236"/>
      <c r="AY139" s="236"/>
      <c r="AZ139" s="236"/>
      <c r="BA139" s="236"/>
      <c r="BB139" s="236"/>
      <c r="BC139" s="236"/>
      <c r="BD139" s="236"/>
      <c r="BE139" s="236"/>
      <c r="BF139" s="236"/>
      <c r="BG139" s="236"/>
      <c r="BH139" s="236"/>
      <c r="BI139" s="236"/>
      <c r="BJ139" s="236"/>
      <c r="BK139" s="236"/>
      <c r="BL139" s="236"/>
      <c r="BM139" s="236"/>
      <c r="BN139" s="236"/>
      <c r="BO139" s="236"/>
      <c r="BP139" s="236"/>
      <c r="BQ139" s="236"/>
      <c r="BR139" s="236"/>
      <c r="BS139" s="236"/>
      <c r="BT139" s="236"/>
      <c r="BU139" s="236"/>
      <c r="BV139" s="236"/>
      <c r="BW139" s="236"/>
      <c r="BX139" s="236"/>
      <c r="BY139" s="236"/>
      <c r="BZ139" s="236"/>
      <c r="CA139" s="236"/>
      <c r="CB139" s="236"/>
      <c r="CC139" s="236"/>
      <c r="CD139" s="236"/>
      <c r="CE139" s="236"/>
      <c r="CF139" s="236"/>
      <c r="CG139" s="236"/>
      <c r="CH139" s="236"/>
      <c r="CI139" s="236"/>
      <c r="CJ139" s="236"/>
      <c r="CK139" s="236"/>
      <c r="CL139" s="236"/>
      <c r="CM139" s="236"/>
      <c r="CN139" s="236"/>
      <c r="CO139" s="236"/>
      <c r="CP139" s="236"/>
      <c r="CQ139" s="236"/>
      <c r="CR139" s="236"/>
      <c r="CS139" s="236"/>
      <c r="CT139" s="236"/>
      <c r="CU139" s="236"/>
      <c r="CV139" s="236"/>
      <c r="CW139" s="236"/>
      <c r="CX139" s="236"/>
      <c r="CY139" s="236"/>
      <c r="CZ139" s="236"/>
      <c r="DA139" s="236"/>
      <c r="DB139" s="236"/>
      <c r="DC139" s="236"/>
      <c r="DD139" s="236"/>
      <c r="DE139" s="236"/>
      <c r="DF139" s="236"/>
      <c r="DG139" s="236"/>
      <c r="DH139" s="236"/>
      <c r="DI139" s="236"/>
      <c r="DJ139" s="236"/>
      <c r="DK139" s="236"/>
      <c r="DL139" s="236"/>
      <c r="DM139" s="236"/>
      <c r="DN139" s="236"/>
      <c r="DO139" s="236"/>
      <c r="DP139" s="236"/>
      <c r="DQ139" s="236"/>
      <c r="DR139" s="236"/>
      <c r="DS139" s="236"/>
      <c r="DT139" s="236"/>
      <c r="DU139" s="236"/>
      <c r="DV139" s="236"/>
      <c r="DW139" s="236"/>
      <c r="DX139" s="236"/>
      <c r="DY139" s="236"/>
      <c r="DZ139" s="236"/>
      <c r="EA139" s="236"/>
      <c r="EB139" s="236"/>
      <c r="EC139" s="236"/>
      <c r="ED139" s="236"/>
      <c r="EE139" s="236"/>
      <c r="EF139" s="236"/>
      <c r="EG139" s="236"/>
      <c r="EH139" s="236"/>
      <c r="EI139" s="236"/>
      <c r="EJ139" s="236"/>
      <c r="EK139" s="236"/>
      <c r="EL139" s="236"/>
      <c r="EM139" s="236"/>
      <c r="EN139" s="236"/>
      <c r="EO139" s="236"/>
      <c r="EP139" s="236"/>
      <c r="EQ139" s="236"/>
      <c r="ER139" s="236"/>
      <c r="ES139" s="236"/>
      <c r="ET139" s="236"/>
      <c r="EU139" s="236"/>
      <c r="EV139" s="236"/>
      <c r="EW139" s="236"/>
      <c r="EX139" s="236"/>
      <c r="EY139" s="236"/>
      <c r="EZ139" s="236"/>
      <c r="FA139" s="236"/>
      <c r="FB139" s="236"/>
      <c r="FC139" s="236"/>
      <c r="FD139" s="236"/>
      <c r="FE139" s="236"/>
      <c r="FF139" s="236"/>
      <c r="FG139" s="236"/>
      <c r="FH139" s="236"/>
      <c r="FI139" s="236"/>
      <c r="FJ139" s="236"/>
      <c r="FK139" s="236"/>
      <c r="FL139" s="236"/>
      <c r="FM139" s="236"/>
      <c r="FN139" s="236"/>
      <c r="FO139" s="236"/>
      <c r="FP139" s="236"/>
      <c r="FQ139" s="236"/>
      <c r="FR139" s="236"/>
      <c r="FS139" s="236"/>
      <c r="FT139" s="236"/>
      <c r="FU139" s="236"/>
      <c r="FV139" s="236"/>
      <c r="FW139" s="236"/>
      <c r="FX139" s="236"/>
      <c r="FY139" s="236"/>
      <c r="FZ139" s="236"/>
      <c r="GA139" s="236"/>
      <c r="GB139" s="236"/>
      <c r="GC139" s="236"/>
      <c r="GD139" s="236"/>
      <c r="GE139" s="236"/>
      <c r="GF139" s="236"/>
      <c r="GG139" s="236"/>
      <c r="GH139" s="236"/>
      <c r="GI139" s="236"/>
      <c r="GJ139" s="236"/>
      <c r="GK139" s="236"/>
      <c r="GL139" s="236"/>
      <c r="GM139" s="236"/>
      <c r="GN139" s="236"/>
      <c r="GO139" s="236"/>
      <c r="GP139" s="236"/>
      <c r="GQ139" s="236"/>
      <c r="GR139" s="236"/>
      <c r="GS139" s="236"/>
      <c r="GT139" s="236"/>
      <c r="GU139" s="236"/>
      <c r="GV139" s="236"/>
      <c r="GW139" s="236"/>
      <c r="GX139" s="236"/>
      <c r="GY139" s="236"/>
      <c r="GZ139" s="236"/>
      <c r="HA139" s="236"/>
      <c r="HB139" s="236"/>
      <c r="HC139" s="236"/>
      <c r="HD139" s="236"/>
      <c r="HE139" s="236"/>
      <c r="HF139" s="236"/>
      <c r="HG139" s="236"/>
      <c r="HH139" s="236"/>
      <c r="HI139" s="236"/>
      <c r="HJ139" s="236"/>
      <c r="HK139" s="236"/>
      <c r="HL139" s="236"/>
      <c r="HM139" s="236"/>
      <c r="HN139" s="236"/>
      <c r="HO139" s="236"/>
      <c r="HP139" s="236"/>
      <c r="HQ139" s="236"/>
      <c r="HR139" s="236"/>
      <c r="HS139" s="236"/>
      <c r="HT139" s="236"/>
      <c r="HU139" s="236"/>
      <c r="HV139" s="236"/>
      <c r="HW139" s="236"/>
      <c r="HX139" s="236"/>
      <c r="HY139" s="236"/>
      <c r="HZ139" s="236"/>
      <c r="IA139" s="236"/>
      <c r="IB139" s="236"/>
      <c r="IC139" s="236"/>
      <c r="ID139" s="236"/>
      <c r="IE139" s="236"/>
      <c r="IF139" s="236"/>
      <c r="IG139" s="236"/>
      <c r="IH139" s="236"/>
      <c r="II139" s="236"/>
      <c r="IJ139" s="236"/>
      <c r="IK139" s="236"/>
      <c r="IL139" s="236"/>
      <c r="IM139" s="236"/>
      <c r="IN139" s="236"/>
      <c r="IO139" s="236"/>
      <c r="IP139" s="236"/>
      <c r="IQ139" s="236"/>
      <c r="IR139" s="236"/>
      <c r="IS139" s="236"/>
      <c r="IT139" s="236"/>
      <c r="IU139" s="236"/>
      <c r="IV139" s="236"/>
      <c r="IW139" s="236"/>
      <c r="IX139" s="236"/>
      <c r="IY139" s="236"/>
      <c r="IZ139" s="236"/>
      <c r="JA139" s="236"/>
      <c r="JB139" s="236"/>
      <c r="JC139" s="236"/>
      <c r="JD139" s="236"/>
      <c r="JE139" s="236"/>
      <c r="JF139" s="236"/>
      <c r="JG139" s="236"/>
      <c r="JH139" s="236"/>
      <c r="JI139" s="236"/>
      <c r="JJ139" s="236"/>
      <c r="JK139" s="236"/>
      <c r="JL139" s="236"/>
      <c r="JM139" s="236"/>
      <c r="JN139" s="236"/>
      <c r="JO139" s="236"/>
      <c r="JP139" s="236"/>
      <c r="JQ139" s="236"/>
      <c r="JR139" s="236"/>
      <c r="JS139" s="236"/>
      <c r="JT139" s="236"/>
      <c r="JU139" s="236"/>
      <c r="JV139" s="236"/>
      <c r="JW139" s="236"/>
      <c r="JX139" s="409"/>
      <c r="JY139" s="409"/>
      <c r="JZ139" s="409"/>
      <c r="KA139" s="409"/>
      <c r="KB139" s="409"/>
      <c r="KC139" s="409"/>
      <c r="KD139" s="409"/>
      <c r="KE139" s="409"/>
      <c r="KF139" s="409"/>
      <c r="KG139" s="410"/>
    </row>
    <row r="140" spans="3:293" ht="24" customHeight="1">
      <c r="C140"/>
      <c r="D140" s="57">
        <f ca="1">INDIRECT(ADDRESS(ROWS($D$3:D139)+6,D$3,1,1,"3_TIME SUM"))</f>
        <v>0</v>
      </c>
      <c r="E140" s="81" t="str">
        <f ca="1">IF(INDIRECT(ADDRESS(ROWS($E$3:E139)+6,E$3,1,1,"3_TIME SUM"))=0,E139,INDIRECT(ADDRESS(ROWS($E$3:E139)+6,E$3,1,1,"3_TIME SUM")))</f>
        <v>X-Mastree</v>
      </c>
      <c r="F140" s="57" t="str">
        <f t="shared" ca="1" si="42"/>
        <v>X-Mastree : 0</v>
      </c>
      <c r="G140" s="58" t="e">
        <f ca="1">VLOOKUP($D140,INDIRECT(ADDRESS(7,5,1,1,"3_TIME SUM")):INDIRECT(ADDRESS(200,7,1,1,"3_TIME SUM")),2,FALSE)</f>
        <v>#N/A</v>
      </c>
      <c r="H140" s="58" t="e">
        <f ca="1">IF(VLOOKUP($D140,INDIRECT(ADDRESS(7,5,1,1,"3_TIME SUM")):INDIRECT(ADDRESS(200,7,1,1,"3_TIME SUM")),3,FALSE)="","PT",VLOOKUP($D140,INDIRECT(ADDRESS(7,5,1,1,"3_TIME SUM")):INDIRECT(ADDRESS(200,7,1,1,"3_TIME SUM")),3,FALSE))</f>
        <v>#N/A</v>
      </c>
      <c r="I140" s="59">
        <f ca="1">IFERROR(IF(AND($D$2="NON PRODUCTIVE TIME",$H140="NPT"),SUMIF(INDIRECT(ADDRESS(8,COLUMN('2_DATA'!$M$9),1,1,"2_DATA")):INDIRECT(ADDRESS(3000,COLUMN('2_DATA'!$M$9),1,1,"2_DATA")),$G140,INDIRECT(ADDRESS(8,COLUMN('2_DATA'!$N$9),1,1,"2_DATA")):INDIRECT(ADDRESS(3000,COLUMN('2_DATA'!$N$9),1,1,"2_DATA"))),IF($D$2="ALL ACTIVITY",SUMIF(INDIRECT(ADDRESS(9,COLUMN('2_DATA'!$M$9),1,1,"2_DATA")):INDIRECT(ADDRESS(3000,COLUMN('2_DATA'!$M$9),1,1,"2_DATA")),$G140,INDIRECT(ADDRESS(9,COLUMN('2_DATA'!$N$9),1,1,"2_DATA")):INDIRECT(ADDRESS(3000,COLUMN('2_DATA'!$N$9),1,1,"2_DATA"))),SUMIF(INDIRECT(ADDRESS(OFFSET($A$3,MATCH($D$2,$A$4:$A$16,0)-1,1,,)+1,COLUMN('2_DATA'!$M$9),1,1,"2_DATA")):INDIRECT(ADDRESS(VLOOKUP($D$2,$A$4:$B$16,2,FALSE)-1,COLUMN('2_DATA'!$M$9),1,1,"2_DATA")),$G140,INDIRECT(ADDRESS(OFFSET($A$3,MATCH($D$2,$A$4:$A$16,0)-1,1,,)+1,COLUMN('2_DATA'!$N$9),1,1,"2_DATA")):INDIRECT(ADDRESS(VLOOKUP($D$2,$A$4:$B$16,2,FALSE)-1,COLUMN('2_DATA'!$N$9),1,1,"2_DATA"))))),0)</f>
        <v>0</v>
      </c>
      <c r="J140" s="58" t="str">
        <f ca="1">IF(I140=0,"",MAX($J$3:J139)+1)</f>
        <v/>
      </c>
      <c r="L140" s="55" t="str">
        <f t="shared" ca="1" si="39"/>
        <v/>
      </c>
      <c r="M140" s="55" t="str">
        <f t="shared" ca="1" si="43"/>
        <v/>
      </c>
      <c r="N140" s="55"/>
      <c r="O140" s="55" t="str">
        <f t="shared" ca="1" si="45"/>
        <v/>
      </c>
      <c r="P140" s="55">
        <f t="shared" ca="1" si="40"/>
        <v>0</v>
      </c>
      <c r="Q140" s="55" t="str">
        <f ca="1">IFERROR(INDEX($O$4:$P$226,MATCH(ROWS($Q$3:Q139),$P$4:$P$226,0),1),"-")</f>
        <v>-</v>
      </c>
      <c r="R140" s="62" t="str">
        <f t="shared" ca="1" si="41"/>
        <v/>
      </c>
      <c r="S140" s="55" t="str">
        <f t="shared" ca="1" si="44"/>
        <v/>
      </c>
      <c r="T140" s="67" t="str">
        <f t="shared" ca="1" si="38"/>
        <v>-</v>
      </c>
      <c r="V140" s="68" t="str">
        <f t="shared" ca="1" si="30"/>
        <v/>
      </c>
      <c r="W140" s="69" t="str">
        <f t="shared" ca="1" si="31"/>
        <v/>
      </c>
      <c r="X140" s="70" t="s">
        <v>84</v>
      </c>
      <c r="Y140" s="68" t="str">
        <f t="shared" ca="1" si="35"/>
        <v/>
      </c>
      <c r="Z140" s="71" t="str">
        <f t="shared" ca="1" si="32"/>
        <v/>
      </c>
      <c r="AA140" s="72" t="str">
        <f t="shared" ca="1" si="33"/>
        <v/>
      </c>
      <c r="AB140" s="72" t="str">
        <f t="shared" ca="1" si="34"/>
        <v/>
      </c>
      <c r="AC140" s="236"/>
      <c r="AD140" s="236"/>
      <c r="AE140" s="236"/>
      <c r="AF140" s="236"/>
      <c r="AG140" s="236"/>
      <c r="AH140" s="236"/>
      <c r="AI140" s="236"/>
      <c r="AJ140" s="236"/>
      <c r="AK140" s="236"/>
      <c r="AL140" s="236"/>
      <c r="AM140" s="236"/>
      <c r="AN140" s="236"/>
      <c r="AO140" s="236"/>
      <c r="AP140" s="236"/>
      <c r="AQ140" s="236"/>
      <c r="AR140" s="236"/>
      <c r="AS140" s="236"/>
      <c r="AT140" s="236"/>
      <c r="AU140" s="236"/>
      <c r="AV140" s="236"/>
      <c r="AW140" s="236"/>
      <c r="AX140" s="236"/>
      <c r="AY140" s="236"/>
      <c r="AZ140" s="236"/>
      <c r="BA140" s="236"/>
      <c r="BB140" s="236"/>
      <c r="BC140" s="236"/>
      <c r="BD140" s="236"/>
      <c r="BE140" s="236"/>
      <c r="BF140" s="236"/>
      <c r="BG140" s="236"/>
      <c r="BH140" s="236"/>
      <c r="BI140" s="236"/>
      <c r="BJ140" s="236"/>
      <c r="BK140" s="236"/>
      <c r="BL140" s="236"/>
      <c r="BM140" s="236"/>
      <c r="BN140" s="236"/>
      <c r="BO140" s="236"/>
      <c r="BP140" s="236"/>
      <c r="BQ140" s="236"/>
      <c r="BR140" s="236"/>
      <c r="BS140" s="236"/>
      <c r="BT140" s="236"/>
      <c r="BU140" s="236"/>
      <c r="BV140" s="236"/>
      <c r="BW140" s="236"/>
      <c r="BX140" s="236"/>
      <c r="BY140" s="236"/>
      <c r="BZ140" s="236"/>
      <c r="CA140" s="236"/>
      <c r="CB140" s="236"/>
      <c r="CC140" s="236"/>
      <c r="CD140" s="236"/>
      <c r="CE140" s="236"/>
      <c r="CF140" s="236"/>
      <c r="CG140" s="236"/>
      <c r="CH140" s="236"/>
      <c r="CI140" s="236"/>
      <c r="CJ140" s="236"/>
      <c r="CK140" s="236"/>
      <c r="CL140" s="236"/>
      <c r="CM140" s="236"/>
      <c r="CN140" s="236"/>
      <c r="CO140" s="236"/>
      <c r="CP140" s="236"/>
      <c r="CQ140" s="236"/>
      <c r="CR140" s="236"/>
      <c r="CS140" s="236"/>
      <c r="CT140" s="236"/>
      <c r="CU140" s="236"/>
      <c r="CV140" s="236"/>
      <c r="CW140" s="236"/>
      <c r="CX140" s="236"/>
      <c r="CY140" s="236"/>
      <c r="CZ140" s="236"/>
      <c r="DA140" s="236"/>
      <c r="DB140" s="236"/>
      <c r="DC140" s="236"/>
      <c r="DD140" s="236"/>
      <c r="DE140" s="236"/>
      <c r="DF140" s="236"/>
      <c r="DG140" s="236"/>
      <c r="DH140" s="236"/>
      <c r="DI140" s="236"/>
      <c r="DJ140" s="236"/>
      <c r="DK140" s="236"/>
      <c r="DL140" s="236"/>
      <c r="DM140" s="236"/>
      <c r="DN140" s="236"/>
      <c r="DO140" s="236"/>
      <c r="DP140" s="236"/>
      <c r="DQ140" s="236"/>
      <c r="DR140" s="236"/>
      <c r="DS140" s="236"/>
      <c r="DT140" s="236"/>
      <c r="DU140" s="236"/>
      <c r="DV140" s="236"/>
      <c r="DW140" s="236"/>
      <c r="DX140" s="236"/>
      <c r="DY140" s="236"/>
      <c r="DZ140" s="236"/>
      <c r="EA140" s="236"/>
      <c r="EB140" s="236"/>
      <c r="EC140" s="236"/>
      <c r="ED140" s="236"/>
      <c r="EE140" s="236"/>
      <c r="EF140" s="236"/>
      <c r="EG140" s="236"/>
      <c r="EH140" s="236"/>
      <c r="EI140" s="236"/>
      <c r="EJ140" s="236"/>
      <c r="EK140" s="236"/>
      <c r="EL140" s="236"/>
      <c r="EM140" s="236"/>
      <c r="EN140" s="236"/>
      <c r="EO140" s="236"/>
      <c r="EP140" s="236"/>
      <c r="EQ140" s="236"/>
      <c r="ER140" s="236"/>
      <c r="ES140" s="236"/>
      <c r="ET140" s="236"/>
      <c r="EU140" s="236"/>
      <c r="EV140" s="236"/>
      <c r="EW140" s="236"/>
      <c r="EX140" s="236"/>
      <c r="EY140" s="236"/>
      <c r="EZ140" s="236"/>
      <c r="FA140" s="236"/>
      <c r="FB140" s="236"/>
      <c r="FC140" s="236"/>
      <c r="FD140" s="236"/>
      <c r="FE140" s="236"/>
      <c r="FF140" s="236"/>
      <c r="FG140" s="236"/>
      <c r="FH140" s="236"/>
      <c r="FI140" s="236"/>
      <c r="FJ140" s="236"/>
      <c r="FK140" s="236"/>
      <c r="FL140" s="236"/>
      <c r="FM140" s="236"/>
      <c r="FN140" s="236"/>
      <c r="FO140" s="236"/>
      <c r="FP140" s="236"/>
      <c r="FQ140" s="236"/>
      <c r="FR140" s="236"/>
      <c r="FS140" s="236"/>
      <c r="FT140" s="236"/>
      <c r="FU140" s="236"/>
      <c r="FV140" s="236"/>
      <c r="FW140" s="236"/>
      <c r="FX140" s="236"/>
      <c r="FY140" s="236"/>
      <c r="FZ140" s="236"/>
      <c r="GA140" s="236"/>
      <c r="GB140" s="236"/>
      <c r="GC140" s="236"/>
      <c r="GD140" s="236"/>
      <c r="GE140" s="236"/>
      <c r="GF140" s="236"/>
      <c r="GG140" s="236"/>
      <c r="GH140" s="236"/>
      <c r="GI140" s="236"/>
      <c r="GJ140" s="236"/>
      <c r="GK140" s="236"/>
      <c r="GL140" s="236"/>
      <c r="GM140" s="236"/>
      <c r="GN140" s="236"/>
      <c r="GO140" s="236"/>
      <c r="GP140" s="236"/>
      <c r="GQ140" s="236"/>
      <c r="GR140" s="236"/>
      <c r="GS140" s="236"/>
      <c r="GT140" s="236"/>
      <c r="GU140" s="236"/>
      <c r="GV140" s="236"/>
      <c r="GW140" s="236"/>
      <c r="GX140" s="236"/>
      <c r="GY140" s="236"/>
      <c r="GZ140" s="236"/>
      <c r="HA140" s="236"/>
      <c r="HB140" s="236"/>
      <c r="HC140" s="236"/>
      <c r="HD140" s="236"/>
      <c r="HE140" s="236"/>
      <c r="HF140" s="236"/>
      <c r="HG140" s="236"/>
      <c r="HH140" s="236"/>
      <c r="HI140" s="236"/>
      <c r="HJ140" s="236"/>
      <c r="HK140" s="236"/>
      <c r="HL140" s="236"/>
      <c r="HM140" s="236"/>
      <c r="HN140" s="236"/>
      <c r="HO140" s="236"/>
      <c r="HP140" s="236"/>
      <c r="HQ140" s="236"/>
      <c r="HR140" s="236"/>
      <c r="HS140" s="236"/>
      <c r="HT140" s="236"/>
      <c r="HU140" s="236"/>
      <c r="HV140" s="236"/>
      <c r="HW140" s="236"/>
      <c r="HX140" s="236"/>
      <c r="HY140" s="236"/>
      <c r="HZ140" s="236"/>
      <c r="IA140" s="236"/>
      <c r="IB140" s="236"/>
      <c r="IC140" s="236"/>
      <c r="ID140" s="236"/>
      <c r="IE140" s="236"/>
      <c r="IF140" s="236"/>
      <c r="IG140" s="236"/>
      <c r="IH140" s="236"/>
      <c r="II140" s="236"/>
      <c r="IJ140" s="236"/>
      <c r="IK140" s="236"/>
      <c r="IL140" s="236"/>
      <c r="IM140" s="236"/>
      <c r="IN140" s="236"/>
      <c r="IO140" s="236"/>
      <c r="IP140" s="236"/>
      <c r="IQ140" s="236"/>
      <c r="IR140" s="236"/>
      <c r="IS140" s="236"/>
      <c r="IT140" s="236"/>
      <c r="IU140" s="236"/>
      <c r="IV140" s="236"/>
      <c r="IW140" s="236"/>
      <c r="IX140" s="236"/>
      <c r="IY140" s="236"/>
      <c r="IZ140" s="236"/>
      <c r="JA140" s="236"/>
      <c r="JB140" s="236"/>
      <c r="JC140" s="236"/>
      <c r="JD140" s="236"/>
      <c r="JE140" s="236"/>
      <c r="JF140" s="236"/>
      <c r="JG140" s="236"/>
      <c r="JH140" s="236"/>
      <c r="JI140" s="236"/>
      <c r="JJ140" s="236"/>
      <c r="JK140" s="236"/>
      <c r="JL140" s="236"/>
      <c r="JM140" s="236"/>
      <c r="JN140" s="236"/>
      <c r="JO140" s="236"/>
      <c r="JP140" s="236"/>
      <c r="JQ140" s="236"/>
      <c r="JR140" s="236"/>
      <c r="JS140" s="236"/>
      <c r="JT140" s="236"/>
      <c r="JU140" s="236"/>
      <c r="JV140" s="236"/>
      <c r="JW140" s="236"/>
      <c r="JX140" s="409"/>
      <c r="JY140" s="409"/>
      <c r="JZ140" s="409"/>
      <c r="KA140" s="409"/>
      <c r="KB140" s="409"/>
      <c r="KC140" s="409"/>
      <c r="KD140" s="409"/>
      <c r="KE140" s="409"/>
      <c r="KF140" s="409"/>
      <c r="KG140" s="410"/>
    </row>
    <row r="141" spans="3:293" ht="24" customHeight="1">
      <c r="C141"/>
      <c r="D141" s="57">
        <f ca="1">INDIRECT(ADDRESS(ROWS($D$3:D140)+6,D$3,1,1,"3_TIME SUM"))</f>
        <v>0</v>
      </c>
      <c r="E141" s="81" t="str">
        <f ca="1">IF(INDIRECT(ADDRESS(ROWS($E$3:E140)+6,E$3,1,1,"3_TIME SUM"))=0,E140,INDIRECT(ADDRESS(ROWS($E$3:E140)+6,E$3,1,1,"3_TIME SUM")))</f>
        <v>X-Mastree</v>
      </c>
      <c r="F141" s="57" t="str">
        <f t="shared" ca="1" si="42"/>
        <v>X-Mastree : 0</v>
      </c>
      <c r="G141" s="58" t="e">
        <f ca="1">VLOOKUP($D141,INDIRECT(ADDRESS(7,5,1,1,"3_TIME SUM")):INDIRECT(ADDRESS(200,7,1,1,"3_TIME SUM")),2,FALSE)</f>
        <v>#N/A</v>
      </c>
      <c r="H141" s="58" t="e">
        <f ca="1">IF(VLOOKUP($D141,INDIRECT(ADDRESS(7,5,1,1,"3_TIME SUM")):INDIRECT(ADDRESS(200,7,1,1,"3_TIME SUM")),3,FALSE)="","PT",VLOOKUP($D141,INDIRECT(ADDRESS(7,5,1,1,"3_TIME SUM")):INDIRECT(ADDRESS(200,7,1,1,"3_TIME SUM")),3,FALSE))</f>
        <v>#N/A</v>
      </c>
      <c r="I141" s="59">
        <f ca="1">IFERROR(IF(AND($D$2="NON PRODUCTIVE TIME",$H141="NPT"),SUMIF(INDIRECT(ADDRESS(8,COLUMN('2_DATA'!$M$9),1,1,"2_DATA")):INDIRECT(ADDRESS(3000,COLUMN('2_DATA'!$M$9),1,1,"2_DATA")),$G141,INDIRECT(ADDRESS(8,COLUMN('2_DATA'!$N$9),1,1,"2_DATA")):INDIRECT(ADDRESS(3000,COLUMN('2_DATA'!$N$9),1,1,"2_DATA"))),IF($D$2="ALL ACTIVITY",SUMIF(INDIRECT(ADDRESS(9,COLUMN('2_DATA'!$M$9),1,1,"2_DATA")):INDIRECT(ADDRESS(3000,COLUMN('2_DATA'!$M$9),1,1,"2_DATA")),$G141,INDIRECT(ADDRESS(9,COLUMN('2_DATA'!$N$9),1,1,"2_DATA")):INDIRECT(ADDRESS(3000,COLUMN('2_DATA'!$N$9),1,1,"2_DATA"))),SUMIF(INDIRECT(ADDRESS(OFFSET($A$3,MATCH($D$2,$A$4:$A$16,0)-1,1,,)+1,COLUMN('2_DATA'!$M$9),1,1,"2_DATA")):INDIRECT(ADDRESS(VLOOKUP($D$2,$A$4:$B$16,2,FALSE)-1,COLUMN('2_DATA'!$M$9),1,1,"2_DATA")),$G141,INDIRECT(ADDRESS(OFFSET($A$3,MATCH($D$2,$A$4:$A$16,0)-1,1,,)+1,COLUMN('2_DATA'!$N$9),1,1,"2_DATA")):INDIRECT(ADDRESS(VLOOKUP($D$2,$A$4:$B$16,2,FALSE)-1,COLUMN('2_DATA'!$N$9),1,1,"2_DATA"))))),0)</f>
        <v>0</v>
      </c>
      <c r="J141" s="58" t="str">
        <f ca="1">IF(I141=0,"",MAX($J$3:J140)+1)</f>
        <v/>
      </c>
      <c r="L141" s="55" t="str">
        <f t="shared" ca="1" si="39"/>
        <v/>
      </c>
      <c r="M141" s="55" t="str">
        <f t="shared" ca="1" si="43"/>
        <v/>
      </c>
      <c r="N141" s="55"/>
      <c r="O141" s="55" t="str">
        <f t="shared" ca="1" si="45"/>
        <v/>
      </c>
      <c r="P141" s="55">
        <f t="shared" ca="1" si="40"/>
        <v>0</v>
      </c>
      <c r="Q141" s="55" t="str">
        <f ca="1">IFERROR(INDEX($O$4:$P$226,MATCH(ROWS($Q$3:Q140),$P$4:$P$226,0),1),"-")</f>
        <v>-</v>
      </c>
      <c r="R141" s="62" t="str">
        <f t="shared" ca="1" si="41"/>
        <v/>
      </c>
      <c r="S141" s="55" t="str">
        <f t="shared" ca="1" si="44"/>
        <v/>
      </c>
      <c r="T141" s="67" t="str">
        <f t="shared" ca="1" si="38"/>
        <v>-</v>
      </c>
      <c r="V141" s="68" t="str">
        <f t="shared" ref="V141:V204" ca="1" si="46">IFERROR(IF($S132=0,"",$S132),"")</f>
        <v/>
      </c>
      <c r="W141" s="69" t="str">
        <f t="shared" ref="W141:W204" ca="1" si="47">IFERROR(IF($S132=0,$R132,$R132),"")</f>
        <v/>
      </c>
      <c r="X141" s="70" t="s">
        <v>84</v>
      </c>
      <c r="Y141" s="68" t="str">
        <f t="shared" ca="1" si="35"/>
        <v/>
      </c>
      <c r="Z141" s="71" t="str">
        <f t="shared" ca="1" si="32"/>
        <v/>
      </c>
      <c r="AA141" s="72" t="str">
        <f t="shared" ca="1" si="33"/>
        <v/>
      </c>
      <c r="AB141" s="72" t="str">
        <f t="shared" ca="1" si="34"/>
        <v/>
      </c>
      <c r="AC141" s="236"/>
      <c r="AD141" s="236"/>
      <c r="AE141" s="236"/>
      <c r="AF141" s="236"/>
      <c r="AG141" s="236"/>
      <c r="AH141" s="236"/>
      <c r="AI141" s="236"/>
      <c r="AJ141" s="236"/>
      <c r="AK141" s="236"/>
      <c r="AL141" s="236"/>
      <c r="AM141" s="236"/>
      <c r="AN141" s="236"/>
      <c r="AO141" s="236"/>
      <c r="AP141" s="236"/>
      <c r="AQ141" s="236"/>
      <c r="AR141" s="236"/>
      <c r="AS141" s="236"/>
      <c r="AT141" s="236"/>
      <c r="AU141" s="236"/>
      <c r="AV141" s="236"/>
      <c r="AW141" s="236"/>
      <c r="AX141" s="236"/>
      <c r="AY141" s="236"/>
      <c r="AZ141" s="236"/>
      <c r="BA141" s="236"/>
      <c r="BB141" s="236"/>
      <c r="BC141" s="236"/>
      <c r="BD141" s="236"/>
      <c r="BE141" s="236"/>
      <c r="BF141" s="236"/>
      <c r="BG141" s="236"/>
      <c r="BH141" s="236"/>
      <c r="BI141" s="236"/>
      <c r="BJ141" s="236"/>
      <c r="BK141" s="236"/>
      <c r="BL141" s="236"/>
      <c r="BM141" s="236"/>
      <c r="BN141" s="236"/>
      <c r="BO141" s="236"/>
      <c r="BP141" s="236"/>
      <c r="BQ141" s="236"/>
      <c r="BR141" s="236"/>
      <c r="BS141" s="236"/>
      <c r="BT141" s="236"/>
      <c r="BU141" s="236"/>
      <c r="BV141" s="236"/>
      <c r="BW141" s="236"/>
      <c r="BX141" s="236"/>
      <c r="BY141" s="236"/>
      <c r="BZ141" s="236"/>
      <c r="CA141" s="236"/>
      <c r="CB141" s="236"/>
      <c r="CC141" s="236"/>
      <c r="CD141" s="236"/>
      <c r="CE141" s="236"/>
      <c r="CF141" s="236"/>
      <c r="CG141" s="236"/>
      <c r="CH141" s="236"/>
      <c r="CI141" s="236"/>
      <c r="CJ141" s="236"/>
      <c r="CK141" s="236"/>
      <c r="CL141" s="236"/>
      <c r="CM141" s="236"/>
      <c r="CN141" s="236"/>
      <c r="CO141" s="236"/>
      <c r="CP141" s="236"/>
      <c r="CQ141" s="236"/>
      <c r="CR141" s="236"/>
      <c r="CS141" s="236"/>
      <c r="CT141" s="236"/>
      <c r="CU141" s="236"/>
      <c r="CV141" s="236"/>
      <c r="CW141" s="236"/>
      <c r="CX141" s="236"/>
      <c r="CY141" s="236"/>
      <c r="CZ141" s="236"/>
      <c r="DA141" s="236"/>
      <c r="DB141" s="236"/>
      <c r="DC141" s="236"/>
      <c r="DD141" s="236"/>
      <c r="DE141" s="236"/>
      <c r="DF141" s="236"/>
      <c r="DG141" s="236"/>
      <c r="DH141" s="236"/>
      <c r="DI141" s="236"/>
      <c r="DJ141" s="236"/>
      <c r="DK141" s="236"/>
      <c r="DL141" s="236"/>
      <c r="DM141" s="236"/>
      <c r="DN141" s="236"/>
      <c r="DO141" s="236"/>
      <c r="DP141" s="236"/>
      <c r="DQ141" s="236"/>
      <c r="DR141" s="236"/>
      <c r="DS141" s="236"/>
      <c r="DT141" s="236"/>
      <c r="DU141" s="236"/>
      <c r="DV141" s="236"/>
      <c r="DW141" s="236"/>
      <c r="DX141" s="236"/>
      <c r="DY141" s="236"/>
      <c r="DZ141" s="236"/>
      <c r="EA141" s="236"/>
      <c r="EB141" s="236"/>
      <c r="EC141" s="236"/>
      <c r="ED141" s="236"/>
      <c r="EE141" s="236"/>
      <c r="EF141" s="236"/>
      <c r="EG141" s="236"/>
      <c r="EH141" s="236"/>
      <c r="EI141" s="236"/>
      <c r="EJ141" s="236"/>
      <c r="EK141" s="236"/>
      <c r="EL141" s="236"/>
      <c r="EM141" s="236"/>
      <c r="EN141" s="236"/>
      <c r="EO141" s="236"/>
      <c r="EP141" s="236"/>
      <c r="EQ141" s="236"/>
      <c r="ER141" s="236"/>
      <c r="ES141" s="236"/>
      <c r="ET141" s="236"/>
      <c r="EU141" s="236"/>
      <c r="EV141" s="236"/>
      <c r="EW141" s="236"/>
      <c r="EX141" s="236"/>
      <c r="EY141" s="236"/>
      <c r="EZ141" s="236"/>
      <c r="FA141" s="236"/>
      <c r="FB141" s="236"/>
      <c r="FC141" s="236"/>
      <c r="FD141" s="236"/>
      <c r="FE141" s="236"/>
      <c r="FF141" s="236"/>
      <c r="FG141" s="236"/>
      <c r="FH141" s="236"/>
      <c r="FI141" s="236"/>
      <c r="FJ141" s="236"/>
      <c r="FK141" s="236"/>
      <c r="FL141" s="236"/>
      <c r="FM141" s="236"/>
      <c r="FN141" s="236"/>
      <c r="FO141" s="236"/>
      <c r="FP141" s="236"/>
      <c r="FQ141" s="236"/>
      <c r="FR141" s="236"/>
      <c r="FS141" s="236"/>
      <c r="FT141" s="236"/>
      <c r="FU141" s="236"/>
      <c r="FV141" s="236"/>
      <c r="FW141" s="236"/>
      <c r="FX141" s="236"/>
      <c r="FY141" s="236"/>
      <c r="FZ141" s="236"/>
      <c r="GA141" s="236"/>
      <c r="GB141" s="236"/>
      <c r="GC141" s="236"/>
      <c r="GD141" s="236"/>
      <c r="GE141" s="236"/>
      <c r="GF141" s="236"/>
      <c r="GG141" s="236"/>
      <c r="GH141" s="236"/>
      <c r="GI141" s="236"/>
      <c r="GJ141" s="236"/>
      <c r="GK141" s="236"/>
      <c r="GL141" s="236"/>
      <c r="GM141" s="236"/>
      <c r="GN141" s="236"/>
      <c r="GO141" s="236"/>
      <c r="GP141" s="236"/>
      <c r="GQ141" s="236"/>
      <c r="GR141" s="236"/>
      <c r="GS141" s="236"/>
      <c r="GT141" s="236"/>
      <c r="GU141" s="236"/>
      <c r="GV141" s="236"/>
      <c r="GW141" s="236"/>
      <c r="GX141" s="236"/>
      <c r="GY141" s="236"/>
      <c r="GZ141" s="236"/>
      <c r="HA141" s="236"/>
      <c r="HB141" s="236"/>
      <c r="HC141" s="236"/>
      <c r="HD141" s="236"/>
      <c r="HE141" s="236"/>
      <c r="HF141" s="236"/>
      <c r="HG141" s="236"/>
      <c r="HH141" s="236"/>
      <c r="HI141" s="236"/>
      <c r="HJ141" s="236"/>
      <c r="HK141" s="236"/>
      <c r="HL141" s="236"/>
      <c r="HM141" s="236"/>
      <c r="HN141" s="236"/>
      <c r="HO141" s="236"/>
      <c r="HP141" s="236"/>
      <c r="HQ141" s="236"/>
      <c r="HR141" s="236"/>
      <c r="HS141" s="236"/>
      <c r="HT141" s="236"/>
      <c r="HU141" s="236"/>
      <c r="HV141" s="236"/>
      <c r="HW141" s="236"/>
      <c r="HX141" s="236"/>
      <c r="HY141" s="236"/>
      <c r="HZ141" s="236"/>
      <c r="IA141" s="236"/>
      <c r="IB141" s="236"/>
      <c r="IC141" s="236"/>
      <c r="ID141" s="236"/>
      <c r="IE141" s="236"/>
      <c r="IF141" s="236"/>
      <c r="IG141" s="236"/>
      <c r="IH141" s="236"/>
      <c r="II141" s="236"/>
      <c r="IJ141" s="236"/>
      <c r="IK141" s="236"/>
      <c r="IL141" s="236"/>
      <c r="IM141" s="236"/>
      <c r="IN141" s="236"/>
      <c r="IO141" s="236"/>
      <c r="IP141" s="236"/>
      <c r="IQ141" s="236"/>
      <c r="IR141" s="236"/>
      <c r="IS141" s="236"/>
      <c r="IT141" s="236"/>
      <c r="IU141" s="236"/>
      <c r="IV141" s="236"/>
      <c r="IW141" s="236"/>
      <c r="IX141" s="236"/>
      <c r="IY141" s="236"/>
      <c r="IZ141" s="236"/>
      <c r="JA141" s="236"/>
      <c r="JB141" s="236"/>
      <c r="JC141" s="236"/>
      <c r="JD141" s="236"/>
      <c r="JE141" s="236"/>
      <c r="JF141" s="236"/>
      <c r="JG141" s="236"/>
      <c r="JH141" s="236"/>
      <c r="JI141" s="236"/>
      <c r="JJ141" s="236"/>
      <c r="JK141" s="236"/>
      <c r="JL141" s="236"/>
      <c r="JM141" s="236"/>
      <c r="JN141" s="236"/>
      <c r="JO141" s="236"/>
      <c r="JP141" s="236"/>
      <c r="JQ141" s="236"/>
      <c r="JR141" s="236"/>
      <c r="JS141" s="236"/>
      <c r="JT141" s="236"/>
      <c r="JU141" s="236"/>
      <c r="JV141" s="236"/>
      <c r="JW141" s="236"/>
      <c r="JX141" s="409"/>
      <c r="JY141" s="409"/>
      <c r="JZ141" s="409"/>
      <c r="KA141" s="409"/>
      <c r="KB141" s="409"/>
      <c r="KC141" s="409"/>
      <c r="KD141" s="409"/>
      <c r="KE141" s="409"/>
      <c r="KF141" s="409"/>
      <c r="KG141" s="410"/>
    </row>
    <row r="142" spans="3:293" ht="24" customHeight="1">
      <c r="C142"/>
      <c r="D142" s="57">
        <f ca="1">INDIRECT(ADDRESS(ROWS($D$3:D141)+6,D$3,1,1,"3_TIME SUM"))</f>
        <v>0</v>
      </c>
      <c r="E142" s="81" t="str">
        <f ca="1">IF(INDIRECT(ADDRESS(ROWS($E$3:E141)+6,E$3,1,1,"3_TIME SUM"))=0,E141,INDIRECT(ADDRESS(ROWS($E$3:E141)+6,E$3,1,1,"3_TIME SUM")))</f>
        <v>X-Mastree</v>
      </c>
      <c r="F142" s="57" t="str">
        <f t="shared" ca="1" si="42"/>
        <v>X-Mastree : 0</v>
      </c>
      <c r="G142" s="58" t="e">
        <f ca="1">VLOOKUP($D142,INDIRECT(ADDRESS(7,5,1,1,"3_TIME SUM")):INDIRECT(ADDRESS(200,7,1,1,"3_TIME SUM")),2,FALSE)</f>
        <v>#N/A</v>
      </c>
      <c r="H142" s="58" t="e">
        <f ca="1">IF(VLOOKUP($D142,INDIRECT(ADDRESS(7,5,1,1,"3_TIME SUM")):INDIRECT(ADDRESS(200,7,1,1,"3_TIME SUM")),3,FALSE)="","PT",VLOOKUP($D142,INDIRECT(ADDRESS(7,5,1,1,"3_TIME SUM")):INDIRECT(ADDRESS(200,7,1,1,"3_TIME SUM")),3,FALSE))</f>
        <v>#N/A</v>
      </c>
      <c r="I142" s="59">
        <f ca="1">IFERROR(IF(AND($D$2="NON PRODUCTIVE TIME",$H142="NPT"),SUMIF(INDIRECT(ADDRESS(8,COLUMN('2_DATA'!$M$9),1,1,"2_DATA")):INDIRECT(ADDRESS(3000,COLUMN('2_DATA'!$M$9),1,1,"2_DATA")),$G142,INDIRECT(ADDRESS(8,COLUMN('2_DATA'!$N$9),1,1,"2_DATA")):INDIRECT(ADDRESS(3000,COLUMN('2_DATA'!$N$9),1,1,"2_DATA"))),IF($D$2="ALL ACTIVITY",SUMIF(INDIRECT(ADDRESS(9,COLUMN('2_DATA'!$M$9),1,1,"2_DATA")):INDIRECT(ADDRESS(3000,COLUMN('2_DATA'!$M$9),1,1,"2_DATA")),$G142,INDIRECT(ADDRESS(9,COLUMN('2_DATA'!$N$9),1,1,"2_DATA")):INDIRECT(ADDRESS(3000,COLUMN('2_DATA'!$N$9),1,1,"2_DATA"))),SUMIF(INDIRECT(ADDRESS(OFFSET($A$3,MATCH($D$2,$A$4:$A$16,0)-1,1,,)+1,COLUMN('2_DATA'!$M$9),1,1,"2_DATA")):INDIRECT(ADDRESS(VLOOKUP($D$2,$A$4:$B$16,2,FALSE)-1,COLUMN('2_DATA'!$M$9),1,1,"2_DATA")),$G142,INDIRECT(ADDRESS(OFFSET($A$3,MATCH($D$2,$A$4:$A$16,0)-1,1,,)+1,COLUMN('2_DATA'!$N$9),1,1,"2_DATA")):INDIRECT(ADDRESS(VLOOKUP($D$2,$A$4:$B$16,2,FALSE)-1,COLUMN('2_DATA'!$N$9),1,1,"2_DATA"))))),0)</f>
        <v>0</v>
      </c>
      <c r="J142" s="58" t="str">
        <f ca="1">IF(I142=0,"",MAX($J$3:J141)+1)</f>
        <v/>
      </c>
      <c r="L142" s="55" t="str">
        <f t="shared" ca="1" si="39"/>
        <v/>
      </c>
      <c r="M142" s="55" t="str">
        <f t="shared" ca="1" si="43"/>
        <v/>
      </c>
      <c r="N142" s="55"/>
      <c r="O142" s="55" t="str">
        <f t="shared" ca="1" si="45"/>
        <v/>
      </c>
      <c r="P142" s="55">
        <f t="shared" ca="1" si="40"/>
        <v>0</v>
      </c>
      <c r="Q142" s="55" t="str">
        <f ca="1">IFERROR(INDEX($O$4:$P$226,MATCH(ROWS($Q$3:Q141),$P$4:$P$226,0),1),"-")</f>
        <v>-</v>
      </c>
      <c r="R142" s="62" t="str">
        <f t="shared" ca="1" si="41"/>
        <v/>
      </c>
      <c r="S142" s="55" t="str">
        <f t="shared" ca="1" si="44"/>
        <v/>
      </c>
      <c r="T142" s="67" t="str">
        <f t="shared" ca="1" si="38"/>
        <v>-</v>
      </c>
      <c r="V142" s="68" t="str">
        <f t="shared" ca="1" si="46"/>
        <v/>
      </c>
      <c r="W142" s="69" t="str">
        <f t="shared" ca="1" si="47"/>
        <v/>
      </c>
      <c r="X142" s="70" t="s">
        <v>84</v>
      </c>
      <c r="Y142" s="68" t="str">
        <f t="shared" ca="1" si="35"/>
        <v/>
      </c>
      <c r="Z142" s="71" t="str">
        <f t="shared" ref="Z142:Z205" ca="1" si="48">IFERROR(VLOOKUP($W142,$F$4:$J$300,2,FALSE),"")</f>
        <v/>
      </c>
      <c r="AA142" s="72" t="str">
        <f t="shared" ref="AA142:AA205" ca="1" si="49">IFERROR(VLOOKUP($W142,$F$4:$J$300,4,FALSE),"")</f>
        <v/>
      </c>
      <c r="AB142" s="72" t="str">
        <f t="shared" ref="AB142:AB205" ca="1" si="50">IFERROR(AA142/24,"")</f>
        <v/>
      </c>
      <c r="AC142" s="236"/>
      <c r="AD142" s="236"/>
      <c r="AE142" s="236"/>
      <c r="AF142" s="236"/>
      <c r="AG142" s="236"/>
      <c r="AH142" s="236"/>
      <c r="AI142" s="236"/>
      <c r="AJ142" s="236"/>
      <c r="AK142" s="236"/>
      <c r="AL142" s="236"/>
      <c r="AM142" s="236"/>
      <c r="AN142" s="236"/>
      <c r="AO142" s="236"/>
      <c r="AP142" s="236"/>
      <c r="AQ142" s="236"/>
      <c r="AR142" s="236"/>
      <c r="AS142" s="236"/>
      <c r="AT142" s="236"/>
      <c r="AU142" s="236"/>
      <c r="AV142" s="236"/>
      <c r="AW142" s="236"/>
      <c r="AX142" s="236"/>
      <c r="AY142" s="236"/>
      <c r="AZ142" s="236"/>
      <c r="BA142" s="236"/>
      <c r="BB142" s="236"/>
      <c r="BC142" s="236"/>
      <c r="BD142" s="236"/>
      <c r="BE142" s="236"/>
      <c r="BF142" s="236"/>
      <c r="BG142" s="236"/>
      <c r="BH142" s="236"/>
      <c r="BI142" s="236"/>
      <c r="BJ142" s="236"/>
      <c r="BK142" s="236"/>
      <c r="BL142" s="236"/>
      <c r="BM142" s="236"/>
      <c r="BN142" s="236"/>
      <c r="BO142" s="236"/>
      <c r="BP142" s="236"/>
      <c r="BQ142" s="236"/>
      <c r="BR142" s="236"/>
      <c r="BS142" s="236"/>
      <c r="BT142" s="236"/>
      <c r="BU142" s="236"/>
      <c r="BV142" s="236"/>
      <c r="BW142" s="236"/>
      <c r="BX142" s="236"/>
      <c r="BY142" s="236"/>
      <c r="BZ142" s="236"/>
      <c r="CA142" s="236"/>
      <c r="CB142" s="236"/>
      <c r="CC142" s="236"/>
      <c r="CD142" s="236"/>
      <c r="CE142" s="236"/>
      <c r="CF142" s="236"/>
      <c r="CG142" s="236"/>
      <c r="CH142" s="236"/>
      <c r="CI142" s="236"/>
      <c r="CJ142" s="236"/>
      <c r="CK142" s="236"/>
      <c r="CL142" s="236"/>
      <c r="CM142" s="236"/>
      <c r="CN142" s="236"/>
      <c r="CO142" s="236"/>
      <c r="CP142" s="236"/>
      <c r="CQ142" s="236"/>
      <c r="CR142" s="236"/>
      <c r="CS142" s="236"/>
      <c r="CT142" s="236"/>
      <c r="CU142" s="236"/>
      <c r="CV142" s="236"/>
      <c r="CW142" s="236"/>
      <c r="CX142" s="236"/>
      <c r="CY142" s="236"/>
      <c r="CZ142" s="236"/>
      <c r="DA142" s="236"/>
      <c r="DB142" s="236"/>
      <c r="DC142" s="236"/>
      <c r="DD142" s="236"/>
      <c r="DE142" s="236"/>
      <c r="DF142" s="236"/>
      <c r="DG142" s="236"/>
      <c r="DH142" s="236"/>
      <c r="DI142" s="236"/>
      <c r="DJ142" s="236"/>
      <c r="DK142" s="236"/>
      <c r="DL142" s="236"/>
      <c r="DM142" s="236"/>
      <c r="DN142" s="236"/>
      <c r="DO142" s="236"/>
      <c r="DP142" s="236"/>
      <c r="DQ142" s="236"/>
      <c r="DR142" s="236"/>
      <c r="DS142" s="236"/>
      <c r="DT142" s="236"/>
      <c r="DU142" s="236"/>
      <c r="DV142" s="236"/>
      <c r="DW142" s="236"/>
      <c r="DX142" s="236"/>
      <c r="DY142" s="236"/>
      <c r="DZ142" s="236"/>
      <c r="EA142" s="236"/>
      <c r="EB142" s="236"/>
      <c r="EC142" s="236"/>
      <c r="ED142" s="236"/>
      <c r="EE142" s="236"/>
      <c r="EF142" s="236"/>
      <c r="EG142" s="236"/>
      <c r="EH142" s="236"/>
      <c r="EI142" s="236"/>
      <c r="EJ142" s="236"/>
      <c r="EK142" s="236"/>
      <c r="EL142" s="236"/>
      <c r="EM142" s="236"/>
      <c r="EN142" s="236"/>
      <c r="EO142" s="236"/>
      <c r="EP142" s="236"/>
      <c r="EQ142" s="236"/>
      <c r="ER142" s="236"/>
      <c r="ES142" s="236"/>
      <c r="ET142" s="236"/>
      <c r="EU142" s="236"/>
      <c r="EV142" s="236"/>
      <c r="EW142" s="236"/>
      <c r="EX142" s="236"/>
      <c r="EY142" s="236"/>
      <c r="EZ142" s="236"/>
      <c r="FA142" s="236"/>
      <c r="FB142" s="236"/>
      <c r="FC142" s="236"/>
      <c r="FD142" s="236"/>
      <c r="FE142" s="236"/>
      <c r="FF142" s="236"/>
      <c r="FG142" s="236"/>
      <c r="FH142" s="236"/>
      <c r="FI142" s="236"/>
      <c r="FJ142" s="236"/>
      <c r="FK142" s="236"/>
      <c r="FL142" s="236"/>
      <c r="FM142" s="236"/>
      <c r="FN142" s="236"/>
      <c r="FO142" s="236"/>
      <c r="FP142" s="236"/>
      <c r="FQ142" s="236"/>
      <c r="FR142" s="236"/>
      <c r="FS142" s="236"/>
      <c r="FT142" s="236"/>
      <c r="FU142" s="236"/>
      <c r="FV142" s="236"/>
      <c r="FW142" s="236"/>
      <c r="FX142" s="236"/>
      <c r="FY142" s="236"/>
      <c r="FZ142" s="236"/>
      <c r="GA142" s="236"/>
      <c r="GB142" s="236"/>
      <c r="GC142" s="236"/>
      <c r="GD142" s="236"/>
      <c r="GE142" s="236"/>
      <c r="GF142" s="236"/>
      <c r="GG142" s="236"/>
      <c r="GH142" s="236"/>
      <c r="GI142" s="236"/>
      <c r="GJ142" s="236"/>
      <c r="GK142" s="236"/>
      <c r="GL142" s="236"/>
      <c r="GM142" s="236"/>
      <c r="GN142" s="236"/>
      <c r="GO142" s="236"/>
      <c r="GP142" s="236"/>
      <c r="GQ142" s="236"/>
      <c r="GR142" s="236"/>
      <c r="GS142" s="236"/>
      <c r="GT142" s="236"/>
      <c r="GU142" s="236"/>
      <c r="GV142" s="236"/>
      <c r="GW142" s="236"/>
      <c r="GX142" s="236"/>
      <c r="GY142" s="236"/>
      <c r="GZ142" s="236"/>
      <c r="HA142" s="236"/>
      <c r="HB142" s="236"/>
      <c r="HC142" s="236"/>
      <c r="HD142" s="236"/>
      <c r="HE142" s="236"/>
      <c r="HF142" s="236"/>
      <c r="HG142" s="236"/>
      <c r="HH142" s="236"/>
      <c r="HI142" s="236"/>
      <c r="HJ142" s="236"/>
      <c r="HK142" s="236"/>
      <c r="HL142" s="236"/>
      <c r="HM142" s="236"/>
      <c r="HN142" s="236"/>
      <c r="HO142" s="236"/>
      <c r="HP142" s="236"/>
      <c r="HQ142" s="236"/>
      <c r="HR142" s="236"/>
      <c r="HS142" s="236"/>
      <c r="HT142" s="236"/>
      <c r="HU142" s="236"/>
      <c r="HV142" s="236"/>
      <c r="HW142" s="236"/>
      <c r="HX142" s="236"/>
      <c r="HY142" s="236"/>
      <c r="HZ142" s="236"/>
      <c r="IA142" s="236"/>
      <c r="IB142" s="236"/>
      <c r="IC142" s="236"/>
      <c r="ID142" s="236"/>
      <c r="IE142" s="236"/>
      <c r="IF142" s="236"/>
      <c r="IG142" s="236"/>
      <c r="IH142" s="236"/>
      <c r="II142" s="236"/>
      <c r="IJ142" s="236"/>
      <c r="IK142" s="236"/>
      <c r="IL142" s="236"/>
      <c r="IM142" s="236"/>
      <c r="IN142" s="236"/>
      <c r="IO142" s="236"/>
      <c r="IP142" s="236"/>
      <c r="IQ142" s="236"/>
      <c r="IR142" s="236"/>
      <c r="IS142" s="236"/>
      <c r="IT142" s="236"/>
      <c r="IU142" s="236"/>
      <c r="IV142" s="236"/>
      <c r="IW142" s="236"/>
      <c r="IX142" s="236"/>
      <c r="IY142" s="236"/>
      <c r="IZ142" s="236"/>
      <c r="JA142" s="236"/>
      <c r="JB142" s="236"/>
      <c r="JC142" s="236"/>
      <c r="JD142" s="236"/>
      <c r="JE142" s="236"/>
      <c r="JF142" s="236"/>
      <c r="JG142" s="236"/>
      <c r="JH142" s="236"/>
      <c r="JI142" s="236"/>
      <c r="JJ142" s="236"/>
      <c r="JK142" s="236"/>
      <c r="JL142" s="236"/>
      <c r="JM142" s="236"/>
      <c r="JN142" s="236"/>
      <c r="JO142" s="236"/>
      <c r="JP142" s="236"/>
      <c r="JQ142" s="236"/>
      <c r="JR142" s="236"/>
      <c r="JS142" s="236"/>
      <c r="JT142" s="236"/>
      <c r="JU142" s="236"/>
      <c r="JV142" s="236"/>
      <c r="JW142" s="236"/>
      <c r="JX142" s="409"/>
      <c r="JY142" s="409"/>
      <c r="JZ142" s="409"/>
      <c r="KA142" s="409"/>
      <c r="KB142" s="409"/>
      <c r="KC142" s="409"/>
      <c r="KD142" s="409"/>
      <c r="KE142" s="409"/>
      <c r="KF142" s="409"/>
      <c r="KG142" s="410"/>
    </row>
    <row r="143" spans="3:293" ht="24" customHeight="1">
      <c r="C143"/>
      <c r="D143" s="57">
        <f ca="1">INDIRECT(ADDRESS(ROWS($D$3:D142)+6,D$3,1,1,"3_TIME SUM"))</f>
        <v>0</v>
      </c>
      <c r="E143" s="81" t="str">
        <f ca="1">IF(INDIRECT(ADDRESS(ROWS($E$3:E142)+6,E$3,1,1,"3_TIME SUM"))=0,E142,INDIRECT(ADDRESS(ROWS($E$3:E142)+6,E$3,1,1,"3_TIME SUM")))</f>
        <v>X-Mastree</v>
      </c>
      <c r="F143" s="57" t="str">
        <f t="shared" ca="1" si="42"/>
        <v>X-Mastree : 0</v>
      </c>
      <c r="G143" s="58" t="e">
        <f ca="1">VLOOKUP($D143,INDIRECT(ADDRESS(7,5,1,1,"3_TIME SUM")):INDIRECT(ADDRESS(200,7,1,1,"3_TIME SUM")),2,FALSE)</f>
        <v>#N/A</v>
      </c>
      <c r="H143" s="58" t="e">
        <f ca="1">IF(VLOOKUP($D143,INDIRECT(ADDRESS(7,5,1,1,"3_TIME SUM")):INDIRECT(ADDRESS(200,7,1,1,"3_TIME SUM")),3,FALSE)="","PT",VLOOKUP($D143,INDIRECT(ADDRESS(7,5,1,1,"3_TIME SUM")):INDIRECT(ADDRESS(200,7,1,1,"3_TIME SUM")),3,FALSE))</f>
        <v>#N/A</v>
      </c>
      <c r="I143" s="59">
        <f ca="1">IFERROR(IF(AND($D$2="NON PRODUCTIVE TIME",$H143="NPT"),SUMIF(INDIRECT(ADDRESS(8,COLUMN('2_DATA'!$M$9),1,1,"2_DATA")):INDIRECT(ADDRESS(3000,COLUMN('2_DATA'!$M$9),1,1,"2_DATA")),$G143,INDIRECT(ADDRESS(8,COLUMN('2_DATA'!$N$9),1,1,"2_DATA")):INDIRECT(ADDRESS(3000,COLUMN('2_DATA'!$N$9),1,1,"2_DATA"))),IF($D$2="ALL ACTIVITY",SUMIF(INDIRECT(ADDRESS(9,COLUMN('2_DATA'!$M$9),1,1,"2_DATA")):INDIRECT(ADDRESS(3000,COLUMN('2_DATA'!$M$9),1,1,"2_DATA")),$G143,INDIRECT(ADDRESS(9,COLUMN('2_DATA'!$N$9),1,1,"2_DATA")):INDIRECT(ADDRESS(3000,COLUMN('2_DATA'!$N$9),1,1,"2_DATA"))),SUMIF(INDIRECT(ADDRESS(OFFSET($A$3,MATCH($D$2,$A$4:$A$16,0)-1,1,,)+1,COLUMN('2_DATA'!$M$9),1,1,"2_DATA")):INDIRECT(ADDRESS(VLOOKUP($D$2,$A$4:$B$16,2,FALSE)-1,COLUMN('2_DATA'!$M$9),1,1,"2_DATA")),$G143,INDIRECT(ADDRESS(OFFSET($A$3,MATCH($D$2,$A$4:$A$16,0)-1,1,,)+1,COLUMN('2_DATA'!$N$9),1,1,"2_DATA")):INDIRECT(ADDRESS(VLOOKUP($D$2,$A$4:$B$16,2,FALSE)-1,COLUMN('2_DATA'!$N$9),1,1,"2_DATA"))))),0)</f>
        <v>0</v>
      </c>
      <c r="J143" s="58" t="str">
        <f ca="1">IF(I143=0,"",MAX($J$3:J142)+1)</f>
        <v/>
      </c>
      <c r="L143" s="55" t="str">
        <f t="shared" ca="1" si="39"/>
        <v/>
      </c>
      <c r="M143" s="55" t="str">
        <f t="shared" ca="1" si="43"/>
        <v/>
      </c>
      <c r="N143" s="55"/>
      <c r="O143" s="55" t="str">
        <f t="shared" ca="1" si="45"/>
        <v/>
      </c>
      <c r="P143" s="55">
        <f t="shared" ca="1" si="40"/>
        <v>0</v>
      </c>
      <c r="Q143" s="55" t="str">
        <f ca="1">IFERROR(INDEX($O$4:$P$226,MATCH(ROWS($Q$3:Q142),$P$4:$P$226,0),1),"-")</f>
        <v>-</v>
      </c>
      <c r="R143" s="62" t="str">
        <f t="shared" ca="1" si="41"/>
        <v/>
      </c>
      <c r="S143" s="55" t="str">
        <f t="shared" ca="1" si="44"/>
        <v/>
      </c>
      <c r="T143" s="67" t="str">
        <f t="shared" ca="1" si="38"/>
        <v>-</v>
      </c>
      <c r="V143" s="68" t="str">
        <f t="shared" ca="1" si="46"/>
        <v/>
      </c>
      <c r="W143" s="69" t="str">
        <f t="shared" ca="1" si="47"/>
        <v/>
      </c>
      <c r="X143" s="70" t="s">
        <v>84</v>
      </c>
      <c r="Y143" s="68" t="str">
        <f t="shared" ca="1" si="35"/>
        <v/>
      </c>
      <c r="Z143" s="71" t="str">
        <f t="shared" ca="1" si="48"/>
        <v/>
      </c>
      <c r="AA143" s="72" t="str">
        <f t="shared" ca="1" si="49"/>
        <v/>
      </c>
      <c r="AB143" s="72" t="str">
        <f t="shared" ca="1" si="50"/>
        <v/>
      </c>
      <c r="AC143" s="236"/>
      <c r="AD143" s="236"/>
      <c r="AE143" s="236"/>
      <c r="AF143" s="236"/>
      <c r="AG143" s="236"/>
      <c r="AH143" s="236"/>
      <c r="AI143" s="236"/>
      <c r="AJ143" s="236"/>
      <c r="AK143" s="236"/>
      <c r="AL143" s="236"/>
      <c r="AM143" s="236"/>
      <c r="AN143" s="236"/>
      <c r="AO143" s="236"/>
      <c r="AP143" s="236"/>
      <c r="AQ143" s="236"/>
      <c r="AR143" s="236"/>
      <c r="AS143" s="236"/>
      <c r="AT143" s="236"/>
      <c r="AU143" s="236"/>
      <c r="AV143" s="236"/>
      <c r="AW143" s="236"/>
      <c r="AX143" s="236"/>
      <c r="AY143" s="236"/>
      <c r="AZ143" s="236"/>
      <c r="BA143" s="236"/>
      <c r="BB143" s="236"/>
      <c r="BC143" s="236"/>
      <c r="BD143" s="236"/>
      <c r="BE143" s="236"/>
      <c r="BF143" s="236"/>
      <c r="BG143" s="236"/>
      <c r="BH143" s="236"/>
      <c r="BI143" s="236"/>
      <c r="BJ143" s="236"/>
      <c r="BK143" s="236"/>
      <c r="BL143" s="236"/>
      <c r="BM143" s="236"/>
      <c r="BN143" s="236"/>
      <c r="BO143" s="236"/>
      <c r="BP143" s="236"/>
      <c r="BQ143" s="236"/>
      <c r="BR143" s="236"/>
      <c r="BS143" s="236"/>
      <c r="BT143" s="236"/>
      <c r="BU143" s="236"/>
      <c r="BV143" s="236"/>
      <c r="BW143" s="236"/>
      <c r="BX143" s="236"/>
      <c r="BY143" s="236"/>
      <c r="BZ143" s="236"/>
      <c r="CA143" s="236"/>
      <c r="CB143" s="236"/>
      <c r="CC143" s="236"/>
      <c r="CD143" s="236"/>
      <c r="CE143" s="236"/>
      <c r="CF143" s="236"/>
      <c r="CG143" s="236"/>
      <c r="CH143" s="236"/>
      <c r="CI143" s="236"/>
      <c r="CJ143" s="236"/>
      <c r="CK143" s="236"/>
      <c r="CL143" s="236"/>
      <c r="CM143" s="236"/>
      <c r="CN143" s="236"/>
      <c r="CO143" s="236"/>
      <c r="CP143" s="236"/>
      <c r="CQ143" s="236"/>
      <c r="CR143" s="236"/>
      <c r="CS143" s="236"/>
      <c r="CT143" s="236"/>
      <c r="CU143" s="236"/>
      <c r="CV143" s="236"/>
      <c r="CW143" s="236"/>
      <c r="CX143" s="236"/>
      <c r="CY143" s="236"/>
      <c r="CZ143" s="236"/>
      <c r="DA143" s="236"/>
      <c r="DB143" s="236"/>
      <c r="DC143" s="236"/>
      <c r="DD143" s="236"/>
      <c r="DE143" s="236"/>
      <c r="DF143" s="236"/>
      <c r="DG143" s="236"/>
      <c r="DH143" s="236"/>
      <c r="DI143" s="236"/>
      <c r="DJ143" s="236"/>
      <c r="DK143" s="236"/>
      <c r="DL143" s="236"/>
      <c r="DM143" s="236"/>
      <c r="DN143" s="236"/>
      <c r="DO143" s="236"/>
      <c r="DP143" s="236"/>
      <c r="DQ143" s="236"/>
      <c r="DR143" s="236"/>
      <c r="DS143" s="236"/>
      <c r="DT143" s="236"/>
      <c r="DU143" s="236"/>
      <c r="DV143" s="236"/>
      <c r="DW143" s="236"/>
      <c r="DX143" s="236"/>
      <c r="DY143" s="236"/>
      <c r="DZ143" s="236"/>
      <c r="EA143" s="236"/>
      <c r="EB143" s="236"/>
      <c r="EC143" s="236"/>
      <c r="ED143" s="236"/>
      <c r="EE143" s="236"/>
      <c r="EF143" s="236"/>
      <c r="EG143" s="236"/>
      <c r="EH143" s="236"/>
      <c r="EI143" s="236"/>
      <c r="EJ143" s="236"/>
      <c r="EK143" s="236"/>
      <c r="EL143" s="236"/>
      <c r="EM143" s="236"/>
      <c r="EN143" s="236"/>
      <c r="EO143" s="236"/>
      <c r="EP143" s="236"/>
      <c r="EQ143" s="236"/>
      <c r="ER143" s="236"/>
      <c r="ES143" s="236"/>
      <c r="ET143" s="236"/>
      <c r="EU143" s="236"/>
      <c r="EV143" s="236"/>
      <c r="EW143" s="236"/>
      <c r="EX143" s="236"/>
      <c r="EY143" s="236"/>
      <c r="EZ143" s="236"/>
      <c r="FA143" s="236"/>
      <c r="FB143" s="236"/>
      <c r="FC143" s="236"/>
      <c r="FD143" s="236"/>
      <c r="FE143" s="236"/>
      <c r="FF143" s="236"/>
      <c r="FG143" s="236"/>
      <c r="FH143" s="236"/>
      <c r="FI143" s="236"/>
      <c r="FJ143" s="236"/>
      <c r="FK143" s="236"/>
      <c r="FL143" s="236"/>
      <c r="FM143" s="236"/>
      <c r="FN143" s="236"/>
      <c r="FO143" s="236"/>
      <c r="FP143" s="236"/>
      <c r="FQ143" s="236"/>
      <c r="FR143" s="236"/>
      <c r="FS143" s="236"/>
      <c r="FT143" s="236"/>
      <c r="FU143" s="236"/>
      <c r="FV143" s="236"/>
      <c r="FW143" s="236"/>
      <c r="FX143" s="236"/>
      <c r="FY143" s="236"/>
      <c r="FZ143" s="236"/>
      <c r="GA143" s="236"/>
      <c r="GB143" s="236"/>
      <c r="GC143" s="236"/>
      <c r="GD143" s="236"/>
      <c r="GE143" s="236"/>
      <c r="GF143" s="236"/>
      <c r="GG143" s="236"/>
      <c r="GH143" s="236"/>
      <c r="GI143" s="236"/>
      <c r="GJ143" s="236"/>
      <c r="GK143" s="236"/>
      <c r="GL143" s="236"/>
      <c r="GM143" s="236"/>
      <c r="GN143" s="236"/>
      <c r="GO143" s="236"/>
      <c r="GP143" s="236"/>
      <c r="GQ143" s="236"/>
      <c r="GR143" s="236"/>
      <c r="GS143" s="236"/>
      <c r="GT143" s="236"/>
      <c r="GU143" s="236"/>
      <c r="GV143" s="236"/>
      <c r="GW143" s="236"/>
      <c r="GX143" s="236"/>
      <c r="GY143" s="236"/>
      <c r="GZ143" s="236"/>
      <c r="HA143" s="236"/>
      <c r="HB143" s="236"/>
      <c r="HC143" s="236"/>
      <c r="HD143" s="236"/>
      <c r="HE143" s="236"/>
      <c r="HF143" s="236"/>
      <c r="HG143" s="236"/>
      <c r="HH143" s="236"/>
      <c r="HI143" s="236"/>
      <c r="HJ143" s="236"/>
      <c r="HK143" s="236"/>
      <c r="HL143" s="236"/>
      <c r="HM143" s="236"/>
      <c r="HN143" s="236"/>
      <c r="HO143" s="236"/>
      <c r="HP143" s="236"/>
      <c r="HQ143" s="236"/>
      <c r="HR143" s="236"/>
      <c r="HS143" s="236"/>
      <c r="HT143" s="236"/>
      <c r="HU143" s="236"/>
      <c r="HV143" s="236"/>
      <c r="HW143" s="236"/>
      <c r="HX143" s="236"/>
      <c r="HY143" s="236"/>
      <c r="HZ143" s="236"/>
      <c r="IA143" s="236"/>
      <c r="IB143" s="236"/>
      <c r="IC143" s="236"/>
      <c r="ID143" s="236"/>
      <c r="IE143" s="236"/>
      <c r="IF143" s="236"/>
      <c r="IG143" s="236"/>
      <c r="IH143" s="236"/>
      <c r="II143" s="236"/>
      <c r="IJ143" s="236"/>
      <c r="IK143" s="236"/>
      <c r="IL143" s="236"/>
      <c r="IM143" s="236"/>
      <c r="IN143" s="236"/>
      <c r="IO143" s="236"/>
      <c r="IP143" s="236"/>
      <c r="IQ143" s="236"/>
      <c r="IR143" s="236"/>
      <c r="IS143" s="236"/>
      <c r="IT143" s="236"/>
      <c r="IU143" s="236"/>
      <c r="IV143" s="236"/>
      <c r="IW143" s="236"/>
      <c r="IX143" s="236"/>
      <c r="IY143" s="236"/>
      <c r="IZ143" s="236"/>
      <c r="JA143" s="236"/>
      <c r="JB143" s="236"/>
      <c r="JC143" s="236"/>
      <c r="JD143" s="236"/>
      <c r="JE143" s="236"/>
      <c r="JF143" s="236"/>
      <c r="JG143" s="236"/>
      <c r="JH143" s="236"/>
      <c r="JI143" s="236"/>
      <c r="JJ143" s="236"/>
      <c r="JK143" s="236"/>
      <c r="JL143" s="236"/>
      <c r="JM143" s="236"/>
      <c r="JN143" s="236"/>
      <c r="JO143" s="236"/>
      <c r="JP143" s="236"/>
      <c r="JQ143" s="236"/>
      <c r="JR143" s="236"/>
      <c r="JS143" s="236"/>
      <c r="JT143" s="236"/>
      <c r="JU143" s="236"/>
      <c r="JV143" s="236"/>
      <c r="JW143" s="236"/>
      <c r="JX143" s="409"/>
      <c r="JY143" s="409"/>
      <c r="JZ143" s="409"/>
      <c r="KA143" s="409"/>
      <c r="KB143" s="409"/>
      <c r="KC143" s="409"/>
      <c r="KD143" s="409"/>
      <c r="KE143" s="409"/>
      <c r="KF143" s="409"/>
      <c r="KG143" s="410"/>
    </row>
    <row r="144" spans="3:293" ht="24" customHeight="1">
      <c r="C144"/>
      <c r="D144" s="57">
        <f ca="1">INDIRECT(ADDRESS(ROWS($D$3:D143)+6,D$3,1,1,"3_TIME SUM"))</f>
        <v>0</v>
      </c>
      <c r="E144" s="81" t="str">
        <f ca="1">IF(INDIRECT(ADDRESS(ROWS($E$3:E143)+6,E$3,1,1,"3_TIME SUM"))=0,E143,INDIRECT(ADDRESS(ROWS($E$3:E143)+6,E$3,1,1,"3_TIME SUM")))</f>
        <v>X-Mastree</v>
      </c>
      <c r="F144" s="57" t="str">
        <f t="shared" ca="1" si="42"/>
        <v>X-Mastree : 0</v>
      </c>
      <c r="G144" s="58" t="e">
        <f ca="1">VLOOKUP($D144,INDIRECT(ADDRESS(7,5,1,1,"3_TIME SUM")):INDIRECT(ADDRESS(200,7,1,1,"3_TIME SUM")),2,FALSE)</f>
        <v>#N/A</v>
      </c>
      <c r="H144" s="58" t="e">
        <f ca="1">IF(VLOOKUP($D144,INDIRECT(ADDRESS(7,5,1,1,"3_TIME SUM")):INDIRECT(ADDRESS(200,7,1,1,"3_TIME SUM")),3,FALSE)="","PT",VLOOKUP($D144,INDIRECT(ADDRESS(7,5,1,1,"3_TIME SUM")):INDIRECT(ADDRESS(200,7,1,1,"3_TIME SUM")),3,FALSE))</f>
        <v>#N/A</v>
      </c>
      <c r="I144" s="59">
        <f ca="1">IFERROR(IF(AND($D$2="NON PRODUCTIVE TIME",$H144="NPT"),SUMIF(INDIRECT(ADDRESS(8,COLUMN('2_DATA'!$M$9),1,1,"2_DATA")):INDIRECT(ADDRESS(3000,COLUMN('2_DATA'!$M$9),1,1,"2_DATA")),$G144,INDIRECT(ADDRESS(8,COLUMN('2_DATA'!$N$9),1,1,"2_DATA")):INDIRECT(ADDRESS(3000,COLUMN('2_DATA'!$N$9),1,1,"2_DATA"))),IF($D$2="ALL ACTIVITY",SUMIF(INDIRECT(ADDRESS(9,COLUMN('2_DATA'!$M$9),1,1,"2_DATA")):INDIRECT(ADDRESS(3000,COLUMN('2_DATA'!$M$9),1,1,"2_DATA")),$G144,INDIRECT(ADDRESS(9,COLUMN('2_DATA'!$N$9),1,1,"2_DATA")):INDIRECT(ADDRESS(3000,COLUMN('2_DATA'!$N$9),1,1,"2_DATA"))),SUMIF(INDIRECT(ADDRESS(OFFSET($A$3,MATCH($D$2,$A$4:$A$16,0)-1,1,,)+1,COLUMN('2_DATA'!$M$9),1,1,"2_DATA")):INDIRECT(ADDRESS(VLOOKUP($D$2,$A$4:$B$16,2,FALSE)-1,COLUMN('2_DATA'!$M$9),1,1,"2_DATA")),$G144,INDIRECT(ADDRESS(OFFSET($A$3,MATCH($D$2,$A$4:$A$16,0)-1,1,,)+1,COLUMN('2_DATA'!$N$9),1,1,"2_DATA")):INDIRECT(ADDRESS(VLOOKUP($D$2,$A$4:$B$16,2,FALSE)-1,COLUMN('2_DATA'!$N$9),1,1,"2_DATA"))))),0)</f>
        <v>0</v>
      </c>
      <c r="J144" s="58" t="str">
        <f ca="1">IF(I144=0,"",MAX($J$3:J143)+1)</f>
        <v/>
      </c>
      <c r="L144" s="55" t="str">
        <f t="shared" ca="1" si="39"/>
        <v/>
      </c>
      <c r="M144" s="55" t="str">
        <f t="shared" ca="1" si="43"/>
        <v/>
      </c>
      <c r="N144" s="55"/>
      <c r="O144" s="55" t="str">
        <f t="shared" ca="1" si="45"/>
        <v/>
      </c>
      <c r="P144" s="55">
        <f t="shared" ca="1" si="40"/>
        <v>0</v>
      </c>
      <c r="Q144" s="55" t="str">
        <f ca="1">IFERROR(INDEX($O$4:$P$226,MATCH(ROWS($Q$3:Q143),$P$4:$P$226,0),1),"-")</f>
        <v>-</v>
      </c>
      <c r="R144" s="62" t="str">
        <f t="shared" ca="1" si="41"/>
        <v/>
      </c>
      <c r="S144" s="55" t="str">
        <f t="shared" ca="1" si="44"/>
        <v/>
      </c>
      <c r="T144" s="67" t="str">
        <f t="shared" ca="1" si="38"/>
        <v>-</v>
      </c>
      <c r="V144" s="68" t="str">
        <f t="shared" ca="1" si="46"/>
        <v/>
      </c>
      <c r="W144" s="69" t="str">
        <f t="shared" ca="1" si="47"/>
        <v/>
      </c>
      <c r="X144" s="70" t="s">
        <v>84</v>
      </c>
      <c r="Y144" s="68" t="str">
        <f t="shared" ca="1" si="35"/>
        <v/>
      </c>
      <c r="Z144" s="71" t="str">
        <f t="shared" ca="1" si="48"/>
        <v/>
      </c>
      <c r="AA144" s="72" t="str">
        <f t="shared" ca="1" si="49"/>
        <v/>
      </c>
      <c r="AB144" s="72" t="str">
        <f t="shared" ca="1" si="50"/>
        <v/>
      </c>
      <c r="AC144" s="320"/>
      <c r="AD144" s="320"/>
      <c r="AE144" s="320"/>
      <c r="AF144" s="320"/>
      <c r="AG144" s="320"/>
      <c r="AH144" s="320"/>
      <c r="AI144" s="320"/>
      <c r="AJ144" s="320"/>
      <c r="AK144" s="320"/>
      <c r="AL144" s="320"/>
      <c r="AM144" s="320"/>
      <c r="AN144" s="320"/>
      <c r="AO144" s="320"/>
      <c r="AP144" s="320"/>
      <c r="AQ144" s="320"/>
      <c r="AR144" s="320"/>
      <c r="AS144" s="320"/>
      <c r="AT144" s="320"/>
      <c r="AU144" s="320"/>
      <c r="AV144" s="320"/>
      <c r="AW144" s="320"/>
      <c r="AX144" s="320"/>
      <c r="AY144" s="320"/>
      <c r="AZ144" s="320"/>
      <c r="BA144" s="320"/>
      <c r="BB144" s="320"/>
      <c r="BC144" s="320"/>
      <c r="BD144" s="320"/>
      <c r="BE144" s="320"/>
      <c r="BF144" s="320"/>
      <c r="BG144" s="320"/>
      <c r="BH144" s="320"/>
      <c r="BI144" s="320"/>
      <c r="BJ144" s="320"/>
      <c r="BK144" s="320"/>
      <c r="BL144" s="320"/>
      <c r="BM144" s="320"/>
      <c r="BN144" s="320"/>
      <c r="BO144" s="320"/>
      <c r="BP144" s="320"/>
      <c r="BQ144" s="320"/>
      <c r="BR144" s="320"/>
      <c r="BS144" s="320"/>
      <c r="BT144" s="320"/>
      <c r="BU144" s="320"/>
      <c r="BV144" s="320"/>
      <c r="BW144" s="320"/>
      <c r="BX144" s="320"/>
      <c r="BY144" s="320"/>
      <c r="BZ144" s="320"/>
      <c r="CA144" s="320"/>
      <c r="CB144" s="320"/>
      <c r="CC144" s="320"/>
      <c r="CD144" s="320"/>
      <c r="CE144" s="320"/>
      <c r="CF144" s="320"/>
      <c r="CG144" s="320"/>
      <c r="CH144" s="320"/>
      <c r="CI144" s="320"/>
      <c r="CJ144" s="320"/>
      <c r="CK144" s="320"/>
      <c r="CL144" s="320"/>
      <c r="CM144" s="320"/>
      <c r="CN144" s="320"/>
      <c r="CO144" s="320"/>
      <c r="CP144" s="320"/>
      <c r="CQ144" s="320"/>
      <c r="CR144" s="320"/>
      <c r="CS144" s="320"/>
      <c r="CT144" s="320"/>
      <c r="CU144" s="320"/>
      <c r="CV144" s="320"/>
      <c r="CW144" s="320"/>
      <c r="CX144" s="320"/>
      <c r="CY144" s="320"/>
      <c r="CZ144" s="320"/>
      <c r="DA144" s="320"/>
      <c r="DB144" s="320"/>
      <c r="DC144" s="320"/>
      <c r="DD144" s="320"/>
      <c r="DE144" s="320"/>
      <c r="DF144" s="320"/>
      <c r="DG144" s="320"/>
      <c r="DH144" s="320"/>
      <c r="DI144" s="320"/>
      <c r="DJ144" s="320"/>
      <c r="DK144" s="320"/>
      <c r="DL144" s="320"/>
      <c r="DM144" s="320"/>
      <c r="DN144" s="320"/>
      <c r="DO144" s="320"/>
      <c r="DP144" s="320"/>
      <c r="DQ144" s="320"/>
      <c r="DR144" s="320"/>
      <c r="DS144" s="320"/>
      <c r="DT144" s="320"/>
      <c r="DU144" s="320"/>
      <c r="DV144" s="320"/>
      <c r="DW144" s="320"/>
      <c r="DX144" s="320"/>
      <c r="DY144" s="320"/>
      <c r="DZ144" s="320"/>
      <c r="EA144" s="320"/>
      <c r="EB144" s="320"/>
      <c r="EC144" s="320"/>
      <c r="ED144" s="320"/>
      <c r="EE144" s="320"/>
      <c r="EF144" s="320"/>
      <c r="EG144" s="320"/>
      <c r="EH144" s="320"/>
      <c r="EI144" s="320"/>
      <c r="EJ144" s="320"/>
      <c r="EK144" s="320"/>
      <c r="EL144" s="320"/>
      <c r="EM144" s="320"/>
      <c r="EN144" s="320"/>
      <c r="EO144" s="320"/>
      <c r="EP144" s="320"/>
      <c r="EQ144" s="320"/>
      <c r="ER144" s="320"/>
      <c r="ES144" s="320"/>
      <c r="ET144" s="320"/>
      <c r="EU144" s="320"/>
      <c r="EV144" s="320"/>
      <c r="EW144" s="320"/>
      <c r="EX144" s="320"/>
      <c r="EY144" s="320"/>
      <c r="EZ144" s="320"/>
      <c r="FA144" s="320"/>
      <c r="FB144" s="320"/>
      <c r="FC144" s="320"/>
      <c r="FD144" s="320"/>
      <c r="FE144" s="320"/>
      <c r="FF144" s="320"/>
      <c r="FG144" s="320"/>
      <c r="FH144" s="320"/>
      <c r="FI144" s="320"/>
      <c r="FJ144" s="320"/>
      <c r="FK144" s="320"/>
      <c r="FL144" s="320"/>
      <c r="FM144" s="320"/>
      <c r="FN144" s="320"/>
      <c r="FO144" s="320"/>
      <c r="FP144" s="320"/>
      <c r="FQ144" s="320"/>
      <c r="FR144" s="320"/>
      <c r="FS144" s="320"/>
      <c r="FT144" s="320"/>
      <c r="FU144" s="320"/>
      <c r="FV144" s="320"/>
      <c r="FW144" s="320"/>
      <c r="FX144" s="320"/>
      <c r="FY144" s="320"/>
      <c r="FZ144" s="320"/>
      <c r="GA144" s="320"/>
      <c r="GB144" s="320"/>
      <c r="GC144" s="320"/>
      <c r="GD144" s="320"/>
      <c r="GE144" s="320"/>
      <c r="GF144" s="320"/>
      <c r="GG144" s="320"/>
      <c r="GH144" s="320"/>
      <c r="GI144" s="320"/>
      <c r="GJ144" s="320"/>
      <c r="GK144" s="320"/>
      <c r="GL144" s="320"/>
      <c r="GM144" s="320"/>
      <c r="GN144" s="320"/>
      <c r="GO144" s="320"/>
      <c r="GP144" s="320"/>
      <c r="GQ144" s="320"/>
      <c r="GR144" s="320"/>
      <c r="GS144" s="320"/>
      <c r="GT144" s="320"/>
      <c r="GU144" s="320"/>
      <c r="GV144" s="320"/>
      <c r="GW144" s="320"/>
      <c r="GX144" s="320"/>
      <c r="GY144" s="320"/>
      <c r="GZ144" s="320"/>
      <c r="HA144" s="320"/>
      <c r="HB144" s="320"/>
      <c r="HC144" s="320"/>
      <c r="HD144" s="320"/>
      <c r="HE144" s="320"/>
      <c r="HF144" s="320"/>
      <c r="HG144" s="320"/>
      <c r="HH144" s="320"/>
      <c r="HI144" s="320"/>
      <c r="HJ144" s="320"/>
      <c r="HK144" s="320"/>
      <c r="HL144" s="320"/>
      <c r="HM144" s="320"/>
      <c r="HN144" s="320"/>
      <c r="HO144" s="320"/>
      <c r="HP144" s="320"/>
      <c r="HQ144" s="320"/>
      <c r="HR144" s="320"/>
      <c r="HS144" s="320"/>
      <c r="HT144" s="320"/>
      <c r="HU144" s="320"/>
      <c r="HV144" s="320"/>
      <c r="HW144" s="320"/>
      <c r="HX144" s="320"/>
      <c r="HY144" s="320"/>
      <c r="HZ144" s="320"/>
      <c r="IA144" s="320"/>
      <c r="IB144" s="320"/>
      <c r="IC144" s="320"/>
      <c r="ID144" s="320"/>
      <c r="IE144" s="320"/>
      <c r="IF144" s="320"/>
      <c r="IG144" s="320"/>
      <c r="IH144" s="320"/>
      <c r="II144" s="320"/>
      <c r="IJ144" s="320"/>
      <c r="IK144" s="320"/>
      <c r="IL144" s="320"/>
      <c r="IM144" s="320"/>
      <c r="IN144" s="320"/>
      <c r="IO144" s="320"/>
      <c r="IP144" s="320"/>
      <c r="IQ144" s="320"/>
      <c r="IR144" s="320"/>
      <c r="IS144" s="320"/>
      <c r="IT144" s="320"/>
      <c r="IU144" s="320"/>
      <c r="IV144" s="320"/>
      <c r="IW144" s="320"/>
      <c r="IX144" s="320"/>
      <c r="IY144" s="320"/>
      <c r="IZ144" s="320"/>
      <c r="JA144" s="320"/>
      <c r="JB144" s="320"/>
      <c r="JC144" s="320"/>
      <c r="JD144" s="320"/>
      <c r="JE144" s="320"/>
      <c r="JF144" s="320"/>
      <c r="JG144" s="320"/>
      <c r="JH144" s="320"/>
      <c r="JI144" s="320"/>
      <c r="JJ144" s="320"/>
      <c r="JK144" s="320"/>
      <c r="JL144" s="320"/>
      <c r="JM144" s="320"/>
      <c r="JN144" s="320"/>
      <c r="JO144" s="320"/>
      <c r="JP144" s="320"/>
      <c r="JQ144" s="320"/>
      <c r="JR144" s="320"/>
      <c r="JS144" s="320"/>
      <c r="JT144" s="320"/>
      <c r="JU144" s="320"/>
      <c r="JV144" s="320"/>
      <c r="JW144" s="320"/>
      <c r="JX144" s="417"/>
      <c r="JY144" s="417"/>
      <c r="JZ144" s="417"/>
      <c r="KA144" s="417"/>
      <c r="KB144" s="417"/>
      <c r="KC144" s="417"/>
      <c r="KD144" s="417"/>
      <c r="KE144" s="417"/>
      <c r="KF144" s="417"/>
      <c r="KG144" s="418"/>
    </row>
    <row r="145" spans="3:28" ht="24" customHeight="1">
      <c r="C145"/>
      <c r="D145" s="57">
        <f ca="1">INDIRECT(ADDRESS(ROWS($D$3:D144)+6,D$3,1,1,"3_TIME SUM"))</f>
        <v>0</v>
      </c>
      <c r="E145" s="81" t="str">
        <f ca="1">IF(INDIRECT(ADDRESS(ROWS($E$3:E144)+6,E$3,1,1,"3_TIME SUM"))=0,E144,INDIRECT(ADDRESS(ROWS($E$3:E144)+6,E$3,1,1,"3_TIME SUM")))</f>
        <v>X-Mastree</v>
      </c>
      <c r="F145" s="57" t="str">
        <f t="shared" ca="1" si="42"/>
        <v>X-Mastree : 0</v>
      </c>
      <c r="G145" s="58" t="e">
        <f ca="1">VLOOKUP($D145,INDIRECT(ADDRESS(7,5,1,1,"3_TIME SUM")):INDIRECT(ADDRESS(200,7,1,1,"3_TIME SUM")),2,FALSE)</f>
        <v>#N/A</v>
      </c>
      <c r="H145" s="58" t="e">
        <f ca="1">IF(VLOOKUP($D145,INDIRECT(ADDRESS(7,5,1,1,"3_TIME SUM")):INDIRECT(ADDRESS(200,7,1,1,"3_TIME SUM")),3,FALSE)="","PT",VLOOKUP($D145,INDIRECT(ADDRESS(7,5,1,1,"3_TIME SUM")):INDIRECT(ADDRESS(200,7,1,1,"3_TIME SUM")),3,FALSE))</f>
        <v>#N/A</v>
      </c>
      <c r="I145" s="59">
        <f ca="1">IFERROR(IF(AND($D$2="NON PRODUCTIVE TIME",$H145="NPT"),SUMIF(INDIRECT(ADDRESS(8,COLUMN('2_DATA'!$M$9),1,1,"2_DATA")):INDIRECT(ADDRESS(3000,COLUMN('2_DATA'!$M$9),1,1,"2_DATA")),$G145,INDIRECT(ADDRESS(8,COLUMN('2_DATA'!$N$9),1,1,"2_DATA")):INDIRECT(ADDRESS(3000,COLUMN('2_DATA'!$N$9),1,1,"2_DATA"))),IF($D$2="ALL ACTIVITY",SUMIF(INDIRECT(ADDRESS(9,COLUMN('2_DATA'!$M$9),1,1,"2_DATA")):INDIRECT(ADDRESS(3000,COLUMN('2_DATA'!$M$9),1,1,"2_DATA")),$G145,INDIRECT(ADDRESS(9,COLUMN('2_DATA'!$N$9),1,1,"2_DATA")):INDIRECT(ADDRESS(3000,COLUMN('2_DATA'!$N$9),1,1,"2_DATA"))),SUMIF(INDIRECT(ADDRESS(OFFSET($A$3,MATCH($D$2,$A$4:$A$16,0)-1,1,,)+1,COLUMN('2_DATA'!$M$9),1,1,"2_DATA")):INDIRECT(ADDRESS(VLOOKUP($D$2,$A$4:$B$16,2,FALSE)-1,COLUMN('2_DATA'!$M$9),1,1,"2_DATA")),$G145,INDIRECT(ADDRESS(OFFSET($A$3,MATCH($D$2,$A$4:$A$16,0)-1,1,,)+1,COLUMN('2_DATA'!$N$9),1,1,"2_DATA")):INDIRECT(ADDRESS(VLOOKUP($D$2,$A$4:$B$16,2,FALSE)-1,COLUMN('2_DATA'!$N$9),1,1,"2_DATA"))))),0)</f>
        <v>0</v>
      </c>
      <c r="J145" s="58" t="str">
        <f ca="1">IF(I145=0,"",MAX($J$3:J144)+1)</f>
        <v/>
      </c>
      <c r="L145" s="55" t="str">
        <f t="shared" ca="1" si="39"/>
        <v/>
      </c>
      <c r="M145" s="55" t="str">
        <f t="shared" ca="1" si="43"/>
        <v/>
      </c>
      <c r="N145" s="55"/>
      <c r="O145" s="55" t="str">
        <f t="shared" ca="1" si="45"/>
        <v/>
      </c>
      <c r="P145" s="55">
        <f t="shared" ca="1" si="40"/>
        <v>0</v>
      </c>
      <c r="Q145" s="55" t="str">
        <f ca="1">IFERROR(INDEX($O$4:$P$226,MATCH(ROWS($Q$3:Q144),$P$4:$P$226,0),1),"-")</f>
        <v>-</v>
      </c>
      <c r="R145" s="62" t="str">
        <f t="shared" ca="1" si="41"/>
        <v/>
      </c>
      <c r="S145" s="55" t="str">
        <f t="shared" ca="1" si="44"/>
        <v/>
      </c>
      <c r="T145" s="67" t="str">
        <f t="shared" ca="1" si="38"/>
        <v>-</v>
      </c>
      <c r="V145" s="68" t="str">
        <f t="shared" ca="1" si="46"/>
        <v/>
      </c>
      <c r="W145" s="69" t="str">
        <f t="shared" ca="1" si="47"/>
        <v/>
      </c>
      <c r="X145" s="70" t="s">
        <v>84</v>
      </c>
      <c r="Y145" s="68" t="str">
        <f t="shared" ref="Y145:Y208" ca="1" si="51">IFERROR(VLOOKUP($W145,$F$4:$J$300,3,FALSE),"")</f>
        <v/>
      </c>
      <c r="Z145" s="71" t="str">
        <f t="shared" ca="1" si="48"/>
        <v/>
      </c>
      <c r="AA145" s="72" t="str">
        <f t="shared" ca="1" si="49"/>
        <v/>
      </c>
      <c r="AB145" s="72" t="str">
        <f t="shared" ca="1" si="50"/>
        <v/>
      </c>
    </row>
    <row r="146" spans="3:28" ht="24" customHeight="1">
      <c r="D146" s="57">
        <f ca="1">INDIRECT(ADDRESS(ROWS($D$3:D145)+6,D$3,1,1,"3_TIME SUM"))</f>
        <v>0</v>
      </c>
      <c r="E146" s="81" t="str">
        <f ca="1">IF(INDIRECT(ADDRESS(ROWS($E$3:E145)+6,E$3,1,1,"3_TIME SUM"))=0,E145,INDIRECT(ADDRESS(ROWS($E$3:E145)+6,E$3,1,1,"3_TIME SUM")))</f>
        <v>X-Mastree</v>
      </c>
      <c r="F146" s="57" t="str">
        <f t="shared" ca="1" si="42"/>
        <v>X-Mastree : 0</v>
      </c>
      <c r="G146" s="58" t="e">
        <f ca="1">VLOOKUP($D146,INDIRECT(ADDRESS(7,5,1,1,"3_TIME SUM")):INDIRECT(ADDRESS(200,7,1,1,"3_TIME SUM")),2,FALSE)</f>
        <v>#N/A</v>
      </c>
      <c r="H146" s="58" t="e">
        <f ca="1">IF(VLOOKUP($D146,INDIRECT(ADDRESS(7,5,1,1,"3_TIME SUM")):INDIRECT(ADDRESS(200,7,1,1,"3_TIME SUM")),3,FALSE)="","PT",VLOOKUP($D146,INDIRECT(ADDRESS(7,5,1,1,"3_TIME SUM")):INDIRECT(ADDRESS(200,7,1,1,"3_TIME SUM")),3,FALSE))</f>
        <v>#N/A</v>
      </c>
      <c r="I146" s="59">
        <f ca="1">IFERROR(IF(AND($D$2="NON PRODUCTIVE TIME",$H146="NPT"),SUMIF(INDIRECT(ADDRESS(8,COLUMN('2_DATA'!$M$9),1,1,"2_DATA")):INDIRECT(ADDRESS(3000,COLUMN('2_DATA'!$M$9),1,1,"2_DATA")),$G146,INDIRECT(ADDRESS(8,COLUMN('2_DATA'!$N$9),1,1,"2_DATA")):INDIRECT(ADDRESS(3000,COLUMN('2_DATA'!$N$9),1,1,"2_DATA"))),IF($D$2="ALL ACTIVITY",SUMIF(INDIRECT(ADDRESS(9,COLUMN('2_DATA'!$M$9),1,1,"2_DATA")):INDIRECT(ADDRESS(3000,COLUMN('2_DATA'!$M$9),1,1,"2_DATA")),$G146,INDIRECT(ADDRESS(9,COLUMN('2_DATA'!$N$9),1,1,"2_DATA")):INDIRECT(ADDRESS(3000,COLUMN('2_DATA'!$N$9),1,1,"2_DATA"))),SUMIF(INDIRECT(ADDRESS(OFFSET($A$3,MATCH($D$2,$A$4:$A$16,0)-1,1,,)+1,COLUMN('2_DATA'!$M$9),1,1,"2_DATA")):INDIRECT(ADDRESS(VLOOKUP($D$2,$A$4:$B$16,2,FALSE)-1,COLUMN('2_DATA'!$M$9),1,1,"2_DATA")),$G146,INDIRECT(ADDRESS(OFFSET($A$3,MATCH($D$2,$A$4:$A$16,0)-1,1,,)+1,COLUMN('2_DATA'!$N$9),1,1,"2_DATA")):INDIRECT(ADDRESS(VLOOKUP($D$2,$A$4:$B$16,2,FALSE)-1,COLUMN('2_DATA'!$N$9),1,1,"2_DATA"))))),0)</f>
        <v>0</v>
      </c>
      <c r="J146" s="58" t="str">
        <f ca="1">IF(I146=0,"",MAX($J$3:J145)+1)</f>
        <v/>
      </c>
      <c r="L146" s="55" t="str">
        <f t="shared" ca="1" si="39"/>
        <v/>
      </c>
      <c r="M146" s="55" t="str">
        <f t="shared" ca="1" si="43"/>
        <v/>
      </c>
      <c r="N146" s="55"/>
      <c r="O146" s="55" t="str">
        <f t="shared" ca="1" si="45"/>
        <v/>
      </c>
      <c r="P146" s="55">
        <f t="shared" ca="1" si="40"/>
        <v>0</v>
      </c>
      <c r="Q146" s="55" t="str">
        <f ca="1">IFERROR(INDEX($O$4:$P$226,MATCH(ROWS($Q$3:Q145),$P$4:$P$226,0),1),"-")</f>
        <v>-</v>
      </c>
      <c r="R146" s="62" t="str">
        <f t="shared" ca="1" si="41"/>
        <v/>
      </c>
      <c r="S146" s="55" t="str">
        <f t="shared" ca="1" si="44"/>
        <v/>
      </c>
      <c r="T146" s="67" t="str">
        <f t="shared" ca="1" si="38"/>
        <v>-</v>
      </c>
      <c r="V146" s="68" t="str">
        <f t="shared" ca="1" si="46"/>
        <v/>
      </c>
      <c r="W146" s="69" t="str">
        <f t="shared" ca="1" si="47"/>
        <v/>
      </c>
      <c r="X146" s="70" t="s">
        <v>84</v>
      </c>
      <c r="Y146" s="68" t="str">
        <f t="shared" ca="1" si="51"/>
        <v/>
      </c>
      <c r="Z146" s="71" t="str">
        <f t="shared" ca="1" si="48"/>
        <v/>
      </c>
      <c r="AA146" s="72" t="str">
        <f t="shared" ca="1" si="49"/>
        <v/>
      </c>
      <c r="AB146" s="72" t="str">
        <f t="shared" ca="1" si="50"/>
        <v/>
      </c>
    </row>
    <row r="147" spans="3:28" ht="24" customHeight="1">
      <c r="D147" s="57">
        <f ca="1">INDIRECT(ADDRESS(ROWS($D$3:D146)+6,D$3,1,1,"3_TIME SUM"))</f>
        <v>0</v>
      </c>
      <c r="E147" s="81" t="str">
        <f ca="1">IF(INDIRECT(ADDRESS(ROWS($E$3:E146)+6,E$3,1,1,"3_TIME SUM"))=0,E146,INDIRECT(ADDRESS(ROWS($E$3:E146)+6,E$3,1,1,"3_TIME SUM")))</f>
        <v>X-Mastree</v>
      </c>
      <c r="F147" s="57" t="str">
        <f t="shared" ca="1" si="42"/>
        <v>X-Mastree : 0</v>
      </c>
      <c r="G147" s="58" t="e">
        <f ca="1">VLOOKUP($D147,INDIRECT(ADDRESS(7,5,1,1,"3_TIME SUM")):INDIRECT(ADDRESS(200,7,1,1,"3_TIME SUM")),2,FALSE)</f>
        <v>#N/A</v>
      </c>
      <c r="H147" s="58" t="e">
        <f ca="1">IF(VLOOKUP($D147,INDIRECT(ADDRESS(7,5,1,1,"3_TIME SUM")):INDIRECT(ADDRESS(200,7,1,1,"3_TIME SUM")),3,FALSE)="","PT",VLOOKUP($D147,INDIRECT(ADDRESS(7,5,1,1,"3_TIME SUM")):INDIRECT(ADDRESS(200,7,1,1,"3_TIME SUM")),3,FALSE))</f>
        <v>#N/A</v>
      </c>
      <c r="I147" s="59">
        <f ca="1">IFERROR(IF(AND($D$2="NON PRODUCTIVE TIME",$H147="NPT"),SUMIF(INDIRECT(ADDRESS(8,COLUMN('2_DATA'!$M$9),1,1,"2_DATA")):INDIRECT(ADDRESS(3000,COLUMN('2_DATA'!$M$9),1,1,"2_DATA")),$G147,INDIRECT(ADDRESS(8,COLUMN('2_DATA'!$N$9),1,1,"2_DATA")):INDIRECT(ADDRESS(3000,COLUMN('2_DATA'!$N$9),1,1,"2_DATA"))),IF($D$2="ALL ACTIVITY",SUMIF(INDIRECT(ADDRESS(9,COLUMN('2_DATA'!$M$9),1,1,"2_DATA")):INDIRECT(ADDRESS(3000,COLUMN('2_DATA'!$M$9),1,1,"2_DATA")),$G147,INDIRECT(ADDRESS(9,COLUMN('2_DATA'!$N$9),1,1,"2_DATA")):INDIRECT(ADDRESS(3000,COLUMN('2_DATA'!$N$9),1,1,"2_DATA"))),SUMIF(INDIRECT(ADDRESS(OFFSET($A$3,MATCH($D$2,$A$4:$A$16,0)-1,1,,)+1,COLUMN('2_DATA'!$M$9),1,1,"2_DATA")):INDIRECT(ADDRESS(VLOOKUP($D$2,$A$4:$B$16,2,FALSE)-1,COLUMN('2_DATA'!$M$9),1,1,"2_DATA")),$G147,INDIRECT(ADDRESS(OFFSET($A$3,MATCH($D$2,$A$4:$A$16,0)-1,1,,)+1,COLUMN('2_DATA'!$N$9),1,1,"2_DATA")):INDIRECT(ADDRESS(VLOOKUP($D$2,$A$4:$B$16,2,FALSE)-1,COLUMN('2_DATA'!$N$9),1,1,"2_DATA"))))),0)</f>
        <v>0</v>
      </c>
      <c r="J147" s="58" t="str">
        <f ca="1">IF(I147=0,"",MAX($J$3:J146)+1)</f>
        <v/>
      </c>
      <c r="L147" s="55" t="str">
        <f t="shared" ca="1" si="39"/>
        <v/>
      </c>
      <c r="M147" s="55" t="str">
        <f t="shared" ca="1" si="43"/>
        <v/>
      </c>
      <c r="N147" s="55"/>
      <c r="O147" s="55" t="str">
        <f t="shared" ca="1" si="45"/>
        <v/>
      </c>
      <c r="P147" s="55">
        <f t="shared" ca="1" si="40"/>
        <v>0</v>
      </c>
      <c r="Q147" s="55" t="str">
        <f ca="1">IFERROR(INDEX($O$4:$P$226,MATCH(ROWS($Q$3:Q146),$P$4:$P$226,0),1),"-")</f>
        <v>-</v>
      </c>
      <c r="R147" s="62" t="str">
        <f t="shared" ca="1" si="41"/>
        <v/>
      </c>
      <c r="S147" s="55" t="str">
        <f t="shared" ca="1" si="44"/>
        <v/>
      </c>
      <c r="T147" s="67" t="str">
        <f t="shared" ca="1" si="38"/>
        <v>-</v>
      </c>
      <c r="V147" s="68" t="str">
        <f t="shared" ca="1" si="46"/>
        <v/>
      </c>
      <c r="W147" s="69" t="str">
        <f t="shared" ca="1" si="47"/>
        <v/>
      </c>
      <c r="X147" s="70" t="s">
        <v>84</v>
      </c>
      <c r="Y147" s="68" t="str">
        <f t="shared" ca="1" si="51"/>
        <v/>
      </c>
      <c r="Z147" s="71" t="str">
        <f t="shared" ca="1" si="48"/>
        <v/>
      </c>
      <c r="AA147" s="72" t="str">
        <f t="shared" ca="1" si="49"/>
        <v/>
      </c>
      <c r="AB147" s="72" t="str">
        <f t="shared" ca="1" si="50"/>
        <v/>
      </c>
    </row>
    <row r="148" spans="3:28" ht="24" customHeight="1">
      <c r="D148" s="57">
        <f ca="1">INDIRECT(ADDRESS(ROWS($D$3:D147)+6,D$3,1,1,"3_TIME SUM"))</f>
        <v>0</v>
      </c>
      <c r="E148" s="81" t="str">
        <f ca="1">IF(INDIRECT(ADDRESS(ROWS($E$3:E147)+6,E$3,1,1,"3_TIME SUM"))=0,E147,INDIRECT(ADDRESS(ROWS($E$3:E147)+6,E$3,1,1,"3_TIME SUM")))</f>
        <v>X-Mastree</v>
      </c>
      <c r="F148" s="57" t="str">
        <f t="shared" ca="1" si="42"/>
        <v>X-Mastree : 0</v>
      </c>
      <c r="G148" s="58" t="e">
        <f ca="1">VLOOKUP($D148,INDIRECT(ADDRESS(7,5,1,1,"3_TIME SUM")):INDIRECT(ADDRESS(200,7,1,1,"3_TIME SUM")),2,FALSE)</f>
        <v>#N/A</v>
      </c>
      <c r="H148" s="58" t="e">
        <f ca="1">IF(VLOOKUP($D148,INDIRECT(ADDRESS(7,5,1,1,"3_TIME SUM")):INDIRECT(ADDRESS(200,7,1,1,"3_TIME SUM")),3,FALSE)="","PT",VLOOKUP($D148,INDIRECT(ADDRESS(7,5,1,1,"3_TIME SUM")):INDIRECT(ADDRESS(200,7,1,1,"3_TIME SUM")),3,FALSE))</f>
        <v>#N/A</v>
      </c>
      <c r="I148" s="59">
        <f ca="1">IFERROR(IF(AND($D$2="NON PRODUCTIVE TIME",$H148="NPT"),SUMIF(INDIRECT(ADDRESS(8,COLUMN('2_DATA'!$M$9),1,1,"2_DATA")):INDIRECT(ADDRESS(3000,COLUMN('2_DATA'!$M$9),1,1,"2_DATA")),$G148,INDIRECT(ADDRESS(8,COLUMN('2_DATA'!$N$9),1,1,"2_DATA")):INDIRECT(ADDRESS(3000,COLUMN('2_DATA'!$N$9),1,1,"2_DATA"))),IF($D$2="ALL ACTIVITY",SUMIF(INDIRECT(ADDRESS(9,COLUMN('2_DATA'!$M$9),1,1,"2_DATA")):INDIRECT(ADDRESS(3000,COLUMN('2_DATA'!$M$9),1,1,"2_DATA")),$G148,INDIRECT(ADDRESS(9,COLUMN('2_DATA'!$N$9),1,1,"2_DATA")):INDIRECT(ADDRESS(3000,COLUMN('2_DATA'!$N$9),1,1,"2_DATA"))),SUMIF(INDIRECT(ADDRESS(OFFSET($A$3,MATCH($D$2,$A$4:$A$16,0)-1,1,,)+1,COLUMN('2_DATA'!$M$9),1,1,"2_DATA")):INDIRECT(ADDRESS(VLOOKUP($D$2,$A$4:$B$16,2,FALSE)-1,COLUMN('2_DATA'!$M$9),1,1,"2_DATA")),$G148,INDIRECT(ADDRESS(OFFSET($A$3,MATCH($D$2,$A$4:$A$16,0)-1,1,,)+1,COLUMN('2_DATA'!$N$9),1,1,"2_DATA")):INDIRECT(ADDRESS(VLOOKUP($D$2,$A$4:$B$16,2,FALSE)-1,COLUMN('2_DATA'!$N$9),1,1,"2_DATA"))))),0)</f>
        <v>0</v>
      </c>
      <c r="J148" s="58" t="str">
        <f ca="1">IF(I148=0,"",MAX($J$3:J147)+1)</f>
        <v/>
      </c>
      <c r="L148" s="55" t="str">
        <f t="shared" ca="1" si="39"/>
        <v/>
      </c>
      <c r="M148" s="55" t="str">
        <f t="shared" ca="1" si="43"/>
        <v/>
      </c>
      <c r="N148" s="55"/>
      <c r="O148" s="55" t="str">
        <f t="shared" ca="1" si="45"/>
        <v/>
      </c>
      <c r="P148" s="55">
        <f t="shared" ca="1" si="40"/>
        <v>0</v>
      </c>
      <c r="Q148" s="55" t="str">
        <f ca="1">IFERROR(INDEX($O$4:$P$226,MATCH(ROWS($Q$3:Q147),$P$4:$P$226,0),1),"-")</f>
        <v>-</v>
      </c>
      <c r="R148" s="62" t="str">
        <f t="shared" ca="1" si="41"/>
        <v/>
      </c>
      <c r="S148" s="55" t="str">
        <f t="shared" ca="1" si="44"/>
        <v/>
      </c>
      <c r="T148" s="67" t="str">
        <f t="shared" ca="1" si="38"/>
        <v>-</v>
      </c>
      <c r="V148" s="68" t="str">
        <f t="shared" ca="1" si="46"/>
        <v/>
      </c>
      <c r="W148" s="69" t="str">
        <f t="shared" ca="1" si="47"/>
        <v/>
      </c>
      <c r="X148" s="70" t="s">
        <v>84</v>
      </c>
      <c r="Y148" s="68" t="str">
        <f t="shared" ca="1" si="51"/>
        <v/>
      </c>
      <c r="Z148" s="71" t="str">
        <f t="shared" ca="1" si="48"/>
        <v/>
      </c>
      <c r="AA148" s="72" t="str">
        <f t="shared" ca="1" si="49"/>
        <v/>
      </c>
      <c r="AB148" s="72" t="str">
        <f t="shared" ca="1" si="50"/>
        <v/>
      </c>
    </row>
    <row r="149" spans="3:28" ht="24" customHeight="1">
      <c r="D149" s="57">
        <f ca="1">INDIRECT(ADDRESS(ROWS($D$3:D148)+6,D$3,1,1,"3_TIME SUM"))</f>
        <v>0</v>
      </c>
      <c r="E149" s="81" t="str">
        <f ca="1">IF(INDIRECT(ADDRESS(ROWS($E$3:E148)+6,E$3,1,1,"3_TIME SUM"))=0,E148,INDIRECT(ADDRESS(ROWS($E$3:E148)+6,E$3,1,1,"3_TIME SUM")))</f>
        <v>X-Mastree</v>
      </c>
      <c r="F149" s="57" t="str">
        <f t="shared" ca="1" si="42"/>
        <v>X-Mastree : 0</v>
      </c>
      <c r="G149" s="58" t="e">
        <f ca="1">VLOOKUP($D149,INDIRECT(ADDRESS(7,5,1,1,"3_TIME SUM")):INDIRECT(ADDRESS(200,7,1,1,"3_TIME SUM")),2,FALSE)</f>
        <v>#N/A</v>
      </c>
      <c r="H149" s="58" t="e">
        <f ca="1">IF(VLOOKUP($D149,INDIRECT(ADDRESS(7,5,1,1,"3_TIME SUM")):INDIRECT(ADDRESS(200,7,1,1,"3_TIME SUM")),3,FALSE)="","PT",VLOOKUP($D149,INDIRECT(ADDRESS(7,5,1,1,"3_TIME SUM")):INDIRECT(ADDRESS(200,7,1,1,"3_TIME SUM")),3,FALSE))</f>
        <v>#N/A</v>
      </c>
      <c r="I149" s="59">
        <f ca="1">IFERROR(IF(AND($D$2="NON PRODUCTIVE TIME",$H149="NPT"),SUMIF(INDIRECT(ADDRESS(8,COLUMN('2_DATA'!$M$9),1,1,"2_DATA")):INDIRECT(ADDRESS(3000,COLUMN('2_DATA'!$M$9),1,1,"2_DATA")),$G149,INDIRECT(ADDRESS(8,COLUMN('2_DATA'!$N$9),1,1,"2_DATA")):INDIRECT(ADDRESS(3000,COLUMN('2_DATA'!$N$9),1,1,"2_DATA"))),IF($D$2="ALL ACTIVITY",SUMIF(INDIRECT(ADDRESS(9,COLUMN('2_DATA'!$M$9),1,1,"2_DATA")):INDIRECT(ADDRESS(3000,COLUMN('2_DATA'!$M$9),1,1,"2_DATA")),$G149,INDIRECT(ADDRESS(9,COLUMN('2_DATA'!$N$9),1,1,"2_DATA")):INDIRECT(ADDRESS(3000,COLUMN('2_DATA'!$N$9),1,1,"2_DATA"))),SUMIF(INDIRECT(ADDRESS(OFFSET($A$3,MATCH($D$2,$A$4:$A$16,0)-1,1,,)+1,COLUMN('2_DATA'!$M$9),1,1,"2_DATA")):INDIRECT(ADDRESS(VLOOKUP($D$2,$A$4:$B$16,2,FALSE)-1,COLUMN('2_DATA'!$M$9),1,1,"2_DATA")),$G149,INDIRECT(ADDRESS(OFFSET($A$3,MATCH($D$2,$A$4:$A$16,0)-1,1,,)+1,COLUMN('2_DATA'!$N$9),1,1,"2_DATA")):INDIRECT(ADDRESS(VLOOKUP($D$2,$A$4:$B$16,2,FALSE)-1,COLUMN('2_DATA'!$N$9),1,1,"2_DATA"))))),0)</f>
        <v>0</v>
      </c>
      <c r="J149" s="58" t="str">
        <f ca="1">IF(I149=0,"",MAX($J$3:J148)+1)</f>
        <v/>
      </c>
      <c r="L149" s="55" t="str">
        <f t="shared" ca="1" si="39"/>
        <v/>
      </c>
      <c r="M149" s="55" t="str">
        <f t="shared" ca="1" si="43"/>
        <v/>
      </c>
      <c r="N149" s="55"/>
      <c r="O149" s="55" t="str">
        <f t="shared" ca="1" si="45"/>
        <v/>
      </c>
      <c r="P149" s="55">
        <f t="shared" ca="1" si="40"/>
        <v>0</v>
      </c>
      <c r="Q149" s="55" t="str">
        <f ca="1">IFERROR(INDEX($O$4:$P$226,MATCH(ROWS($Q$3:Q148),$P$4:$P$226,0),1),"-")</f>
        <v>-</v>
      </c>
      <c r="R149" s="62" t="str">
        <f t="shared" ca="1" si="41"/>
        <v/>
      </c>
      <c r="S149" s="55" t="str">
        <f t="shared" ca="1" si="44"/>
        <v/>
      </c>
      <c r="T149" s="67" t="str">
        <f t="shared" ca="1" si="38"/>
        <v>-</v>
      </c>
      <c r="V149" s="68" t="str">
        <f t="shared" ca="1" si="46"/>
        <v/>
      </c>
      <c r="W149" s="69" t="str">
        <f t="shared" ca="1" si="47"/>
        <v/>
      </c>
      <c r="X149" s="70" t="s">
        <v>84</v>
      </c>
      <c r="Y149" s="68" t="str">
        <f t="shared" ca="1" si="51"/>
        <v/>
      </c>
      <c r="Z149" s="71" t="str">
        <f t="shared" ca="1" si="48"/>
        <v/>
      </c>
      <c r="AA149" s="72" t="str">
        <f t="shared" ca="1" si="49"/>
        <v/>
      </c>
      <c r="AB149" s="72" t="str">
        <f t="shared" ca="1" si="50"/>
        <v/>
      </c>
    </row>
    <row r="150" spans="3:28" ht="24" customHeight="1">
      <c r="D150" s="57">
        <f ca="1">INDIRECT(ADDRESS(ROWS($D$3:D149)+6,D$3,1,1,"3_TIME SUM"))</f>
        <v>0</v>
      </c>
      <c r="E150" s="81" t="str">
        <f ca="1">IF(INDIRECT(ADDRESS(ROWS($E$3:E149)+6,E$3,1,1,"3_TIME SUM"))=0,E149,INDIRECT(ADDRESS(ROWS($E$3:E149)+6,E$3,1,1,"3_TIME SUM")))</f>
        <v>X-Mastree</v>
      </c>
      <c r="F150" s="57" t="str">
        <f t="shared" ca="1" si="42"/>
        <v>X-Mastree : 0</v>
      </c>
      <c r="G150" s="58" t="e">
        <f ca="1">VLOOKUP($D150,INDIRECT(ADDRESS(7,5,1,1,"3_TIME SUM")):INDIRECT(ADDRESS(200,7,1,1,"3_TIME SUM")),2,FALSE)</f>
        <v>#N/A</v>
      </c>
      <c r="H150" s="58" t="e">
        <f ca="1">IF(VLOOKUP($D150,INDIRECT(ADDRESS(7,5,1,1,"3_TIME SUM")):INDIRECT(ADDRESS(200,7,1,1,"3_TIME SUM")),3,FALSE)="","PT",VLOOKUP($D150,INDIRECT(ADDRESS(7,5,1,1,"3_TIME SUM")):INDIRECT(ADDRESS(200,7,1,1,"3_TIME SUM")),3,FALSE))</f>
        <v>#N/A</v>
      </c>
      <c r="I150" s="59">
        <f ca="1">IFERROR(IF(AND($D$2="NON PRODUCTIVE TIME",$H150="NPT"),SUMIF(INDIRECT(ADDRESS(8,COLUMN('2_DATA'!$M$9),1,1,"2_DATA")):INDIRECT(ADDRESS(3000,COLUMN('2_DATA'!$M$9),1,1,"2_DATA")),$G150,INDIRECT(ADDRESS(8,COLUMN('2_DATA'!$N$9),1,1,"2_DATA")):INDIRECT(ADDRESS(3000,COLUMN('2_DATA'!$N$9),1,1,"2_DATA"))),IF($D$2="ALL ACTIVITY",SUMIF(INDIRECT(ADDRESS(9,COLUMN('2_DATA'!$M$9),1,1,"2_DATA")):INDIRECT(ADDRESS(3000,COLUMN('2_DATA'!$M$9),1,1,"2_DATA")),$G150,INDIRECT(ADDRESS(9,COLUMN('2_DATA'!$N$9),1,1,"2_DATA")):INDIRECT(ADDRESS(3000,COLUMN('2_DATA'!$N$9),1,1,"2_DATA"))),SUMIF(INDIRECT(ADDRESS(OFFSET($A$3,MATCH($D$2,$A$4:$A$16,0)-1,1,,)+1,COLUMN('2_DATA'!$M$9),1,1,"2_DATA")):INDIRECT(ADDRESS(VLOOKUP($D$2,$A$4:$B$16,2,FALSE)-1,COLUMN('2_DATA'!$M$9),1,1,"2_DATA")),$G150,INDIRECT(ADDRESS(OFFSET($A$3,MATCH($D$2,$A$4:$A$16,0)-1,1,,)+1,COLUMN('2_DATA'!$N$9),1,1,"2_DATA")):INDIRECT(ADDRESS(VLOOKUP($D$2,$A$4:$B$16,2,FALSE)-1,COLUMN('2_DATA'!$N$9),1,1,"2_DATA"))))),0)</f>
        <v>0</v>
      </c>
      <c r="J150" s="58" t="str">
        <f ca="1">IF(I150=0,"",MAX($J$3:J149)+1)</f>
        <v/>
      </c>
      <c r="L150" s="55" t="str">
        <f t="shared" ca="1" si="39"/>
        <v/>
      </c>
      <c r="M150" s="55" t="str">
        <f t="shared" ca="1" si="43"/>
        <v/>
      </c>
      <c r="N150" s="55"/>
      <c r="O150" s="55" t="str">
        <f t="shared" ca="1" si="45"/>
        <v/>
      </c>
      <c r="P150" s="55">
        <f t="shared" ca="1" si="40"/>
        <v>0</v>
      </c>
      <c r="Q150" s="55" t="str">
        <f ca="1">IFERROR(INDEX($O$4:$P$226,MATCH(ROWS($Q$3:Q149),$P$4:$P$226,0),1),"-")</f>
        <v>-</v>
      </c>
      <c r="R150" s="62" t="str">
        <f t="shared" ca="1" si="41"/>
        <v/>
      </c>
      <c r="S150" s="55" t="str">
        <f t="shared" ca="1" si="44"/>
        <v/>
      </c>
      <c r="T150" s="67" t="str">
        <f t="shared" ca="1" si="38"/>
        <v>-</v>
      </c>
      <c r="V150" s="68" t="str">
        <f t="shared" ca="1" si="46"/>
        <v/>
      </c>
      <c r="W150" s="69" t="str">
        <f t="shared" ca="1" si="47"/>
        <v/>
      </c>
      <c r="X150" s="70" t="s">
        <v>84</v>
      </c>
      <c r="Y150" s="68" t="str">
        <f t="shared" ca="1" si="51"/>
        <v/>
      </c>
      <c r="Z150" s="71" t="str">
        <f t="shared" ca="1" si="48"/>
        <v/>
      </c>
      <c r="AA150" s="72" t="str">
        <f t="shared" ca="1" si="49"/>
        <v/>
      </c>
      <c r="AB150" s="72" t="str">
        <f t="shared" ca="1" si="50"/>
        <v/>
      </c>
    </row>
    <row r="151" spans="3:28" ht="24" customHeight="1">
      <c r="D151" s="57">
        <f ca="1">INDIRECT(ADDRESS(ROWS($D$3:D150)+6,D$3,1,1,"3_TIME SUM"))</f>
        <v>0</v>
      </c>
      <c r="E151" s="81" t="str">
        <f ca="1">IF(INDIRECT(ADDRESS(ROWS($E$3:E150)+6,E$3,1,1,"3_TIME SUM"))=0,E150,INDIRECT(ADDRESS(ROWS($E$3:E150)+6,E$3,1,1,"3_TIME SUM")))</f>
        <v>X-Mastree</v>
      </c>
      <c r="F151" s="57" t="str">
        <f t="shared" ca="1" si="42"/>
        <v>X-Mastree : 0</v>
      </c>
      <c r="G151" s="58" t="e">
        <f ca="1">VLOOKUP($D151,INDIRECT(ADDRESS(7,5,1,1,"3_TIME SUM")):INDIRECT(ADDRESS(200,7,1,1,"3_TIME SUM")),2,FALSE)</f>
        <v>#N/A</v>
      </c>
      <c r="H151" s="58" t="e">
        <f ca="1">IF(VLOOKUP($D151,INDIRECT(ADDRESS(7,5,1,1,"3_TIME SUM")):INDIRECT(ADDRESS(200,7,1,1,"3_TIME SUM")),3,FALSE)="","PT",VLOOKUP($D151,INDIRECT(ADDRESS(7,5,1,1,"3_TIME SUM")):INDIRECT(ADDRESS(200,7,1,1,"3_TIME SUM")),3,FALSE))</f>
        <v>#N/A</v>
      </c>
      <c r="I151" s="59">
        <f ca="1">IFERROR(IF(AND($D$2="NON PRODUCTIVE TIME",$H151="NPT"),SUMIF(INDIRECT(ADDRESS(8,COLUMN('2_DATA'!$M$9),1,1,"2_DATA")):INDIRECT(ADDRESS(3000,COLUMN('2_DATA'!$M$9),1,1,"2_DATA")),$G151,INDIRECT(ADDRESS(8,COLUMN('2_DATA'!$N$9),1,1,"2_DATA")):INDIRECT(ADDRESS(3000,COLUMN('2_DATA'!$N$9),1,1,"2_DATA"))),IF($D$2="ALL ACTIVITY",SUMIF(INDIRECT(ADDRESS(9,COLUMN('2_DATA'!$M$9),1,1,"2_DATA")):INDIRECT(ADDRESS(3000,COLUMN('2_DATA'!$M$9),1,1,"2_DATA")),$G151,INDIRECT(ADDRESS(9,COLUMN('2_DATA'!$N$9),1,1,"2_DATA")):INDIRECT(ADDRESS(3000,COLUMN('2_DATA'!$N$9),1,1,"2_DATA"))),SUMIF(INDIRECT(ADDRESS(OFFSET($A$3,MATCH($D$2,$A$4:$A$16,0)-1,1,,)+1,COLUMN('2_DATA'!$M$9),1,1,"2_DATA")):INDIRECT(ADDRESS(VLOOKUP($D$2,$A$4:$B$16,2,FALSE)-1,COLUMN('2_DATA'!$M$9),1,1,"2_DATA")),$G151,INDIRECT(ADDRESS(OFFSET($A$3,MATCH($D$2,$A$4:$A$16,0)-1,1,,)+1,COLUMN('2_DATA'!$N$9),1,1,"2_DATA")):INDIRECT(ADDRESS(VLOOKUP($D$2,$A$4:$B$16,2,FALSE)-1,COLUMN('2_DATA'!$N$9),1,1,"2_DATA"))))),0)</f>
        <v>0</v>
      </c>
      <c r="J151" s="58" t="str">
        <f ca="1">IF(I151=0,"",MAX($J$3:J150)+1)</f>
        <v/>
      </c>
      <c r="L151" s="55" t="str">
        <f t="shared" ca="1" si="39"/>
        <v/>
      </c>
      <c r="M151" s="55" t="str">
        <f t="shared" ca="1" si="43"/>
        <v/>
      </c>
      <c r="N151" s="55"/>
      <c r="O151" s="55" t="str">
        <f t="shared" ca="1" si="45"/>
        <v/>
      </c>
      <c r="P151" s="55">
        <f t="shared" ca="1" si="40"/>
        <v>0</v>
      </c>
      <c r="Q151" s="55" t="str">
        <f ca="1">IFERROR(INDEX($O$4:$P$226,MATCH(ROWS($Q$3:Q150),$P$4:$P$226,0),1),"-")</f>
        <v>-</v>
      </c>
      <c r="R151" s="62" t="str">
        <f t="shared" ca="1" si="41"/>
        <v/>
      </c>
      <c r="S151" s="55" t="str">
        <f t="shared" ca="1" si="44"/>
        <v/>
      </c>
      <c r="T151" s="67" t="str">
        <f t="shared" ca="1" si="38"/>
        <v>-</v>
      </c>
      <c r="V151" s="68" t="str">
        <f t="shared" ca="1" si="46"/>
        <v/>
      </c>
      <c r="W151" s="69" t="str">
        <f t="shared" ca="1" si="47"/>
        <v/>
      </c>
      <c r="X151" s="70" t="s">
        <v>84</v>
      </c>
      <c r="Y151" s="68" t="str">
        <f t="shared" ca="1" si="51"/>
        <v/>
      </c>
      <c r="Z151" s="71" t="str">
        <f t="shared" ca="1" si="48"/>
        <v/>
      </c>
      <c r="AA151" s="72" t="str">
        <f t="shared" ca="1" si="49"/>
        <v/>
      </c>
      <c r="AB151" s="72" t="str">
        <f t="shared" ca="1" si="50"/>
        <v/>
      </c>
    </row>
    <row r="152" spans="3:28" ht="24" customHeight="1">
      <c r="D152" s="57">
        <f ca="1">INDIRECT(ADDRESS(ROWS($D$3:D151)+6,D$3,1,1,"3_TIME SUM"))</f>
        <v>0</v>
      </c>
      <c r="E152" s="81" t="str">
        <f ca="1">IF(INDIRECT(ADDRESS(ROWS($E$3:E151)+6,E$3,1,1,"3_TIME SUM"))=0,E151,INDIRECT(ADDRESS(ROWS($E$3:E151)+6,E$3,1,1,"3_TIME SUM")))</f>
        <v>X-Mastree</v>
      </c>
      <c r="F152" s="57" t="str">
        <f t="shared" ca="1" si="42"/>
        <v>X-Mastree : 0</v>
      </c>
      <c r="G152" s="58" t="e">
        <f ca="1">VLOOKUP($D152,INDIRECT(ADDRESS(7,5,1,1,"3_TIME SUM")):INDIRECT(ADDRESS(200,7,1,1,"3_TIME SUM")),2,FALSE)</f>
        <v>#N/A</v>
      </c>
      <c r="H152" s="58" t="e">
        <f ca="1">IF(VLOOKUP($D152,INDIRECT(ADDRESS(7,5,1,1,"3_TIME SUM")):INDIRECT(ADDRESS(200,7,1,1,"3_TIME SUM")),3,FALSE)="","PT",VLOOKUP($D152,INDIRECT(ADDRESS(7,5,1,1,"3_TIME SUM")):INDIRECT(ADDRESS(200,7,1,1,"3_TIME SUM")),3,FALSE))</f>
        <v>#N/A</v>
      </c>
      <c r="I152" s="59">
        <f ca="1">IFERROR(IF(AND($D$2="NON PRODUCTIVE TIME",$H152="NPT"),SUMIF(INDIRECT(ADDRESS(8,COLUMN('2_DATA'!$M$9),1,1,"2_DATA")):INDIRECT(ADDRESS(3000,COLUMN('2_DATA'!$M$9),1,1,"2_DATA")),$G152,INDIRECT(ADDRESS(8,COLUMN('2_DATA'!$N$9),1,1,"2_DATA")):INDIRECT(ADDRESS(3000,COLUMN('2_DATA'!$N$9),1,1,"2_DATA"))),IF($D$2="ALL ACTIVITY",SUMIF(INDIRECT(ADDRESS(9,COLUMN('2_DATA'!$M$9),1,1,"2_DATA")):INDIRECT(ADDRESS(3000,COLUMN('2_DATA'!$M$9),1,1,"2_DATA")),$G152,INDIRECT(ADDRESS(9,COLUMN('2_DATA'!$N$9),1,1,"2_DATA")):INDIRECT(ADDRESS(3000,COLUMN('2_DATA'!$N$9),1,1,"2_DATA"))),SUMIF(INDIRECT(ADDRESS(OFFSET($A$3,MATCH($D$2,$A$4:$A$16,0)-1,1,,)+1,COLUMN('2_DATA'!$M$9),1,1,"2_DATA")):INDIRECT(ADDRESS(VLOOKUP($D$2,$A$4:$B$16,2,FALSE)-1,COLUMN('2_DATA'!$M$9),1,1,"2_DATA")),$G152,INDIRECT(ADDRESS(OFFSET($A$3,MATCH($D$2,$A$4:$A$16,0)-1,1,,)+1,COLUMN('2_DATA'!$N$9),1,1,"2_DATA")):INDIRECT(ADDRESS(VLOOKUP($D$2,$A$4:$B$16,2,FALSE)-1,COLUMN('2_DATA'!$N$9),1,1,"2_DATA"))))),0)</f>
        <v>0</v>
      </c>
      <c r="J152" s="58" t="str">
        <f ca="1">IF(I152=0,"",MAX($J$3:J151)+1)</f>
        <v/>
      </c>
      <c r="L152" s="55" t="str">
        <f t="shared" ca="1" si="39"/>
        <v/>
      </c>
      <c r="M152" s="55" t="str">
        <f t="shared" ca="1" si="43"/>
        <v/>
      </c>
      <c r="N152" s="55"/>
      <c r="O152" s="55" t="str">
        <f t="shared" ca="1" si="45"/>
        <v/>
      </c>
      <c r="P152" s="55">
        <f t="shared" ca="1" si="40"/>
        <v>0</v>
      </c>
      <c r="Q152" s="55" t="str">
        <f ca="1">IFERROR(INDEX($O$4:$P$226,MATCH(ROWS($Q$3:Q151),$P$4:$P$226,0),1),"-")</f>
        <v>-</v>
      </c>
      <c r="R152" s="62" t="str">
        <f t="shared" ca="1" si="41"/>
        <v/>
      </c>
      <c r="S152" s="55" t="str">
        <f t="shared" ca="1" si="44"/>
        <v/>
      </c>
      <c r="T152" s="67" t="str">
        <f t="shared" ca="1" si="38"/>
        <v>-</v>
      </c>
      <c r="V152" s="68" t="str">
        <f t="shared" ca="1" si="46"/>
        <v/>
      </c>
      <c r="W152" s="69" t="str">
        <f t="shared" ca="1" si="47"/>
        <v/>
      </c>
      <c r="X152" s="70" t="s">
        <v>84</v>
      </c>
      <c r="Y152" s="68" t="str">
        <f t="shared" ca="1" si="51"/>
        <v/>
      </c>
      <c r="Z152" s="71" t="str">
        <f t="shared" ca="1" si="48"/>
        <v/>
      </c>
      <c r="AA152" s="72" t="str">
        <f t="shared" ca="1" si="49"/>
        <v/>
      </c>
      <c r="AB152" s="72" t="str">
        <f t="shared" ca="1" si="50"/>
        <v/>
      </c>
    </row>
    <row r="153" spans="3:28" ht="24" customHeight="1">
      <c r="D153" s="57">
        <f ca="1">INDIRECT(ADDRESS(ROWS($D$3:D152)+6,D$3,1,1,"3_TIME SUM"))</f>
        <v>0</v>
      </c>
      <c r="E153" s="81" t="str">
        <f ca="1">IF(INDIRECT(ADDRESS(ROWS($E$3:E152)+6,E$3,1,1,"3_TIME SUM"))=0,E152,INDIRECT(ADDRESS(ROWS($E$3:E152)+6,E$3,1,1,"3_TIME SUM")))</f>
        <v>X-Mastree</v>
      </c>
      <c r="F153" s="57" t="str">
        <f t="shared" ca="1" si="42"/>
        <v>X-Mastree : 0</v>
      </c>
      <c r="G153" s="58" t="e">
        <f ca="1">VLOOKUP($D153,INDIRECT(ADDRESS(7,5,1,1,"3_TIME SUM")):INDIRECT(ADDRESS(200,7,1,1,"3_TIME SUM")),2,FALSE)</f>
        <v>#N/A</v>
      </c>
      <c r="H153" s="58" t="e">
        <f ca="1">IF(VLOOKUP($D153,INDIRECT(ADDRESS(7,5,1,1,"3_TIME SUM")):INDIRECT(ADDRESS(200,7,1,1,"3_TIME SUM")),3,FALSE)="","PT",VLOOKUP($D153,INDIRECT(ADDRESS(7,5,1,1,"3_TIME SUM")):INDIRECT(ADDRESS(200,7,1,1,"3_TIME SUM")),3,FALSE))</f>
        <v>#N/A</v>
      </c>
      <c r="I153" s="59">
        <f ca="1">IFERROR(IF(AND($D$2="NON PRODUCTIVE TIME",$H153="NPT"),SUMIF(INDIRECT(ADDRESS(8,COLUMN('2_DATA'!$M$9),1,1,"2_DATA")):INDIRECT(ADDRESS(3000,COLUMN('2_DATA'!$M$9),1,1,"2_DATA")),$G153,INDIRECT(ADDRESS(8,COLUMN('2_DATA'!$N$9),1,1,"2_DATA")):INDIRECT(ADDRESS(3000,COLUMN('2_DATA'!$N$9),1,1,"2_DATA"))),IF($D$2="ALL ACTIVITY",SUMIF(INDIRECT(ADDRESS(9,COLUMN('2_DATA'!$M$9),1,1,"2_DATA")):INDIRECT(ADDRESS(3000,COLUMN('2_DATA'!$M$9),1,1,"2_DATA")),$G153,INDIRECT(ADDRESS(9,COLUMN('2_DATA'!$N$9),1,1,"2_DATA")):INDIRECT(ADDRESS(3000,COLUMN('2_DATA'!$N$9),1,1,"2_DATA"))),SUMIF(INDIRECT(ADDRESS(OFFSET($A$3,MATCH($D$2,$A$4:$A$16,0)-1,1,,)+1,COLUMN('2_DATA'!$M$9),1,1,"2_DATA")):INDIRECT(ADDRESS(VLOOKUP($D$2,$A$4:$B$16,2,FALSE)-1,COLUMN('2_DATA'!$M$9),1,1,"2_DATA")),$G153,INDIRECT(ADDRESS(OFFSET($A$3,MATCH($D$2,$A$4:$A$16,0)-1,1,,)+1,COLUMN('2_DATA'!$N$9),1,1,"2_DATA")):INDIRECT(ADDRESS(VLOOKUP($D$2,$A$4:$B$16,2,FALSE)-1,COLUMN('2_DATA'!$N$9),1,1,"2_DATA"))))),0)</f>
        <v>0</v>
      </c>
      <c r="J153" s="58" t="str">
        <f ca="1">IF(I153=0,"",MAX($J$3:J152)+1)</f>
        <v/>
      </c>
      <c r="L153" s="55" t="str">
        <f t="shared" ca="1" si="39"/>
        <v/>
      </c>
      <c r="M153" s="55" t="str">
        <f t="shared" ca="1" si="43"/>
        <v/>
      </c>
      <c r="N153" s="55"/>
      <c r="O153" s="55" t="str">
        <f t="shared" ca="1" si="45"/>
        <v/>
      </c>
      <c r="P153" s="55">
        <f t="shared" ca="1" si="40"/>
        <v>0</v>
      </c>
      <c r="Q153" s="55" t="str">
        <f ca="1">IFERROR(INDEX($O$4:$P$226,MATCH(ROWS($Q$3:Q152),$P$4:$P$226,0),1),"-")</f>
        <v>-</v>
      </c>
      <c r="R153" s="62" t="str">
        <f t="shared" ca="1" si="41"/>
        <v/>
      </c>
      <c r="S153" s="55" t="str">
        <f t="shared" ca="1" si="44"/>
        <v/>
      </c>
      <c r="T153" s="67" t="str">
        <f t="shared" ca="1" si="38"/>
        <v>-</v>
      </c>
      <c r="V153" s="68" t="str">
        <f t="shared" ca="1" si="46"/>
        <v/>
      </c>
      <c r="W153" s="69" t="str">
        <f t="shared" ca="1" si="47"/>
        <v/>
      </c>
      <c r="X153" s="70" t="s">
        <v>84</v>
      </c>
      <c r="Y153" s="68" t="str">
        <f t="shared" ca="1" si="51"/>
        <v/>
      </c>
      <c r="Z153" s="71" t="str">
        <f t="shared" ca="1" si="48"/>
        <v/>
      </c>
      <c r="AA153" s="72" t="str">
        <f t="shared" ca="1" si="49"/>
        <v/>
      </c>
      <c r="AB153" s="72" t="str">
        <f t="shared" ca="1" si="50"/>
        <v/>
      </c>
    </row>
    <row r="154" spans="3:28" ht="24" customHeight="1">
      <c r="D154" s="57">
        <f ca="1">INDIRECT(ADDRESS(ROWS($D$3:D153)+6,D$3,1,1,"3_TIME SUM"))</f>
        <v>0</v>
      </c>
      <c r="E154" s="81" t="str">
        <f ca="1">IF(INDIRECT(ADDRESS(ROWS($E$3:E153)+6,E$3,1,1,"3_TIME SUM"))=0,E153,INDIRECT(ADDRESS(ROWS($E$3:E153)+6,E$3,1,1,"3_TIME SUM")))</f>
        <v>X-Mastree</v>
      </c>
      <c r="F154" s="57" t="str">
        <f t="shared" ca="1" si="42"/>
        <v>X-Mastree : 0</v>
      </c>
      <c r="G154" s="58" t="e">
        <f ca="1">VLOOKUP($D154,INDIRECT(ADDRESS(7,5,1,1,"3_TIME SUM")):INDIRECT(ADDRESS(200,7,1,1,"3_TIME SUM")),2,FALSE)</f>
        <v>#N/A</v>
      </c>
      <c r="H154" s="58" t="e">
        <f ca="1">IF(VLOOKUP($D154,INDIRECT(ADDRESS(7,5,1,1,"3_TIME SUM")):INDIRECT(ADDRESS(200,7,1,1,"3_TIME SUM")),3,FALSE)="","PT",VLOOKUP($D154,INDIRECT(ADDRESS(7,5,1,1,"3_TIME SUM")):INDIRECT(ADDRESS(200,7,1,1,"3_TIME SUM")),3,FALSE))</f>
        <v>#N/A</v>
      </c>
      <c r="I154" s="59">
        <f ca="1">IFERROR(IF(AND($D$2="NON PRODUCTIVE TIME",$H154="NPT"),SUMIF(INDIRECT(ADDRESS(8,COLUMN('2_DATA'!$M$9),1,1,"2_DATA")):INDIRECT(ADDRESS(3000,COLUMN('2_DATA'!$M$9),1,1,"2_DATA")),$G154,INDIRECT(ADDRESS(8,COLUMN('2_DATA'!$N$9),1,1,"2_DATA")):INDIRECT(ADDRESS(3000,COLUMN('2_DATA'!$N$9),1,1,"2_DATA"))),IF($D$2="ALL ACTIVITY",SUMIF(INDIRECT(ADDRESS(9,COLUMN('2_DATA'!$M$9),1,1,"2_DATA")):INDIRECT(ADDRESS(3000,COLUMN('2_DATA'!$M$9),1,1,"2_DATA")),$G154,INDIRECT(ADDRESS(9,COLUMN('2_DATA'!$N$9),1,1,"2_DATA")):INDIRECT(ADDRESS(3000,COLUMN('2_DATA'!$N$9),1,1,"2_DATA"))),SUMIF(INDIRECT(ADDRESS(OFFSET($A$3,MATCH($D$2,$A$4:$A$16,0)-1,1,,)+1,COLUMN('2_DATA'!$M$9),1,1,"2_DATA")):INDIRECT(ADDRESS(VLOOKUP($D$2,$A$4:$B$16,2,FALSE)-1,COLUMN('2_DATA'!$M$9),1,1,"2_DATA")),$G154,INDIRECT(ADDRESS(OFFSET($A$3,MATCH($D$2,$A$4:$A$16,0)-1,1,,)+1,COLUMN('2_DATA'!$N$9),1,1,"2_DATA")):INDIRECT(ADDRESS(VLOOKUP($D$2,$A$4:$B$16,2,FALSE)-1,COLUMN('2_DATA'!$N$9),1,1,"2_DATA"))))),0)</f>
        <v>0</v>
      </c>
      <c r="J154" s="58" t="str">
        <f ca="1">IF(I154=0,"",MAX($J$3:J153)+1)</f>
        <v/>
      </c>
      <c r="L154" s="55" t="str">
        <f t="shared" ca="1" si="39"/>
        <v/>
      </c>
      <c r="M154" s="55" t="str">
        <f t="shared" ca="1" si="43"/>
        <v/>
      </c>
      <c r="N154" s="55"/>
      <c r="O154" s="55" t="str">
        <f t="shared" ca="1" si="45"/>
        <v/>
      </c>
      <c r="P154" s="55">
        <f t="shared" ca="1" si="40"/>
        <v>0</v>
      </c>
      <c r="Q154" s="55" t="str">
        <f ca="1">IFERROR(INDEX($O$4:$P$226,MATCH(ROWS($Q$3:Q153),$P$4:$P$226,0),1),"-")</f>
        <v>-</v>
      </c>
      <c r="R154" s="62" t="str">
        <f t="shared" ca="1" si="41"/>
        <v/>
      </c>
      <c r="S154" s="55" t="str">
        <f t="shared" ca="1" si="44"/>
        <v/>
      </c>
      <c r="T154" s="67" t="str">
        <f t="shared" ca="1" si="38"/>
        <v>-</v>
      </c>
      <c r="V154" s="68" t="str">
        <f t="shared" ca="1" si="46"/>
        <v/>
      </c>
      <c r="W154" s="69" t="str">
        <f t="shared" ca="1" si="47"/>
        <v/>
      </c>
      <c r="X154" s="70" t="s">
        <v>84</v>
      </c>
      <c r="Y154" s="68" t="str">
        <f t="shared" ca="1" si="51"/>
        <v/>
      </c>
      <c r="Z154" s="71" t="str">
        <f t="shared" ca="1" si="48"/>
        <v/>
      </c>
      <c r="AA154" s="72" t="str">
        <f t="shared" ca="1" si="49"/>
        <v/>
      </c>
      <c r="AB154" s="72" t="str">
        <f t="shared" ca="1" si="50"/>
        <v/>
      </c>
    </row>
    <row r="155" spans="3:28" ht="24" customHeight="1">
      <c r="D155" s="57">
        <f ca="1">INDIRECT(ADDRESS(ROWS($D$3:D154)+6,D$3,1,1,"3_TIME SUM"))</f>
        <v>0</v>
      </c>
      <c r="E155" s="81" t="str">
        <f ca="1">IF(INDIRECT(ADDRESS(ROWS($E$3:E154)+6,E$3,1,1,"3_TIME SUM"))=0,E154,INDIRECT(ADDRESS(ROWS($E$3:E154)+6,E$3,1,1,"3_TIME SUM")))</f>
        <v>X-Mastree</v>
      </c>
      <c r="F155" s="57" t="str">
        <f t="shared" ca="1" si="42"/>
        <v>X-Mastree : 0</v>
      </c>
      <c r="G155" s="58" t="e">
        <f ca="1">VLOOKUP($D155,INDIRECT(ADDRESS(7,5,1,1,"3_TIME SUM")):INDIRECT(ADDRESS(200,7,1,1,"3_TIME SUM")),2,FALSE)</f>
        <v>#N/A</v>
      </c>
      <c r="H155" s="58" t="e">
        <f ca="1">IF(VLOOKUP($D155,INDIRECT(ADDRESS(7,5,1,1,"3_TIME SUM")):INDIRECT(ADDRESS(200,7,1,1,"3_TIME SUM")),3,FALSE)="","PT",VLOOKUP($D155,INDIRECT(ADDRESS(7,5,1,1,"3_TIME SUM")):INDIRECT(ADDRESS(200,7,1,1,"3_TIME SUM")),3,FALSE))</f>
        <v>#N/A</v>
      </c>
      <c r="I155" s="59">
        <f ca="1">IFERROR(IF(AND($D$2="NON PRODUCTIVE TIME",$H155="NPT"),SUMIF(INDIRECT(ADDRESS(8,COLUMN('2_DATA'!$M$9),1,1,"2_DATA")):INDIRECT(ADDRESS(3000,COLUMN('2_DATA'!$M$9),1,1,"2_DATA")),$G155,INDIRECT(ADDRESS(8,COLUMN('2_DATA'!$N$9),1,1,"2_DATA")):INDIRECT(ADDRESS(3000,COLUMN('2_DATA'!$N$9),1,1,"2_DATA"))),IF($D$2="ALL ACTIVITY",SUMIF(INDIRECT(ADDRESS(9,COLUMN('2_DATA'!$M$9),1,1,"2_DATA")):INDIRECT(ADDRESS(3000,COLUMN('2_DATA'!$M$9),1,1,"2_DATA")),$G155,INDIRECT(ADDRESS(9,COLUMN('2_DATA'!$N$9),1,1,"2_DATA")):INDIRECT(ADDRESS(3000,COLUMN('2_DATA'!$N$9),1,1,"2_DATA"))),SUMIF(INDIRECT(ADDRESS(OFFSET($A$3,MATCH($D$2,$A$4:$A$16,0)-1,1,,)+1,COLUMN('2_DATA'!$M$9),1,1,"2_DATA")):INDIRECT(ADDRESS(VLOOKUP($D$2,$A$4:$B$16,2,FALSE)-1,COLUMN('2_DATA'!$M$9),1,1,"2_DATA")),$G155,INDIRECT(ADDRESS(OFFSET($A$3,MATCH($D$2,$A$4:$A$16,0)-1,1,,)+1,COLUMN('2_DATA'!$N$9),1,1,"2_DATA")):INDIRECT(ADDRESS(VLOOKUP($D$2,$A$4:$B$16,2,FALSE)-1,COLUMN('2_DATA'!$N$9),1,1,"2_DATA"))))),0)</f>
        <v>0</v>
      </c>
      <c r="J155" s="58" t="str">
        <f ca="1">IF(I155=0,"",MAX($J$3:J154)+1)</f>
        <v/>
      </c>
      <c r="L155" s="55" t="str">
        <f t="shared" ca="1" si="39"/>
        <v/>
      </c>
      <c r="M155" s="55" t="str">
        <f t="shared" ca="1" si="43"/>
        <v/>
      </c>
      <c r="N155" s="55"/>
      <c r="O155" s="55" t="str">
        <f t="shared" ca="1" si="45"/>
        <v/>
      </c>
      <c r="P155" s="55">
        <f t="shared" ca="1" si="40"/>
        <v>0</v>
      </c>
      <c r="Q155" s="55" t="str">
        <f ca="1">IFERROR(INDEX($O$4:$P$226,MATCH(ROWS($Q$3:Q154),$P$4:$P$226,0),1),"-")</f>
        <v>-</v>
      </c>
      <c r="R155" s="62" t="str">
        <f t="shared" ca="1" si="41"/>
        <v/>
      </c>
      <c r="S155" s="55" t="str">
        <f t="shared" ca="1" si="44"/>
        <v/>
      </c>
      <c r="T155" s="67" t="str">
        <f t="shared" ca="1" si="38"/>
        <v>-</v>
      </c>
      <c r="V155" s="68" t="str">
        <f t="shared" ca="1" si="46"/>
        <v/>
      </c>
      <c r="W155" s="69" t="str">
        <f t="shared" ca="1" si="47"/>
        <v/>
      </c>
      <c r="X155" s="70" t="s">
        <v>84</v>
      </c>
      <c r="Y155" s="68" t="str">
        <f t="shared" ca="1" si="51"/>
        <v/>
      </c>
      <c r="Z155" s="71" t="str">
        <f t="shared" ca="1" si="48"/>
        <v/>
      </c>
      <c r="AA155" s="72" t="str">
        <f t="shared" ca="1" si="49"/>
        <v/>
      </c>
      <c r="AB155" s="72" t="str">
        <f t="shared" ca="1" si="50"/>
        <v/>
      </c>
    </row>
    <row r="156" spans="3:28" ht="24" customHeight="1">
      <c r="D156" s="57">
        <f ca="1">INDIRECT(ADDRESS(ROWS($D$3:D155)+6,D$3,1,1,"3_TIME SUM"))</f>
        <v>0</v>
      </c>
      <c r="E156" s="81" t="str">
        <f ca="1">IF(INDIRECT(ADDRESS(ROWS($E$3:E155)+6,E$3,1,1,"3_TIME SUM"))=0,E155,INDIRECT(ADDRESS(ROWS($E$3:E155)+6,E$3,1,1,"3_TIME SUM")))</f>
        <v>X-Mastree</v>
      </c>
      <c r="F156" s="57" t="str">
        <f t="shared" ca="1" si="42"/>
        <v>X-Mastree : 0</v>
      </c>
      <c r="G156" s="58" t="e">
        <f ca="1">VLOOKUP($D156,INDIRECT(ADDRESS(7,5,1,1,"3_TIME SUM")):INDIRECT(ADDRESS(200,7,1,1,"3_TIME SUM")),2,FALSE)</f>
        <v>#N/A</v>
      </c>
      <c r="H156" s="58" t="e">
        <f ca="1">IF(VLOOKUP($D156,INDIRECT(ADDRESS(7,5,1,1,"3_TIME SUM")):INDIRECT(ADDRESS(200,7,1,1,"3_TIME SUM")),3,FALSE)="","PT",VLOOKUP($D156,INDIRECT(ADDRESS(7,5,1,1,"3_TIME SUM")):INDIRECT(ADDRESS(200,7,1,1,"3_TIME SUM")),3,FALSE))</f>
        <v>#N/A</v>
      </c>
      <c r="I156" s="59">
        <f ca="1">IFERROR(IF(AND($D$2="NON PRODUCTIVE TIME",$H156="NPT"),SUMIF(INDIRECT(ADDRESS(8,COLUMN('2_DATA'!$M$9),1,1,"2_DATA")):INDIRECT(ADDRESS(3000,COLUMN('2_DATA'!$M$9),1,1,"2_DATA")),$G156,INDIRECT(ADDRESS(8,COLUMN('2_DATA'!$N$9),1,1,"2_DATA")):INDIRECT(ADDRESS(3000,COLUMN('2_DATA'!$N$9),1,1,"2_DATA"))),IF($D$2="ALL ACTIVITY",SUMIF(INDIRECT(ADDRESS(9,COLUMN('2_DATA'!$M$9),1,1,"2_DATA")):INDIRECT(ADDRESS(3000,COLUMN('2_DATA'!$M$9),1,1,"2_DATA")),$G156,INDIRECT(ADDRESS(9,COLUMN('2_DATA'!$N$9),1,1,"2_DATA")):INDIRECT(ADDRESS(3000,COLUMN('2_DATA'!$N$9),1,1,"2_DATA"))),SUMIF(INDIRECT(ADDRESS(OFFSET($A$3,MATCH($D$2,$A$4:$A$16,0)-1,1,,)+1,COLUMN('2_DATA'!$M$9),1,1,"2_DATA")):INDIRECT(ADDRESS(VLOOKUP($D$2,$A$4:$B$16,2,FALSE)-1,COLUMN('2_DATA'!$M$9),1,1,"2_DATA")),$G156,INDIRECT(ADDRESS(OFFSET($A$3,MATCH($D$2,$A$4:$A$16,0)-1,1,,)+1,COLUMN('2_DATA'!$N$9),1,1,"2_DATA")):INDIRECT(ADDRESS(VLOOKUP($D$2,$A$4:$B$16,2,FALSE)-1,COLUMN('2_DATA'!$N$9),1,1,"2_DATA"))))),0)</f>
        <v>0</v>
      </c>
      <c r="J156" s="58" t="str">
        <f ca="1">IF(I156=0,"",MAX($J$3:J155)+1)</f>
        <v/>
      </c>
      <c r="L156" s="55" t="str">
        <f t="shared" ca="1" si="39"/>
        <v/>
      </c>
      <c r="M156" s="55" t="str">
        <f t="shared" ca="1" si="43"/>
        <v/>
      </c>
      <c r="N156" s="55"/>
      <c r="O156" s="55" t="str">
        <f t="shared" ca="1" si="45"/>
        <v/>
      </c>
      <c r="P156" s="55">
        <f t="shared" ca="1" si="40"/>
        <v>0</v>
      </c>
      <c r="Q156" s="55" t="str">
        <f ca="1">IFERROR(INDEX($O$4:$P$226,MATCH(ROWS($Q$3:Q155),$P$4:$P$226,0),1),"-")</f>
        <v>-</v>
      </c>
      <c r="R156" s="62" t="str">
        <f t="shared" ca="1" si="41"/>
        <v/>
      </c>
      <c r="S156" s="55" t="str">
        <f t="shared" ca="1" si="44"/>
        <v/>
      </c>
      <c r="T156" s="67" t="str">
        <f t="shared" ca="1" si="38"/>
        <v>-</v>
      </c>
      <c r="V156" s="68" t="str">
        <f t="shared" ca="1" si="46"/>
        <v/>
      </c>
      <c r="W156" s="69" t="str">
        <f t="shared" ca="1" si="47"/>
        <v/>
      </c>
      <c r="X156" s="70" t="s">
        <v>84</v>
      </c>
      <c r="Y156" s="68" t="str">
        <f t="shared" ca="1" si="51"/>
        <v/>
      </c>
      <c r="Z156" s="71" t="str">
        <f t="shared" ca="1" si="48"/>
        <v/>
      </c>
      <c r="AA156" s="72" t="str">
        <f t="shared" ca="1" si="49"/>
        <v/>
      </c>
      <c r="AB156" s="72" t="str">
        <f t="shared" ca="1" si="50"/>
        <v/>
      </c>
    </row>
    <row r="157" spans="3:28" ht="24" customHeight="1">
      <c r="D157" s="57">
        <f ca="1">INDIRECT(ADDRESS(ROWS($D$3:D156)+6,D$3,1,1,"3_TIME SUM"))</f>
        <v>0</v>
      </c>
      <c r="E157" s="81" t="str">
        <f ca="1">IF(INDIRECT(ADDRESS(ROWS($E$3:E156)+6,E$3,1,1,"3_TIME SUM"))=0,E156,INDIRECT(ADDRESS(ROWS($E$3:E156)+6,E$3,1,1,"3_TIME SUM")))</f>
        <v>X-Mastree</v>
      </c>
      <c r="F157" s="57" t="str">
        <f t="shared" ca="1" si="42"/>
        <v>X-Mastree : 0</v>
      </c>
      <c r="G157" s="58" t="e">
        <f ca="1">VLOOKUP($D157,INDIRECT(ADDRESS(7,5,1,1,"3_TIME SUM")):INDIRECT(ADDRESS(200,7,1,1,"3_TIME SUM")),2,FALSE)</f>
        <v>#N/A</v>
      </c>
      <c r="H157" s="58" t="e">
        <f ca="1">IF(VLOOKUP($D157,INDIRECT(ADDRESS(7,5,1,1,"3_TIME SUM")):INDIRECT(ADDRESS(200,7,1,1,"3_TIME SUM")),3,FALSE)="","PT",VLOOKUP($D157,INDIRECT(ADDRESS(7,5,1,1,"3_TIME SUM")):INDIRECT(ADDRESS(200,7,1,1,"3_TIME SUM")),3,FALSE))</f>
        <v>#N/A</v>
      </c>
      <c r="I157" s="59">
        <f ca="1">IFERROR(IF(AND($D$2="NON PRODUCTIVE TIME",$H157="NPT"),SUMIF(INDIRECT(ADDRESS(8,COLUMN('2_DATA'!$M$9),1,1,"2_DATA")):INDIRECT(ADDRESS(3000,COLUMN('2_DATA'!$M$9),1,1,"2_DATA")),$G157,INDIRECT(ADDRESS(8,COLUMN('2_DATA'!$N$9),1,1,"2_DATA")):INDIRECT(ADDRESS(3000,COLUMN('2_DATA'!$N$9),1,1,"2_DATA"))),IF($D$2="ALL ACTIVITY",SUMIF(INDIRECT(ADDRESS(9,COLUMN('2_DATA'!$M$9),1,1,"2_DATA")):INDIRECT(ADDRESS(3000,COLUMN('2_DATA'!$M$9),1,1,"2_DATA")),$G157,INDIRECT(ADDRESS(9,COLUMN('2_DATA'!$N$9),1,1,"2_DATA")):INDIRECT(ADDRESS(3000,COLUMN('2_DATA'!$N$9),1,1,"2_DATA"))),SUMIF(INDIRECT(ADDRESS(OFFSET($A$3,MATCH($D$2,$A$4:$A$16,0)-1,1,,)+1,COLUMN('2_DATA'!$M$9),1,1,"2_DATA")):INDIRECT(ADDRESS(VLOOKUP($D$2,$A$4:$B$16,2,FALSE)-1,COLUMN('2_DATA'!$M$9),1,1,"2_DATA")),$G157,INDIRECT(ADDRESS(OFFSET($A$3,MATCH($D$2,$A$4:$A$16,0)-1,1,,)+1,COLUMN('2_DATA'!$N$9),1,1,"2_DATA")):INDIRECT(ADDRESS(VLOOKUP($D$2,$A$4:$B$16,2,FALSE)-1,COLUMN('2_DATA'!$N$9),1,1,"2_DATA"))))),0)</f>
        <v>0</v>
      </c>
      <c r="J157" s="58" t="str">
        <f ca="1">IF(I157=0,"",MAX($J$3:J156)+1)</f>
        <v/>
      </c>
      <c r="L157" s="55" t="str">
        <f t="shared" ca="1" si="39"/>
        <v/>
      </c>
      <c r="M157" s="55" t="str">
        <f t="shared" ca="1" si="43"/>
        <v/>
      </c>
      <c r="N157" s="55"/>
      <c r="O157" s="55" t="str">
        <f t="shared" ca="1" si="45"/>
        <v/>
      </c>
      <c r="P157" s="55">
        <f t="shared" ca="1" si="40"/>
        <v>0</v>
      </c>
      <c r="Q157" s="55" t="str">
        <f ca="1">IFERROR(INDEX($O$4:$P$226,MATCH(ROWS($Q$3:Q156),$P$4:$P$226,0),1),"-")</f>
        <v>-</v>
      </c>
      <c r="R157" s="62" t="str">
        <f t="shared" ca="1" si="41"/>
        <v/>
      </c>
      <c r="S157" s="55" t="str">
        <f t="shared" ca="1" si="44"/>
        <v/>
      </c>
      <c r="T157" s="67" t="str">
        <f t="shared" ca="1" si="38"/>
        <v>-</v>
      </c>
      <c r="V157" s="68" t="str">
        <f t="shared" ca="1" si="46"/>
        <v/>
      </c>
      <c r="W157" s="69" t="str">
        <f t="shared" ca="1" si="47"/>
        <v/>
      </c>
      <c r="X157" s="70" t="s">
        <v>84</v>
      </c>
      <c r="Y157" s="68" t="str">
        <f t="shared" ca="1" si="51"/>
        <v/>
      </c>
      <c r="Z157" s="71" t="str">
        <f t="shared" ca="1" si="48"/>
        <v/>
      </c>
      <c r="AA157" s="72" t="str">
        <f t="shared" ca="1" si="49"/>
        <v/>
      </c>
      <c r="AB157" s="72" t="str">
        <f t="shared" ca="1" si="50"/>
        <v/>
      </c>
    </row>
    <row r="158" spans="3:28" ht="24" customHeight="1">
      <c r="D158" s="57">
        <f ca="1">INDIRECT(ADDRESS(ROWS($D$3:D157)+6,D$3,1,1,"3_TIME SUM"))</f>
        <v>0</v>
      </c>
      <c r="E158" s="81" t="str">
        <f ca="1">IF(INDIRECT(ADDRESS(ROWS($E$3:E157)+6,E$3,1,1,"3_TIME SUM"))=0,E157,INDIRECT(ADDRESS(ROWS($E$3:E157)+6,E$3,1,1,"3_TIME SUM")))</f>
        <v>X-Mastree</v>
      </c>
      <c r="F158" s="57" t="str">
        <f t="shared" ca="1" si="42"/>
        <v>X-Mastree : 0</v>
      </c>
      <c r="G158" s="58" t="e">
        <f ca="1">VLOOKUP($D158,INDIRECT(ADDRESS(7,5,1,1,"3_TIME SUM")):INDIRECT(ADDRESS(200,7,1,1,"3_TIME SUM")),2,FALSE)</f>
        <v>#N/A</v>
      </c>
      <c r="H158" s="58" t="e">
        <f ca="1">IF(VLOOKUP($D158,INDIRECT(ADDRESS(7,5,1,1,"3_TIME SUM")):INDIRECT(ADDRESS(200,7,1,1,"3_TIME SUM")),3,FALSE)="","PT",VLOOKUP($D158,INDIRECT(ADDRESS(7,5,1,1,"3_TIME SUM")):INDIRECT(ADDRESS(200,7,1,1,"3_TIME SUM")),3,FALSE))</f>
        <v>#N/A</v>
      </c>
      <c r="I158" s="59">
        <f ca="1">IFERROR(IF(AND($D$2="NON PRODUCTIVE TIME",$H158="NPT"),SUMIF(INDIRECT(ADDRESS(8,COLUMN('2_DATA'!$M$9),1,1,"2_DATA")):INDIRECT(ADDRESS(3000,COLUMN('2_DATA'!$M$9),1,1,"2_DATA")),$G158,INDIRECT(ADDRESS(8,COLUMN('2_DATA'!$N$9),1,1,"2_DATA")):INDIRECT(ADDRESS(3000,COLUMN('2_DATA'!$N$9),1,1,"2_DATA"))),IF($D$2="ALL ACTIVITY",SUMIF(INDIRECT(ADDRESS(9,COLUMN('2_DATA'!$M$9),1,1,"2_DATA")):INDIRECT(ADDRESS(3000,COLUMN('2_DATA'!$M$9),1,1,"2_DATA")),$G158,INDIRECT(ADDRESS(9,COLUMN('2_DATA'!$N$9),1,1,"2_DATA")):INDIRECT(ADDRESS(3000,COLUMN('2_DATA'!$N$9),1,1,"2_DATA"))),SUMIF(INDIRECT(ADDRESS(OFFSET($A$3,MATCH($D$2,$A$4:$A$16,0)-1,1,,)+1,COLUMN('2_DATA'!$M$9),1,1,"2_DATA")):INDIRECT(ADDRESS(VLOOKUP($D$2,$A$4:$B$16,2,FALSE)-1,COLUMN('2_DATA'!$M$9),1,1,"2_DATA")),$G158,INDIRECT(ADDRESS(OFFSET($A$3,MATCH($D$2,$A$4:$A$16,0)-1,1,,)+1,COLUMN('2_DATA'!$N$9),1,1,"2_DATA")):INDIRECT(ADDRESS(VLOOKUP($D$2,$A$4:$B$16,2,FALSE)-1,COLUMN('2_DATA'!$N$9),1,1,"2_DATA"))))),0)</f>
        <v>0</v>
      </c>
      <c r="J158" s="58" t="str">
        <f ca="1">IF(I158=0,"",MAX($J$3:J157)+1)</f>
        <v/>
      </c>
      <c r="L158" s="55" t="str">
        <f t="shared" ca="1" si="39"/>
        <v/>
      </c>
      <c r="M158" s="55" t="str">
        <f t="shared" ca="1" si="43"/>
        <v/>
      </c>
      <c r="N158" s="55"/>
      <c r="O158" s="55" t="str">
        <f t="shared" ca="1" si="45"/>
        <v/>
      </c>
      <c r="P158" s="55">
        <f t="shared" ca="1" si="40"/>
        <v>0</v>
      </c>
      <c r="Q158" s="55" t="str">
        <f ca="1">IFERROR(INDEX($O$4:$P$226,MATCH(ROWS($Q$3:Q157),$P$4:$P$226,0),1),"-")</f>
        <v>-</v>
      </c>
      <c r="R158" s="62" t="str">
        <f t="shared" ca="1" si="41"/>
        <v/>
      </c>
      <c r="S158" s="55" t="str">
        <f t="shared" ca="1" si="44"/>
        <v/>
      </c>
      <c r="T158" s="67" t="str">
        <f t="shared" ca="1" si="38"/>
        <v>-</v>
      </c>
      <c r="V158" s="68" t="str">
        <f t="shared" ca="1" si="46"/>
        <v/>
      </c>
      <c r="W158" s="69" t="str">
        <f t="shared" ca="1" si="47"/>
        <v/>
      </c>
      <c r="X158" s="70" t="s">
        <v>84</v>
      </c>
      <c r="Y158" s="68" t="str">
        <f t="shared" ca="1" si="51"/>
        <v/>
      </c>
      <c r="Z158" s="71" t="str">
        <f t="shared" ca="1" si="48"/>
        <v/>
      </c>
      <c r="AA158" s="72" t="str">
        <f t="shared" ca="1" si="49"/>
        <v/>
      </c>
      <c r="AB158" s="72" t="str">
        <f t="shared" ca="1" si="50"/>
        <v/>
      </c>
    </row>
    <row r="159" spans="3:28" ht="24" customHeight="1">
      <c r="D159" s="57">
        <f ca="1">INDIRECT(ADDRESS(ROWS($D$3:D158)+6,D$3,1,1,"3_TIME SUM"))</f>
        <v>0</v>
      </c>
      <c r="E159" s="81" t="str">
        <f ca="1">IF(INDIRECT(ADDRESS(ROWS($E$3:E158)+6,E$3,1,1,"3_TIME SUM"))=0,E158,INDIRECT(ADDRESS(ROWS($E$3:E158)+6,E$3,1,1,"3_TIME SUM")))</f>
        <v>X-Mastree</v>
      </c>
      <c r="F159" s="57" t="str">
        <f t="shared" ca="1" si="42"/>
        <v>X-Mastree : 0</v>
      </c>
      <c r="G159" s="58" t="e">
        <f ca="1">VLOOKUP($D159,INDIRECT(ADDRESS(7,5,1,1,"3_TIME SUM")):INDIRECT(ADDRESS(200,7,1,1,"3_TIME SUM")),2,FALSE)</f>
        <v>#N/A</v>
      </c>
      <c r="H159" s="58" t="e">
        <f ca="1">IF(VLOOKUP($D159,INDIRECT(ADDRESS(7,5,1,1,"3_TIME SUM")):INDIRECT(ADDRESS(200,7,1,1,"3_TIME SUM")),3,FALSE)="","PT",VLOOKUP($D159,INDIRECT(ADDRESS(7,5,1,1,"3_TIME SUM")):INDIRECT(ADDRESS(200,7,1,1,"3_TIME SUM")),3,FALSE))</f>
        <v>#N/A</v>
      </c>
      <c r="I159" s="59">
        <f ca="1">IFERROR(IF(AND($D$2="NON PRODUCTIVE TIME",$H159="NPT"),SUMIF(INDIRECT(ADDRESS(8,COLUMN('2_DATA'!$M$9),1,1,"2_DATA")):INDIRECT(ADDRESS(3000,COLUMN('2_DATA'!$M$9),1,1,"2_DATA")),$G159,INDIRECT(ADDRESS(8,COLUMN('2_DATA'!$N$9),1,1,"2_DATA")):INDIRECT(ADDRESS(3000,COLUMN('2_DATA'!$N$9),1,1,"2_DATA"))),IF($D$2="ALL ACTIVITY",SUMIF(INDIRECT(ADDRESS(9,COLUMN('2_DATA'!$M$9),1,1,"2_DATA")):INDIRECT(ADDRESS(3000,COLUMN('2_DATA'!$M$9),1,1,"2_DATA")),$G159,INDIRECT(ADDRESS(9,COLUMN('2_DATA'!$N$9),1,1,"2_DATA")):INDIRECT(ADDRESS(3000,COLUMN('2_DATA'!$N$9),1,1,"2_DATA"))),SUMIF(INDIRECT(ADDRESS(OFFSET($A$3,MATCH($D$2,$A$4:$A$16,0)-1,1,,)+1,COLUMN('2_DATA'!$M$9),1,1,"2_DATA")):INDIRECT(ADDRESS(VLOOKUP($D$2,$A$4:$B$16,2,FALSE)-1,COLUMN('2_DATA'!$M$9),1,1,"2_DATA")),$G159,INDIRECT(ADDRESS(OFFSET($A$3,MATCH($D$2,$A$4:$A$16,0)-1,1,,)+1,COLUMN('2_DATA'!$N$9),1,1,"2_DATA")):INDIRECT(ADDRESS(VLOOKUP($D$2,$A$4:$B$16,2,FALSE)-1,COLUMN('2_DATA'!$N$9),1,1,"2_DATA"))))),0)</f>
        <v>0</v>
      </c>
      <c r="J159" s="58" t="str">
        <f ca="1">IF(I159=0,"",MAX($J$3:J158)+1)</f>
        <v/>
      </c>
      <c r="L159" s="55" t="str">
        <f t="shared" ca="1" si="39"/>
        <v/>
      </c>
      <c r="M159" s="55" t="str">
        <f t="shared" ca="1" si="43"/>
        <v/>
      </c>
      <c r="N159" s="55"/>
      <c r="O159" s="55" t="str">
        <f t="shared" ca="1" si="45"/>
        <v/>
      </c>
      <c r="P159" s="55">
        <f t="shared" ca="1" si="40"/>
        <v>0</v>
      </c>
      <c r="Q159" s="55" t="str">
        <f ca="1">IFERROR(INDEX($O$4:$P$226,MATCH(ROWS($Q$3:Q158),$P$4:$P$226,0),1),"-")</f>
        <v>-</v>
      </c>
      <c r="R159" s="62" t="str">
        <f t="shared" ca="1" si="41"/>
        <v/>
      </c>
      <c r="S159" s="55" t="str">
        <f t="shared" ca="1" si="44"/>
        <v/>
      </c>
      <c r="T159" s="67" t="str">
        <f t="shared" ca="1" si="38"/>
        <v>-</v>
      </c>
      <c r="V159" s="68" t="str">
        <f t="shared" ca="1" si="46"/>
        <v/>
      </c>
      <c r="W159" s="69" t="str">
        <f t="shared" ca="1" si="47"/>
        <v/>
      </c>
      <c r="X159" s="70" t="s">
        <v>84</v>
      </c>
      <c r="Y159" s="68" t="str">
        <f t="shared" ca="1" si="51"/>
        <v/>
      </c>
      <c r="Z159" s="71" t="str">
        <f t="shared" ca="1" si="48"/>
        <v/>
      </c>
      <c r="AA159" s="72" t="str">
        <f t="shared" ca="1" si="49"/>
        <v/>
      </c>
      <c r="AB159" s="72" t="str">
        <f t="shared" ca="1" si="50"/>
        <v/>
      </c>
    </row>
    <row r="160" spans="3:28" ht="24" customHeight="1">
      <c r="D160" s="57">
        <f ca="1">INDIRECT(ADDRESS(ROWS($D$3:D159)+6,D$3,1,1,"3_TIME SUM"))</f>
        <v>0</v>
      </c>
      <c r="E160" s="81" t="str">
        <f ca="1">IF(INDIRECT(ADDRESS(ROWS($E$3:E159)+6,E$3,1,1,"3_TIME SUM"))=0,E159,INDIRECT(ADDRESS(ROWS($E$3:E159)+6,E$3,1,1,"3_TIME SUM")))</f>
        <v>X-Mastree</v>
      </c>
      <c r="F160" s="57" t="str">
        <f t="shared" ca="1" si="42"/>
        <v>X-Mastree : 0</v>
      </c>
      <c r="G160" s="58" t="e">
        <f ca="1">VLOOKUP($D160,INDIRECT(ADDRESS(7,5,1,1,"3_TIME SUM")):INDIRECT(ADDRESS(200,7,1,1,"3_TIME SUM")),2,FALSE)</f>
        <v>#N/A</v>
      </c>
      <c r="H160" s="58" t="e">
        <f ca="1">IF(VLOOKUP($D160,INDIRECT(ADDRESS(7,5,1,1,"3_TIME SUM")):INDIRECT(ADDRESS(200,7,1,1,"3_TIME SUM")),3,FALSE)="","PT",VLOOKUP($D160,INDIRECT(ADDRESS(7,5,1,1,"3_TIME SUM")):INDIRECT(ADDRESS(200,7,1,1,"3_TIME SUM")),3,FALSE))</f>
        <v>#N/A</v>
      </c>
      <c r="I160" s="59">
        <f ca="1">IFERROR(IF(AND($D$2="NON PRODUCTIVE TIME",$H160="NPT"),SUMIF(INDIRECT(ADDRESS(8,COLUMN('2_DATA'!$M$9),1,1,"2_DATA")):INDIRECT(ADDRESS(3000,COLUMN('2_DATA'!$M$9),1,1,"2_DATA")),$G160,INDIRECT(ADDRESS(8,COLUMN('2_DATA'!$N$9),1,1,"2_DATA")):INDIRECT(ADDRESS(3000,COLUMN('2_DATA'!$N$9),1,1,"2_DATA"))),IF($D$2="ALL ACTIVITY",SUMIF(INDIRECT(ADDRESS(9,COLUMN('2_DATA'!$M$9),1,1,"2_DATA")):INDIRECT(ADDRESS(3000,COLUMN('2_DATA'!$M$9),1,1,"2_DATA")),$G160,INDIRECT(ADDRESS(9,COLUMN('2_DATA'!$N$9),1,1,"2_DATA")):INDIRECT(ADDRESS(3000,COLUMN('2_DATA'!$N$9),1,1,"2_DATA"))),SUMIF(INDIRECT(ADDRESS(OFFSET($A$3,MATCH($D$2,$A$4:$A$16,0)-1,1,,)+1,COLUMN('2_DATA'!$M$9),1,1,"2_DATA")):INDIRECT(ADDRESS(VLOOKUP($D$2,$A$4:$B$16,2,FALSE)-1,COLUMN('2_DATA'!$M$9),1,1,"2_DATA")),$G160,INDIRECT(ADDRESS(OFFSET($A$3,MATCH($D$2,$A$4:$A$16,0)-1,1,,)+1,COLUMN('2_DATA'!$N$9),1,1,"2_DATA")):INDIRECT(ADDRESS(VLOOKUP($D$2,$A$4:$B$16,2,FALSE)-1,COLUMN('2_DATA'!$N$9),1,1,"2_DATA"))))),0)</f>
        <v>0</v>
      </c>
      <c r="J160" s="58" t="str">
        <f ca="1">IF(I160=0,"",MAX($J$3:J159)+1)</f>
        <v/>
      </c>
      <c r="L160" s="55" t="str">
        <f t="shared" ca="1" si="39"/>
        <v/>
      </c>
      <c r="M160" s="55" t="str">
        <f t="shared" ca="1" si="43"/>
        <v/>
      </c>
      <c r="N160" s="55"/>
      <c r="O160" s="55" t="str">
        <f t="shared" ca="1" si="45"/>
        <v/>
      </c>
      <c r="P160" s="55">
        <f t="shared" ca="1" si="40"/>
        <v>0</v>
      </c>
      <c r="Q160" s="55" t="str">
        <f ca="1">IFERROR(INDEX($O$4:$P$226,MATCH(ROWS($Q$3:Q159),$P$4:$P$226,0),1),"-")</f>
        <v>-</v>
      </c>
      <c r="R160" s="62" t="str">
        <f t="shared" ca="1" si="41"/>
        <v/>
      </c>
      <c r="S160" s="55" t="str">
        <f t="shared" ca="1" si="44"/>
        <v/>
      </c>
      <c r="T160" s="67" t="str">
        <f t="shared" ca="1" si="38"/>
        <v>-</v>
      </c>
      <c r="V160" s="68" t="str">
        <f t="shared" ca="1" si="46"/>
        <v/>
      </c>
      <c r="W160" s="69" t="str">
        <f t="shared" ca="1" si="47"/>
        <v/>
      </c>
      <c r="X160" s="70" t="s">
        <v>84</v>
      </c>
      <c r="Y160" s="68" t="str">
        <f t="shared" ca="1" si="51"/>
        <v/>
      </c>
      <c r="Z160" s="71" t="str">
        <f t="shared" ca="1" si="48"/>
        <v/>
      </c>
      <c r="AA160" s="72" t="str">
        <f t="shared" ca="1" si="49"/>
        <v/>
      </c>
      <c r="AB160" s="72" t="str">
        <f t="shared" ca="1" si="50"/>
        <v/>
      </c>
    </row>
    <row r="161" spans="4:28" ht="24" customHeight="1">
      <c r="D161" s="57">
        <f ca="1">INDIRECT(ADDRESS(ROWS($D$3:D160)+6,D$3,1,1,"3_TIME SUM"))</f>
        <v>0</v>
      </c>
      <c r="E161" s="81" t="str">
        <f ca="1">IF(INDIRECT(ADDRESS(ROWS($E$3:E160)+6,E$3,1,1,"3_TIME SUM"))=0,E160,INDIRECT(ADDRESS(ROWS($E$3:E160)+6,E$3,1,1,"3_TIME SUM")))</f>
        <v>X-Mastree</v>
      </c>
      <c r="F161" s="57" t="str">
        <f t="shared" ca="1" si="42"/>
        <v>X-Mastree : 0</v>
      </c>
      <c r="G161" s="58" t="e">
        <f ca="1">VLOOKUP($D161,INDIRECT(ADDRESS(7,5,1,1,"3_TIME SUM")):INDIRECT(ADDRESS(200,7,1,1,"3_TIME SUM")),2,FALSE)</f>
        <v>#N/A</v>
      </c>
      <c r="H161" s="58" t="e">
        <f ca="1">IF(VLOOKUP($D161,INDIRECT(ADDRESS(7,5,1,1,"3_TIME SUM")):INDIRECT(ADDRESS(200,7,1,1,"3_TIME SUM")),3,FALSE)="","PT",VLOOKUP($D161,INDIRECT(ADDRESS(7,5,1,1,"3_TIME SUM")):INDIRECT(ADDRESS(200,7,1,1,"3_TIME SUM")),3,FALSE))</f>
        <v>#N/A</v>
      </c>
      <c r="I161" s="59">
        <f ca="1">IFERROR(IF(AND($D$2="NON PRODUCTIVE TIME",$H161="NPT"),SUMIF(INDIRECT(ADDRESS(8,COLUMN('2_DATA'!$M$9),1,1,"2_DATA")):INDIRECT(ADDRESS(3000,COLUMN('2_DATA'!$M$9),1,1,"2_DATA")),$G161,INDIRECT(ADDRESS(8,COLUMN('2_DATA'!$N$9),1,1,"2_DATA")):INDIRECT(ADDRESS(3000,COLUMN('2_DATA'!$N$9),1,1,"2_DATA"))),IF($D$2="ALL ACTIVITY",SUMIF(INDIRECT(ADDRESS(9,COLUMN('2_DATA'!$M$9),1,1,"2_DATA")):INDIRECT(ADDRESS(3000,COLUMN('2_DATA'!$M$9),1,1,"2_DATA")),$G161,INDIRECT(ADDRESS(9,COLUMN('2_DATA'!$N$9),1,1,"2_DATA")):INDIRECT(ADDRESS(3000,COLUMN('2_DATA'!$N$9),1,1,"2_DATA"))),SUMIF(INDIRECT(ADDRESS(OFFSET($A$3,MATCH($D$2,$A$4:$A$16,0)-1,1,,)+1,COLUMN('2_DATA'!$M$9),1,1,"2_DATA")):INDIRECT(ADDRESS(VLOOKUP($D$2,$A$4:$B$16,2,FALSE)-1,COLUMN('2_DATA'!$M$9),1,1,"2_DATA")),$G161,INDIRECT(ADDRESS(OFFSET($A$3,MATCH($D$2,$A$4:$A$16,0)-1,1,,)+1,COLUMN('2_DATA'!$N$9),1,1,"2_DATA")):INDIRECT(ADDRESS(VLOOKUP($D$2,$A$4:$B$16,2,FALSE)-1,COLUMN('2_DATA'!$N$9),1,1,"2_DATA"))))),0)</f>
        <v>0</v>
      </c>
      <c r="J161" s="58" t="str">
        <f ca="1">IF(I161=0,"",MAX($J$3:J160)+1)</f>
        <v/>
      </c>
      <c r="L161" s="55" t="str">
        <f t="shared" ca="1" si="39"/>
        <v/>
      </c>
      <c r="M161" s="55" t="str">
        <f t="shared" ca="1" si="43"/>
        <v/>
      </c>
      <c r="N161" s="55"/>
      <c r="O161" s="55" t="str">
        <f t="shared" ca="1" si="45"/>
        <v/>
      </c>
      <c r="P161" s="55">
        <f t="shared" ca="1" si="40"/>
        <v>0</v>
      </c>
      <c r="Q161" s="55" t="str">
        <f ca="1">IFERROR(INDEX($O$4:$P$226,MATCH(ROWS($Q$3:Q160),$P$4:$P$226,0),1),"-")</f>
        <v>-</v>
      </c>
      <c r="R161" s="62" t="str">
        <f t="shared" ca="1" si="41"/>
        <v/>
      </c>
      <c r="S161" s="55" t="str">
        <f t="shared" ca="1" si="44"/>
        <v/>
      </c>
      <c r="T161" s="67" t="str">
        <f t="shared" ca="1" si="38"/>
        <v>-</v>
      </c>
      <c r="V161" s="68" t="str">
        <f t="shared" ca="1" si="46"/>
        <v/>
      </c>
      <c r="W161" s="69" t="str">
        <f t="shared" ca="1" si="47"/>
        <v/>
      </c>
      <c r="X161" s="70" t="s">
        <v>84</v>
      </c>
      <c r="Y161" s="68" t="str">
        <f t="shared" ca="1" si="51"/>
        <v/>
      </c>
      <c r="Z161" s="71" t="str">
        <f t="shared" ca="1" si="48"/>
        <v/>
      </c>
      <c r="AA161" s="72" t="str">
        <f t="shared" ca="1" si="49"/>
        <v/>
      </c>
      <c r="AB161" s="72" t="str">
        <f t="shared" ca="1" si="50"/>
        <v/>
      </c>
    </row>
    <row r="162" spans="4:28" ht="24" customHeight="1">
      <c r="D162" s="57">
        <f ca="1">INDIRECT(ADDRESS(ROWS($D$3:D161)+6,D$3,1,1,"3_TIME SUM"))</f>
        <v>0</v>
      </c>
      <c r="E162" s="81" t="str">
        <f ca="1">IF(INDIRECT(ADDRESS(ROWS($E$3:E161)+6,E$3,1,1,"3_TIME SUM"))=0,E161,INDIRECT(ADDRESS(ROWS($E$3:E161)+6,E$3,1,1,"3_TIME SUM")))</f>
        <v>X-Mastree</v>
      </c>
      <c r="F162" s="57" t="str">
        <f t="shared" ca="1" si="42"/>
        <v>X-Mastree : 0</v>
      </c>
      <c r="G162" s="58" t="e">
        <f ca="1">VLOOKUP($D162,INDIRECT(ADDRESS(7,5,1,1,"3_TIME SUM")):INDIRECT(ADDRESS(200,7,1,1,"3_TIME SUM")),2,FALSE)</f>
        <v>#N/A</v>
      </c>
      <c r="H162" s="58" t="e">
        <f ca="1">IF(VLOOKUP($D162,INDIRECT(ADDRESS(7,5,1,1,"3_TIME SUM")):INDIRECT(ADDRESS(200,7,1,1,"3_TIME SUM")),3,FALSE)="","PT",VLOOKUP($D162,INDIRECT(ADDRESS(7,5,1,1,"3_TIME SUM")):INDIRECT(ADDRESS(200,7,1,1,"3_TIME SUM")),3,FALSE))</f>
        <v>#N/A</v>
      </c>
      <c r="I162" s="59">
        <f ca="1">IFERROR(IF(AND($D$2="NON PRODUCTIVE TIME",$H162="NPT"),SUMIF(INDIRECT(ADDRESS(8,COLUMN('2_DATA'!$M$9),1,1,"2_DATA")):INDIRECT(ADDRESS(3000,COLUMN('2_DATA'!$M$9),1,1,"2_DATA")),$G162,INDIRECT(ADDRESS(8,COLUMN('2_DATA'!$N$9),1,1,"2_DATA")):INDIRECT(ADDRESS(3000,COLUMN('2_DATA'!$N$9),1,1,"2_DATA"))),IF($D$2="ALL ACTIVITY",SUMIF(INDIRECT(ADDRESS(9,COLUMN('2_DATA'!$M$9),1,1,"2_DATA")):INDIRECT(ADDRESS(3000,COLUMN('2_DATA'!$M$9),1,1,"2_DATA")),$G162,INDIRECT(ADDRESS(9,COLUMN('2_DATA'!$N$9),1,1,"2_DATA")):INDIRECT(ADDRESS(3000,COLUMN('2_DATA'!$N$9),1,1,"2_DATA"))),SUMIF(INDIRECT(ADDRESS(OFFSET($A$3,MATCH($D$2,$A$4:$A$16,0)-1,1,,)+1,COLUMN('2_DATA'!$M$9),1,1,"2_DATA")):INDIRECT(ADDRESS(VLOOKUP($D$2,$A$4:$B$16,2,FALSE)-1,COLUMN('2_DATA'!$M$9),1,1,"2_DATA")),$G162,INDIRECT(ADDRESS(OFFSET($A$3,MATCH($D$2,$A$4:$A$16,0)-1,1,,)+1,COLUMN('2_DATA'!$N$9),1,1,"2_DATA")):INDIRECT(ADDRESS(VLOOKUP($D$2,$A$4:$B$16,2,FALSE)-1,COLUMN('2_DATA'!$N$9),1,1,"2_DATA"))))),0)</f>
        <v>0</v>
      </c>
      <c r="J162" s="58" t="str">
        <f ca="1">IF(I162=0,"",MAX($J$3:J161)+1)</f>
        <v/>
      </c>
      <c r="L162" s="55" t="str">
        <f t="shared" ca="1" si="39"/>
        <v/>
      </c>
      <c r="M162" s="55" t="str">
        <f t="shared" ca="1" si="43"/>
        <v/>
      </c>
      <c r="N162" s="55"/>
      <c r="O162" s="55" t="str">
        <f t="shared" ca="1" si="45"/>
        <v/>
      </c>
      <c r="P162" s="55">
        <f t="shared" ca="1" si="40"/>
        <v>0</v>
      </c>
      <c r="Q162" s="55" t="str">
        <f ca="1">IFERROR(INDEX($O$4:$P$226,MATCH(ROWS($Q$3:Q161),$P$4:$P$226,0),1),"-")</f>
        <v>-</v>
      </c>
      <c r="R162" s="62" t="str">
        <f t="shared" ca="1" si="41"/>
        <v/>
      </c>
      <c r="S162" s="55" t="str">
        <f t="shared" ca="1" si="44"/>
        <v/>
      </c>
      <c r="T162" s="67" t="str">
        <f t="shared" ca="1" si="38"/>
        <v>-</v>
      </c>
      <c r="V162" s="68" t="str">
        <f t="shared" ca="1" si="46"/>
        <v/>
      </c>
      <c r="W162" s="69" t="str">
        <f t="shared" ca="1" si="47"/>
        <v/>
      </c>
      <c r="X162" s="70" t="s">
        <v>84</v>
      </c>
      <c r="Y162" s="68" t="str">
        <f t="shared" ca="1" si="51"/>
        <v/>
      </c>
      <c r="Z162" s="71" t="str">
        <f t="shared" ca="1" si="48"/>
        <v/>
      </c>
      <c r="AA162" s="72" t="str">
        <f t="shared" ca="1" si="49"/>
        <v/>
      </c>
      <c r="AB162" s="72" t="str">
        <f t="shared" ca="1" si="50"/>
        <v/>
      </c>
    </row>
    <row r="163" spans="4:28" ht="24" customHeight="1">
      <c r="D163" s="57">
        <f ca="1">INDIRECT(ADDRESS(ROWS($D$3:D162)+6,D$3,1,1,"3_TIME SUM"))</f>
        <v>0</v>
      </c>
      <c r="E163" s="81" t="str">
        <f ca="1">IF(INDIRECT(ADDRESS(ROWS($E$3:E162)+6,E$3,1,1,"3_TIME SUM"))=0,E162,INDIRECT(ADDRESS(ROWS($E$3:E162)+6,E$3,1,1,"3_TIME SUM")))</f>
        <v>X-Mastree</v>
      </c>
      <c r="F163" s="57" t="str">
        <f t="shared" ca="1" si="42"/>
        <v>X-Mastree : 0</v>
      </c>
      <c r="G163" s="58" t="e">
        <f ca="1">VLOOKUP($D163,INDIRECT(ADDRESS(7,5,1,1,"3_TIME SUM")):INDIRECT(ADDRESS(200,7,1,1,"3_TIME SUM")),2,FALSE)</f>
        <v>#N/A</v>
      </c>
      <c r="H163" s="58" t="e">
        <f ca="1">IF(VLOOKUP($D163,INDIRECT(ADDRESS(7,5,1,1,"3_TIME SUM")):INDIRECT(ADDRESS(200,7,1,1,"3_TIME SUM")),3,FALSE)="","PT",VLOOKUP($D163,INDIRECT(ADDRESS(7,5,1,1,"3_TIME SUM")):INDIRECT(ADDRESS(200,7,1,1,"3_TIME SUM")),3,FALSE))</f>
        <v>#N/A</v>
      </c>
      <c r="I163" s="59">
        <f ca="1">IFERROR(IF(AND($D$2="NON PRODUCTIVE TIME",$H163="NPT"),SUMIF(INDIRECT(ADDRESS(8,COLUMN('2_DATA'!$M$9),1,1,"2_DATA")):INDIRECT(ADDRESS(3000,COLUMN('2_DATA'!$M$9),1,1,"2_DATA")),$G163,INDIRECT(ADDRESS(8,COLUMN('2_DATA'!$N$9),1,1,"2_DATA")):INDIRECT(ADDRESS(3000,COLUMN('2_DATA'!$N$9),1,1,"2_DATA"))),IF($D$2="ALL ACTIVITY",SUMIF(INDIRECT(ADDRESS(9,COLUMN('2_DATA'!$M$9),1,1,"2_DATA")):INDIRECT(ADDRESS(3000,COLUMN('2_DATA'!$M$9),1,1,"2_DATA")),$G163,INDIRECT(ADDRESS(9,COLUMN('2_DATA'!$N$9),1,1,"2_DATA")):INDIRECT(ADDRESS(3000,COLUMN('2_DATA'!$N$9),1,1,"2_DATA"))),SUMIF(INDIRECT(ADDRESS(OFFSET($A$3,MATCH($D$2,$A$4:$A$16,0)-1,1,,)+1,COLUMN('2_DATA'!$M$9),1,1,"2_DATA")):INDIRECT(ADDRESS(VLOOKUP($D$2,$A$4:$B$16,2,FALSE)-1,COLUMN('2_DATA'!$M$9),1,1,"2_DATA")),$G163,INDIRECT(ADDRESS(OFFSET($A$3,MATCH($D$2,$A$4:$A$16,0)-1,1,,)+1,COLUMN('2_DATA'!$N$9),1,1,"2_DATA")):INDIRECT(ADDRESS(VLOOKUP($D$2,$A$4:$B$16,2,FALSE)-1,COLUMN('2_DATA'!$N$9),1,1,"2_DATA"))))),0)</f>
        <v>0</v>
      </c>
      <c r="J163" s="58" t="str">
        <f ca="1">IF(I163=0,"",MAX($J$3:J162)+1)</f>
        <v/>
      </c>
      <c r="L163" s="55" t="str">
        <f t="shared" ca="1" si="39"/>
        <v/>
      </c>
      <c r="M163" s="55" t="str">
        <f t="shared" ca="1" si="43"/>
        <v/>
      </c>
      <c r="N163" s="55"/>
      <c r="O163" s="55" t="str">
        <f t="shared" ca="1" si="45"/>
        <v/>
      </c>
      <c r="P163" s="55">
        <f t="shared" ca="1" si="40"/>
        <v>0</v>
      </c>
      <c r="Q163" s="55" t="str">
        <f ca="1">IFERROR(INDEX($O$4:$P$226,MATCH(ROWS($Q$3:Q162),$P$4:$P$226,0),1),"-")</f>
        <v>-</v>
      </c>
      <c r="R163" s="62" t="str">
        <f t="shared" ca="1" si="41"/>
        <v/>
      </c>
      <c r="S163" s="55" t="str">
        <f t="shared" ca="1" si="44"/>
        <v/>
      </c>
      <c r="T163" s="67" t="str">
        <f t="shared" ca="1" si="38"/>
        <v>-</v>
      </c>
      <c r="V163" s="68" t="str">
        <f t="shared" ca="1" si="46"/>
        <v/>
      </c>
      <c r="W163" s="69" t="str">
        <f t="shared" ca="1" si="47"/>
        <v/>
      </c>
      <c r="X163" s="70" t="s">
        <v>84</v>
      </c>
      <c r="Y163" s="68" t="str">
        <f t="shared" ca="1" si="51"/>
        <v/>
      </c>
      <c r="Z163" s="71" t="str">
        <f t="shared" ca="1" si="48"/>
        <v/>
      </c>
      <c r="AA163" s="72" t="str">
        <f t="shared" ca="1" si="49"/>
        <v/>
      </c>
      <c r="AB163" s="72" t="str">
        <f t="shared" ca="1" si="50"/>
        <v/>
      </c>
    </row>
    <row r="164" spans="4:28" ht="24" customHeight="1">
      <c r="D164" s="57">
        <f ca="1">INDIRECT(ADDRESS(ROWS($D$3:D163)+6,D$3,1,1,"3_TIME SUM"))</f>
        <v>0</v>
      </c>
      <c r="E164" s="81" t="str">
        <f ca="1">IF(INDIRECT(ADDRESS(ROWS($E$3:E163)+6,E$3,1,1,"3_TIME SUM"))=0,E163,INDIRECT(ADDRESS(ROWS($E$3:E163)+6,E$3,1,1,"3_TIME SUM")))</f>
        <v>X-Mastree</v>
      </c>
      <c r="F164" s="57" t="str">
        <f t="shared" ca="1" si="42"/>
        <v>X-Mastree : 0</v>
      </c>
      <c r="G164" s="58" t="e">
        <f ca="1">VLOOKUP($D164,INDIRECT(ADDRESS(7,5,1,1,"3_TIME SUM")):INDIRECT(ADDRESS(200,7,1,1,"3_TIME SUM")),2,FALSE)</f>
        <v>#N/A</v>
      </c>
      <c r="H164" s="58" t="e">
        <f ca="1">IF(VLOOKUP($D164,INDIRECT(ADDRESS(7,5,1,1,"3_TIME SUM")):INDIRECT(ADDRESS(200,7,1,1,"3_TIME SUM")),3,FALSE)="","PT",VLOOKUP($D164,INDIRECT(ADDRESS(7,5,1,1,"3_TIME SUM")):INDIRECT(ADDRESS(200,7,1,1,"3_TIME SUM")),3,FALSE))</f>
        <v>#N/A</v>
      </c>
      <c r="I164" s="59">
        <f ca="1">IFERROR(IF(AND($D$2="NON PRODUCTIVE TIME",$H164="NPT"),SUMIF(INDIRECT(ADDRESS(8,COLUMN('2_DATA'!$M$9),1,1,"2_DATA")):INDIRECT(ADDRESS(3000,COLUMN('2_DATA'!$M$9),1,1,"2_DATA")),$G164,INDIRECT(ADDRESS(8,COLUMN('2_DATA'!$N$9),1,1,"2_DATA")):INDIRECT(ADDRESS(3000,COLUMN('2_DATA'!$N$9),1,1,"2_DATA"))),IF($D$2="ALL ACTIVITY",SUMIF(INDIRECT(ADDRESS(9,COLUMN('2_DATA'!$M$9),1,1,"2_DATA")):INDIRECT(ADDRESS(3000,COLUMN('2_DATA'!$M$9),1,1,"2_DATA")),$G164,INDIRECT(ADDRESS(9,COLUMN('2_DATA'!$N$9),1,1,"2_DATA")):INDIRECT(ADDRESS(3000,COLUMN('2_DATA'!$N$9),1,1,"2_DATA"))),SUMIF(INDIRECT(ADDRESS(OFFSET($A$3,MATCH($D$2,$A$4:$A$16,0)-1,1,,)+1,COLUMN('2_DATA'!$M$9),1,1,"2_DATA")):INDIRECT(ADDRESS(VLOOKUP($D$2,$A$4:$B$16,2,FALSE)-1,COLUMN('2_DATA'!$M$9),1,1,"2_DATA")),$G164,INDIRECT(ADDRESS(OFFSET($A$3,MATCH($D$2,$A$4:$A$16,0)-1,1,,)+1,COLUMN('2_DATA'!$N$9),1,1,"2_DATA")):INDIRECT(ADDRESS(VLOOKUP($D$2,$A$4:$B$16,2,FALSE)-1,COLUMN('2_DATA'!$N$9),1,1,"2_DATA"))))),0)</f>
        <v>0</v>
      </c>
      <c r="J164" s="58" t="str">
        <f ca="1">IF(I164=0,"",MAX($J$3:J163)+1)</f>
        <v/>
      </c>
      <c r="L164" s="55" t="str">
        <f t="shared" ca="1" si="39"/>
        <v/>
      </c>
      <c r="M164" s="55" t="str">
        <f t="shared" ca="1" si="43"/>
        <v/>
      </c>
      <c r="N164" s="55"/>
      <c r="O164" s="55" t="str">
        <f t="shared" ca="1" si="45"/>
        <v/>
      </c>
      <c r="P164" s="55">
        <f t="shared" ca="1" si="40"/>
        <v>0</v>
      </c>
      <c r="Q164" s="55" t="str">
        <f ca="1">IFERROR(INDEX($O$4:$P$226,MATCH(ROWS($Q$3:Q163),$P$4:$P$226,0),1),"-")</f>
        <v>-</v>
      </c>
      <c r="R164" s="62" t="str">
        <f t="shared" ca="1" si="41"/>
        <v/>
      </c>
      <c r="S164" s="55" t="str">
        <f t="shared" ca="1" si="44"/>
        <v/>
      </c>
      <c r="T164" s="67" t="str">
        <f t="shared" ref="T164:T227" ca="1" si="52">Q133</f>
        <v>-</v>
      </c>
      <c r="V164" s="68" t="str">
        <f t="shared" ca="1" si="46"/>
        <v/>
      </c>
      <c r="W164" s="69" t="str">
        <f t="shared" ca="1" si="47"/>
        <v/>
      </c>
      <c r="X164" s="70" t="s">
        <v>84</v>
      </c>
      <c r="Y164" s="68" t="str">
        <f t="shared" ca="1" si="51"/>
        <v/>
      </c>
      <c r="Z164" s="71" t="str">
        <f t="shared" ca="1" si="48"/>
        <v/>
      </c>
      <c r="AA164" s="72" t="str">
        <f t="shared" ca="1" si="49"/>
        <v/>
      </c>
      <c r="AB164" s="72" t="str">
        <f t="shared" ca="1" si="50"/>
        <v/>
      </c>
    </row>
    <row r="165" spans="4:28" ht="24" customHeight="1">
      <c r="D165" s="57">
        <f ca="1">INDIRECT(ADDRESS(ROWS($D$3:D164)+6,D$3,1,1,"3_TIME SUM"))</f>
        <v>0</v>
      </c>
      <c r="E165" s="81" t="str">
        <f ca="1">IF(INDIRECT(ADDRESS(ROWS($E$3:E164)+6,E$3,1,1,"3_TIME SUM"))=0,E164,INDIRECT(ADDRESS(ROWS($E$3:E164)+6,E$3,1,1,"3_TIME SUM")))</f>
        <v>X-Mastree</v>
      </c>
      <c r="F165" s="57" t="str">
        <f t="shared" ca="1" si="42"/>
        <v>X-Mastree : 0</v>
      </c>
      <c r="G165" s="58" t="e">
        <f ca="1">VLOOKUP($D165,INDIRECT(ADDRESS(7,5,1,1,"3_TIME SUM")):INDIRECT(ADDRESS(200,7,1,1,"3_TIME SUM")),2,FALSE)</f>
        <v>#N/A</v>
      </c>
      <c r="H165" s="58" t="e">
        <f ca="1">IF(VLOOKUP($D165,INDIRECT(ADDRESS(7,5,1,1,"3_TIME SUM")):INDIRECT(ADDRESS(200,7,1,1,"3_TIME SUM")),3,FALSE)="","PT",VLOOKUP($D165,INDIRECT(ADDRESS(7,5,1,1,"3_TIME SUM")):INDIRECT(ADDRESS(200,7,1,1,"3_TIME SUM")),3,FALSE))</f>
        <v>#N/A</v>
      </c>
      <c r="I165" s="59">
        <f ca="1">IFERROR(IF(AND($D$2="NON PRODUCTIVE TIME",$H165="NPT"),SUMIF(INDIRECT(ADDRESS(8,COLUMN('2_DATA'!$M$9),1,1,"2_DATA")):INDIRECT(ADDRESS(3000,COLUMN('2_DATA'!$M$9),1,1,"2_DATA")),$G165,INDIRECT(ADDRESS(8,COLUMN('2_DATA'!$N$9),1,1,"2_DATA")):INDIRECT(ADDRESS(3000,COLUMN('2_DATA'!$N$9),1,1,"2_DATA"))),IF($D$2="ALL ACTIVITY",SUMIF(INDIRECT(ADDRESS(9,COLUMN('2_DATA'!$M$9),1,1,"2_DATA")):INDIRECT(ADDRESS(3000,COLUMN('2_DATA'!$M$9),1,1,"2_DATA")),$G165,INDIRECT(ADDRESS(9,COLUMN('2_DATA'!$N$9),1,1,"2_DATA")):INDIRECT(ADDRESS(3000,COLUMN('2_DATA'!$N$9),1,1,"2_DATA"))),SUMIF(INDIRECT(ADDRESS(OFFSET($A$3,MATCH($D$2,$A$4:$A$16,0)-1,1,,)+1,COLUMN('2_DATA'!$M$9),1,1,"2_DATA")):INDIRECT(ADDRESS(VLOOKUP($D$2,$A$4:$B$16,2,FALSE)-1,COLUMN('2_DATA'!$M$9),1,1,"2_DATA")),$G165,INDIRECT(ADDRESS(OFFSET($A$3,MATCH($D$2,$A$4:$A$16,0)-1,1,,)+1,COLUMN('2_DATA'!$N$9),1,1,"2_DATA")):INDIRECT(ADDRESS(VLOOKUP($D$2,$A$4:$B$16,2,FALSE)-1,COLUMN('2_DATA'!$N$9),1,1,"2_DATA"))))),0)</f>
        <v>0</v>
      </c>
      <c r="J165" s="58" t="str">
        <f ca="1">IF(I165=0,"",MAX($J$3:J164)+1)</f>
        <v/>
      </c>
      <c r="L165" s="55" t="str">
        <f t="shared" ca="1" si="39"/>
        <v/>
      </c>
      <c r="M165" s="55" t="str">
        <f t="shared" ca="1" si="43"/>
        <v/>
      </c>
      <c r="N165" s="55"/>
      <c r="O165" s="55" t="str">
        <f t="shared" ca="1" si="45"/>
        <v/>
      </c>
      <c r="P165" s="55">
        <f t="shared" ca="1" si="40"/>
        <v>0</v>
      </c>
      <c r="Q165" s="55" t="str">
        <f ca="1">IFERROR(INDEX($O$4:$P$226,MATCH(ROWS($Q$3:Q164),$P$4:$P$226,0),1),"-")</f>
        <v>-</v>
      </c>
      <c r="R165" s="62" t="str">
        <f t="shared" ca="1" si="41"/>
        <v/>
      </c>
      <c r="S165" s="55" t="str">
        <f t="shared" ca="1" si="44"/>
        <v/>
      </c>
      <c r="T165" s="67" t="str">
        <f t="shared" ca="1" si="52"/>
        <v>-</v>
      </c>
      <c r="V165" s="68" t="str">
        <f t="shared" ca="1" si="46"/>
        <v/>
      </c>
      <c r="W165" s="69" t="str">
        <f t="shared" ca="1" si="47"/>
        <v/>
      </c>
      <c r="X165" s="70" t="s">
        <v>84</v>
      </c>
      <c r="Y165" s="68" t="str">
        <f t="shared" ca="1" si="51"/>
        <v/>
      </c>
      <c r="Z165" s="71" t="str">
        <f t="shared" ca="1" si="48"/>
        <v/>
      </c>
      <c r="AA165" s="72" t="str">
        <f t="shared" ca="1" si="49"/>
        <v/>
      </c>
      <c r="AB165" s="72" t="str">
        <f t="shared" ca="1" si="50"/>
        <v/>
      </c>
    </row>
    <row r="166" spans="4:28" ht="24" customHeight="1">
      <c r="D166" s="57">
        <f ca="1">INDIRECT(ADDRESS(ROWS($D$3:D165)+6,D$3,1,1,"3_TIME SUM"))</f>
        <v>0</v>
      </c>
      <c r="E166" s="81" t="str">
        <f ca="1">IF(INDIRECT(ADDRESS(ROWS($E$3:E165)+6,E$3,1,1,"3_TIME SUM"))=0,E165,INDIRECT(ADDRESS(ROWS($E$3:E165)+6,E$3,1,1,"3_TIME SUM")))</f>
        <v>X-Mastree</v>
      </c>
      <c r="F166" s="57" t="str">
        <f t="shared" ca="1" si="42"/>
        <v>X-Mastree : 0</v>
      </c>
      <c r="G166" s="58" t="e">
        <f ca="1">VLOOKUP($D166,INDIRECT(ADDRESS(7,5,1,1,"3_TIME SUM")):INDIRECT(ADDRESS(200,7,1,1,"3_TIME SUM")),2,FALSE)</f>
        <v>#N/A</v>
      </c>
      <c r="H166" s="58" t="e">
        <f ca="1">IF(VLOOKUP($D166,INDIRECT(ADDRESS(7,5,1,1,"3_TIME SUM")):INDIRECT(ADDRESS(200,7,1,1,"3_TIME SUM")),3,FALSE)="","PT",VLOOKUP($D166,INDIRECT(ADDRESS(7,5,1,1,"3_TIME SUM")):INDIRECT(ADDRESS(200,7,1,1,"3_TIME SUM")),3,FALSE))</f>
        <v>#N/A</v>
      </c>
      <c r="I166" s="59">
        <f ca="1">IFERROR(IF(AND($D$2="NON PRODUCTIVE TIME",$H166="NPT"),SUMIF(INDIRECT(ADDRESS(8,COLUMN('2_DATA'!$M$9),1,1,"2_DATA")):INDIRECT(ADDRESS(3000,COLUMN('2_DATA'!$M$9),1,1,"2_DATA")),$G166,INDIRECT(ADDRESS(8,COLUMN('2_DATA'!$N$9),1,1,"2_DATA")):INDIRECT(ADDRESS(3000,COLUMN('2_DATA'!$N$9),1,1,"2_DATA"))),IF($D$2="ALL ACTIVITY",SUMIF(INDIRECT(ADDRESS(9,COLUMN('2_DATA'!$M$9),1,1,"2_DATA")):INDIRECT(ADDRESS(3000,COLUMN('2_DATA'!$M$9),1,1,"2_DATA")),$G166,INDIRECT(ADDRESS(9,COLUMN('2_DATA'!$N$9),1,1,"2_DATA")):INDIRECT(ADDRESS(3000,COLUMN('2_DATA'!$N$9),1,1,"2_DATA"))),SUMIF(INDIRECT(ADDRESS(OFFSET($A$3,MATCH($D$2,$A$4:$A$16,0)-1,1,,)+1,COLUMN('2_DATA'!$M$9),1,1,"2_DATA")):INDIRECT(ADDRESS(VLOOKUP($D$2,$A$4:$B$16,2,FALSE)-1,COLUMN('2_DATA'!$M$9),1,1,"2_DATA")),$G166,INDIRECT(ADDRESS(OFFSET($A$3,MATCH($D$2,$A$4:$A$16,0)-1,1,,)+1,COLUMN('2_DATA'!$N$9),1,1,"2_DATA")):INDIRECT(ADDRESS(VLOOKUP($D$2,$A$4:$B$16,2,FALSE)-1,COLUMN('2_DATA'!$N$9),1,1,"2_DATA"))))),0)</f>
        <v>0</v>
      </c>
      <c r="J166" s="58" t="str">
        <f ca="1">IF(I166=0,"",MAX($J$3:J165)+1)</f>
        <v/>
      </c>
      <c r="L166" s="55" t="str">
        <f t="shared" ca="1" si="39"/>
        <v/>
      </c>
      <c r="M166" s="55" t="str">
        <f t="shared" ca="1" si="43"/>
        <v/>
      </c>
      <c r="N166" s="55"/>
      <c r="O166" s="55" t="str">
        <f t="shared" ca="1" si="45"/>
        <v/>
      </c>
      <c r="P166" s="55">
        <f t="shared" ca="1" si="40"/>
        <v>0</v>
      </c>
      <c r="Q166" s="55" t="str">
        <f ca="1">IFERROR(INDEX($O$4:$P$226,MATCH(ROWS($Q$3:Q165),$P$4:$P$226,0),1),"-")</f>
        <v>-</v>
      </c>
      <c r="R166" s="62" t="str">
        <f t="shared" ca="1" si="41"/>
        <v/>
      </c>
      <c r="S166" s="55" t="str">
        <f t="shared" ca="1" si="44"/>
        <v/>
      </c>
      <c r="T166" s="67" t="str">
        <f t="shared" ca="1" si="52"/>
        <v>-</v>
      </c>
      <c r="V166" s="68" t="str">
        <f t="shared" ca="1" si="46"/>
        <v/>
      </c>
      <c r="W166" s="69" t="str">
        <f t="shared" ca="1" si="47"/>
        <v/>
      </c>
      <c r="X166" s="70" t="s">
        <v>84</v>
      </c>
      <c r="Y166" s="68" t="str">
        <f t="shared" ca="1" si="51"/>
        <v/>
      </c>
      <c r="Z166" s="71" t="str">
        <f t="shared" ca="1" si="48"/>
        <v/>
      </c>
      <c r="AA166" s="72" t="str">
        <f t="shared" ca="1" si="49"/>
        <v/>
      </c>
      <c r="AB166" s="72" t="str">
        <f t="shared" ca="1" si="50"/>
        <v/>
      </c>
    </row>
    <row r="167" spans="4:28" ht="24" customHeight="1">
      <c r="D167" s="57">
        <f ca="1">INDIRECT(ADDRESS(ROWS($D$3:D166)+6,D$3,1,1,"3_TIME SUM"))</f>
        <v>0</v>
      </c>
      <c r="E167" s="81" t="str">
        <f ca="1">IF(INDIRECT(ADDRESS(ROWS($E$3:E166)+6,E$3,1,1,"3_TIME SUM"))=0,E166,INDIRECT(ADDRESS(ROWS($E$3:E166)+6,E$3,1,1,"3_TIME SUM")))</f>
        <v>X-Mastree</v>
      </c>
      <c r="F167" s="57" t="str">
        <f t="shared" ca="1" si="42"/>
        <v>X-Mastree : 0</v>
      </c>
      <c r="G167" s="58" t="e">
        <f ca="1">VLOOKUP($D167,INDIRECT(ADDRESS(7,5,1,1,"3_TIME SUM")):INDIRECT(ADDRESS(200,7,1,1,"3_TIME SUM")),2,FALSE)</f>
        <v>#N/A</v>
      </c>
      <c r="H167" s="58" t="e">
        <f ca="1">IF(VLOOKUP($D167,INDIRECT(ADDRESS(7,5,1,1,"3_TIME SUM")):INDIRECT(ADDRESS(200,7,1,1,"3_TIME SUM")),3,FALSE)="","PT",VLOOKUP($D167,INDIRECT(ADDRESS(7,5,1,1,"3_TIME SUM")):INDIRECT(ADDRESS(200,7,1,1,"3_TIME SUM")),3,FALSE))</f>
        <v>#N/A</v>
      </c>
      <c r="I167" s="59">
        <f ca="1">IFERROR(IF(AND($D$2="NON PRODUCTIVE TIME",$H167="NPT"),SUMIF(INDIRECT(ADDRESS(8,COLUMN('2_DATA'!$M$9),1,1,"2_DATA")):INDIRECT(ADDRESS(3000,COLUMN('2_DATA'!$M$9),1,1,"2_DATA")),$G167,INDIRECT(ADDRESS(8,COLUMN('2_DATA'!$N$9),1,1,"2_DATA")):INDIRECT(ADDRESS(3000,COLUMN('2_DATA'!$N$9),1,1,"2_DATA"))),IF($D$2="ALL ACTIVITY",SUMIF(INDIRECT(ADDRESS(9,COLUMN('2_DATA'!$M$9),1,1,"2_DATA")):INDIRECT(ADDRESS(3000,COLUMN('2_DATA'!$M$9),1,1,"2_DATA")),$G167,INDIRECT(ADDRESS(9,COLUMN('2_DATA'!$N$9),1,1,"2_DATA")):INDIRECT(ADDRESS(3000,COLUMN('2_DATA'!$N$9),1,1,"2_DATA"))),SUMIF(INDIRECT(ADDRESS(OFFSET($A$3,MATCH($D$2,$A$4:$A$16,0)-1,1,,)+1,COLUMN('2_DATA'!$M$9),1,1,"2_DATA")):INDIRECT(ADDRESS(VLOOKUP($D$2,$A$4:$B$16,2,FALSE)-1,COLUMN('2_DATA'!$M$9),1,1,"2_DATA")),$G167,INDIRECT(ADDRESS(OFFSET($A$3,MATCH($D$2,$A$4:$A$16,0)-1,1,,)+1,COLUMN('2_DATA'!$N$9),1,1,"2_DATA")):INDIRECT(ADDRESS(VLOOKUP($D$2,$A$4:$B$16,2,FALSE)-1,COLUMN('2_DATA'!$N$9),1,1,"2_DATA"))))),0)</f>
        <v>0</v>
      </c>
      <c r="J167" s="58" t="str">
        <f ca="1">IF(I167=0,"",MAX($J$3:J166)+1)</f>
        <v/>
      </c>
      <c r="L167" s="55" t="str">
        <f t="shared" ca="1" si="39"/>
        <v/>
      </c>
      <c r="M167" s="55" t="str">
        <f t="shared" ca="1" si="43"/>
        <v/>
      </c>
      <c r="N167" s="55"/>
      <c r="O167" s="55" t="str">
        <f t="shared" ca="1" si="45"/>
        <v/>
      </c>
      <c r="P167" s="55">
        <f t="shared" ca="1" si="40"/>
        <v>0</v>
      </c>
      <c r="Q167" s="55" t="str">
        <f ca="1">IFERROR(INDEX($O$4:$P$226,MATCH(ROWS($Q$3:Q166),$P$4:$P$226,0),1),"-")</f>
        <v>-</v>
      </c>
      <c r="R167" s="62" t="str">
        <f t="shared" ca="1" si="41"/>
        <v/>
      </c>
      <c r="S167" s="55" t="str">
        <f t="shared" ca="1" si="44"/>
        <v/>
      </c>
      <c r="T167" s="67" t="str">
        <f t="shared" ca="1" si="52"/>
        <v>-</v>
      </c>
      <c r="V167" s="68" t="str">
        <f t="shared" ca="1" si="46"/>
        <v/>
      </c>
      <c r="W167" s="69" t="str">
        <f t="shared" ca="1" si="47"/>
        <v/>
      </c>
      <c r="X167" s="70" t="s">
        <v>84</v>
      </c>
      <c r="Y167" s="68" t="str">
        <f t="shared" ca="1" si="51"/>
        <v/>
      </c>
      <c r="Z167" s="71" t="str">
        <f t="shared" ca="1" si="48"/>
        <v/>
      </c>
      <c r="AA167" s="72" t="str">
        <f t="shared" ca="1" si="49"/>
        <v/>
      </c>
      <c r="AB167" s="72" t="str">
        <f t="shared" ca="1" si="50"/>
        <v/>
      </c>
    </row>
    <row r="168" spans="4:28" ht="24" customHeight="1">
      <c r="D168" s="57">
        <f ca="1">INDIRECT(ADDRESS(ROWS($D$3:D167)+6,D$3,1,1,"3_TIME SUM"))</f>
        <v>0</v>
      </c>
      <c r="E168" s="81" t="str">
        <f ca="1">IF(INDIRECT(ADDRESS(ROWS($E$3:E167)+6,E$3,1,1,"3_TIME SUM"))=0,E167,INDIRECT(ADDRESS(ROWS($E$3:E167)+6,E$3,1,1,"3_TIME SUM")))</f>
        <v>X-Mastree</v>
      </c>
      <c r="F168" s="57" t="str">
        <f t="shared" ca="1" si="42"/>
        <v>X-Mastree : 0</v>
      </c>
      <c r="G168" s="58" t="e">
        <f ca="1">VLOOKUP($D168,INDIRECT(ADDRESS(7,5,1,1,"3_TIME SUM")):INDIRECT(ADDRESS(200,7,1,1,"3_TIME SUM")),2,FALSE)</f>
        <v>#N/A</v>
      </c>
      <c r="H168" s="58" t="e">
        <f ca="1">IF(VLOOKUP($D168,INDIRECT(ADDRESS(7,5,1,1,"3_TIME SUM")):INDIRECT(ADDRESS(200,7,1,1,"3_TIME SUM")),3,FALSE)="","PT",VLOOKUP($D168,INDIRECT(ADDRESS(7,5,1,1,"3_TIME SUM")):INDIRECT(ADDRESS(200,7,1,1,"3_TIME SUM")),3,FALSE))</f>
        <v>#N/A</v>
      </c>
      <c r="I168" s="59">
        <f ca="1">IFERROR(IF(AND($D$2="NON PRODUCTIVE TIME",$H168="NPT"),SUMIF(INDIRECT(ADDRESS(8,COLUMN('2_DATA'!$M$9),1,1,"2_DATA")):INDIRECT(ADDRESS(3000,COLUMN('2_DATA'!$M$9),1,1,"2_DATA")),$G168,INDIRECT(ADDRESS(8,COLUMN('2_DATA'!$N$9),1,1,"2_DATA")):INDIRECT(ADDRESS(3000,COLUMN('2_DATA'!$N$9),1,1,"2_DATA"))),IF($D$2="ALL ACTIVITY",SUMIF(INDIRECT(ADDRESS(9,COLUMN('2_DATA'!$M$9),1,1,"2_DATA")):INDIRECT(ADDRESS(3000,COLUMN('2_DATA'!$M$9),1,1,"2_DATA")),$G168,INDIRECT(ADDRESS(9,COLUMN('2_DATA'!$N$9),1,1,"2_DATA")):INDIRECT(ADDRESS(3000,COLUMN('2_DATA'!$N$9),1,1,"2_DATA"))),SUMIF(INDIRECT(ADDRESS(OFFSET($A$3,MATCH($D$2,$A$4:$A$16,0)-1,1,,)+1,COLUMN('2_DATA'!$M$9),1,1,"2_DATA")):INDIRECT(ADDRESS(VLOOKUP($D$2,$A$4:$B$16,2,FALSE)-1,COLUMN('2_DATA'!$M$9),1,1,"2_DATA")),$G168,INDIRECT(ADDRESS(OFFSET($A$3,MATCH($D$2,$A$4:$A$16,0)-1,1,,)+1,COLUMN('2_DATA'!$N$9),1,1,"2_DATA")):INDIRECT(ADDRESS(VLOOKUP($D$2,$A$4:$B$16,2,FALSE)-1,COLUMN('2_DATA'!$N$9),1,1,"2_DATA"))))),0)</f>
        <v>0</v>
      </c>
      <c r="J168" s="58" t="str">
        <f ca="1">IF(I168=0,"",MAX($J$3:J167)+1)</f>
        <v/>
      </c>
      <c r="L168" s="55" t="str">
        <f t="shared" ca="1" si="39"/>
        <v/>
      </c>
      <c r="M168" s="55" t="str">
        <f t="shared" ca="1" si="43"/>
        <v/>
      </c>
      <c r="N168" s="55"/>
      <c r="O168" s="55" t="str">
        <f t="shared" ca="1" si="45"/>
        <v/>
      </c>
      <c r="P168" s="55">
        <f t="shared" ca="1" si="40"/>
        <v>0</v>
      </c>
      <c r="Q168" s="55" t="str">
        <f ca="1">IFERROR(INDEX($O$4:$P$226,MATCH(ROWS($Q$3:Q167),$P$4:$P$226,0),1),"-")</f>
        <v>-</v>
      </c>
      <c r="R168" s="62" t="str">
        <f t="shared" ca="1" si="41"/>
        <v/>
      </c>
      <c r="S168" s="55" t="str">
        <f t="shared" ca="1" si="44"/>
        <v/>
      </c>
      <c r="T168" s="67" t="str">
        <f t="shared" ca="1" si="52"/>
        <v>-</v>
      </c>
      <c r="V168" s="68" t="str">
        <f t="shared" ca="1" si="46"/>
        <v/>
      </c>
      <c r="W168" s="69" t="str">
        <f t="shared" ca="1" si="47"/>
        <v/>
      </c>
      <c r="X168" s="70" t="s">
        <v>84</v>
      </c>
      <c r="Y168" s="68" t="str">
        <f t="shared" ca="1" si="51"/>
        <v/>
      </c>
      <c r="Z168" s="71" t="str">
        <f t="shared" ca="1" si="48"/>
        <v/>
      </c>
      <c r="AA168" s="72" t="str">
        <f t="shared" ca="1" si="49"/>
        <v/>
      </c>
      <c r="AB168" s="72" t="str">
        <f t="shared" ca="1" si="50"/>
        <v/>
      </c>
    </row>
    <row r="169" spans="4:28" ht="24" customHeight="1">
      <c r="D169" s="57">
        <f ca="1">INDIRECT(ADDRESS(ROWS($D$3:D168)+6,D$3,1,1,"3_TIME SUM"))</f>
        <v>0</v>
      </c>
      <c r="E169" s="81" t="str">
        <f ca="1">IF(INDIRECT(ADDRESS(ROWS($E$3:E168)+6,E$3,1,1,"3_TIME SUM"))=0,E168,INDIRECT(ADDRESS(ROWS($E$3:E168)+6,E$3,1,1,"3_TIME SUM")))</f>
        <v>X-Mastree</v>
      </c>
      <c r="F169" s="57" t="str">
        <f t="shared" ca="1" si="42"/>
        <v>X-Mastree : 0</v>
      </c>
      <c r="G169" s="58" t="e">
        <f ca="1">VLOOKUP($D169,INDIRECT(ADDRESS(7,5,1,1,"3_TIME SUM")):INDIRECT(ADDRESS(200,7,1,1,"3_TIME SUM")),2,FALSE)</f>
        <v>#N/A</v>
      </c>
      <c r="H169" s="58" t="e">
        <f ca="1">IF(VLOOKUP($D169,INDIRECT(ADDRESS(7,5,1,1,"3_TIME SUM")):INDIRECT(ADDRESS(200,7,1,1,"3_TIME SUM")),3,FALSE)="","PT",VLOOKUP($D169,INDIRECT(ADDRESS(7,5,1,1,"3_TIME SUM")):INDIRECT(ADDRESS(200,7,1,1,"3_TIME SUM")),3,FALSE))</f>
        <v>#N/A</v>
      </c>
      <c r="I169" s="59">
        <f ca="1">IFERROR(IF(AND($D$2="NON PRODUCTIVE TIME",$H169="NPT"),SUMIF(INDIRECT(ADDRESS(8,COLUMN('2_DATA'!$M$9),1,1,"2_DATA")):INDIRECT(ADDRESS(3000,COLUMN('2_DATA'!$M$9),1,1,"2_DATA")),$G169,INDIRECT(ADDRESS(8,COLUMN('2_DATA'!$N$9),1,1,"2_DATA")):INDIRECT(ADDRESS(3000,COLUMN('2_DATA'!$N$9),1,1,"2_DATA"))),IF($D$2="ALL ACTIVITY",SUMIF(INDIRECT(ADDRESS(9,COLUMN('2_DATA'!$M$9),1,1,"2_DATA")):INDIRECT(ADDRESS(3000,COLUMN('2_DATA'!$M$9),1,1,"2_DATA")),$G169,INDIRECT(ADDRESS(9,COLUMN('2_DATA'!$N$9),1,1,"2_DATA")):INDIRECT(ADDRESS(3000,COLUMN('2_DATA'!$N$9),1,1,"2_DATA"))),SUMIF(INDIRECT(ADDRESS(OFFSET($A$3,MATCH($D$2,$A$4:$A$16,0)-1,1,,)+1,COLUMN('2_DATA'!$M$9),1,1,"2_DATA")):INDIRECT(ADDRESS(VLOOKUP($D$2,$A$4:$B$16,2,FALSE)-1,COLUMN('2_DATA'!$M$9),1,1,"2_DATA")),$G169,INDIRECT(ADDRESS(OFFSET($A$3,MATCH($D$2,$A$4:$A$16,0)-1,1,,)+1,COLUMN('2_DATA'!$N$9),1,1,"2_DATA")):INDIRECT(ADDRESS(VLOOKUP($D$2,$A$4:$B$16,2,FALSE)-1,COLUMN('2_DATA'!$N$9),1,1,"2_DATA"))))),0)</f>
        <v>0</v>
      </c>
      <c r="J169" s="58" t="str">
        <f ca="1">IF(I169=0,"",MAX($J$3:J168)+1)</f>
        <v/>
      </c>
      <c r="L169" s="55" t="str">
        <f t="shared" ca="1" si="39"/>
        <v/>
      </c>
      <c r="M169" s="55" t="str">
        <f t="shared" ca="1" si="43"/>
        <v/>
      </c>
      <c r="N169" s="55"/>
      <c r="O169" s="55" t="str">
        <f t="shared" ca="1" si="45"/>
        <v/>
      </c>
      <c r="P169" s="55">
        <f t="shared" ca="1" si="40"/>
        <v>0</v>
      </c>
      <c r="Q169" s="55" t="str">
        <f ca="1">IFERROR(INDEX($O$4:$P$226,MATCH(ROWS($Q$3:Q168),$P$4:$P$226,0),1),"-")</f>
        <v>-</v>
      </c>
      <c r="R169" s="62" t="str">
        <f t="shared" ca="1" si="41"/>
        <v/>
      </c>
      <c r="S169" s="55" t="str">
        <f t="shared" ca="1" si="44"/>
        <v/>
      </c>
      <c r="T169" s="67" t="str">
        <f t="shared" ca="1" si="52"/>
        <v>-</v>
      </c>
      <c r="V169" s="68" t="str">
        <f t="shared" ca="1" si="46"/>
        <v/>
      </c>
      <c r="W169" s="69" t="str">
        <f t="shared" ca="1" si="47"/>
        <v/>
      </c>
      <c r="X169" s="70" t="s">
        <v>84</v>
      </c>
      <c r="Y169" s="68" t="str">
        <f t="shared" ca="1" si="51"/>
        <v/>
      </c>
      <c r="Z169" s="71" t="str">
        <f t="shared" ca="1" si="48"/>
        <v/>
      </c>
      <c r="AA169" s="72" t="str">
        <f t="shared" ca="1" si="49"/>
        <v/>
      </c>
      <c r="AB169" s="72" t="str">
        <f t="shared" ca="1" si="50"/>
        <v/>
      </c>
    </row>
    <row r="170" spans="4:28" ht="24" customHeight="1">
      <c r="D170" s="57">
        <f ca="1">INDIRECT(ADDRESS(ROWS($D$3:D169)+6,D$3,1,1,"3_TIME SUM"))</f>
        <v>0</v>
      </c>
      <c r="E170" s="81" t="str">
        <f ca="1">IF(INDIRECT(ADDRESS(ROWS($E$3:E169)+6,E$3,1,1,"3_TIME SUM"))=0,E169,INDIRECT(ADDRESS(ROWS($E$3:E169)+6,E$3,1,1,"3_TIME SUM")))</f>
        <v>X-Mastree</v>
      </c>
      <c r="F170" s="57" t="str">
        <f t="shared" ca="1" si="42"/>
        <v>X-Mastree : 0</v>
      </c>
      <c r="G170" s="58" t="e">
        <f ca="1">VLOOKUP($D170,INDIRECT(ADDRESS(7,5,1,1,"3_TIME SUM")):INDIRECT(ADDRESS(200,7,1,1,"3_TIME SUM")),2,FALSE)</f>
        <v>#N/A</v>
      </c>
      <c r="H170" s="58" t="e">
        <f ca="1">IF(VLOOKUP($D170,INDIRECT(ADDRESS(7,5,1,1,"3_TIME SUM")):INDIRECT(ADDRESS(200,7,1,1,"3_TIME SUM")),3,FALSE)="","PT",VLOOKUP($D170,INDIRECT(ADDRESS(7,5,1,1,"3_TIME SUM")):INDIRECT(ADDRESS(200,7,1,1,"3_TIME SUM")),3,FALSE))</f>
        <v>#N/A</v>
      </c>
      <c r="I170" s="59">
        <f ca="1">IFERROR(IF(AND($D$2="NON PRODUCTIVE TIME",$H170="NPT"),SUMIF(INDIRECT(ADDRESS(8,COLUMN('2_DATA'!$M$9),1,1,"2_DATA")):INDIRECT(ADDRESS(3000,COLUMN('2_DATA'!$M$9),1,1,"2_DATA")),$G170,INDIRECT(ADDRESS(8,COLUMN('2_DATA'!$N$9),1,1,"2_DATA")):INDIRECT(ADDRESS(3000,COLUMN('2_DATA'!$N$9),1,1,"2_DATA"))),IF($D$2="ALL ACTIVITY",SUMIF(INDIRECT(ADDRESS(9,COLUMN('2_DATA'!$M$9),1,1,"2_DATA")):INDIRECT(ADDRESS(3000,COLUMN('2_DATA'!$M$9),1,1,"2_DATA")),$G170,INDIRECT(ADDRESS(9,COLUMN('2_DATA'!$N$9),1,1,"2_DATA")):INDIRECT(ADDRESS(3000,COLUMN('2_DATA'!$N$9),1,1,"2_DATA"))),SUMIF(INDIRECT(ADDRESS(OFFSET($A$3,MATCH($D$2,$A$4:$A$16,0)-1,1,,)+1,COLUMN('2_DATA'!$M$9),1,1,"2_DATA")):INDIRECT(ADDRESS(VLOOKUP($D$2,$A$4:$B$16,2,FALSE)-1,COLUMN('2_DATA'!$M$9),1,1,"2_DATA")),$G170,INDIRECT(ADDRESS(OFFSET($A$3,MATCH($D$2,$A$4:$A$16,0)-1,1,,)+1,COLUMN('2_DATA'!$N$9),1,1,"2_DATA")):INDIRECT(ADDRESS(VLOOKUP($D$2,$A$4:$B$16,2,FALSE)-1,COLUMN('2_DATA'!$N$9),1,1,"2_DATA"))))),0)</f>
        <v>0</v>
      </c>
      <c r="J170" s="58" t="str">
        <f ca="1">IF(I170=0,"",MAX($J$3:J169)+1)</f>
        <v/>
      </c>
      <c r="L170" s="55" t="str">
        <f t="shared" ca="1" si="39"/>
        <v/>
      </c>
      <c r="M170" s="55" t="str">
        <f t="shared" ca="1" si="43"/>
        <v/>
      </c>
      <c r="N170" s="55"/>
      <c r="O170" s="55" t="str">
        <f t="shared" ca="1" si="45"/>
        <v/>
      </c>
      <c r="P170" s="55">
        <f t="shared" ca="1" si="40"/>
        <v>0</v>
      </c>
      <c r="Q170" s="55" t="str">
        <f ca="1">IFERROR(INDEX($O$4:$P$226,MATCH(ROWS($Q$3:Q169),$P$4:$P$226,0),1),"-")</f>
        <v>-</v>
      </c>
      <c r="R170" s="62" t="str">
        <f t="shared" ca="1" si="41"/>
        <v/>
      </c>
      <c r="S170" s="55" t="str">
        <f t="shared" ca="1" si="44"/>
        <v/>
      </c>
      <c r="T170" s="67" t="str">
        <f t="shared" ca="1" si="52"/>
        <v>-</v>
      </c>
      <c r="V170" s="68" t="str">
        <f t="shared" ca="1" si="46"/>
        <v/>
      </c>
      <c r="W170" s="69" t="str">
        <f t="shared" ca="1" si="47"/>
        <v/>
      </c>
      <c r="X170" s="70" t="s">
        <v>84</v>
      </c>
      <c r="Y170" s="68" t="str">
        <f t="shared" ca="1" si="51"/>
        <v/>
      </c>
      <c r="Z170" s="71" t="str">
        <f t="shared" ca="1" si="48"/>
        <v/>
      </c>
      <c r="AA170" s="72" t="str">
        <f t="shared" ca="1" si="49"/>
        <v/>
      </c>
      <c r="AB170" s="72" t="str">
        <f t="shared" ca="1" si="50"/>
        <v/>
      </c>
    </row>
    <row r="171" spans="4:28" ht="24" customHeight="1">
      <c r="D171" s="57">
        <f ca="1">INDIRECT(ADDRESS(ROWS($D$3:D170)+6,D$3,1,1,"3_TIME SUM"))</f>
        <v>0</v>
      </c>
      <c r="E171" s="81" t="str">
        <f ca="1">IF(INDIRECT(ADDRESS(ROWS($E$3:E170)+6,E$3,1,1,"3_TIME SUM"))=0,E170,INDIRECT(ADDRESS(ROWS($E$3:E170)+6,E$3,1,1,"3_TIME SUM")))</f>
        <v>X-Mastree</v>
      </c>
      <c r="F171" s="57" t="str">
        <f t="shared" ca="1" si="42"/>
        <v>X-Mastree : 0</v>
      </c>
      <c r="G171" s="58" t="e">
        <f ca="1">VLOOKUP($D171,INDIRECT(ADDRESS(7,5,1,1,"3_TIME SUM")):INDIRECT(ADDRESS(200,7,1,1,"3_TIME SUM")),2,FALSE)</f>
        <v>#N/A</v>
      </c>
      <c r="H171" s="58" t="e">
        <f ca="1">IF(VLOOKUP($D171,INDIRECT(ADDRESS(7,5,1,1,"3_TIME SUM")):INDIRECT(ADDRESS(200,7,1,1,"3_TIME SUM")),3,FALSE)="","PT",VLOOKUP($D171,INDIRECT(ADDRESS(7,5,1,1,"3_TIME SUM")):INDIRECT(ADDRESS(200,7,1,1,"3_TIME SUM")),3,FALSE))</f>
        <v>#N/A</v>
      </c>
      <c r="I171" s="59">
        <f ca="1">IFERROR(IF(AND($D$2="NON PRODUCTIVE TIME",$H171="NPT"),SUMIF(INDIRECT(ADDRESS(8,COLUMN('2_DATA'!$M$9),1,1,"2_DATA")):INDIRECT(ADDRESS(3000,COLUMN('2_DATA'!$M$9),1,1,"2_DATA")),$G171,INDIRECT(ADDRESS(8,COLUMN('2_DATA'!$N$9),1,1,"2_DATA")):INDIRECT(ADDRESS(3000,COLUMN('2_DATA'!$N$9),1,1,"2_DATA"))),IF($D$2="ALL ACTIVITY",SUMIF(INDIRECT(ADDRESS(9,COLUMN('2_DATA'!$M$9),1,1,"2_DATA")):INDIRECT(ADDRESS(3000,COLUMN('2_DATA'!$M$9),1,1,"2_DATA")),$G171,INDIRECT(ADDRESS(9,COLUMN('2_DATA'!$N$9),1,1,"2_DATA")):INDIRECT(ADDRESS(3000,COLUMN('2_DATA'!$N$9),1,1,"2_DATA"))),SUMIF(INDIRECT(ADDRESS(OFFSET($A$3,MATCH($D$2,$A$4:$A$16,0)-1,1,,)+1,COLUMN('2_DATA'!$M$9),1,1,"2_DATA")):INDIRECT(ADDRESS(VLOOKUP($D$2,$A$4:$B$16,2,FALSE)-1,COLUMN('2_DATA'!$M$9),1,1,"2_DATA")),$G171,INDIRECT(ADDRESS(OFFSET($A$3,MATCH($D$2,$A$4:$A$16,0)-1,1,,)+1,COLUMN('2_DATA'!$N$9),1,1,"2_DATA")):INDIRECT(ADDRESS(VLOOKUP($D$2,$A$4:$B$16,2,FALSE)-1,COLUMN('2_DATA'!$N$9),1,1,"2_DATA"))))),0)</f>
        <v>0</v>
      </c>
      <c r="J171" s="58" t="str">
        <f ca="1">IF(I171=0,"",MAX($J$3:J170)+1)</f>
        <v/>
      </c>
      <c r="L171" s="55" t="str">
        <f t="shared" ca="1" si="39"/>
        <v/>
      </c>
      <c r="M171" s="55" t="str">
        <f t="shared" ca="1" si="43"/>
        <v/>
      </c>
      <c r="N171" s="55"/>
      <c r="O171" s="55" t="str">
        <f t="shared" ca="1" si="45"/>
        <v/>
      </c>
      <c r="P171" s="55">
        <f t="shared" ca="1" si="40"/>
        <v>0</v>
      </c>
      <c r="Q171" s="55" t="str">
        <f ca="1">IFERROR(INDEX($O$4:$P$226,MATCH(ROWS($Q$3:Q170),$P$4:$P$226,0),1),"-")</f>
        <v>-</v>
      </c>
      <c r="R171" s="62" t="str">
        <f t="shared" ca="1" si="41"/>
        <v/>
      </c>
      <c r="S171" s="55" t="str">
        <f t="shared" ca="1" si="44"/>
        <v/>
      </c>
      <c r="T171" s="67" t="str">
        <f t="shared" ca="1" si="52"/>
        <v>-</v>
      </c>
      <c r="V171" s="68" t="str">
        <f t="shared" ca="1" si="46"/>
        <v/>
      </c>
      <c r="W171" s="69" t="str">
        <f t="shared" ca="1" si="47"/>
        <v/>
      </c>
      <c r="X171" s="70" t="s">
        <v>84</v>
      </c>
      <c r="Y171" s="68" t="str">
        <f t="shared" ca="1" si="51"/>
        <v/>
      </c>
      <c r="Z171" s="71" t="str">
        <f t="shared" ca="1" si="48"/>
        <v/>
      </c>
      <c r="AA171" s="72" t="str">
        <f t="shared" ca="1" si="49"/>
        <v/>
      </c>
      <c r="AB171" s="72" t="str">
        <f t="shared" ca="1" si="50"/>
        <v/>
      </c>
    </row>
    <row r="172" spans="4:28" ht="24" customHeight="1">
      <c r="D172" s="57">
        <f ca="1">INDIRECT(ADDRESS(ROWS($D$3:D171)+6,D$3,1,1,"3_TIME SUM"))</f>
        <v>0</v>
      </c>
      <c r="E172" s="81" t="str">
        <f ca="1">IF(INDIRECT(ADDRESS(ROWS($E$3:E171)+6,E$3,1,1,"3_TIME SUM"))=0,E171,INDIRECT(ADDRESS(ROWS($E$3:E171)+6,E$3,1,1,"3_TIME SUM")))</f>
        <v>X-Mastree</v>
      </c>
      <c r="F172" s="57" t="str">
        <f t="shared" ca="1" si="42"/>
        <v>X-Mastree : 0</v>
      </c>
      <c r="G172" s="58" t="e">
        <f ca="1">VLOOKUP($D172,INDIRECT(ADDRESS(7,5,1,1,"3_TIME SUM")):INDIRECT(ADDRESS(200,7,1,1,"3_TIME SUM")),2,FALSE)</f>
        <v>#N/A</v>
      </c>
      <c r="H172" s="58" t="e">
        <f ca="1">IF(VLOOKUP($D172,INDIRECT(ADDRESS(7,5,1,1,"3_TIME SUM")):INDIRECT(ADDRESS(200,7,1,1,"3_TIME SUM")),3,FALSE)="","PT",VLOOKUP($D172,INDIRECT(ADDRESS(7,5,1,1,"3_TIME SUM")):INDIRECT(ADDRESS(200,7,1,1,"3_TIME SUM")),3,FALSE))</f>
        <v>#N/A</v>
      </c>
      <c r="I172" s="59">
        <f ca="1">IFERROR(IF(AND($D$2="NON PRODUCTIVE TIME",$H172="NPT"),SUMIF(INDIRECT(ADDRESS(8,COLUMN('2_DATA'!$M$9),1,1,"2_DATA")):INDIRECT(ADDRESS(3000,COLUMN('2_DATA'!$M$9),1,1,"2_DATA")),$G172,INDIRECT(ADDRESS(8,COLUMN('2_DATA'!$N$9),1,1,"2_DATA")):INDIRECT(ADDRESS(3000,COLUMN('2_DATA'!$N$9),1,1,"2_DATA"))),IF($D$2="ALL ACTIVITY",SUMIF(INDIRECT(ADDRESS(9,COLUMN('2_DATA'!$M$9),1,1,"2_DATA")):INDIRECT(ADDRESS(3000,COLUMN('2_DATA'!$M$9),1,1,"2_DATA")),$G172,INDIRECT(ADDRESS(9,COLUMN('2_DATA'!$N$9),1,1,"2_DATA")):INDIRECT(ADDRESS(3000,COLUMN('2_DATA'!$N$9),1,1,"2_DATA"))),SUMIF(INDIRECT(ADDRESS(OFFSET($A$3,MATCH($D$2,$A$4:$A$16,0)-1,1,,)+1,COLUMN('2_DATA'!$M$9),1,1,"2_DATA")):INDIRECT(ADDRESS(VLOOKUP($D$2,$A$4:$B$16,2,FALSE)-1,COLUMN('2_DATA'!$M$9),1,1,"2_DATA")),$G172,INDIRECT(ADDRESS(OFFSET($A$3,MATCH($D$2,$A$4:$A$16,0)-1,1,,)+1,COLUMN('2_DATA'!$N$9),1,1,"2_DATA")):INDIRECT(ADDRESS(VLOOKUP($D$2,$A$4:$B$16,2,FALSE)-1,COLUMN('2_DATA'!$N$9),1,1,"2_DATA"))))),0)</f>
        <v>0</v>
      </c>
      <c r="J172" s="58" t="str">
        <f ca="1">IF(I172=0,"",MAX($J$3:J171)+1)</f>
        <v/>
      </c>
      <c r="L172" s="55" t="str">
        <f t="shared" ca="1" si="39"/>
        <v/>
      </c>
      <c r="M172" s="55" t="str">
        <f t="shared" ca="1" si="43"/>
        <v/>
      </c>
      <c r="N172" s="55"/>
      <c r="O172" s="55" t="str">
        <f t="shared" ca="1" si="45"/>
        <v/>
      </c>
      <c r="P172" s="55">
        <f t="shared" ca="1" si="40"/>
        <v>0</v>
      </c>
      <c r="Q172" s="55" t="str">
        <f ca="1">IFERROR(INDEX($O$4:$P$226,MATCH(ROWS($Q$3:Q171),$P$4:$P$226,0),1),"-")</f>
        <v>-</v>
      </c>
      <c r="R172" s="62" t="str">
        <f t="shared" ca="1" si="41"/>
        <v/>
      </c>
      <c r="S172" s="55" t="str">
        <f t="shared" ca="1" si="44"/>
        <v/>
      </c>
      <c r="T172" s="67" t="str">
        <f t="shared" ca="1" si="52"/>
        <v>-</v>
      </c>
      <c r="V172" s="68" t="str">
        <f t="shared" ca="1" si="46"/>
        <v/>
      </c>
      <c r="W172" s="69" t="str">
        <f t="shared" ca="1" si="47"/>
        <v/>
      </c>
      <c r="X172" s="70" t="s">
        <v>84</v>
      </c>
      <c r="Y172" s="68" t="str">
        <f t="shared" ca="1" si="51"/>
        <v/>
      </c>
      <c r="Z172" s="71" t="str">
        <f t="shared" ca="1" si="48"/>
        <v/>
      </c>
      <c r="AA172" s="72" t="str">
        <f t="shared" ca="1" si="49"/>
        <v/>
      </c>
      <c r="AB172" s="72" t="str">
        <f t="shared" ca="1" si="50"/>
        <v/>
      </c>
    </row>
    <row r="173" spans="4:28" ht="24" customHeight="1">
      <c r="D173" s="57">
        <f ca="1">INDIRECT(ADDRESS(ROWS($D$3:D172)+6,D$3,1,1,"3_TIME SUM"))</f>
        <v>0</v>
      </c>
      <c r="E173" s="81" t="str">
        <f ca="1">IF(INDIRECT(ADDRESS(ROWS($E$3:E172)+6,E$3,1,1,"3_TIME SUM"))=0,E172,INDIRECT(ADDRESS(ROWS($E$3:E172)+6,E$3,1,1,"3_TIME SUM")))</f>
        <v>X-Mastree</v>
      </c>
      <c r="F173" s="57" t="str">
        <f t="shared" ca="1" si="42"/>
        <v>X-Mastree : 0</v>
      </c>
      <c r="G173" s="58" t="e">
        <f ca="1">VLOOKUP($D173,INDIRECT(ADDRESS(7,5,1,1,"3_TIME SUM")):INDIRECT(ADDRESS(200,7,1,1,"3_TIME SUM")),2,FALSE)</f>
        <v>#N/A</v>
      </c>
      <c r="H173" s="58" t="e">
        <f ca="1">IF(VLOOKUP($D173,INDIRECT(ADDRESS(7,5,1,1,"3_TIME SUM")):INDIRECT(ADDRESS(200,7,1,1,"3_TIME SUM")),3,FALSE)="","PT",VLOOKUP($D173,INDIRECT(ADDRESS(7,5,1,1,"3_TIME SUM")):INDIRECT(ADDRESS(200,7,1,1,"3_TIME SUM")),3,FALSE))</f>
        <v>#N/A</v>
      </c>
      <c r="I173" s="59">
        <f ca="1">IFERROR(IF(AND($D$2="NON PRODUCTIVE TIME",$H173="NPT"),SUMIF(INDIRECT(ADDRESS(8,COLUMN('2_DATA'!$M$9),1,1,"2_DATA")):INDIRECT(ADDRESS(3000,COLUMN('2_DATA'!$M$9),1,1,"2_DATA")),$G173,INDIRECT(ADDRESS(8,COLUMN('2_DATA'!$N$9),1,1,"2_DATA")):INDIRECT(ADDRESS(3000,COLUMN('2_DATA'!$N$9),1,1,"2_DATA"))),IF($D$2="ALL ACTIVITY",SUMIF(INDIRECT(ADDRESS(9,COLUMN('2_DATA'!$M$9),1,1,"2_DATA")):INDIRECT(ADDRESS(3000,COLUMN('2_DATA'!$M$9),1,1,"2_DATA")),$G173,INDIRECT(ADDRESS(9,COLUMN('2_DATA'!$N$9),1,1,"2_DATA")):INDIRECT(ADDRESS(3000,COLUMN('2_DATA'!$N$9),1,1,"2_DATA"))),SUMIF(INDIRECT(ADDRESS(OFFSET($A$3,MATCH($D$2,$A$4:$A$16,0)-1,1,,)+1,COLUMN('2_DATA'!$M$9),1,1,"2_DATA")):INDIRECT(ADDRESS(VLOOKUP($D$2,$A$4:$B$16,2,FALSE)-1,COLUMN('2_DATA'!$M$9),1,1,"2_DATA")),$G173,INDIRECT(ADDRESS(OFFSET($A$3,MATCH($D$2,$A$4:$A$16,0)-1,1,,)+1,COLUMN('2_DATA'!$N$9),1,1,"2_DATA")):INDIRECT(ADDRESS(VLOOKUP($D$2,$A$4:$B$16,2,FALSE)-1,COLUMN('2_DATA'!$N$9),1,1,"2_DATA"))))),0)</f>
        <v>0</v>
      </c>
      <c r="J173" s="58" t="str">
        <f ca="1">IF(I173=0,"",MAX($J$3:J172)+1)</f>
        <v/>
      </c>
      <c r="L173" s="55" t="str">
        <f t="shared" ca="1" si="39"/>
        <v/>
      </c>
      <c r="M173" s="55" t="str">
        <f t="shared" ca="1" si="43"/>
        <v/>
      </c>
      <c r="N173" s="55"/>
      <c r="O173" s="55" t="str">
        <f t="shared" ca="1" si="45"/>
        <v/>
      </c>
      <c r="P173" s="55">
        <f t="shared" ca="1" si="40"/>
        <v>0</v>
      </c>
      <c r="Q173" s="55" t="str">
        <f ca="1">IFERROR(INDEX($O$4:$P$226,MATCH(ROWS($Q$3:Q172),$P$4:$P$226,0),1),"-")</f>
        <v>-</v>
      </c>
      <c r="R173" s="62" t="str">
        <f t="shared" ca="1" si="41"/>
        <v/>
      </c>
      <c r="S173" s="55" t="str">
        <f t="shared" ca="1" si="44"/>
        <v/>
      </c>
      <c r="T173" s="67" t="str">
        <f t="shared" ca="1" si="52"/>
        <v>-</v>
      </c>
      <c r="V173" s="68" t="str">
        <f t="shared" ca="1" si="46"/>
        <v/>
      </c>
      <c r="W173" s="69" t="str">
        <f t="shared" ca="1" si="47"/>
        <v/>
      </c>
      <c r="X173" s="70" t="s">
        <v>84</v>
      </c>
      <c r="Y173" s="68" t="str">
        <f t="shared" ca="1" si="51"/>
        <v/>
      </c>
      <c r="Z173" s="71" t="str">
        <f t="shared" ca="1" si="48"/>
        <v/>
      </c>
      <c r="AA173" s="72" t="str">
        <f t="shared" ca="1" si="49"/>
        <v/>
      </c>
      <c r="AB173" s="72" t="str">
        <f t="shared" ca="1" si="50"/>
        <v/>
      </c>
    </row>
    <row r="174" spans="4:28" ht="24" customHeight="1">
      <c r="D174" s="57">
        <f ca="1">INDIRECT(ADDRESS(ROWS($D$3:D173)+6,D$3,1,1,"3_TIME SUM"))</f>
        <v>0</v>
      </c>
      <c r="E174" s="81" t="str">
        <f ca="1">IF(INDIRECT(ADDRESS(ROWS($E$3:E173)+6,E$3,1,1,"3_TIME SUM"))=0,E173,INDIRECT(ADDRESS(ROWS($E$3:E173)+6,E$3,1,1,"3_TIME SUM")))</f>
        <v>X-Mastree</v>
      </c>
      <c r="F174" s="57" t="str">
        <f t="shared" ca="1" si="42"/>
        <v>X-Mastree : 0</v>
      </c>
      <c r="G174" s="58" t="e">
        <f ca="1">VLOOKUP($D174,INDIRECT(ADDRESS(7,5,1,1,"3_TIME SUM")):INDIRECT(ADDRESS(200,7,1,1,"3_TIME SUM")),2,FALSE)</f>
        <v>#N/A</v>
      </c>
      <c r="H174" s="58" t="e">
        <f ca="1">IF(VLOOKUP($D174,INDIRECT(ADDRESS(7,5,1,1,"3_TIME SUM")):INDIRECT(ADDRESS(200,7,1,1,"3_TIME SUM")),3,FALSE)="","PT",VLOOKUP($D174,INDIRECT(ADDRESS(7,5,1,1,"3_TIME SUM")):INDIRECT(ADDRESS(200,7,1,1,"3_TIME SUM")),3,FALSE))</f>
        <v>#N/A</v>
      </c>
      <c r="I174" s="59">
        <f ca="1">IFERROR(IF(AND($D$2="NON PRODUCTIVE TIME",$H174="NPT"),SUMIF(INDIRECT(ADDRESS(8,COLUMN('2_DATA'!$M$9),1,1,"2_DATA")):INDIRECT(ADDRESS(3000,COLUMN('2_DATA'!$M$9),1,1,"2_DATA")),$G174,INDIRECT(ADDRESS(8,COLUMN('2_DATA'!$N$9),1,1,"2_DATA")):INDIRECT(ADDRESS(3000,COLUMN('2_DATA'!$N$9),1,1,"2_DATA"))),IF($D$2="ALL ACTIVITY",SUMIF(INDIRECT(ADDRESS(9,COLUMN('2_DATA'!$M$9),1,1,"2_DATA")):INDIRECT(ADDRESS(3000,COLUMN('2_DATA'!$M$9),1,1,"2_DATA")),$G174,INDIRECT(ADDRESS(9,COLUMN('2_DATA'!$N$9),1,1,"2_DATA")):INDIRECT(ADDRESS(3000,COLUMN('2_DATA'!$N$9),1,1,"2_DATA"))),SUMIF(INDIRECT(ADDRESS(OFFSET($A$3,MATCH($D$2,$A$4:$A$16,0)-1,1,,)+1,COLUMN('2_DATA'!$M$9),1,1,"2_DATA")):INDIRECT(ADDRESS(VLOOKUP($D$2,$A$4:$B$16,2,FALSE)-1,COLUMN('2_DATA'!$M$9),1,1,"2_DATA")),$G174,INDIRECT(ADDRESS(OFFSET($A$3,MATCH($D$2,$A$4:$A$16,0)-1,1,,)+1,COLUMN('2_DATA'!$N$9),1,1,"2_DATA")):INDIRECT(ADDRESS(VLOOKUP($D$2,$A$4:$B$16,2,FALSE)-1,COLUMN('2_DATA'!$N$9),1,1,"2_DATA"))))),0)</f>
        <v>0</v>
      </c>
      <c r="J174" s="58" t="str">
        <f ca="1">IF(I174=0,"",MAX($J$3:J173)+1)</f>
        <v/>
      </c>
      <c r="L174" s="55" t="str">
        <f t="shared" ca="1" si="39"/>
        <v/>
      </c>
      <c r="M174" s="55" t="str">
        <f t="shared" ca="1" si="43"/>
        <v/>
      </c>
      <c r="N174" s="55"/>
      <c r="O174" s="55" t="str">
        <f t="shared" ca="1" si="45"/>
        <v/>
      </c>
      <c r="P174" s="55">
        <f t="shared" ca="1" si="40"/>
        <v>0</v>
      </c>
      <c r="Q174" s="55" t="str">
        <f ca="1">IFERROR(INDEX($O$4:$P$226,MATCH(ROWS($Q$3:Q173),$P$4:$P$226,0),1),"-")</f>
        <v>-</v>
      </c>
      <c r="R174" s="62" t="str">
        <f t="shared" ca="1" si="41"/>
        <v/>
      </c>
      <c r="S174" s="55" t="str">
        <f t="shared" ca="1" si="44"/>
        <v/>
      </c>
      <c r="T174" s="67" t="str">
        <f t="shared" ca="1" si="52"/>
        <v>-</v>
      </c>
      <c r="V174" s="68" t="str">
        <f t="shared" ca="1" si="46"/>
        <v/>
      </c>
      <c r="W174" s="69" t="str">
        <f t="shared" ca="1" si="47"/>
        <v/>
      </c>
      <c r="X174" s="70" t="s">
        <v>84</v>
      </c>
      <c r="Y174" s="68" t="str">
        <f t="shared" ca="1" si="51"/>
        <v/>
      </c>
      <c r="Z174" s="71" t="str">
        <f t="shared" ca="1" si="48"/>
        <v/>
      </c>
      <c r="AA174" s="72" t="str">
        <f t="shared" ca="1" si="49"/>
        <v/>
      </c>
      <c r="AB174" s="72" t="str">
        <f t="shared" ca="1" si="50"/>
        <v/>
      </c>
    </row>
    <row r="175" spans="4:28" ht="24" customHeight="1">
      <c r="D175" s="57">
        <f ca="1">INDIRECT(ADDRESS(ROWS($D$3:D174)+6,D$3,1,1,"3_TIME SUM"))</f>
        <v>0</v>
      </c>
      <c r="E175" s="81" t="str">
        <f ca="1">IF(INDIRECT(ADDRESS(ROWS($E$3:E174)+6,E$3,1,1,"3_TIME SUM"))=0,E174,INDIRECT(ADDRESS(ROWS($E$3:E174)+6,E$3,1,1,"3_TIME SUM")))</f>
        <v>X-Mastree</v>
      </c>
      <c r="F175" s="57" t="str">
        <f t="shared" ca="1" si="42"/>
        <v>X-Mastree : 0</v>
      </c>
      <c r="G175" s="58" t="e">
        <f ca="1">VLOOKUP($D175,INDIRECT(ADDRESS(7,5,1,1,"3_TIME SUM")):INDIRECT(ADDRESS(200,7,1,1,"3_TIME SUM")),2,FALSE)</f>
        <v>#N/A</v>
      </c>
      <c r="H175" s="58" t="e">
        <f ca="1">IF(VLOOKUP($D175,INDIRECT(ADDRESS(7,5,1,1,"3_TIME SUM")):INDIRECT(ADDRESS(200,7,1,1,"3_TIME SUM")),3,FALSE)="","PT",VLOOKUP($D175,INDIRECT(ADDRESS(7,5,1,1,"3_TIME SUM")):INDIRECT(ADDRESS(200,7,1,1,"3_TIME SUM")),3,FALSE))</f>
        <v>#N/A</v>
      </c>
      <c r="I175" s="59">
        <f ca="1">IFERROR(IF(AND($D$2="NON PRODUCTIVE TIME",$H175="NPT"),SUMIF(INDIRECT(ADDRESS(8,COLUMN('2_DATA'!$M$9),1,1,"2_DATA")):INDIRECT(ADDRESS(3000,COLUMN('2_DATA'!$M$9),1,1,"2_DATA")),$G175,INDIRECT(ADDRESS(8,COLUMN('2_DATA'!$N$9),1,1,"2_DATA")):INDIRECT(ADDRESS(3000,COLUMN('2_DATA'!$N$9),1,1,"2_DATA"))),IF($D$2="ALL ACTIVITY",SUMIF(INDIRECT(ADDRESS(9,COLUMN('2_DATA'!$M$9),1,1,"2_DATA")):INDIRECT(ADDRESS(3000,COLUMN('2_DATA'!$M$9),1,1,"2_DATA")),$G175,INDIRECT(ADDRESS(9,COLUMN('2_DATA'!$N$9),1,1,"2_DATA")):INDIRECT(ADDRESS(3000,COLUMN('2_DATA'!$N$9),1,1,"2_DATA"))),SUMIF(INDIRECT(ADDRESS(OFFSET($A$3,MATCH($D$2,$A$4:$A$16,0)-1,1,,)+1,COLUMN('2_DATA'!$M$9),1,1,"2_DATA")):INDIRECT(ADDRESS(VLOOKUP($D$2,$A$4:$B$16,2,FALSE)-1,COLUMN('2_DATA'!$M$9),1,1,"2_DATA")),$G175,INDIRECT(ADDRESS(OFFSET($A$3,MATCH($D$2,$A$4:$A$16,0)-1,1,,)+1,COLUMN('2_DATA'!$N$9),1,1,"2_DATA")):INDIRECT(ADDRESS(VLOOKUP($D$2,$A$4:$B$16,2,FALSE)-1,COLUMN('2_DATA'!$N$9),1,1,"2_DATA"))))),0)</f>
        <v>0</v>
      </c>
      <c r="J175" s="58" t="str">
        <f ca="1">IF(I175=0,"",MAX($J$3:J174)+1)</f>
        <v/>
      </c>
      <c r="L175" s="55" t="str">
        <f t="shared" ca="1" si="39"/>
        <v/>
      </c>
      <c r="M175" s="55" t="str">
        <f t="shared" ca="1" si="43"/>
        <v/>
      </c>
      <c r="N175" s="55"/>
      <c r="O175" s="55" t="str">
        <f t="shared" ca="1" si="45"/>
        <v/>
      </c>
      <c r="P175" s="55">
        <f t="shared" ca="1" si="40"/>
        <v>0</v>
      </c>
      <c r="Q175" s="55" t="str">
        <f ca="1">IFERROR(INDEX($O$4:$P$226,MATCH(ROWS($Q$3:Q174),$P$4:$P$226,0),1),"-")</f>
        <v>-</v>
      </c>
      <c r="R175" s="62" t="str">
        <f t="shared" ca="1" si="41"/>
        <v/>
      </c>
      <c r="S175" s="55" t="str">
        <f t="shared" ca="1" si="44"/>
        <v/>
      </c>
      <c r="T175" s="67" t="str">
        <f t="shared" ca="1" si="52"/>
        <v>-</v>
      </c>
      <c r="V175" s="68" t="str">
        <f t="shared" ca="1" si="46"/>
        <v/>
      </c>
      <c r="W175" s="69" t="str">
        <f t="shared" ca="1" si="47"/>
        <v/>
      </c>
      <c r="X175" s="70" t="s">
        <v>84</v>
      </c>
      <c r="Y175" s="68" t="str">
        <f t="shared" ca="1" si="51"/>
        <v/>
      </c>
      <c r="Z175" s="71" t="str">
        <f t="shared" ca="1" si="48"/>
        <v/>
      </c>
      <c r="AA175" s="72" t="str">
        <f t="shared" ca="1" si="49"/>
        <v/>
      </c>
      <c r="AB175" s="72" t="str">
        <f t="shared" ca="1" si="50"/>
        <v/>
      </c>
    </row>
    <row r="176" spans="4:28" ht="24" customHeight="1">
      <c r="D176" s="57">
        <f ca="1">INDIRECT(ADDRESS(ROWS($D$3:D175)+6,D$3,1,1,"3_TIME SUM"))</f>
        <v>0</v>
      </c>
      <c r="E176" s="81" t="str">
        <f ca="1">IF(INDIRECT(ADDRESS(ROWS($E$3:E175)+6,E$3,1,1,"3_TIME SUM"))=0,E175,INDIRECT(ADDRESS(ROWS($E$3:E175)+6,E$3,1,1,"3_TIME SUM")))</f>
        <v>X-Mastree</v>
      </c>
      <c r="F176" s="57" t="str">
        <f t="shared" ca="1" si="42"/>
        <v>X-Mastree : 0</v>
      </c>
      <c r="G176" s="58" t="e">
        <f ca="1">VLOOKUP($D176,INDIRECT(ADDRESS(7,5,1,1,"3_TIME SUM")):INDIRECT(ADDRESS(200,7,1,1,"3_TIME SUM")),2,FALSE)</f>
        <v>#N/A</v>
      </c>
      <c r="H176" s="58" t="e">
        <f ca="1">IF(VLOOKUP($D176,INDIRECT(ADDRESS(7,5,1,1,"3_TIME SUM")):INDIRECT(ADDRESS(200,7,1,1,"3_TIME SUM")),3,FALSE)="","PT",VLOOKUP($D176,INDIRECT(ADDRESS(7,5,1,1,"3_TIME SUM")):INDIRECT(ADDRESS(200,7,1,1,"3_TIME SUM")),3,FALSE))</f>
        <v>#N/A</v>
      </c>
      <c r="I176" s="59">
        <f ca="1">IFERROR(IF(AND($D$2="NON PRODUCTIVE TIME",$H176="NPT"),SUMIF(INDIRECT(ADDRESS(8,COLUMN('2_DATA'!$M$9),1,1,"2_DATA")):INDIRECT(ADDRESS(3000,COLUMN('2_DATA'!$M$9),1,1,"2_DATA")),$G176,INDIRECT(ADDRESS(8,COLUMN('2_DATA'!$N$9),1,1,"2_DATA")):INDIRECT(ADDRESS(3000,COLUMN('2_DATA'!$N$9),1,1,"2_DATA"))),IF($D$2="ALL ACTIVITY",SUMIF(INDIRECT(ADDRESS(9,COLUMN('2_DATA'!$M$9),1,1,"2_DATA")):INDIRECT(ADDRESS(3000,COLUMN('2_DATA'!$M$9),1,1,"2_DATA")),$G176,INDIRECT(ADDRESS(9,COLUMN('2_DATA'!$N$9),1,1,"2_DATA")):INDIRECT(ADDRESS(3000,COLUMN('2_DATA'!$N$9),1,1,"2_DATA"))),SUMIF(INDIRECT(ADDRESS(OFFSET($A$3,MATCH($D$2,$A$4:$A$16,0)-1,1,,)+1,COLUMN('2_DATA'!$M$9),1,1,"2_DATA")):INDIRECT(ADDRESS(VLOOKUP($D$2,$A$4:$B$16,2,FALSE)-1,COLUMN('2_DATA'!$M$9),1,1,"2_DATA")),$G176,INDIRECT(ADDRESS(OFFSET($A$3,MATCH($D$2,$A$4:$A$16,0)-1,1,,)+1,COLUMN('2_DATA'!$N$9),1,1,"2_DATA")):INDIRECT(ADDRESS(VLOOKUP($D$2,$A$4:$B$16,2,FALSE)-1,COLUMN('2_DATA'!$N$9),1,1,"2_DATA"))))),0)</f>
        <v>0</v>
      </c>
      <c r="J176" s="58" t="str">
        <f ca="1">IF(I176=0,"",MAX($J$3:J175)+1)</f>
        <v/>
      </c>
      <c r="L176" s="55" t="str">
        <f t="shared" ca="1" si="39"/>
        <v/>
      </c>
      <c r="M176" s="55" t="str">
        <f t="shared" ca="1" si="43"/>
        <v/>
      </c>
      <c r="N176" s="55"/>
      <c r="O176" s="55" t="str">
        <f t="shared" ca="1" si="45"/>
        <v/>
      </c>
      <c r="P176" s="55">
        <f t="shared" ca="1" si="40"/>
        <v>0</v>
      </c>
      <c r="Q176" s="55" t="str">
        <f ca="1">IFERROR(INDEX($O$4:$P$226,MATCH(ROWS($Q$3:Q175),$P$4:$P$226,0),1),"-")</f>
        <v>-</v>
      </c>
      <c r="R176" s="62" t="str">
        <f t="shared" ca="1" si="41"/>
        <v/>
      </c>
      <c r="S176" s="55" t="str">
        <f t="shared" ca="1" si="44"/>
        <v/>
      </c>
      <c r="T176" s="67" t="str">
        <f t="shared" ca="1" si="52"/>
        <v>-</v>
      </c>
      <c r="V176" s="68" t="str">
        <f t="shared" ca="1" si="46"/>
        <v/>
      </c>
      <c r="W176" s="69" t="str">
        <f t="shared" ca="1" si="47"/>
        <v/>
      </c>
      <c r="X176" s="70" t="s">
        <v>84</v>
      </c>
      <c r="Y176" s="68" t="str">
        <f t="shared" ca="1" si="51"/>
        <v/>
      </c>
      <c r="Z176" s="71" t="str">
        <f t="shared" ca="1" si="48"/>
        <v/>
      </c>
      <c r="AA176" s="72" t="str">
        <f t="shared" ca="1" si="49"/>
        <v/>
      </c>
      <c r="AB176" s="72" t="str">
        <f t="shared" ca="1" si="50"/>
        <v/>
      </c>
    </row>
    <row r="177" spans="4:28" ht="24" customHeight="1">
      <c r="D177" s="57">
        <f ca="1">INDIRECT(ADDRESS(ROWS($D$3:D176)+6,D$3,1,1,"3_TIME SUM"))</f>
        <v>0</v>
      </c>
      <c r="E177" s="81" t="str">
        <f ca="1">IF(INDIRECT(ADDRESS(ROWS($E$3:E176)+6,E$3,1,1,"3_TIME SUM"))=0,E176,INDIRECT(ADDRESS(ROWS($E$3:E176)+6,E$3,1,1,"3_TIME SUM")))</f>
        <v>X-Mastree</v>
      </c>
      <c r="F177" s="57" t="str">
        <f t="shared" ca="1" si="42"/>
        <v>X-Mastree : 0</v>
      </c>
      <c r="G177" s="58" t="e">
        <f ca="1">VLOOKUP($D177,INDIRECT(ADDRESS(7,5,1,1,"3_TIME SUM")):INDIRECT(ADDRESS(200,7,1,1,"3_TIME SUM")),2,FALSE)</f>
        <v>#N/A</v>
      </c>
      <c r="H177" s="58" t="e">
        <f ca="1">IF(VLOOKUP($D177,INDIRECT(ADDRESS(7,5,1,1,"3_TIME SUM")):INDIRECT(ADDRESS(200,7,1,1,"3_TIME SUM")),3,FALSE)="","PT",VLOOKUP($D177,INDIRECT(ADDRESS(7,5,1,1,"3_TIME SUM")):INDIRECT(ADDRESS(200,7,1,1,"3_TIME SUM")),3,FALSE))</f>
        <v>#N/A</v>
      </c>
      <c r="I177" s="59">
        <f ca="1">IFERROR(IF(AND($D$2="NON PRODUCTIVE TIME",$H177="NPT"),SUMIF(INDIRECT(ADDRESS(8,COLUMN('2_DATA'!$M$9),1,1,"2_DATA")):INDIRECT(ADDRESS(3000,COLUMN('2_DATA'!$M$9),1,1,"2_DATA")),$G177,INDIRECT(ADDRESS(8,COLUMN('2_DATA'!$N$9),1,1,"2_DATA")):INDIRECT(ADDRESS(3000,COLUMN('2_DATA'!$N$9),1,1,"2_DATA"))),IF($D$2="ALL ACTIVITY",SUMIF(INDIRECT(ADDRESS(9,COLUMN('2_DATA'!$M$9),1,1,"2_DATA")):INDIRECT(ADDRESS(3000,COLUMN('2_DATA'!$M$9),1,1,"2_DATA")),$G177,INDIRECT(ADDRESS(9,COLUMN('2_DATA'!$N$9),1,1,"2_DATA")):INDIRECT(ADDRESS(3000,COLUMN('2_DATA'!$N$9),1,1,"2_DATA"))),SUMIF(INDIRECT(ADDRESS(OFFSET($A$3,MATCH($D$2,$A$4:$A$16,0)-1,1,,)+1,COLUMN('2_DATA'!$M$9),1,1,"2_DATA")):INDIRECT(ADDRESS(VLOOKUP($D$2,$A$4:$B$16,2,FALSE)-1,COLUMN('2_DATA'!$M$9),1,1,"2_DATA")),$G177,INDIRECT(ADDRESS(OFFSET($A$3,MATCH($D$2,$A$4:$A$16,0)-1,1,,)+1,COLUMN('2_DATA'!$N$9),1,1,"2_DATA")):INDIRECT(ADDRESS(VLOOKUP($D$2,$A$4:$B$16,2,FALSE)-1,COLUMN('2_DATA'!$N$9),1,1,"2_DATA"))))),0)</f>
        <v>0</v>
      </c>
      <c r="J177" s="58" t="str">
        <f ca="1">IF(I177=0,"",MAX($J$3:J176)+1)</f>
        <v/>
      </c>
      <c r="L177" s="55" t="str">
        <f t="shared" ca="1" si="39"/>
        <v/>
      </c>
      <c r="M177" s="55" t="str">
        <f t="shared" ca="1" si="43"/>
        <v/>
      </c>
      <c r="N177" s="55"/>
      <c r="O177" s="55" t="str">
        <f t="shared" ca="1" si="45"/>
        <v/>
      </c>
      <c r="P177" s="55">
        <f t="shared" ca="1" si="40"/>
        <v>0</v>
      </c>
      <c r="Q177" s="55" t="str">
        <f ca="1">IFERROR(INDEX($O$4:$P$226,MATCH(ROWS($Q$3:Q176),$P$4:$P$226,0),1),"-")</f>
        <v>-</v>
      </c>
      <c r="R177" s="62" t="str">
        <f t="shared" ca="1" si="41"/>
        <v/>
      </c>
      <c r="S177" s="55" t="str">
        <f t="shared" ca="1" si="44"/>
        <v/>
      </c>
      <c r="T177" s="67" t="str">
        <f t="shared" ca="1" si="52"/>
        <v>-</v>
      </c>
      <c r="V177" s="68" t="str">
        <f t="shared" ca="1" si="46"/>
        <v/>
      </c>
      <c r="W177" s="69" t="str">
        <f t="shared" ca="1" si="47"/>
        <v/>
      </c>
      <c r="X177" s="70" t="s">
        <v>84</v>
      </c>
      <c r="Y177" s="68" t="str">
        <f t="shared" ca="1" si="51"/>
        <v/>
      </c>
      <c r="Z177" s="71" t="str">
        <f t="shared" ca="1" si="48"/>
        <v/>
      </c>
      <c r="AA177" s="72" t="str">
        <f t="shared" ca="1" si="49"/>
        <v/>
      </c>
      <c r="AB177" s="72" t="str">
        <f t="shared" ca="1" si="50"/>
        <v/>
      </c>
    </row>
    <row r="178" spans="4:28" ht="24" customHeight="1">
      <c r="D178" s="57">
        <f ca="1">INDIRECT(ADDRESS(ROWS($D$3:D177)+6,D$3,1,1,"3_TIME SUM"))</f>
        <v>0</v>
      </c>
      <c r="E178" s="81" t="str">
        <f ca="1">IF(INDIRECT(ADDRESS(ROWS($E$3:E177)+6,E$3,1,1,"3_TIME SUM"))=0,E177,INDIRECT(ADDRESS(ROWS($E$3:E177)+6,E$3,1,1,"3_TIME SUM")))</f>
        <v>X-Mastree</v>
      </c>
      <c r="F178" s="57" t="str">
        <f t="shared" ca="1" si="42"/>
        <v>X-Mastree : 0</v>
      </c>
      <c r="G178" s="58" t="e">
        <f ca="1">VLOOKUP($D178,INDIRECT(ADDRESS(7,5,1,1,"3_TIME SUM")):INDIRECT(ADDRESS(200,7,1,1,"3_TIME SUM")),2,FALSE)</f>
        <v>#N/A</v>
      </c>
      <c r="H178" s="58" t="e">
        <f ca="1">IF(VLOOKUP($D178,INDIRECT(ADDRESS(7,5,1,1,"3_TIME SUM")):INDIRECT(ADDRESS(200,7,1,1,"3_TIME SUM")),3,FALSE)="","PT",VLOOKUP($D178,INDIRECT(ADDRESS(7,5,1,1,"3_TIME SUM")):INDIRECT(ADDRESS(200,7,1,1,"3_TIME SUM")),3,FALSE))</f>
        <v>#N/A</v>
      </c>
      <c r="I178" s="59">
        <f ca="1">IFERROR(IF(AND($D$2="NON PRODUCTIVE TIME",$H178="NPT"),SUMIF(INDIRECT(ADDRESS(8,COLUMN('2_DATA'!$M$9),1,1,"2_DATA")):INDIRECT(ADDRESS(3000,COLUMN('2_DATA'!$M$9),1,1,"2_DATA")),$G178,INDIRECT(ADDRESS(8,COLUMN('2_DATA'!$N$9),1,1,"2_DATA")):INDIRECT(ADDRESS(3000,COLUMN('2_DATA'!$N$9),1,1,"2_DATA"))),IF($D$2="ALL ACTIVITY",SUMIF(INDIRECT(ADDRESS(9,COLUMN('2_DATA'!$M$9),1,1,"2_DATA")):INDIRECT(ADDRESS(3000,COLUMN('2_DATA'!$M$9),1,1,"2_DATA")),$G178,INDIRECT(ADDRESS(9,COLUMN('2_DATA'!$N$9),1,1,"2_DATA")):INDIRECT(ADDRESS(3000,COLUMN('2_DATA'!$N$9),1,1,"2_DATA"))),SUMIF(INDIRECT(ADDRESS(OFFSET($A$3,MATCH($D$2,$A$4:$A$16,0)-1,1,,)+1,COLUMN('2_DATA'!$M$9),1,1,"2_DATA")):INDIRECT(ADDRESS(VLOOKUP($D$2,$A$4:$B$16,2,FALSE)-1,COLUMN('2_DATA'!$M$9),1,1,"2_DATA")),$G178,INDIRECT(ADDRESS(OFFSET($A$3,MATCH($D$2,$A$4:$A$16,0)-1,1,,)+1,COLUMN('2_DATA'!$N$9),1,1,"2_DATA")):INDIRECT(ADDRESS(VLOOKUP($D$2,$A$4:$B$16,2,FALSE)-1,COLUMN('2_DATA'!$N$9),1,1,"2_DATA"))))),0)</f>
        <v>0</v>
      </c>
      <c r="J178" s="58" t="str">
        <f ca="1">IF(I178=0,"",MAX($J$3:J177)+1)</f>
        <v/>
      </c>
      <c r="L178" s="55" t="str">
        <f t="shared" ca="1" si="39"/>
        <v/>
      </c>
      <c r="M178" s="55" t="str">
        <f t="shared" ca="1" si="43"/>
        <v/>
      </c>
      <c r="N178" s="55"/>
      <c r="O178" s="55" t="str">
        <f t="shared" ca="1" si="45"/>
        <v/>
      </c>
      <c r="P178" s="55">
        <f t="shared" ca="1" si="40"/>
        <v>0</v>
      </c>
      <c r="Q178" s="55" t="str">
        <f ca="1">IFERROR(INDEX($O$4:$P$226,MATCH(ROWS($Q$3:Q177),$P$4:$P$226,0),1),"-")</f>
        <v>-</v>
      </c>
      <c r="R178" s="62" t="str">
        <f t="shared" ca="1" si="41"/>
        <v/>
      </c>
      <c r="S178" s="55" t="str">
        <f t="shared" ca="1" si="44"/>
        <v/>
      </c>
      <c r="T178" s="67" t="str">
        <f t="shared" ca="1" si="52"/>
        <v>-</v>
      </c>
      <c r="V178" s="68" t="str">
        <f t="shared" ca="1" si="46"/>
        <v/>
      </c>
      <c r="W178" s="69" t="str">
        <f t="shared" ca="1" si="47"/>
        <v/>
      </c>
      <c r="X178" s="70" t="s">
        <v>84</v>
      </c>
      <c r="Y178" s="68" t="str">
        <f t="shared" ca="1" si="51"/>
        <v/>
      </c>
      <c r="Z178" s="71" t="str">
        <f t="shared" ca="1" si="48"/>
        <v/>
      </c>
      <c r="AA178" s="72" t="str">
        <f t="shared" ca="1" si="49"/>
        <v/>
      </c>
      <c r="AB178" s="72" t="str">
        <f t="shared" ca="1" si="50"/>
        <v/>
      </c>
    </row>
    <row r="179" spans="4:28" ht="24" customHeight="1">
      <c r="D179" s="57">
        <f ca="1">INDIRECT(ADDRESS(ROWS($D$3:D178)+6,D$3,1,1,"3_TIME SUM"))</f>
        <v>0</v>
      </c>
      <c r="E179" s="81" t="str">
        <f ca="1">IF(INDIRECT(ADDRESS(ROWS($E$3:E178)+6,E$3,1,1,"3_TIME SUM"))=0,E178,INDIRECT(ADDRESS(ROWS($E$3:E178)+6,E$3,1,1,"3_TIME SUM")))</f>
        <v>X-Mastree</v>
      </c>
      <c r="F179" s="57" t="str">
        <f t="shared" ca="1" si="42"/>
        <v>X-Mastree : 0</v>
      </c>
      <c r="G179" s="58" t="e">
        <f ca="1">VLOOKUP($D179,INDIRECT(ADDRESS(7,5,1,1,"3_TIME SUM")):INDIRECT(ADDRESS(200,7,1,1,"3_TIME SUM")),2,FALSE)</f>
        <v>#N/A</v>
      </c>
      <c r="H179" s="58" t="e">
        <f ca="1">IF(VLOOKUP($D179,INDIRECT(ADDRESS(7,5,1,1,"3_TIME SUM")):INDIRECT(ADDRESS(200,7,1,1,"3_TIME SUM")),3,FALSE)="","PT",VLOOKUP($D179,INDIRECT(ADDRESS(7,5,1,1,"3_TIME SUM")):INDIRECT(ADDRESS(200,7,1,1,"3_TIME SUM")),3,FALSE))</f>
        <v>#N/A</v>
      </c>
      <c r="I179" s="59">
        <f ca="1">IFERROR(IF(AND($D$2="NON PRODUCTIVE TIME",$H179="NPT"),SUMIF(INDIRECT(ADDRESS(8,COLUMN('2_DATA'!$M$9),1,1,"2_DATA")):INDIRECT(ADDRESS(3000,COLUMN('2_DATA'!$M$9),1,1,"2_DATA")),$G179,INDIRECT(ADDRESS(8,COLUMN('2_DATA'!$N$9),1,1,"2_DATA")):INDIRECT(ADDRESS(3000,COLUMN('2_DATA'!$N$9),1,1,"2_DATA"))),IF($D$2="ALL ACTIVITY",SUMIF(INDIRECT(ADDRESS(9,COLUMN('2_DATA'!$M$9),1,1,"2_DATA")):INDIRECT(ADDRESS(3000,COLUMN('2_DATA'!$M$9),1,1,"2_DATA")),$G179,INDIRECT(ADDRESS(9,COLUMN('2_DATA'!$N$9),1,1,"2_DATA")):INDIRECT(ADDRESS(3000,COLUMN('2_DATA'!$N$9),1,1,"2_DATA"))),SUMIF(INDIRECT(ADDRESS(OFFSET($A$3,MATCH($D$2,$A$4:$A$16,0)-1,1,,)+1,COLUMN('2_DATA'!$M$9),1,1,"2_DATA")):INDIRECT(ADDRESS(VLOOKUP($D$2,$A$4:$B$16,2,FALSE)-1,COLUMN('2_DATA'!$M$9),1,1,"2_DATA")),$G179,INDIRECT(ADDRESS(OFFSET($A$3,MATCH($D$2,$A$4:$A$16,0)-1,1,,)+1,COLUMN('2_DATA'!$N$9),1,1,"2_DATA")):INDIRECT(ADDRESS(VLOOKUP($D$2,$A$4:$B$16,2,FALSE)-1,COLUMN('2_DATA'!$N$9),1,1,"2_DATA"))))),0)</f>
        <v>0</v>
      </c>
      <c r="J179" s="58" t="str">
        <f ca="1">IF(I179=0,"",MAX($J$3:J178)+1)</f>
        <v/>
      </c>
      <c r="L179" s="55" t="str">
        <f t="shared" ca="1" si="39"/>
        <v/>
      </c>
      <c r="M179" s="55" t="str">
        <f t="shared" ca="1" si="43"/>
        <v/>
      </c>
      <c r="N179" s="55"/>
      <c r="O179" s="55" t="str">
        <f t="shared" ca="1" si="45"/>
        <v/>
      </c>
      <c r="P179" s="55">
        <f t="shared" ca="1" si="40"/>
        <v>0</v>
      </c>
      <c r="Q179" s="55" t="str">
        <f ca="1">IFERROR(INDEX($O$4:$P$226,MATCH(ROWS($Q$3:Q178),$P$4:$P$226,0),1),"-")</f>
        <v>-</v>
      </c>
      <c r="R179" s="62" t="str">
        <f t="shared" ca="1" si="41"/>
        <v/>
      </c>
      <c r="S179" s="55" t="str">
        <f t="shared" ca="1" si="44"/>
        <v/>
      </c>
      <c r="T179" s="67" t="str">
        <f t="shared" ca="1" si="52"/>
        <v>-</v>
      </c>
      <c r="V179" s="68" t="str">
        <f t="shared" ca="1" si="46"/>
        <v/>
      </c>
      <c r="W179" s="69" t="str">
        <f t="shared" ca="1" si="47"/>
        <v/>
      </c>
      <c r="X179" s="70" t="s">
        <v>84</v>
      </c>
      <c r="Y179" s="68" t="str">
        <f t="shared" ca="1" si="51"/>
        <v/>
      </c>
      <c r="Z179" s="71" t="str">
        <f t="shared" ca="1" si="48"/>
        <v/>
      </c>
      <c r="AA179" s="72" t="str">
        <f t="shared" ca="1" si="49"/>
        <v/>
      </c>
      <c r="AB179" s="72" t="str">
        <f t="shared" ca="1" si="50"/>
        <v/>
      </c>
    </row>
    <row r="180" spans="4:28" ht="24" customHeight="1">
      <c r="D180" s="57">
        <f ca="1">INDIRECT(ADDRESS(ROWS($D$3:D179)+6,D$3,1,1,"3_TIME SUM"))</f>
        <v>0</v>
      </c>
      <c r="E180" s="81" t="str">
        <f ca="1">IF(INDIRECT(ADDRESS(ROWS($E$3:E179)+6,E$3,1,1,"3_TIME SUM"))=0,E179,INDIRECT(ADDRESS(ROWS($E$3:E179)+6,E$3,1,1,"3_TIME SUM")))</f>
        <v>X-Mastree</v>
      </c>
      <c r="F180" s="57" t="str">
        <f t="shared" ca="1" si="42"/>
        <v>X-Mastree : 0</v>
      </c>
      <c r="G180" s="58" t="e">
        <f ca="1">VLOOKUP($D180,INDIRECT(ADDRESS(7,5,1,1,"3_TIME SUM")):INDIRECT(ADDRESS(200,7,1,1,"3_TIME SUM")),2,FALSE)</f>
        <v>#N/A</v>
      </c>
      <c r="H180" s="58" t="e">
        <f ca="1">IF(VLOOKUP($D180,INDIRECT(ADDRESS(7,5,1,1,"3_TIME SUM")):INDIRECT(ADDRESS(200,7,1,1,"3_TIME SUM")),3,FALSE)="","PT",VLOOKUP($D180,INDIRECT(ADDRESS(7,5,1,1,"3_TIME SUM")):INDIRECT(ADDRESS(200,7,1,1,"3_TIME SUM")),3,FALSE))</f>
        <v>#N/A</v>
      </c>
      <c r="I180" s="59">
        <f ca="1">IFERROR(IF(AND($D$2="NON PRODUCTIVE TIME",$H180="NPT"),SUMIF(INDIRECT(ADDRESS(8,COLUMN('2_DATA'!$M$9),1,1,"2_DATA")):INDIRECT(ADDRESS(3000,COLUMN('2_DATA'!$M$9),1,1,"2_DATA")),$G180,INDIRECT(ADDRESS(8,COLUMN('2_DATA'!$N$9),1,1,"2_DATA")):INDIRECT(ADDRESS(3000,COLUMN('2_DATA'!$N$9),1,1,"2_DATA"))),IF($D$2="ALL ACTIVITY",SUMIF(INDIRECT(ADDRESS(9,COLUMN('2_DATA'!$M$9),1,1,"2_DATA")):INDIRECT(ADDRESS(3000,COLUMN('2_DATA'!$M$9),1,1,"2_DATA")),$G180,INDIRECT(ADDRESS(9,COLUMN('2_DATA'!$N$9),1,1,"2_DATA")):INDIRECT(ADDRESS(3000,COLUMN('2_DATA'!$N$9),1,1,"2_DATA"))),SUMIF(INDIRECT(ADDRESS(OFFSET($A$3,MATCH($D$2,$A$4:$A$16,0)-1,1,,)+1,COLUMN('2_DATA'!$M$9),1,1,"2_DATA")):INDIRECT(ADDRESS(VLOOKUP($D$2,$A$4:$B$16,2,FALSE)-1,COLUMN('2_DATA'!$M$9),1,1,"2_DATA")),$G180,INDIRECT(ADDRESS(OFFSET($A$3,MATCH($D$2,$A$4:$A$16,0)-1,1,,)+1,COLUMN('2_DATA'!$N$9),1,1,"2_DATA")):INDIRECT(ADDRESS(VLOOKUP($D$2,$A$4:$B$16,2,FALSE)-1,COLUMN('2_DATA'!$N$9),1,1,"2_DATA"))))),0)</f>
        <v>0</v>
      </c>
      <c r="J180" s="58" t="str">
        <f ca="1">IF(I180=0,"",MAX($J$3:J179)+1)</f>
        <v/>
      </c>
      <c r="L180" s="55" t="str">
        <f t="shared" ca="1" si="39"/>
        <v/>
      </c>
      <c r="M180" s="55" t="str">
        <f t="shared" ca="1" si="43"/>
        <v/>
      </c>
      <c r="N180" s="55"/>
      <c r="O180" s="55" t="str">
        <f t="shared" ca="1" si="45"/>
        <v/>
      </c>
      <c r="P180" s="55">
        <f t="shared" ca="1" si="40"/>
        <v>0</v>
      </c>
      <c r="Q180" s="55" t="str">
        <f ca="1">IFERROR(INDEX($O$4:$P$226,MATCH(ROWS($Q$3:Q179),$P$4:$P$226,0),1),"-")</f>
        <v>-</v>
      </c>
      <c r="R180" s="62" t="str">
        <f t="shared" ca="1" si="41"/>
        <v/>
      </c>
      <c r="S180" s="55" t="str">
        <f t="shared" ca="1" si="44"/>
        <v/>
      </c>
      <c r="T180" s="67" t="str">
        <f t="shared" ca="1" si="52"/>
        <v>-</v>
      </c>
      <c r="V180" s="68" t="str">
        <f t="shared" ca="1" si="46"/>
        <v/>
      </c>
      <c r="W180" s="69" t="str">
        <f t="shared" ca="1" si="47"/>
        <v/>
      </c>
      <c r="X180" s="70" t="s">
        <v>84</v>
      </c>
      <c r="Y180" s="68" t="str">
        <f t="shared" ca="1" si="51"/>
        <v/>
      </c>
      <c r="Z180" s="71" t="str">
        <f t="shared" ca="1" si="48"/>
        <v/>
      </c>
      <c r="AA180" s="72" t="str">
        <f t="shared" ca="1" si="49"/>
        <v/>
      </c>
      <c r="AB180" s="72" t="str">
        <f t="shared" ca="1" si="50"/>
        <v/>
      </c>
    </row>
    <row r="181" spans="4:28" ht="24" customHeight="1">
      <c r="D181" s="57">
        <f ca="1">INDIRECT(ADDRESS(ROWS($D$3:D180)+6,D$3,1,1,"3_TIME SUM"))</f>
        <v>0</v>
      </c>
      <c r="E181" s="81" t="str">
        <f ca="1">IF(INDIRECT(ADDRESS(ROWS($E$3:E180)+6,E$3,1,1,"3_TIME SUM"))=0,E180,INDIRECT(ADDRESS(ROWS($E$3:E180)+6,E$3,1,1,"3_TIME SUM")))</f>
        <v>X-Mastree</v>
      </c>
      <c r="F181" s="57" t="str">
        <f t="shared" ca="1" si="42"/>
        <v>X-Mastree : 0</v>
      </c>
      <c r="G181" s="58" t="e">
        <f ca="1">VLOOKUP($D181,INDIRECT(ADDRESS(7,5,1,1,"3_TIME SUM")):INDIRECT(ADDRESS(200,7,1,1,"3_TIME SUM")),2,FALSE)</f>
        <v>#N/A</v>
      </c>
      <c r="H181" s="58" t="e">
        <f ca="1">IF(VLOOKUP($D181,INDIRECT(ADDRESS(7,5,1,1,"3_TIME SUM")):INDIRECT(ADDRESS(200,7,1,1,"3_TIME SUM")),3,FALSE)="","PT",VLOOKUP($D181,INDIRECT(ADDRESS(7,5,1,1,"3_TIME SUM")):INDIRECT(ADDRESS(200,7,1,1,"3_TIME SUM")),3,FALSE))</f>
        <v>#N/A</v>
      </c>
      <c r="I181" s="59">
        <f ca="1">IFERROR(IF(AND($D$2="NON PRODUCTIVE TIME",$H181="NPT"),SUMIF(INDIRECT(ADDRESS(8,COLUMN('2_DATA'!$M$9),1,1,"2_DATA")):INDIRECT(ADDRESS(3000,COLUMN('2_DATA'!$M$9),1,1,"2_DATA")),$G181,INDIRECT(ADDRESS(8,COLUMN('2_DATA'!$N$9),1,1,"2_DATA")):INDIRECT(ADDRESS(3000,COLUMN('2_DATA'!$N$9),1,1,"2_DATA"))),IF($D$2="ALL ACTIVITY",SUMIF(INDIRECT(ADDRESS(9,COLUMN('2_DATA'!$M$9),1,1,"2_DATA")):INDIRECT(ADDRESS(3000,COLUMN('2_DATA'!$M$9),1,1,"2_DATA")),$G181,INDIRECT(ADDRESS(9,COLUMN('2_DATA'!$N$9),1,1,"2_DATA")):INDIRECT(ADDRESS(3000,COLUMN('2_DATA'!$N$9),1,1,"2_DATA"))),SUMIF(INDIRECT(ADDRESS(OFFSET($A$3,MATCH($D$2,$A$4:$A$16,0)-1,1,,)+1,COLUMN('2_DATA'!$M$9),1,1,"2_DATA")):INDIRECT(ADDRESS(VLOOKUP($D$2,$A$4:$B$16,2,FALSE)-1,COLUMN('2_DATA'!$M$9),1,1,"2_DATA")),$G181,INDIRECT(ADDRESS(OFFSET($A$3,MATCH($D$2,$A$4:$A$16,0)-1,1,,)+1,COLUMN('2_DATA'!$N$9),1,1,"2_DATA")):INDIRECT(ADDRESS(VLOOKUP($D$2,$A$4:$B$16,2,FALSE)-1,COLUMN('2_DATA'!$N$9),1,1,"2_DATA"))))),0)</f>
        <v>0</v>
      </c>
      <c r="J181" s="58" t="str">
        <f ca="1">IF(I181=0,"",MAX($J$3:J180)+1)</f>
        <v/>
      </c>
      <c r="L181" s="55" t="str">
        <f t="shared" ca="1" si="39"/>
        <v/>
      </c>
      <c r="M181" s="55" t="str">
        <f t="shared" ca="1" si="43"/>
        <v/>
      </c>
      <c r="N181" s="55"/>
      <c r="O181" s="55" t="str">
        <f t="shared" ca="1" si="45"/>
        <v/>
      </c>
      <c r="P181" s="55">
        <f t="shared" ca="1" si="40"/>
        <v>0</v>
      </c>
      <c r="Q181" s="55" t="str">
        <f ca="1">IFERROR(INDEX($O$4:$P$226,MATCH(ROWS($Q$3:Q180),$P$4:$P$226,0),1),"-")</f>
        <v>-</v>
      </c>
      <c r="R181" s="62" t="str">
        <f t="shared" ca="1" si="41"/>
        <v/>
      </c>
      <c r="S181" s="55" t="str">
        <f t="shared" ca="1" si="44"/>
        <v/>
      </c>
      <c r="T181" s="67" t="str">
        <f t="shared" ca="1" si="52"/>
        <v>-</v>
      </c>
      <c r="V181" s="68" t="str">
        <f t="shared" ca="1" si="46"/>
        <v/>
      </c>
      <c r="W181" s="69" t="str">
        <f t="shared" ca="1" si="47"/>
        <v/>
      </c>
      <c r="X181" s="70" t="s">
        <v>84</v>
      </c>
      <c r="Y181" s="68" t="str">
        <f t="shared" ca="1" si="51"/>
        <v/>
      </c>
      <c r="Z181" s="71" t="str">
        <f t="shared" ca="1" si="48"/>
        <v/>
      </c>
      <c r="AA181" s="72" t="str">
        <f t="shared" ca="1" si="49"/>
        <v/>
      </c>
      <c r="AB181" s="72" t="str">
        <f t="shared" ca="1" si="50"/>
        <v/>
      </c>
    </row>
    <row r="182" spans="4:28" ht="24" customHeight="1">
      <c r="D182" s="57">
        <f ca="1">INDIRECT(ADDRESS(ROWS($D$3:D181)+6,D$3,1,1,"3_TIME SUM"))</f>
        <v>0</v>
      </c>
      <c r="E182" s="81" t="str">
        <f ca="1">IF(INDIRECT(ADDRESS(ROWS($E$3:E181)+6,E$3,1,1,"3_TIME SUM"))=0,E181,INDIRECT(ADDRESS(ROWS($E$3:E181)+6,E$3,1,1,"3_TIME SUM")))</f>
        <v>X-Mastree</v>
      </c>
      <c r="F182" s="57" t="str">
        <f t="shared" ca="1" si="42"/>
        <v>X-Mastree : 0</v>
      </c>
      <c r="G182" s="58" t="e">
        <f ca="1">VLOOKUP($D182,INDIRECT(ADDRESS(7,5,1,1,"3_TIME SUM")):INDIRECT(ADDRESS(200,7,1,1,"3_TIME SUM")),2,FALSE)</f>
        <v>#N/A</v>
      </c>
      <c r="H182" s="58" t="e">
        <f ca="1">IF(VLOOKUP($D182,INDIRECT(ADDRESS(7,5,1,1,"3_TIME SUM")):INDIRECT(ADDRESS(200,7,1,1,"3_TIME SUM")),3,FALSE)="","PT",VLOOKUP($D182,INDIRECT(ADDRESS(7,5,1,1,"3_TIME SUM")):INDIRECT(ADDRESS(200,7,1,1,"3_TIME SUM")),3,FALSE))</f>
        <v>#N/A</v>
      </c>
      <c r="I182" s="59">
        <f ca="1">IFERROR(IF(AND($D$2="NON PRODUCTIVE TIME",$H182="NPT"),SUMIF(INDIRECT(ADDRESS(8,COLUMN('2_DATA'!$M$9),1,1,"2_DATA")):INDIRECT(ADDRESS(3000,COLUMN('2_DATA'!$M$9),1,1,"2_DATA")),$G182,INDIRECT(ADDRESS(8,COLUMN('2_DATA'!$N$9),1,1,"2_DATA")):INDIRECT(ADDRESS(3000,COLUMN('2_DATA'!$N$9),1,1,"2_DATA"))),IF($D$2="ALL ACTIVITY",SUMIF(INDIRECT(ADDRESS(9,COLUMN('2_DATA'!$M$9),1,1,"2_DATA")):INDIRECT(ADDRESS(3000,COLUMN('2_DATA'!$M$9),1,1,"2_DATA")),$G182,INDIRECT(ADDRESS(9,COLUMN('2_DATA'!$N$9),1,1,"2_DATA")):INDIRECT(ADDRESS(3000,COLUMN('2_DATA'!$N$9),1,1,"2_DATA"))),SUMIF(INDIRECT(ADDRESS(OFFSET($A$3,MATCH($D$2,$A$4:$A$16,0)-1,1,,)+1,COLUMN('2_DATA'!$M$9),1,1,"2_DATA")):INDIRECT(ADDRESS(VLOOKUP($D$2,$A$4:$B$16,2,FALSE)-1,COLUMN('2_DATA'!$M$9),1,1,"2_DATA")),$G182,INDIRECT(ADDRESS(OFFSET($A$3,MATCH($D$2,$A$4:$A$16,0)-1,1,,)+1,COLUMN('2_DATA'!$N$9),1,1,"2_DATA")):INDIRECT(ADDRESS(VLOOKUP($D$2,$A$4:$B$16,2,FALSE)-1,COLUMN('2_DATA'!$N$9),1,1,"2_DATA"))))),0)</f>
        <v>0</v>
      </c>
      <c r="J182" s="58" t="str">
        <f ca="1">IF(I182=0,"",MAX($J$3:J181)+1)</f>
        <v/>
      </c>
      <c r="L182" s="55" t="str">
        <f t="shared" ca="1" si="39"/>
        <v/>
      </c>
      <c r="M182" s="55" t="str">
        <f t="shared" ca="1" si="43"/>
        <v/>
      </c>
      <c r="N182" s="55"/>
      <c r="O182" s="55" t="str">
        <f t="shared" ca="1" si="45"/>
        <v/>
      </c>
      <c r="P182" s="55">
        <f t="shared" ca="1" si="40"/>
        <v>0</v>
      </c>
      <c r="Q182" s="55" t="str">
        <f ca="1">IFERROR(INDEX($O$4:$P$226,MATCH(ROWS($Q$3:Q181),$P$4:$P$226,0),1),"-")</f>
        <v>-</v>
      </c>
      <c r="R182" s="62" t="str">
        <f t="shared" ca="1" si="41"/>
        <v/>
      </c>
      <c r="S182" s="55" t="str">
        <f t="shared" ca="1" si="44"/>
        <v/>
      </c>
      <c r="T182" s="67" t="str">
        <f t="shared" ca="1" si="52"/>
        <v>-</v>
      </c>
      <c r="V182" s="68" t="str">
        <f t="shared" ca="1" si="46"/>
        <v/>
      </c>
      <c r="W182" s="69" t="str">
        <f t="shared" ca="1" si="47"/>
        <v/>
      </c>
      <c r="X182" s="70" t="s">
        <v>84</v>
      </c>
      <c r="Y182" s="68" t="str">
        <f t="shared" ca="1" si="51"/>
        <v/>
      </c>
      <c r="Z182" s="71" t="str">
        <f t="shared" ca="1" si="48"/>
        <v/>
      </c>
      <c r="AA182" s="72" t="str">
        <f t="shared" ca="1" si="49"/>
        <v/>
      </c>
      <c r="AB182" s="72" t="str">
        <f t="shared" ca="1" si="50"/>
        <v/>
      </c>
    </row>
    <row r="183" spans="4:28" ht="24" customHeight="1">
      <c r="D183" s="57">
        <f ca="1">INDIRECT(ADDRESS(ROWS($D$3:D182)+6,D$3,1,1,"3_TIME SUM"))</f>
        <v>0</v>
      </c>
      <c r="E183" s="81" t="str">
        <f ca="1">IF(INDIRECT(ADDRESS(ROWS($E$3:E182)+6,E$3,1,1,"3_TIME SUM"))=0,E182,INDIRECT(ADDRESS(ROWS($E$3:E182)+6,E$3,1,1,"3_TIME SUM")))</f>
        <v>X-Mastree</v>
      </c>
      <c r="F183" s="57" t="str">
        <f t="shared" ca="1" si="42"/>
        <v>X-Mastree : 0</v>
      </c>
      <c r="G183" s="58" t="e">
        <f ca="1">VLOOKUP($D183,INDIRECT(ADDRESS(7,5,1,1,"3_TIME SUM")):INDIRECT(ADDRESS(200,7,1,1,"3_TIME SUM")),2,FALSE)</f>
        <v>#N/A</v>
      </c>
      <c r="H183" s="58" t="e">
        <f ca="1">IF(VLOOKUP($D183,INDIRECT(ADDRESS(7,5,1,1,"3_TIME SUM")):INDIRECT(ADDRESS(200,7,1,1,"3_TIME SUM")),3,FALSE)="","PT",VLOOKUP($D183,INDIRECT(ADDRESS(7,5,1,1,"3_TIME SUM")):INDIRECT(ADDRESS(200,7,1,1,"3_TIME SUM")),3,FALSE))</f>
        <v>#N/A</v>
      </c>
      <c r="I183" s="59">
        <f ca="1">IFERROR(IF(AND($D$2="NON PRODUCTIVE TIME",$H183="NPT"),SUMIF(INDIRECT(ADDRESS(8,COLUMN('2_DATA'!$M$9),1,1,"2_DATA")):INDIRECT(ADDRESS(3000,COLUMN('2_DATA'!$M$9),1,1,"2_DATA")),$G183,INDIRECT(ADDRESS(8,COLUMN('2_DATA'!$N$9),1,1,"2_DATA")):INDIRECT(ADDRESS(3000,COLUMN('2_DATA'!$N$9),1,1,"2_DATA"))),IF($D$2="ALL ACTIVITY",SUMIF(INDIRECT(ADDRESS(9,COLUMN('2_DATA'!$M$9),1,1,"2_DATA")):INDIRECT(ADDRESS(3000,COLUMN('2_DATA'!$M$9),1,1,"2_DATA")),$G183,INDIRECT(ADDRESS(9,COLUMN('2_DATA'!$N$9),1,1,"2_DATA")):INDIRECT(ADDRESS(3000,COLUMN('2_DATA'!$N$9),1,1,"2_DATA"))),SUMIF(INDIRECT(ADDRESS(OFFSET($A$3,MATCH($D$2,$A$4:$A$16,0)-1,1,,)+1,COLUMN('2_DATA'!$M$9),1,1,"2_DATA")):INDIRECT(ADDRESS(VLOOKUP($D$2,$A$4:$B$16,2,FALSE)-1,COLUMN('2_DATA'!$M$9),1,1,"2_DATA")),$G183,INDIRECT(ADDRESS(OFFSET($A$3,MATCH($D$2,$A$4:$A$16,0)-1,1,,)+1,COLUMN('2_DATA'!$N$9),1,1,"2_DATA")):INDIRECT(ADDRESS(VLOOKUP($D$2,$A$4:$B$16,2,FALSE)-1,COLUMN('2_DATA'!$N$9),1,1,"2_DATA"))))),0)</f>
        <v>0</v>
      </c>
      <c r="J183" s="58" t="str">
        <f ca="1">IF(I183=0,"",MAX($J$3:J182)+1)</f>
        <v/>
      </c>
      <c r="L183" s="55" t="str">
        <f t="shared" ca="1" si="39"/>
        <v/>
      </c>
      <c r="M183" s="55" t="str">
        <f t="shared" ca="1" si="43"/>
        <v/>
      </c>
      <c r="N183" s="55"/>
      <c r="O183" s="55" t="str">
        <f t="shared" ca="1" si="45"/>
        <v/>
      </c>
      <c r="P183" s="55">
        <f t="shared" ca="1" si="40"/>
        <v>0</v>
      </c>
      <c r="Q183" s="55" t="str">
        <f ca="1">IFERROR(INDEX($O$4:$P$226,MATCH(ROWS($Q$3:Q182),$P$4:$P$226,0),1),"-")</f>
        <v>-</v>
      </c>
      <c r="R183" s="62" t="str">
        <f t="shared" ca="1" si="41"/>
        <v/>
      </c>
      <c r="S183" s="55" t="str">
        <f t="shared" ca="1" si="44"/>
        <v/>
      </c>
      <c r="T183" s="67" t="str">
        <f t="shared" ca="1" si="52"/>
        <v>-</v>
      </c>
      <c r="V183" s="68" t="str">
        <f t="shared" ca="1" si="46"/>
        <v/>
      </c>
      <c r="W183" s="69" t="str">
        <f t="shared" ca="1" si="47"/>
        <v/>
      </c>
      <c r="X183" s="70" t="s">
        <v>84</v>
      </c>
      <c r="Y183" s="68" t="str">
        <f t="shared" ca="1" si="51"/>
        <v/>
      </c>
      <c r="Z183" s="71" t="str">
        <f t="shared" ca="1" si="48"/>
        <v/>
      </c>
      <c r="AA183" s="72" t="str">
        <f t="shared" ca="1" si="49"/>
        <v/>
      </c>
      <c r="AB183" s="72" t="str">
        <f t="shared" ca="1" si="50"/>
        <v/>
      </c>
    </row>
    <row r="184" spans="4:28" ht="24" customHeight="1">
      <c r="D184" s="57">
        <f ca="1">INDIRECT(ADDRESS(ROWS($D$3:D183)+6,D$3,1,1,"3_TIME SUM"))</f>
        <v>0</v>
      </c>
      <c r="E184" s="81" t="str">
        <f ca="1">IF(INDIRECT(ADDRESS(ROWS($E$3:E183)+6,E$3,1,1,"3_TIME SUM"))=0,E183,INDIRECT(ADDRESS(ROWS($E$3:E183)+6,E$3,1,1,"3_TIME SUM")))</f>
        <v>X-Mastree</v>
      </c>
      <c r="F184" s="57" t="str">
        <f t="shared" ca="1" si="42"/>
        <v>X-Mastree : 0</v>
      </c>
      <c r="G184" s="58" t="e">
        <f ca="1">VLOOKUP($D184,INDIRECT(ADDRESS(7,5,1,1,"3_TIME SUM")):INDIRECT(ADDRESS(200,7,1,1,"3_TIME SUM")),2,FALSE)</f>
        <v>#N/A</v>
      </c>
      <c r="H184" s="58" t="e">
        <f ca="1">IF(VLOOKUP($D184,INDIRECT(ADDRESS(7,5,1,1,"3_TIME SUM")):INDIRECT(ADDRESS(200,7,1,1,"3_TIME SUM")),3,FALSE)="","PT",VLOOKUP($D184,INDIRECT(ADDRESS(7,5,1,1,"3_TIME SUM")):INDIRECT(ADDRESS(200,7,1,1,"3_TIME SUM")),3,FALSE))</f>
        <v>#N/A</v>
      </c>
      <c r="I184" s="59">
        <f ca="1">IFERROR(IF(AND($D$2="NON PRODUCTIVE TIME",$H184="NPT"),SUMIF(INDIRECT(ADDRESS(8,COLUMN('2_DATA'!$M$9),1,1,"2_DATA")):INDIRECT(ADDRESS(3000,COLUMN('2_DATA'!$M$9),1,1,"2_DATA")),$G184,INDIRECT(ADDRESS(8,COLUMN('2_DATA'!$N$9),1,1,"2_DATA")):INDIRECT(ADDRESS(3000,COLUMN('2_DATA'!$N$9),1,1,"2_DATA"))),IF($D$2="ALL ACTIVITY",SUMIF(INDIRECT(ADDRESS(9,COLUMN('2_DATA'!$M$9),1,1,"2_DATA")):INDIRECT(ADDRESS(3000,COLUMN('2_DATA'!$M$9),1,1,"2_DATA")),$G184,INDIRECT(ADDRESS(9,COLUMN('2_DATA'!$N$9),1,1,"2_DATA")):INDIRECT(ADDRESS(3000,COLUMN('2_DATA'!$N$9),1,1,"2_DATA"))),SUMIF(INDIRECT(ADDRESS(OFFSET($A$3,MATCH($D$2,$A$4:$A$16,0)-1,1,,)+1,COLUMN('2_DATA'!$M$9),1,1,"2_DATA")):INDIRECT(ADDRESS(VLOOKUP($D$2,$A$4:$B$16,2,FALSE)-1,COLUMN('2_DATA'!$M$9),1,1,"2_DATA")),$G184,INDIRECT(ADDRESS(OFFSET($A$3,MATCH($D$2,$A$4:$A$16,0)-1,1,,)+1,COLUMN('2_DATA'!$N$9),1,1,"2_DATA")):INDIRECT(ADDRESS(VLOOKUP($D$2,$A$4:$B$16,2,FALSE)-1,COLUMN('2_DATA'!$N$9),1,1,"2_DATA"))))),0)</f>
        <v>0</v>
      </c>
      <c r="J184" s="58" t="str">
        <f ca="1">IF(I184=0,"",MAX($J$3:J183)+1)</f>
        <v/>
      </c>
      <c r="L184" s="55" t="str">
        <f t="shared" ca="1" si="39"/>
        <v/>
      </c>
      <c r="M184" s="55" t="str">
        <f t="shared" ca="1" si="43"/>
        <v/>
      </c>
      <c r="N184" s="55"/>
      <c r="O184" s="55" t="str">
        <f t="shared" ca="1" si="45"/>
        <v/>
      </c>
      <c r="P184" s="55">
        <f t="shared" ca="1" si="40"/>
        <v>0</v>
      </c>
      <c r="Q184" s="55" t="str">
        <f ca="1">IFERROR(INDEX($O$4:$P$226,MATCH(ROWS($Q$3:Q183),$P$4:$P$226,0),1),"-")</f>
        <v>-</v>
      </c>
      <c r="R184" s="62" t="str">
        <f t="shared" ca="1" si="41"/>
        <v/>
      </c>
      <c r="S184" s="55" t="str">
        <f t="shared" ca="1" si="44"/>
        <v/>
      </c>
      <c r="T184" s="67" t="str">
        <f t="shared" ca="1" si="52"/>
        <v>-</v>
      </c>
      <c r="V184" s="68" t="str">
        <f t="shared" ca="1" si="46"/>
        <v/>
      </c>
      <c r="W184" s="69" t="str">
        <f t="shared" ca="1" si="47"/>
        <v/>
      </c>
      <c r="X184" s="70" t="s">
        <v>84</v>
      </c>
      <c r="Y184" s="68" t="str">
        <f t="shared" ca="1" si="51"/>
        <v/>
      </c>
      <c r="Z184" s="71" t="str">
        <f t="shared" ca="1" si="48"/>
        <v/>
      </c>
      <c r="AA184" s="72" t="str">
        <f t="shared" ca="1" si="49"/>
        <v/>
      </c>
      <c r="AB184" s="72" t="str">
        <f t="shared" ca="1" si="50"/>
        <v/>
      </c>
    </row>
    <row r="185" spans="4:28" ht="24" customHeight="1">
      <c r="D185" s="57">
        <f ca="1">INDIRECT(ADDRESS(ROWS($D$3:D184)+6,D$3,1,1,"3_TIME SUM"))</f>
        <v>0</v>
      </c>
      <c r="E185" s="81" t="str">
        <f ca="1">IF(INDIRECT(ADDRESS(ROWS($E$3:E184)+6,E$3,1,1,"3_TIME SUM"))=0,E184,INDIRECT(ADDRESS(ROWS($E$3:E184)+6,E$3,1,1,"3_TIME SUM")))</f>
        <v>X-Mastree</v>
      </c>
      <c r="F185" s="57" t="str">
        <f t="shared" ca="1" si="42"/>
        <v>X-Mastree : 0</v>
      </c>
      <c r="G185" s="58" t="e">
        <f ca="1">VLOOKUP($D185,INDIRECT(ADDRESS(7,5,1,1,"3_TIME SUM")):INDIRECT(ADDRESS(200,7,1,1,"3_TIME SUM")),2,FALSE)</f>
        <v>#N/A</v>
      </c>
      <c r="H185" s="58" t="e">
        <f ca="1">IF(VLOOKUP($D185,INDIRECT(ADDRESS(7,5,1,1,"3_TIME SUM")):INDIRECT(ADDRESS(200,7,1,1,"3_TIME SUM")),3,FALSE)="","PT",VLOOKUP($D185,INDIRECT(ADDRESS(7,5,1,1,"3_TIME SUM")):INDIRECT(ADDRESS(200,7,1,1,"3_TIME SUM")),3,FALSE))</f>
        <v>#N/A</v>
      </c>
      <c r="I185" s="59">
        <f ca="1">IFERROR(IF(AND($D$2="NON PRODUCTIVE TIME",$H185="NPT"),SUMIF(INDIRECT(ADDRESS(8,COLUMN('2_DATA'!$M$9),1,1,"2_DATA")):INDIRECT(ADDRESS(3000,COLUMN('2_DATA'!$M$9),1,1,"2_DATA")),$G185,INDIRECT(ADDRESS(8,COLUMN('2_DATA'!$N$9),1,1,"2_DATA")):INDIRECT(ADDRESS(3000,COLUMN('2_DATA'!$N$9),1,1,"2_DATA"))),IF($D$2="ALL ACTIVITY",SUMIF(INDIRECT(ADDRESS(9,COLUMN('2_DATA'!$M$9),1,1,"2_DATA")):INDIRECT(ADDRESS(3000,COLUMN('2_DATA'!$M$9),1,1,"2_DATA")),$G185,INDIRECT(ADDRESS(9,COLUMN('2_DATA'!$N$9),1,1,"2_DATA")):INDIRECT(ADDRESS(3000,COLUMN('2_DATA'!$N$9),1,1,"2_DATA"))),SUMIF(INDIRECT(ADDRESS(OFFSET($A$3,MATCH($D$2,$A$4:$A$16,0)-1,1,,)+1,COLUMN('2_DATA'!$M$9),1,1,"2_DATA")):INDIRECT(ADDRESS(VLOOKUP($D$2,$A$4:$B$16,2,FALSE)-1,COLUMN('2_DATA'!$M$9),1,1,"2_DATA")),$G185,INDIRECT(ADDRESS(OFFSET($A$3,MATCH($D$2,$A$4:$A$16,0)-1,1,,)+1,COLUMN('2_DATA'!$N$9),1,1,"2_DATA")):INDIRECT(ADDRESS(VLOOKUP($D$2,$A$4:$B$16,2,FALSE)-1,COLUMN('2_DATA'!$N$9),1,1,"2_DATA"))))),0)</f>
        <v>0</v>
      </c>
      <c r="J185" s="58" t="str">
        <f ca="1">IF(I185=0,"",MAX($J$3:J184)+1)</f>
        <v/>
      </c>
      <c r="L185" s="55" t="str">
        <f t="shared" ca="1" si="39"/>
        <v/>
      </c>
      <c r="M185" s="55" t="str">
        <f t="shared" ca="1" si="43"/>
        <v/>
      </c>
      <c r="N185" s="55"/>
      <c r="O185" s="55" t="str">
        <f t="shared" ca="1" si="45"/>
        <v/>
      </c>
      <c r="P185" s="55">
        <f t="shared" ca="1" si="40"/>
        <v>0</v>
      </c>
      <c r="Q185" s="55" t="str">
        <f ca="1">IFERROR(INDEX($O$4:$P$226,MATCH(ROWS($Q$3:Q184),$P$4:$P$226,0),1),"-")</f>
        <v>-</v>
      </c>
      <c r="R185" s="62" t="str">
        <f t="shared" ca="1" si="41"/>
        <v/>
      </c>
      <c r="S185" s="55" t="str">
        <f t="shared" ca="1" si="44"/>
        <v/>
      </c>
      <c r="T185" s="67" t="str">
        <f t="shared" ca="1" si="52"/>
        <v>-</v>
      </c>
      <c r="V185" s="68" t="str">
        <f t="shared" ca="1" si="46"/>
        <v/>
      </c>
      <c r="W185" s="69" t="str">
        <f t="shared" ca="1" si="47"/>
        <v/>
      </c>
      <c r="X185" s="70" t="s">
        <v>84</v>
      </c>
      <c r="Y185" s="68" t="str">
        <f t="shared" ca="1" si="51"/>
        <v/>
      </c>
      <c r="Z185" s="71" t="str">
        <f t="shared" ca="1" si="48"/>
        <v/>
      </c>
      <c r="AA185" s="72" t="str">
        <f t="shared" ca="1" si="49"/>
        <v/>
      </c>
      <c r="AB185" s="72" t="str">
        <f t="shared" ca="1" si="50"/>
        <v/>
      </c>
    </row>
    <row r="186" spans="4:28" ht="24" customHeight="1">
      <c r="D186" s="57">
        <f ca="1">INDIRECT(ADDRESS(ROWS($D$3:D185)+6,D$3,1,1,"3_TIME SUM"))</f>
        <v>0</v>
      </c>
      <c r="E186" s="81" t="str">
        <f ca="1">IF(INDIRECT(ADDRESS(ROWS($E$3:E185)+6,E$3,1,1,"3_TIME SUM"))=0,E185,INDIRECT(ADDRESS(ROWS($E$3:E185)+6,E$3,1,1,"3_TIME SUM")))</f>
        <v>X-Mastree</v>
      </c>
      <c r="F186" s="57" t="str">
        <f t="shared" ca="1" si="42"/>
        <v>X-Mastree : 0</v>
      </c>
      <c r="G186" s="58" t="e">
        <f ca="1">VLOOKUP($D186,INDIRECT(ADDRESS(7,5,1,1,"3_TIME SUM")):INDIRECT(ADDRESS(200,7,1,1,"3_TIME SUM")),2,FALSE)</f>
        <v>#N/A</v>
      </c>
      <c r="H186" s="58" t="e">
        <f ca="1">IF(VLOOKUP($D186,INDIRECT(ADDRESS(7,5,1,1,"3_TIME SUM")):INDIRECT(ADDRESS(200,7,1,1,"3_TIME SUM")),3,FALSE)="","PT",VLOOKUP($D186,INDIRECT(ADDRESS(7,5,1,1,"3_TIME SUM")):INDIRECT(ADDRESS(200,7,1,1,"3_TIME SUM")),3,FALSE))</f>
        <v>#N/A</v>
      </c>
      <c r="I186" s="59">
        <f ca="1">IFERROR(IF(AND($D$2="NON PRODUCTIVE TIME",$H186="NPT"),SUMIF(INDIRECT(ADDRESS(8,COLUMN('2_DATA'!$M$9),1,1,"2_DATA")):INDIRECT(ADDRESS(3000,COLUMN('2_DATA'!$M$9),1,1,"2_DATA")),$G186,INDIRECT(ADDRESS(8,COLUMN('2_DATA'!$N$9),1,1,"2_DATA")):INDIRECT(ADDRESS(3000,COLUMN('2_DATA'!$N$9),1,1,"2_DATA"))),IF($D$2="ALL ACTIVITY",SUMIF(INDIRECT(ADDRESS(9,COLUMN('2_DATA'!$M$9),1,1,"2_DATA")):INDIRECT(ADDRESS(3000,COLUMN('2_DATA'!$M$9),1,1,"2_DATA")),$G186,INDIRECT(ADDRESS(9,COLUMN('2_DATA'!$N$9),1,1,"2_DATA")):INDIRECT(ADDRESS(3000,COLUMN('2_DATA'!$N$9),1,1,"2_DATA"))),SUMIF(INDIRECT(ADDRESS(OFFSET($A$3,MATCH($D$2,$A$4:$A$16,0)-1,1,,)+1,COLUMN('2_DATA'!$M$9),1,1,"2_DATA")):INDIRECT(ADDRESS(VLOOKUP($D$2,$A$4:$B$16,2,FALSE)-1,COLUMN('2_DATA'!$M$9),1,1,"2_DATA")),$G186,INDIRECT(ADDRESS(OFFSET($A$3,MATCH($D$2,$A$4:$A$16,0)-1,1,,)+1,COLUMN('2_DATA'!$N$9),1,1,"2_DATA")):INDIRECT(ADDRESS(VLOOKUP($D$2,$A$4:$B$16,2,FALSE)-1,COLUMN('2_DATA'!$N$9),1,1,"2_DATA"))))),0)</f>
        <v>0</v>
      </c>
      <c r="J186" s="58" t="str">
        <f ca="1">IF(I186=0,"",MAX($J$3:J185)+1)</f>
        <v/>
      </c>
      <c r="L186" s="55" t="str">
        <f t="shared" ca="1" si="39"/>
        <v/>
      </c>
      <c r="M186" s="55" t="str">
        <f t="shared" ca="1" si="43"/>
        <v/>
      </c>
      <c r="N186" s="55"/>
      <c r="O186" s="55" t="str">
        <f t="shared" ca="1" si="45"/>
        <v/>
      </c>
      <c r="P186" s="55">
        <f t="shared" ca="1" si="40"/>
        <v>0</v>
      </c>
      <c r="Q186" s="55" t="str">
        <f ca="1">IFERROR(INDEX($O$4:$P$226,MATCH(ROWS($Q$3:Q185),$P$4:$P$226,0),1),"-")</f>
        <v>-</v>
      </c>
      <c r="R186" s="62" t="str">
        <f t="shared" ca="1" si="41"/>
        <v/>
      </c>
      <c r="S186" s="55" t="str">
        <f t="shared" ca="1" si="44"/>
        <v/>
      </c>
      <c r="T186" s="67" t="str">
        <f t="shared" ca="1" si="52"/>
        <v>-</v>
      </c>
      <c r="V186" s="68" t="str">
        <f t="shared" ca="1" si="46"/>
        <v/>
      </c>
      <c r="W186" s="69" t="str">
        <f t="shared" ca="1" si="47"/>
        <v/>
      </c>
      <c r="X186" s="70" t="s">
        <v>84</v>
      </c>
      <c r="Y186" s="68" t="str">
        <f t="shared" ca="1" si="51"/>
        <v/>
      </c>
      <c r="Z186" s="71" t="str">
        <f t="shared" ca="1" si="48"/>
        <v/>
      </c>
      <c r="AA186" s="72" t="str">
        <f t="shared" ca="1" si="49"/>
        <v/>
      </c>
      <c r="AB186" s="72" t="str">
        <f t="shared" ca="1" si="50"/>
        <v/>
      </c>
    </row>
    <row r="187" spans="4:28" ht="24" customHeight="1">
      <c r="D187" s="57">
        <f ca="1">INDIRECT(ADDRESS(ROWS($D$3:D186)+6,D$3,1,1,"3_TIME SUM"))</f>
        <v>0</v>
      </c>
      <c r="E187" s="81" t="str">
        <f ca="1">IF(INDIRECT(ADDRESS(ROWS($E$3:E186)+6,E$3,1,1,"3_TIME SUM"))=0,E186,INDIRECT(ADDRESS(ROWS($E$3:E186)+6,E$3,1,1,"3_TIME SUM")))</f>
        <v>X-Mastree</v>
      </c>
      <c r="F187" s="57" t="str">
        <f t="shared" ca="1" si="42"/>
        <v>X-Mastree : 0</v>
      </c>
      <c r="G187" s="58" t="e">
        <f ca="1">VLOOKUP($D187,INDIRECT(ADDRESS(7,5,1,1,"3_TIME SUM")):INDIRECT(ADDRESS(200,7,1,1,"3_TIME SUM")),2,FALSE)</f>
        <v>#N/A</v>
      </c>
      <c r="H187" s="58" t="e">
        <f ca="1">IF(VLOOKUP($D187,INDIRECT(ADDRESS(7,5,1,1,"3_TIME SUM")):INDIRECT(ADDRESS(200,7,1,1,"3_TIME SUM")),3,FALSE)="","PT",VLOOKUP($D187,INDIRECT(ADDRESS(7,5,1,1,"3_TIME SUM")):INDIRECT(ADDRESS(200,7,1,1,"3_TIME SUM")),3,FALSE))</f>
        <v>#N/A</v>
      </c>
      <c r="I187" s="59">
        <f ca="1">IFERROR(IF(AND($D$2="NON PRODUCTIVE TIME",$H187="NPT"),SUMIF(INDIRECT(ADDRESS(8,COLUMN('2_DATA'!$M$9),1,1,"2_DATA")):INDIRECT(ADDRESS(3000,COLUMN('2_DATA'!$M$9),1,1,"2_DATA")),$G187,INDIRECT(ADDRESS(8,COLUMN('2_DATA'!$N$9),1,1,"2_DATA")):INDIRECT(ADDRESS(3000,COLUMN('2_DATA'!$N$9),1,1,"2_DATA"))),IF($D$2="ALL ACTIVITY",SUMIF(INDIRECT(ADDRESS(9,COLUMN('2_DATA'!$M$9),1,1,"2_DATA")):INDIRECT(ADDRESS(3000,COLUMN('2_DATA'!$M$9),1,1,"2_DATA")),$G187,INDIRECT(ADDRESS(9,COLUMN('2_DATA'!$N$9),1,1,"2_DATA")):INDIRECT(ADDRESS(3000,COLUMN('2_DATA'!$N$9),1,1,"2_DATA"))),SUMIF(INDIRECT(ADDRESS(OFFSET($A$3,MATCH($D$2,$A$4:$A$16,0)-1,1,,)+1,COLUMN('2_DATA'!$M$9),1,1,"2_DATA")):INDIRECT(ADDRESS(VLOOKUP($D$2,$A$4:$B$16,2,FALSE)-1,COLUMN('2_DATA'!$M$9),1,1,"2_DATA")),$G187,INDIRECT(ADDRESS(OFFSET($A$3,MATCH($D$2,$A$4:$A$16,0)-1,1,,)+1,COLUMN('2_DATA'!$N$9),1,1,"2_DATA")):INDIRECT(ADDRESS(VLOOKUP($D$2,$A$4:$B$16,2,FALSE)-1,COLUMN('2_DATA'!$N$9),1,1,"2_DATA"))))),0)</f>
        <v>0</v>
      </c>
      <c r="J187" s="58" t="str">
        <f ca="1">IF(I187=0,"",MAX($J$3:J186)+1)</f>
        <v/>
      </c>
      <c r="L187" s="55" t="str">
        <f t="shared" ca="1" si="39"/>
        <v/>
      </c>
      <c r="M187" s="55" t="str">
        <f t="shared" ca="1" si="43"/>
        <v/>
      </c>
      <c r="N187" s="55"/>
      <c r="O187" s="55" t="str">
        <f t="shared" ca="1" si="45"/>
        <v/>
      </c>
      <c r="P187" s="55">
        <f t="shared" ca="1" si="40"/>
        <v>0</v>
      </c>
      <c r="Q187" s="55" t="str">
        <f ca="1">IFERROR(INDEX($O$4:$P$226,MATCH(ROWS($Q$3:Q186),$P$4:$P$226,0),1),"-")</f>
        <v>-</v>
      </c>
      <c r="R187" s="62" t="str">
        <f t="shared" ca="1" si="41"/>
        <v/>
      </c>
      <c r="S187" s="55" t="str">
        <f t="shared" ca="1" si="44"/>
        <v/>
      </c>
      <c r="T187" s="67" t="str">
        <f t="shared" ca="1" si="52"/>
        <v>-</v>
      </c>
      <c r="V187" s="68" t="str">
        <f t="shared" ca="1" si="46"/>
        <v/>
      </c>
      <c r="W187" s="69" t="str">
        <f t="shared" ca="1" si="47"/>
        <v/>
      </c>
      <c r="X187" s="70" t="s">
        <v>84</v>
      </c>
      <c r="Y187" s="68" t="str">
        <f t="shared" ca="1" si="51"/>
        <v/>
      </c>
      <c r="Z187" s="71" t="str">
        <f t="shared" ca="1" si="48"/>
        <v/>
      </c>
      <c r="AA187" s="72" t="str">
        <f t="shared" ca="1" si="49"/>
        <v/>
      </c>
      <c r="AB187" s="72" t="str">
        <f t="shared" ca="1" si="50"/>
        <v/>
      </c>
    </row>
    <row r="188" spans="4:28" ht="24" customHeight="1">
      <c r="D188" s="57">
        <f ca="1">INDIRECT(ADDRESS(ROWS($D$3:D187)+6,D$3,1,1,"3_TIME SUM"))</f>
        <v>0</v>
      </c>
      <c r="E188" s="81" t="str">
        <f ca="1">IF(INDIRECT(ADDRESS(ROWS($E$3:E187)+6,E$3,1,1,"3_TIME SUM"))=0,E187,INDIRECT(ADDRESS(ROWS($E$3:E187)+6,E$3,1,1,"3_TIME SUM")))</f>
        <v>X-Mastree</v>
      </c>
      <c r="F188" s="57" t="str">
        <f t="shared" ca="1" si="42"/>
        <v>X-Mastree : 0</v>
      </c>
      <c r="G188" s="58" t="e">
        <f ca="1">VLOOKUP($D188,INDIRECT(ADDRESS(7,5,1,1,"3_TIME SUM")):INDIRECT(ADDRESS(200,7,1,1,"3_TIME SUM")),2,FALSE)</f>
        <v>#N/A</v>
      </c>
      <c r="H188" s="58" t="e">
        <f ca="1">IF(VLOOKUP($D188,INDIRECT(ADDRESS(7,5,1,1,"3_TIME SUM")):INDIRECT(ADDRESS(200,7,1,1,"3_TIME SUM")),3,FALSE)="","PT",VLOOKUP($D188,INDIRECT(ADDRESS(7,5,1,1,"3_TIME SUM")):INDIRECT(ADDRESS(200,7,1,1,"3_TIME SUM")),3,FALSE))</f>
        <v>#N/A</v>
      </c>
      <c r="I188" s="59">
        <f ca="1">IFERROR(IF(AND($D$2="NON PRODUCTIVE TIME",$H188="NPT"),SUMIF(INDIRECT(ADDRESS(8,COLUMN('2_DATA'!$M$9),1,1,"2_DATA")):INDIRECT(ADDRESS(3000,COLUMN('2_DATA'!$M$9),1,1,"2_DATA")),$G188,INDIRECT(ADDRESS(8,COLUMN('2_DATA'!$N$9),1,1,"2_DATA")):INDIRECT(ADDRESS(3000,COLUMN('2_DATA'!$N$9),1,1,"2_DATA"))),IF($D$2="ALL ACTIVITY",SUMIF(INDIRECT(ADDRESS(9,COLUMN('2_DATA'!$M$9),1,1,"2_DATA")):INDIRECT(ADDRESS(3000,COLUMN('2_DATA'!$M$9),1,1,"2_DATA")),$G188,INDIRECT(ADDRESS(9,COLUMN('2_DATA'!$N$9),1,1,"2_DATA")):INDIRECT(ADDRESS(3000,COLUMN('2_DATA'!$N$9),1,1,"2_DATA"))),SUMIF(INDIRECT(ADDRESS(OFFSET($A$3,MATCH($D$2,$A$4:$A$16,0)-1,1,,)+1,COLUMN('2_DATA'!$M$9),1,1,"2_DATA")):INDIRECT(ADDRESS(VLOOKUP($D$2,$A$4:$B$16,2,FALSE)-1,COLUMN('2_DATA'!$M$9),1,1,"2_DATA")),$G188,INDIRECT(ADDRESS(OFFSET($A$3,MATCH($D$2,$A$4:$A$16,0)-1,1,,)+1,COLUMN('2_DATA'!$N$9),1,1,"2_DATA")):INDIRECT(ADDRESS(VLOOKUP($D$2,$A$4:$B$16,2,FALSE)-1,COLUMN('2_DATA'!$N$9),1,1,"2_DATA"))))),0)</f>
        <v>0</v>
      </c>
      <c r="J188" s="58" t="str">
        <f ca="1">IF(I188=0,"",MAX($J$3:J187)+1)</f>
        <v/>
      </c>
      <c r="L188" s="55" t="str">
        <f t="shared" ca="1" si="39"/>
        <v/>
      </c>
      <c r="M188" s="55" t="str">
        <f t="shared" ca="1" si="43"/>
        <v/>
      </c>
      <c r="N188" s="55"/>
      <c r="O188" s="55" t="str">
        <f t="shared" ca="1" si="45"/>
        <v/>
      </c>
      <c r="P188" s="55">
        <f t="shared" ca="1" si="40"/>
        <v>0</v>
      </c>
      <c r="Q188" s="55" t="str">
        <f ca="1">IFERROR(INDEX($O$4:$P$226,MATCH(ROWS($Q$3:Q187),$P$4:$P$226,0),1),"-")</f>
        <v>-</v>
      </c>
      <c r="R188" s="62" t="str">
        <f t="shared" ca="1" si="41"/>
        <v/>
      </c>
      <c r="S188" s="55" t="str">
        <f t="shared" ca="1" si="44"/>
        <v/>
      </c>
      <c r="T188" s="67" t="str">
        <f t="shared" ca="1" si="52"/>
        <v>-</v>
      </c>
      <c r="V188" s="68" t="str">
        <f t="shared" ca="1" si="46"/>
        <v/>
      </c>
      <c r="W188" s="69" t="str">
        <f t="shared" ca="1" si="47"/>
        <v/>
      </c>
      <c r="X188" s="70" t="s">
        <v>84</v>
      </c>
      <c r="Y188" s="68" t="str">
        <f t="shared" ca="1" si="51"/>
        <v/>
      </c>
      <c r="Z188" s="71" t="str">
        <f t="shared" ca="1" si="48"/>
        <v/>
      </c>
      <c r="AA188" s="72" t="str">
        <f t="shared" ca="1" si="49"/>
        <v/>
      </c>
      <c r="AB188" s="72" t="str">
        <f t="shared" ca="1" si="50"/>
        <v/>
      </c>
    </row>
    <row r="189" spans="4:28" ht="24" customHeight="1">
      <c r="D189" s="57">
        <f ca="1">INDIRECT(ADDRESS(ROWS($D$3:D188)+6,D$3,1,1,"3_TIME SUM"))</f>
        <v>0</v>
      </c>
      <c r="E189" s="81" t="str">
        <f ca="1">IF(INDIRECT(ADDRESS(ROWS($E$3:E188)+6,E$3,1,1,"3_TIME SUM"))=0,E188,INDIRECT(ADDRESS(ROWS($E$3:E188)+6,E$3,1,1,"3_TIME SUM")))</f>
        <v>X-Mastree</v>
      </c>
      <c r="F189" s="57" t="str">
        <f t="shared" ca="1" si="42"/>
        <v>X-Mastree : 0</v>
      </c>
      <c r="G189" s="58" t="e">
        <f ca="1">VLOOKUP($D189,INDIRECT(ADDRESS(7,5,1,1,"3_TIME SUM")):INDIRECT(ADDRESS(200,7,1,1,"3_TIME SUM")),2,FALSE)</f>
        <v>#N/A</v>
      </c>
      <c r="H189" s="58" t="e">
        <f ca="1">IF(VLOOKUP($D189,INDIRECT(ADDRESS(7,5,1,1,"3_TIME SUM")):INDIRECT(ADDRESS(200,7,1,1,"3_TIME SUM")),3,FALSE)="","PT",VLOOKUP($D189,INDIRECT(ADDRESS(7,5,1,1,"3_TIME SUM")):INDIRECT(ADDRESS(200,7,1,1,"3_TIME SUM")),3,FALSE))</f>
        <v>#N/A</v>
      </c>
      <c r="I189" s="59">
        <f ca="1">IFERROR(IF(AND($D$2="NON PRODUCTIVE TIME",$H189="NPT"),SUMIF(INDIRECT(ADDRESS(8,COLUMN('2_DATA'!$M$9),1,1,"2_DATA")):INDIRECT(ADDRESS(3000,COLUMN('2_DATA'!$M$9),1,1,"2_DATA")),$G189,INDIRECT(ADDRESS(8,COLUMN('2_DATA'!$N$9),1,1,"2_DATA")):INDIRECT(ADDRESS(3000,COLUMN('2_DATA'!$N$9),1,1,"2_DATA"))),IF($D$2="ALL ACTIVITY",SUMIF(INDIRECT(ADDRESS(9,COLUMN('2_DATA'!$M$9),1,1,"2_DATA")):INDIRECT(ADDRESS(3000,COLUMN('2_DATA'!$M$9),1,1,"2_DATA")),$G189,INDIRECT(ADDRESS(9,COLUMN('2_DATA'!$N$9),1,1,"2_DATA")):INDIRECT(ADDRESS(3000,COLUMN('2_DATA'!$N$9),1,1,"2_DATA"))),SUMIF(INDIRECT(ADDRESS(OFFSET($A$3,MATCH($D$2,$A$4:$A$16,0)-1,1,,)+1,COLUMN('2_DATA'!$M$9),1,1,"2_DATA")):INDIRECT(ADDRESS(VLOOKUP($D$2,$A$4:$B$16,2,FALSE)-1,COLUMN('2_DATA'!$M$9),1,1,"2_DATA")),$G189,INDIRECT(ADDRESS(OFFSET($A$3,MATCH($D$2,$A$4:$A$16,0)-1,1,,)+1,COLUMN('2_DATA'!$N$9),1,1,"2_DATA")):INDIRECT(ADDRESS(VLOOKUP($D$2,$A$4:$B$16,2,FALSE)-1,COLUMN('2_DATA'!$N$9),1,1,"2_DATA"))))),0)</f>
        <v>0</v>
      </c>
      <c r="J189" s="58" t="str">
        <f ca="1">IF(I189=0,"",MAX($J$3:J188)+1)</f>
        <v/>
      </c>
      <c r="L189" s="55" t="str">
        <f t="shared" ca="1" si="39"/>
        <v/>
      </c>
      <c r="M189" s="55" t="str">
        <f t="shared" ca="1" si="43"/>
        <v/>
      </c>
      <c r="N189" s="55"/>
      <c r="O189" s="55" t="str">
        <f t="shared" ca="1" si="45"/>
        <v/>
      </c>
      <c r="P189" s="55">
        <f t="shared" ca="1" si="40"/>
        <v>0</v>
      </c>
      <c r="Q189" s="55" t="str">
        <f ca="1">IFERROR(INDEX($O$4:$P$226,MATCH(ROWS($Q$3:Q188),$P$4:$P$226,0),1),"-")</f>
        <v>-</v>
      </c>
      <c r="R189" s="62" t="str">
        <f t="shared" ca="1" si="41"/>
        <v/>
      </c>
      <c r="S189" s="55" t="str">
        <f t="shared" ca="1" si="44"/>
        <v/>
      </c>
      <c r="T189" s="67" t="str">
        <f t="shared" ca="1" si="52"/>
        <v>-</v>
      </c>
      <c r="V189" s="68" t="str">
        <f t="shared" ca="1" si="46"/>
        <v/>
      </c>
      <c r="W189" s="69" t="str">
        <f t="shared" ca="1" si="47"/>
        <v/>
      </c>
      <c r="X189" s="70" t="s">
        <v>84</v>
      </c>
      <c r="Y189" s="68" t="str">
        <f t="shared" ca="1" si="51"/>
        <v/>
      </c>
      <c r="Z189" s="71" t="str">
        <f t="shared" ca="1" si="48"/>
        <v/>
      </c>
      <c r="AA189" s="72" t="str">
        <f t="shared" ca="1" si="49"/>
        <v/>
      </c>
      <c r="AB189" s="72" t="str">
        <f t="shared" ca="1" si="50"/>
        <v/>
      </c>
    </row>
    <row r="190" spans="4:28" ht="24" customHeight="1">
      <c r="D190" s="57">
        <f ca="1">INDIRECT(ADDRESS(ROWS($D$3:D189)+6,D$3,1,1,"3_TIME SUM"))</f>
        <v>0</v>
      </c>
      <c r="E190" s="81" t="str">
        <f ca="1">IF(INDIRECT(ADDRESS(ROWS($E$3:E189)+6,E$3,1,1,"3_TIME SUM"))=0,E189,INDIRECT(ADDRESS(ROWS($E$3:E189)+6,E$3,1,1,"3_TIME SUM")))</f>
        <v>X-Mastree</v>
      </c>
      <c r="F190" s="57" t="str">
        <f t="shared" ca="1" si="42"/>
        <v>X-Mastree : 0</v>
      </c>
      <c r="G190" s="58" t="e">
        <f ca="1">VLOOKUP($D190,INDIRECT(ADDRESS(7,5,1,1,"3_TIME SUM")):INDIRECT(ADDRESS(200,7,1,1,"3_TIME SUM")),2,FALSE)</f>
        <v>#N/A</v>
      </c>
      <c r="H190" s="58" t="e">
        <f ca="1">IF(VLOOKUP($D190,INDIRECT(ADDRESS(7,5,1,1,"3_TIME SUM")):INDIRECT(ADDRESS(200,7,1,1,"3_TIME SUM")),3,FALSE)="","PT",VLOOKUP($D190,INDIRECT(ADDRESS(7,5,1,1,"3_TIME SUM")):INDIRECT(ADDRESS(200,7,1,1,"3_TIME SUM")),3,FALSE))</f>
        <v>#N/A</v>
      </c>
      <c r="I190" s="59">
        <f ca="1">IFERROR(IF(AND($D$2="NON PRODUCTIVE TIME",$H190="NPT"),SUMIF(INDIRECT(ADDRESS(8,COLUMN('2_DATA'!$M$9),1,1,"2_DATA")):INDIRECT(ADDRESS(3000,COLUMN('2_DATA'!$M$9),1,1,"2_DATA")),$G190,INDIRECT(ADDRESS(8,COLUMN('2_DATA'!$N$9),1,1,"2_DATA")):INDIRECT(ADDRESS(3000,COLUMN('2_DATA'!$N$9),1,1,"2_DATA"))),IF($D$2="ALL ACTIVITY",SUMIF(INDIRECT(ADDRESS(9,COLUMN('2_DATA'!$M$9),1,1,"2_DATA")):INDIRECT(ADDRESS(3000,COLUMN('2_DATA'!$M$9),1,1,"2_DATA")),$G190,INDIRECT(ADDRESS(9,COLUMN('2_DATA'!$N$9),1,1,"2_DATA")):INDIRECT(ADDRESS(3000,COLUMN('2_DATA'!$N$9),1,1,"2_DATA"))),SUMIF(INDIRECT(ADDRESS(OFFSET($A$3,MATCH($D$2,$A$4:$A$16,0)-1,1,,)+1,COLUMN('2_DATA'!$M$9),1,1,"2_DATA")):INDIRECT(ADDRESS(VLOOKUP($D$2,$A$4:$B$16,2,FALSE)-1,COLUMN('2_DATA'!$M$9),1,1,"2_DATA")),$G190,INDIRECT(ADDRESS(OFFSET($A$3,MATCH($D$2,$A$4:$A$16,0)-1,1,,)+1,COLUMN('2_DATA'!$N$9),1,1,"2_DATA")):INDIRECT(ADDRESS(VLOOKUP($D$2,$A$4:$B$16,2,FALSE)-1,COLUMN('2_DATA'!$N$9),1,1,"2_DATA"))))),0)</f>
        <v>0</v>
      </c>
      <c r="J190" s="58" t="str">
        <f ca="1">IF(I190=0,"",MAX($J$3:J189)+1)</f>
        <v/>
      </c>
      <c r="L190" s="55" t="str">
        <f t="shared" ca="1" si="39"/>
        <v/>
      </c>
      <c r="M190" s="55" t="str">
        <f t="shared" ca="1" si="43"/>
        <v/>
      </c>
      <c r="N190" s="55"/>
      <c r="O190" s="55" t="str">
        <f t="shared" ca="1" si="45"/>
        <v/>
      </c>
      <c r="P190" s="55">
        <f t="shared" ca="1" si="40"/>
        <v>0</v>
      </c>
      <c r="Q190" s="55" t="str">
        <f ca="1">IFERROR(INDEX($O$4:$P$226,MATCH(ROWS($Q$3:Q189),$P$4:$P$226,0),1),"-")</f>
        <v>-</v>
      </c>
      <c r="R190" s="62" t="str">
        <f t="shared" ca="1" si="41"/>
        <v/>
      </c>
      <c r="S190" s="55" t="str">
        <f t="shared" ca="1" si="44"/>
        <v/>
      </c>
      <c r="T190" s="67" t="str">
        <f t="shared" ca="1" si="52"/>
        <v>-</v>
      </c>
      <c r="V190" s="68" t="str">
        <f t="shared" ca="1" si="46"/>
        <v/>
      </c>
      <c r="W190" s="69" t="str">
        <f t="shared" ca="1" si="47"/>
        <v/>
      </c>
      <c r="X190" s="70" t="s">
        <v>84</v>
      </c>
      <c r="Y190" s="68" t="str">
        <f t="shared" ca="1" si="51"/>
        <v/>
      </c>
      <c r="Z190" s="71" t="str">
        <f t="shared" ca="1" si="48"/>
        <v/>
      </c>
      <c r="AA190" s="72" t="str">
        <f t="shared" ca="1" si="49"/>
        <v/>
      </c>
      <c r="AB190" s="72" t="str">
        <f t="shared" ca="1" si="50"/>
        <v/>
      </c>
    </row>
    <row r="191" spans="4:28" ht="24" customHeight="1">
      <c r="D191" s="57">
        <f ca="1">INDIRECT(ADDRESS(ROWS($D$3:D190)+6,D$3,1,1,"3_TIME SUM"))</f>
        <v>0</v>
      </c>
      <c r="E191" s="81" t="str">
        <f ca="1">IF(INDIRECT(ADDRESS(ROWS($E$3:E190)+6,E$3,1,1,"3_TIME SUM"))=0,E190,INDIRECT(ADDRESS(ROWS($E$3:E190)+6,E$3,1,1,"3_TIME SUM")))</f>
        <v>X-Mastree</v>
      </c>
      <c r="F191" s="57" t="str">
        <f t="shared" ca="1" si="42"/>
        <v>X-Mastree : 0</v>
      </c>
      <c r="G191" s="58" t="e">
        <f ca="1">VLOOKUP($D191,INDIRECT(ADDRESS(7,5,1,1,"3_TIME SUM")):INDIRECT(ADDRESS(200,7,1,1,"3_TIME SUM")),2,FALSE)</f>
        <v>#N/A</v>
      </c>
      <c r="H191" s="58" t="e">
        <f ca="1">IF(VLOOKUP($D191,INDIRECT(ADDRESS(7,5,1,1,"3_TIME SUM")):INDIRECT(ADDRESS(200,7,1,1,"3_TIME SUM")),3,FALSE)="","PT",VLOOKUP($D191,INDIRECT(ADDRESS(7,5,1,1,"3_TIME SUM")):INDIRECT(ADDRESS(200,7,1,1,"3_TIME SUM")),3,FALSE))</f>
        <v>#N/A</v>
      </c>
      <c r="I191" s="59">
        <f ca="1">IFERROR(IF(AND($D$2="NON PRODUCTIVE TIME",$H191="NPT"),SUMIF(INDIRECT(ADDRESS(8,COLUMN('2_DATA'!$M$9),1,1,"2_DATA")):INDIRECT(ADDRESS(3000,COLUMN('2_DATA'!$M$9),1,1,"2_DATA")),$G191,INDIRECT(ADDRESS(8,COLUMN('2_DATA'!$N$9),1,1,"2_DATA")):INDIRECT(ADDRESS(3000,COLUMN('2_DATA'!$N$9),1,1,"2_DATA"))),IF($D$2="ALL ACTIVITY",SUMIF(INDIRECT(ADDRESS(9,COLUMN('2_DATA'!$M$9),1,1,"2_DATA")):INDIRECT(ADDRESS(3000,COLUMN('2_DATA'!$M$9),1,1,"2_DATA")),$G191,INDIRECT(ADDRESS(9,COLUMN('2_DATA'!$N$9),1,1,"2_DATA")):INDIRECT(ADDRESS(3000,COLUMN('2_DATA'!$N$9),1,1,"2_DATA"))),SUMIF(INDIRECT(ADDRESS(OFFSET($A$3,MATCH($D$2,$A$4:$A$16,0)-1,1,,)+1,COLUMN('2_DATA'!$M$9),1,1,"2_DATA")):INDIRECT(ADDRESS(VLOOKUP($D$2,$A$4:$B$16,2,FALSE)-1,COLUMN('2_DATA'!$M$9),1,1,"2_DATA")),$G191,INDIRECT(ADDRESS(OFFSET($A$3,MATCH($D$2,$A$4:$A$16,0)-1,1,,)+1,COLUMN('2_DATA'!$N$9),1,1,"2_DATA")):INDIRECT(ADDRESS(VLOOKUP($D$2,$A$4:$B$16,2,FALSE)-1,COLUMN('2_DATA'!$N$9),1,1,"2_DATA"))))),0)</f>
        <v>0</v>
      </c>
      <c r="J191" s="58" t="str">
        <f ca="1">IF(I191=0,"",MAX($J$3:J190)+1)</f>
        <v/>
      </c>
      <c r="L191" s="55" t="str">
        <f t="shared" ca="1" si="39"/>
        <v/>
      </c>
      <c r="M191" s="55" t="str">
        <f t="shared" ca="1" si="43"/>
        <v/>
      </c>
      <c r="N191" s="55"/>
      <c r="O191" s="55" t="str">
        <f t="shared" ca="1" si="45"/>
        <v/>
      </c>
      <c r="P191" s="55">
        <f t="shared" ca="1" si="40"/>
        <v>0</v>
      </c>
      <c r="Q191" s="55" t="str">
        <f ca="1">IFERROR(INDEX($O$4:$P$226,MATCH(ROWS($Q$3:Q190),$P$4:$P$226,0),1),"-")</f>
        <v>-</v>
      </c>
      <c r="R191" s="62" t="str">
        <f t="shared" ca="1" si="41"/>
        <v/>
      </c>
      <c r="S191" s="55" t="str">
        <f t="shared" ca="1" si="44"/>
        <v/>
      </c>
      <c r="T191" s="67" t="str">
        <f t="shared" ca="1" si="52"/>
        <v>-</v>
      </c>
      <c r="V191" s="68" t="str">
        <f t="shared" ca="1" si="46"/>
        <v/>
      </c>
      <c r="W191" s="69" t="str">
        <f t="shared" ca="1" si="47"/>
        <v/>
      </c>
      <c r="X191" s="70" t="s">
        <v>84</v>
      </c>
      <c r="Y191" s="68" t="str">
        <f t="shared" ca="1" si="51"/>
        <v/>
      </c>
      <c r="Z191" s="71" t="str">
        <f t="shared" ca="1" si="48"/>
        <v/>
      </c>
      <c r="AA191" s="72" t="str">
        <f t="shared" ca="1" si="49"/>
        <v/>
      </c>
      <c r="AB191" s="72" t="str">
        <f t="shared" ca="1" si="50"/>
        <v/>
      </c>
    </row>
    <row r="192" spans="4:28" ht="24" customHeight="1">
      <c r="D192" s="57">
        <f ca="1">INDIRECT(ADDRESS(ROWS($D$3:D191)+6,D$3,1,1,"3_TIME SUM"))</f>
        <v>0</v>
      </c>
      <c r="E192" s="81" t="str">
        <f ca="1">IF(INDIRECT(ADDRESS(ROWS($E$3:E191)+6,E$3,1,1,"3_TIME SUM"))=0,E191,INDIRECT(ADDRESS(ROWS($E$3:E191)+6,E$3,1,1,"3_TIME SUM")))</f>
        <v>X-Mastree</v>
      </c>
      <c r="F192" s="57" t="str">
        <f t="shared" ca="1" si="42"/>
        <v>X-Mastree : 0</v>
      </c>
      <c r="G192" s="58" t="e">
        <f ca="1">VLOOKUP($D192,INDIRECT(ADDRESS(7,5,1,1,"3_TIME SUM")):INDIRECT(ADDRESS(200,7,1,1,"3_TIME SUM")),2,FALSE)</f>
        <v>#N/A</v>
      </c>
      <c r="H192" s="58" t="e">
        <f ca="1">IF(VLOOKUP($D192,INDIRECT(ADDRESS(7,5,1,1,"3_TIME SUM")):INDIRECT(ADDRESS(200,7,1,1,"3_TIME SUM")),3,FALSE)="","PT",VLOOKUP($D192,INDIRECT(ADDRESS(7,5,1,1,"3_TIME SUM")):INDIRECT(ADDRESS(200,7,1,1,"3_TIME SUM")),3,FALSE))</f>
        <v>#N/A</v>
      </c>
      <c r="I192" s="59">
        <f ca="1">IFERROR(IF(AND($D$2="NON PRODUCTIVE TIME",$H192="NPT"),SUMIF(INDIRECT(ADDRESS(8,COLUMN('2_DATA'!$M$9),1,1,"2_DATA")):INDIRECT(ADDRESS(3000,COLUMN('2_DATA'!$M$9),1,1,"2_DATA")),$G192,INDIRECT(ADDRESS(8,COLUMN('2_DATA'!$N$9),1,1,"2_DATA")):INDIRECT(ADDRESS(3000,COLUMN('2_DATA'!$N$9),1,1,"2_DATA"))),IF($D$2="ALL ACTIVITY",SUMIF(INDIRECT(ADDRESS(9,COLUMN('2_DATA'!$M$9),1,1,"2_DATA")):INDIRECT(ADDRESS(3000,COLUMN('2_DATA'!$M$9),1,1,"2_DATA")),$G192,INDIRECT(ADDRESS(9,COLUMN('2_DATA'!$N$9),1,1,"2_DATA")):INDIRECT(ADDRESS(3000,COLUMN('2_DATA'!$N$9),1,1,"2_DATA"))),SUMIF(INDIRECT(ADDRESS(OFFSET($A$3,MATCH($D$2,$A$4:$A$16,0)-1,1,,)+1,COLUMN('2_DATA'!$M$9),1,1,"2_DATA")):INDIRECT(ADDRESS(VLOOKUP($D$2,$A$4:$B$16,2,FALSE)-1,COLUMN('2_DATA'!$M$9),1,1,"2_DATA")),$G192,INDIRECT(ADDRESS(OFFSET($A$3,MATCH($D$2,$A$4:$A$16,0)-1,1,,)+1,COLUMN('2_DATA'!$N$9),1,1,"2_DATA")):INDIRECT(ADDRESS(VLOOKUP($D$2,$A$4:$B$16,2,FALSE)-1,COLUMN('2_DATA'!$N$9),1,1,"2_DATA"))))),0)</f>
        <v>0</v>
      </c>
      <c r="J192" s="58" t="str">
        <f ca="1">IF(I192=0,"",MAX($J$3:J191)+1)</f>
        <v/>
      </c>
      <c r="L192" s="55" t="str">
        <f t="shared" ca="1" si="39"/>
        <v/>
      </c>
      <c r="M192" s="55" t="str">
        <f t="shared" ca="1" si="43"/>
        <v/>
      </c>
      <c r="N192" s="55"/>
      <c r="O192" s="55" t="str">
        <f t="shared" ca="1" si="45"/>
        <v/>
      </c>
      <c r="P192" s="55">
        <f t="shared" ca="1" si="40"/>
        <v>0</v>
      </c>
      <c r="Q192" s="55" t="str">
        <f ca="1">IFERROR(INDEX($O$4:$P$226,MATCH(ROWS($Q$3:Q191),$P$4:$P$226,0),1),"-")</f>
        <v>-</v>
      </c>
      <c r="R192" s="62" t="str">
        <f t="shared" ca="1" si="41"/>
        <v/>
      </c>
      <c r="S192" s="55" t="str">
        <f t="shared" ca="1" si="44"/>
        <v/>
      </c>
      <c r="T192" s="67" t="str">
        <f t="shared" ca="1" si="52"/>
        <v>-</v>
      </c>
      <c r="V192" s="68" t="str">
        <f t="shared" ca="1" si="46"/>
        <v/>
      </c>
      <c r="W192" s="69" t="str">
        <f t="shared" ca="1" si="47"/>
        <v/>
      </c>
      <c r="X192" s="70" t="s">
        <v>84</v>
      </c>
      <c r="Y192" s="68" t="str">
        <f t="shared" ca="1" si="51"/>
        <v/>
      </c>
      <c r="Z192" s="71" t="str">
        <f t="shared" ca="1" si="48"/>
        <v/>
      </c>
      <c r="AA192" s="72" t="str">
        <f t="shared" ca="1" si="49"/>
        <v/>
      </c>
      <c r="AB192" s="72" t="str">
        <f t="shared" ca="1" si="50"/>
        <v/>
      </c>
    </row>
    <row r="193" spans="4:28" ht="24" customHeight="1">
      <c r="D193" s="57">
        <f ca="1">INDIRECT(ADDRESS(ROWS($D$3:D192)+6,D$3,1,1,"3_TIME SUM"))</f>
        <v>0</v>
      </c>
      <c r="E193" s="81" t="str">
        <f ca="1">IF(INDIRECT(ADDRESS(ROWS($E$3:E192)+6,E$3,1,1,"3_TIME SUM"))=0,E192,INDIRECT(ADDRESS(ROWS($E$3:E192)+6,E$3,1,1,"3_TIME SUM")))</f>
        <v>X-Mastree</v>
      </c>
      <c r="F193" s="57" t="str">
        <f t="shared" ca="1" si="42"/>
        <v>X-Mastree : 0</v>
      </c>
      <c r="G193" s="58" t="e">
        <f ca="1">VLOOKUP($D193,INDIRECT(ADDRESS(7,5,1,1,"3_TIME SUM")):INDIRECT(ADDRESS(200,7,1,1,"3_TIME SUM")),2,FALSE)</f>
        <v>#N/A</v>
      </c>
      <c r="H193" s="58" t="e">
        <f ca="1">IF(VLOOKUP($D193,INDIRECT(ADDRESS(7,5,1,1,"3_TIME SUM")):INDIRECT(ADDRESS(200,7,1,1,"3_TIME SUM")),3,FALSE)="","PT",VLOOKUP($D193,INDIRECT(ADDRESS(7,5,1,1,"3_TIME SUM")):INDIRECT(ADDRESS(200,7,1,1,"3_TIME SUM")),3,FALSE))</f>
        <v>#N/A</v>
      </c>
      <c r="I193" s="59">
        <f ca="1">IFERROR(IF(AND($D$2="NON PRODUCTIVE TIME",$H193="NPT"),SUMIF(INDIRECT(ADDRESS(8,COLUMN('2_DATA'!$M$9),1,1,"2_DATA")):INDIRECT(ADDRESS(3000,COLUMN('2_DATA'!$M$9),1,1,"2_DATA")),$G193,INDIRECT(ADDRESS(8,COLUMN('2_DATA'!$N$9),1,1,"2_DATA")):INDIRECT(ADDRESS(3000,COLUMN('2_DATA'!$N$9),1,1,"2_DATA"))),IF($D$2="ALL ACTIVITY",SUMIF(INDIRECT(ADDRESS(9,COLUMN('2_DATA'!$M$9),1,1,"2_DATA")):INDIRECT(ADDRESS(3000,COLUMN('2_DATA'!$M$9),1,1,"2_DATA")),$G193,INDIRECT(ADDRESS(9,COLUMN('2_DATA'!$N$9),1,1,"2_DATA")):INDIRECT(ADDRESS(3000,COLUMN('2_DATA'!$N$9),1,1,"2_DATA"))),SUMIF(INDIRECT(ADDRESS(OFFSET($A$3,MATCH($D$2,$A$4:$A$16,0)-1,1,,)+1,COLUMN('2_DATA'!$M$9),1,1,"2_DATA")):INDIRECT(ADDRESS(VLOOKUP($D$2,$A$4:$B$16,2,FALSE)-1,COLUMN('2_DATA'!$M$9),1,1,"2_DATA")),$G193,INDIRECT(ADDRESS(OFFSET($A$3,MATCH($D$2,$A$4:$A$16,0)-1,1,,)+1,COLUMN('2_DATA'!$N$9),1,1,"2_DATA")):INDIRECT(ADDRESS(VLOOKUP($D$2,$A$4:$B$16,2,FALSE)-1,COLUMN('2_DATA'!$N$9),1,1,"2_DATA"))))),0)</f>
        <v>0</v>
      </c>
      <c r="J193" s="58" t="str">
        <f ca="1">IF(I193=0,"",MAX($J$3:J192)+1)</f>
        <v/>
      </c>
      <c r="L193" s="55" t="str">
        <f t="shared" ca="1" si="39"/>
        <v/>
      </c>
      <c r="M193" s="55" t="str">
        <f t="shared" ca="1" si="43"/>
        <v/>
      </c>
      <c r="N193" s="55"/>
      <c r="O193" s="55" t="str">
        <f t="shared" ca="1" si="45"/>
        <v/>
      </c>
      <c r="P193" s="55">
        <f t="shared" ca="1" si="40"/>
        <v>0</v>
      </c>
      <c r="Q193" s="55" t="str">
        <f ca="1">IFERROR(INDEX($O$4:$P$226,MATCH(ROWS($Q$3:Q192),$P$4:$P$226,0),1),"-")</f>
        <v>-</v>
      </c>
      <c r="R193" s="62" t="str">
        <f t="shared" ca="1" si="41"/>
        <v/>
      </c>
      <c r="S193" s="55" t="str">
        <f t="shared" ca="1" si="44"/>
        <v/>
      </c>
      <c r="T193" s="67" t="str">
        <f t="shared" ca="1" si="52"/>
        <v>-</v>
      </c>
      <c r="V193" s="68" t="str">
        <f t="shared" ca="1" si="46"/>
        <v/>
      </c>
      <c r="W193" s="69" t="str">
        <f t="shared" ca="1" si="47"/>
        <v/>
      </c>
      <c r="X193" s="70" t="s">
        <v>84</v>
      </c>
      <c r="Y193" s="68" t="str">
        <f t="shared" ca="1" si="51"/>
        <v/>
      </c>
      <c r="Z193" s="71" t="str">
        <f t="shared" ca="1" si="48"/>
        <v/>
      </c>
      <c r="AA193" s="72" t="str">
        <f t="shared" ca="1" si="49"/>
        <v/>
      </c>
      <c r="AB193" s="72" t="str">
        <f t="shared" ca="1" si="50"/>
        <v/>
      </c>
    </row>
    <row r="194" spans="4:28" ht="24" customHeight="1">
      <c r="D194" s="57">
        <f ca="1">INDIRECT(ADDRESS(ROWS($D$3:D193)+6,D$3,1,1,"3_TIME SUM"))</f>
        <v>0</v>
      </c>
      <c r="E194" s="81" t="str">
        <f ca="1">IF(INDIRECT(ADDRESS(ROWS($E$3:E193)+6,E$3,1,1,"3_TIME SUM"))=0,E193,INDIRECT(ADDRESS(ROWS($E$3:E193)+6,E$3,1,1,"3_TIME SUM")))</f>
        <v>X-Mastree</v>
      </c>
      <c r="F194" s="57" t="str">
        <f t="shared" ca="1" si="42"/>
        <v>X-Mastree : 0</v>
      </c>
      <c r="G194" s="58" t="e">
        <f ca="1">VLOOKUP($D194,INDIRECT(ADDRESS(7,5,1,1,"3_TIME SUM")):INDIRECT(ADDRESS(200,7,1,1,"3_TIME SUM")),2,FALSE)</f>
        <v>#N/A</v>
      </c>
      <c r="H194" s="58" t="e">
        <f ca="1">IF(VLOOKUP($D194,INDIRECT(ADDRESS(7,5,1,1,"3_TIME SUM")):INDIRECT(ADDRESS(200,7,1,1,"3_TIME SUM")),3,FALSE)="","PT",VLOOKUP($D194,INDIRECT(ADDRESS(7,5,1,1,"3_TIME SUM")):INDIRECT(ADDRESS(200,7,1,1,"3_TIME SUM")),3,FALSE))</f>
        <v>#N/A</v>
      </c>
      <c r="I194" s="59">
        <f ca="1">IFERROR(IF(AND($D$2="NON PRODUCTIVE TIME",$H194="NPT"),SUMIF(INDIRECT(ADDRESS(8,COLUMN('2_DATA'!$M$9),1,1,"2_DATA")):INDIRECT(ADDRESS(3000,COLUMN('2_DATA'!$M$9),1,1,"2_DATA")),$G194,INDIRECT(ADDRESS(8,COLUMN('2_DATA'!$N$9),1,1,"2_DATA")):INDIRECT(ADDRESS(3000,COLUMN('2_DATA'!$N$9),1,1,"2_DATA"))),IF($D$2="ALL ACTIVITY",SUMIF(INDIRECT(ADDRESS(9,COLUMN('2_DATA'!$M$9),1,1,"2_DATA")):INDIRECT(ADDRESS(3000,COLUMN('2_DATA'!$M$9),1,1,"2_DATA")),$G194,INDIRECT(ADDRESS(9,COLUMN('2_DATA'!$N$9),1,1,"2_DATA")):INDIRECT(ADDRESS(3000,COLUMN('2_DATA'!$N$9),1,1,"2_DATA"))),SUMIF(INDIRECT(ADDRESS(OFFSET($A$3,MATCH($D$2,$A$4:$A$16,0)-1,1,,)+1,COLUMN('2_DATA'!$M$9),1,1,"2_DATA")):INDIRECT(ADDRESS(VLOOKUP($D$2,$A$4:$B$16,2,FALSE)-1,COLUMN('2_DATA'!$M$9),1,1,"2_DATA")),$G194,INDIRECT(ADDRESS(OFFSET($A$3,MATCH($D$2,$A$4:$A$16,0)-1,1,,)+1,COLUMN('2_DATA'!$N$9),1,1,"2_DATA")):INDIRECT(ADDRESS(VLOOKUP($D$2,$A$4:$B$16,2,FALSE)-1,COLUMN('2_DATA'!$N$9),1,1,"2_DATA"))))),0)</f>
        <v>0</v>
      </c>
      <c r="J194" s="58" t="str">
        <f ca="1">IF(I194=0,"",MAX($J$3:J193)+1)</f>
        <v/>
      </c>
      <c r="L194" s="55" t="str">
        <f t="shared" ca="1" si="39"/>
        <v/>
      </c>
      <c r="M194" s="55" t="str">
        <f t="shared" ca="1" si="43"/>
        <v/>
      </c>
      <c r="N194" s="55"/>
      <c r="O194" s="55" t="str">
        <f t="shared" ca="1" si="45"/>
        <v/>
      </c>
      <c r="P194" s="55">
        <f t="shared" ca="1" si="40"/>
        <v>0</v>
      </c>
      <c r="Q194" s="55" t="str">
        <f ca="1">IFERROR(INDEX($O$4:$P$226,MATCH(ROWS($Q$3:Q193),$P$4:$P$226,0),1),"-")</f>
        <v>-</v>
      </c>
      <c r="R194" s="62" t="str">
        <f t="shared" ca="1" si="41"/>
        <v/>
      </c>
      <c r="S194" s="55" t="str">
        <f t="shared" ca="1" si="44"/>
        <v/>
      </c>
      <c r="T194" s="67" t="str">
        <f t="shared" ca="1" si="52"/>
        <v>-</v>
      </c>
      <c r="V194" s="68" t="str">
        <f t="shared" ca="1" si="46"/>
        <v/>
      </c>
      <c r="W194" s="69" t="str">
        <f t="shared" ca="1" si="47"/>
        <v/>
      </c>
      <c r="X194" s="70" t="s">
        <v>84</v>
      </c>
      <c r="Y194" s="68" t="str">
        <f t="shared" ca="1" si="51"/>
        <v/>
      </c>
      <c r="Z194" s="71" t="str">
        <f t="shared" ca="1" si="48"/>
        <v/>
      </c>
      <c r="AA194" s="72" t="str">
        <f t="shared" ca="1" si="49"/>
        <v/>
      </c>
      <c r="AB194" s="72" t="str">
        <f t="shared" ca="1" si="50"/>
        <v/>
      </c>
    </row>
    <row r="195" spans="4:28" ht="24" customHeight="1">
      <c r="D195" s="57">
        <f ca="1">INDIRECT(ADDRESS(ROWS($D$3:D194)+6,D$3,1,1,"3_TIME SUM"))</f>
        <v>0</v>
      </c>
      <c r="E195" s="81" t="str">
        <f ca="1">IF(INDIRECT(ADDRESS(ROWS($E$3:E194)+6,E$3,1,1,"3_TIME SUM"))=0,E194,INDIRECT(ADDRESS(ROWS($E$3:E194)+6,E$3,1,1,"3_TIME SUM")))</f>
        <v>X-Mastree</v>
      </c>
      <c r="F195" s="57" t="str">
        <f t="shared" ca="1" si="42"/>
        <v>X-Mastree : 0</v>
      </c>
      <c r="G195" s="58" t="e">
        <f ca="1">VLOOKUP($D195,INDIRECT(ADDRESS(7,5,1,1,"3_TIME SUM")):INDIRECT(ADDRESS(200,7,1,1,"3_TIME SUM")),2,FALSE)</f>
        <v>#N/A</v>
      </c>
      <c r="H195" s="58" t="e">
        <f ca="1">IF(VLOOKUP($D195,INDIRECT(ADDRESS(7,5,1,1,"3_TIME SUM")):INDIRECT(ADDRESS(200,7,1,1,"3_TIME SUM")),3,FALSE)="","PT",VLOOKUP($D195,INDIRECT(ADDRESS(7,5,1,1,"3_TIME SUM")):INDIRECT(ADDRESS(200,7,1,1,"3_TIME SUM")),3,FALSE))</f>
        <v>#N/A</v>
      </c>
      <c r="I195" s="59">
        <f ca="1">IFERROR(IF(AND($D$2="NON PRODUCTIVE TIME",$H195="NPT"),SUMIF(INDIRECT(ADDRESS(8,COLUMN('2_DATA'!$M$9),1,1,"2_DATA")):INDIRECT(ADDRESS(3000,COLUMN('2_DATA'!$M$9),1,1,"2_DATA")),$G195,INDIRECT(ADDRESS(8,COLUMN('2_DATA'!$N$9),1,1,"2_DATA")):INDIRECT(ADDRESS(3000,COLUMN('2_DATA'!$N$9),1,1,"2_DATA"))),IF($D$2="ALL ACTIVITY",SUMIF(INDIRECT(ADDRESS(9,COLUMN('2_DATA'!$M$9),1,1,"2_DATA")):INDIRECT(ADDRESS(3000,COLUMN('2_DATA'!$M$9),1,1,"2_DATA")),$G195,INDIRECT(ADDRESS(9,COLUMN('2_DATA'!$N$9),1,1,"2_DATA")):INDIRECT(ADDRESS(3000,COLUMN('2_DATA'!$N$9),1,1,"2_DATA"))),SUMIF(INDIRECT(ADDRESS(OFFSET($A$3,MATCH($D$2,$A$4:$A$16,0)-1,1,,)+1,COLUMN('2_DATA'!$M$9),1,1,"2_DATA")):INDIRECT(ADDRESS(VLOOKUP($D$2,$A$4:$B$16,2,FALSE)-1,COLUMN('2_DATA'!$M$9),1,1,"2_DATA")),$G195,INDIRECT(ADDRESS(OFFSET($A$3,MATCH($D$2,$A$4:$A$16,0)-1,1,,)+1,COLUMN('2_DATA'!$N$9),1,1,"2_DATA")):INDIRECT(ADDRESS(VLOOKUP($D$2,$A$4:$B$16,2,FALSE)-1,COLUMN('2_DATA'!$N$9),1,1,"2_DATA"))))),0)</f>
        <v>0</v>
      </c>
      <c r="J195" s="58" t="str">
        <f ca="1">IF(I195=0,"",MAX($J$3:J194)+1)</f>
        <v/>
      </c>
      <c r="L195" s="55" t="str">
        <f t="shared" ca="1" si="39"/>
        <v/>
      </c>
      <c r="M195" s="55" t="str">
        <f t="shared" ca="1" si="43"/>
        <v/>
      </c>
      <c r="N195" s="55"/>
      <c r="O195" s="55" t="str">
        <f t="shared" ca="1" si="45"/>
        <v/>
      </c>
      <c r="P195" s="55">
        <f t="shared" ca="1" si="40"/>
        <v>0</v>
      </c>
      <c r="Q195" s="55" t="str">
        <f ca="1">IFERROR(INDEX($O$4:$P$226,MATCH(ROWS($Q$3:Q194),$P$4:$P$226,0),1),"-")</f>
        <v>-</v>
      </c>
      <c r="R195" s="62" t="str">
        <f t="shared" ca="1" si="41"/>
        <v/>
      </c>
      <c r="S195" s="55" t="str">
        <f t="shared" ca="1" si="44"/>
        <v/>
      </c>
      <c r="T195" s="67" t="str">
        <f t="shared" ca="1" si="52"/>
        <v>-</v>
      </c>
      <c r="V195" s="68" t="str">
        <f t="shared" ca="1" si="46"/>
        <v/>
      </c>
      <c r="W195" s="69" t="str">
        <f t="shared" ca="1" si="47"/>
        <v/>
      </c>
      <c r="X195" s="70" t="s">
        <v>84</v>
      </c>
      <c r="Y195" s="68" t="str">
        <f t="shared" ca="1" si="51"/>
        <v/>
      </c>
      <c r="Z195" s="71" t="str">
        <f t="shared" ca="1" si="48"/>
        <v/>
      </c>
      <c r="AA195" s="72" t="str">
        <f t="shared" ca="1" si="49"/>
        <v/>
      </c>
      <c r="AB195" s="72" t="str">
        <f t="shared" ca="1" si="50"/>
        <v/>
      </c>
    </row>
    <row r="196" spans="4:28" ht="24" customHeight="1">
      <c r="D196" s="57">
        <f ca="1">INDIRECT(ADDRESS(ROWS($D$3:D195)+6,D$3,1,1,"3_TIME SUM"))</f>
        <v>0</v>
      </c>
      <c r="E196" s="81" t="str">
        <f ca="1">IF(INDIRECT(ADDRESS(ROWS($E$3:E195)+6,E$3,1,1,"3_TIME SUM"))=0,E195,INDIRECT(ADDRESS(ROWS($E$3:E195)+6,E$3,1,1,"3_TIME SUM")))</f>
        <v>X-Mastree</v>
      </c>
      <c r="F196" s="57" t="str">
        <f t="shared" ca="1" si="42"/>
        <v>X-Mastree : 0</v>
      </c>
      <c r="G196" s="58" t="e">
        <f ca="1">VLOOKUP($D196,INDIRECT(ADDRESS(7,5,1,1,"3_TIME SUM")):INDIRECT(ADDRESS(200,7,1,1,"3_TIME SUM")),2,FALSE)</f>
        <v>#N/A</v>
      </c>
      <c r="H196" s="58" t="e">
        <f ca="1">IF(VLOOKUP($D196,INDIRECT(ADDRESS(7,5,1,1,"3_TIME SUM")):INDIRECT(ADDRESS(200,7,1,1,"3_TIME SUM")),3,FALSE)="","PT",VLOOKUP($D196,INDIRECT(ADDRESS(7,5,1,1,"3_TIME SUM")):INDIRECT(ADDRESS(200,7,1,1,"3_TIME SUM")),3,FALSE))</f>
        <v>#N/A</v>
      </c>
      <c r="I196" s="59">
        <f ca="1">IFERROR(IF(AND($D$2="NON PRODUCTIVE TIME",$H196="NPT"),SUMIF(INDIRECT(ADDRESS(8,COLUMN('2_DATA'!$M$9),1,1,"2_DATA")):INDIRECT(ADDRESS(3000,COLUMN('2_DATA'!$M$9),1,1,"2_DATA")),$G196,INDIRECT(ADDRESS(8,COLUMN('2_DATA'!$N$9),1,1,"2_DATA")):INDIRECT(ADDRESS(3000,COLUMN('2_DATA'!$N$9),1,1,"2_DATA"))),IF($D$2="ALL ACTIVITY",SUMIF(INDIRECT(ADDRESS(9,COLUMN('2_DATA'!$M$9),1,1,"2_DATA")):INDIRECT(ADDRESS(3000,COLUMN('2_DATA'!$M$9),1,1,"2_DATA")),$G196,INDIRECT(ADDRESS(9,COLUMN('2_DATA'!$N$9),1,1,"2_DATA")):INDIRECT(ADDRESS(3000,COLUMN('2_DATA'!$N$9),1,1,"2_DATA"))),SUMIF(INDIRECT(ADDRESS(OFFSET($A$3,MATCH($D$2,$A$4:$A$16,0)-1,1,,)+1,COLUMN('2_DATA'!$M$9),1,1,"2_DATA")):INDIRECT(ADDRESS(VLOOKUP($D$2,$A$4:$B$16,2,FALSE)-1,COLUMN('2_DATA'!$M$9),1,1,"2_DATA")),$G196,INDIRECT(ADDRESS(OFFSET($A$3,MATCH($D$2,$A$4:$A$16,0)-1,1,,)+1,COLUMN('2_DATA'!$N$9),1,1,"2_DATA")):INDIRECT(ADDRESS(VLOOKUP($D$2,$A$4:$B$16,2,FALSE)-1,COLUMN('2_DATA'!$N$9),1,1,"2_DATA"))))),0)</f>
        <v>0</v>
      </c>
      <c r="J196" s="58" t="str">
        <f ca="1">IF(I196=0,"",MAX($J$3:J195)+1)</f>
        <v/>
      </c>
      <c r="L196" s="55" t="str">
        <f t="shared" ref="L196:L226" ca="1" si="53">IF(ISNUMBER((LEFT($G196,1))/1),1000,IF(ISTEXT((LEFT($G196,1))),2000,""))</f>
        <v/>
      </c>
      <c r="M196" s="55" t="str">
        <f t="shared" ca="1" si="43"/>
        <v/>
      </c>
      <c r="N196" s="55"/>
      <c r="O196" s="55" t="str">
        <f t="shared" ca="1" si="45"/>
        <v/>
      </c>
      <c r="P196" s="55">
        <f t="shared" ref="P196:P226" ca="1" si="54">COUNTIF($O$4:$O$226,"&lt;="&amp;O196)</f>
        <v>0</v>
      </c>
      <c r="Q196" s="55" t="str">
        <f ca="1">IFERROR(INDEX($O$4:$P$226,MATCH(ROWS($Q$3:Q195),$P$4:$P$226,0),1),"-")</f>
        <v>-</v>
      </c>
      <c r="R196" s="62" t="str">
        <f t="shared" ref="R196:R226" ca="1" si="55">IFERROR(IF(ISNA(INDEX($N$4:$O$5,MATCH(Q196,$O$4:$O$5,0),1)),INDEX($F$4:$M$226,MATCH(Q196,$M$4:$M$226,0),1),INDEX($N$4:$O$5,MATCH(Q196,$O$4:$O$5,0),1)),"")</f>
        <v/>
      </c>
      <c r="S196" s="55" t="str">
        <f t="shared" ca="1" si="44"/>
        <v/>
      </c>
      <c r="T196" s="67" t="str">
        <f t="shared" ca="1" si="52"/>
        <v>-</v>
      </c>
      <c r="V196" s="68" t="str">
        <f t="shared" ca="1" si="46"/>
        <v/>
      </c>
      <c r="W196" s="69" t="str">
        <f t="shared" ca="1" si="47"/>
        <v/>
      </c>
      <c r="X196" s="70" t="s">
        <v>84</v>
      </c>
      <c r="Y196" s="68" t="str">
        <f t="shared" ca="1" si="51"/>
        <v/>
      </c>
      <c r="Z196" s="71" t="str">
        <f t="shared" ca="1" si="48"/>
        <v/>
      </c>
      <c r="AA196" s="72" t="str">
        <f t="shared" ca="1" si="49"/>
        <v/>
      </c>
      <c r="AB196" s="72" t="str">
        <f t="shared" ca="1" si="50"/>
        <v/>
      </c>
    </row>
    <row r="197" spans="4:28" ht="24" customHeight="1">
      <c r="D197" s="57">
        <f ca="1">INDIRECT(ADDRESS(ROWS($D$3:D196)+6,D$3,1,1,"3_TIME SUM"))</f>
        <v>0</v>
      </c>
      <c r="E197" s="81" t="str">
        <f ca="1">IF(INDIRECT(ADDRESS(ROWS($E$3:E196)+6,E$3,1,1,"3_TIME SUM"))=0,E196,INDIRECT(ADDRESS(ROWS($E$3:E196)+6,E$3,1,1,"3_TIME SUM")))</f>
        <v>X-Mastree</v>
      </c>
      <c r="F197" s="57" t="str">
        <f t="shared" ref="F197:F226" ca="1" si="56">IF(D197="","",""&amp;E197&amp;" : "&amp;D197&amp;"")</f>
        <v>X-Mastree : 0</v>
      </c>
      <c r="G197" s="58" t="e">
        <f ca="1">VLOOKUP($D197,INDIRECT(ADDRESS(7,5,1,1,"3_TIME SUM")):INDIRECT(ADDRESS(200,7,1,1,"3_TIME SUM")),2,FALSE)</f>
        <v>#N/A</v>
      </c>
      <c r="H197" s="58" t="e">
        <f ca="1">IF(VLOOKUP($D197,INDIRECT(ADDRESS(7,5,1,1,"3_TIME SUM")):INDIRECT(ADDRESS(200,7,1,1,"3_TIME SUM")),3,FALSE)="","PT",VLOOKUP($D197,INDIRECT(ADDRESS(7,5,1,1,"3_TIME SUM")):INDIRECT(ADDRESS(200,7,1,1,"3_TIME SUM")),3,FALSE))</f>
        <v>#N/A</v>
      </c>
      <c r="I197" s="59">
        <f ca="1">IFERROR(IF(AND($D$2="NON PRODUCTIVE TIME",$H197="NPT"),SUMIF(INDIRECT(ADDRESS(8,COLUMN('2_DATA'!$M$9),1,1,"2_DATA")):INDIRECT(ADDRESS(3000,COLUMN('2_DATA'!$M$9),1,1,"2_DATA")),$G197,INDIRECT(ADDRESS(8,COLUMN('2_DATA'!$N$9),1,1,"2_DATA")):INDIRECT(ADDRESS(3000,COLUMN('2_DATA'!$N$9),1,1,"2_DATA"))),IF($D$2="ALL ACTIVITY",SUMIF(INDIRECT(ADDRESS(9,COLUMN('2_DATA'!$M$9),1,1,"2_DATA")):INDIRECT(ADDRESS(3000,COLUMN('2_DATA'!$M$9),1,1,"2_DATA")),$G197,INDIRECT(ADDRESS(9,COLUMN('2_DATA'!$N$9),1,1,"2_DATA")):INDIRECT(ADDRESS(3000,COLUMN('2_DATA'!$N$9),1,1,"2_DATA"))),SUMIF(INDIRECT(ADDRESS(OFFSET($A$3,MATCH($D$2,$A$4:$A$16,0)-1,1,,)+1,COLUMN('2_DATA'!$M$9),1,1,"2_DATA")):INDIRECT(ADDRESS(VLOOKUP($D$2,$A$4:$B$16,2,FALSE)-1,COLUMN('2_DATA'!$M$9),1,1,"2_DATA")),$G197,INDIRECT(ADDRESS(OFFSET($A$3,MATCH($D$2,$A$4:$A$16,0)-1,1,,)+1,COLUMN('2_DATA'!$N$9),1,1,"2_DATA")):INDIRECT(ADDRESS(VLOOKUP($D$2,$A$4:$B$16,2,FALSE)-1,COLUMN('2_DATA'!$N$9),1,1,"2_DATA"))))),0)</f>
        <v>0</v>
      </c>
      <c r="J197" s="58" t="str">
        <f ca="1">IF(I197=0,"",MAX($J$3:J196)+1)</f>
        <v/>
      </c>
      <c r="L197" s="55" t="str">
        <f t="shared" ca="1" si="53"/>
        <v/>
      </c>
      <c r="M197" s="55" t="str">
        <f t="shared" ref="M197:M226" ca="1" si="57">IFERROR(L197+J197,"")</f>
        <v/>
      </c>
      <c r="N197" s="55"/>
      <c r="O197" s="55" t="str">
        <f t="shared" ca="1" si="45"/>
        <v/>
      </c>
      <c r="P197" s="55">
        <f t="shared" ca="1" si="54"/>
        <v>0</v>
      </c>
      <c r="Q197" s="55" t="str">
        <f ca="1">IFERROR(INDEX($O$4:$P$226,MATCH(ROWS($Q$3:Q196),$P$4:$P$226,0),1),"-")</f>
        <v>-</v>
      </c>
      <c r="R197" s="62" t="str">
        <f t="shared" ca="1" si="55"/>
        <v/>
      </c>
      <c r="S197" s="55" t="str">
        <f t="shared" ref="S197:S226" ca="1" si="58">IFERROR(Q197-ROUND(Q197/1000,0)*1000,"")</f>
        <v/>
      </c>
      <c r="T197" s="67" t="str">
        <f t="shared" ca="1" si="52"/>
        <v>-</v>
      </c>
      <c r="V197" s="68" t="str">
        <f t="shared" ca="1" si="46"/>
        <v/>
      </c>
      <c r="W197" s="69" t="str">
        <f t="shared" ca="1" si="47"/>
        <v/>
      </c>
      <c r="X197" s="70" t="s">
        <v>84</v>
      </c>
      <c r="Y197" s="68" t="str">
        <f t="shared" ca="1" si="51"/>
        <v/>
      </c>
      <c r="Z197" s="71" t="str">
        <f t="shared" ca="1" si="48"/>
        <v/>
      </c>
      <c r="AA197" s="72" t="str">
        <f t="shared" ca="1" si="49"/>
        <v/>
      </c>
      <c r="AB197" s="72" t="str">
        <f t="shared" ca="1" si="50"/>
        <v/>
      </c>
    </row>
    <row r="198" spans="4:28" ht="24" customHeight="1">
      <c r="D198" s="57">
        <f ca="1">INDIRECT(ADDRESS(ROWS($D$3:D197)+6,D$3,1,1,"3_TIME SUM"))</f>
        <v>0</v>
      </c>
      <c r="E198" s="81" t="str">
        <f ca="1">IF(INDIRECT(ADDRESS(ROWS($E$3:E197)+6,E$3,1,1,"3_TIME SUM"))=0,E197,INDIRECT(ADDRESS(ROWS($E$3:E197)+6,E$3,1,1,"3_TIME SUM")))</f>
        <v>X-Mastree</v>
      </c>
      <c r="F198" s="57" t="str">
        <f t="shared" ca="1" si="56"/>
        <v>X-Mastree : 0</v>
      </c>
      <c r="G198" s="58" t="e">
        <f ca="1">VLOOKUP($D198,INDIRECT(ADDRESS(7,5,1,1,"3_TIME SUM")):INDIRECT(ADDRESS(200,7,1,1,"3_TIME SUM")),2,FALSE)</f>
        <v>#N/A</v>
      </c>
      <c r="H198" s="58" t="e">
        <f ca="1">IF(VLOOKUP($D198,INDIRECT(ADDRESS(7,5,1,1,"3_TIME SUM")):INDIRECT(ADDRESS(200,7,1,1,"3_TIME SUM")),3,FALSE)="","PT",VLOOKUP($D198,INDIRECT(ADDRESS(7,5,1,1,"3_TIME SUM")):INDIRECT(ADDRESS(200,7,1,1,"3_TIME SUM")),3,FALSE))</f>
        <v>#N/A</v>
      </c>
      <c r="I198" s="59">
        <f ca="1">IFERROR(IF(AND($D$2="NON PRODUCTIVE TIME",$H198="NPT"),SUMIF(INDIRECT(ADDRESS(8,COLUMN('2_DATA'!$M$9),1,1,"2_DATA")):INDIRECT(ADDRESS(3000,COLUMN('2_DATA'!$M$9),1,1,"2_DATA")),$G198,INDIRECT(ADDRESS(8,COLUMN('2_DATA'!$N$9),1,1,"2_DATA")):INDIRECT(ADDRESS(3000,COLUMN('2_DATA'!$N$9),1,1,"2_DATA"))),IF($D$2="ALL ACTIVITY",SUMIF(INDIRECT(ADDRESS(9,COLUMN('2_DATA'!$M$9),1,1,"2_DATA")):INDIRECT(ADDRESS(3000,COLUMN('2_DATA'!$M$9),1,1,"2_DATA")),$G198,INDIRECT(ADDRESS(9,COLUMN('2_DATA'!$N$9),1,1,"2_DATA")):INDIRECT(ADDRESS(3000,COLUMN('2_DATA'!$N$9),1,1,"2_DATA"))),SUMIF(INDIRECT(ADDRESS(OFFSET($A$3,MATCH($D$2,$A$4:$A$16,0)-1,1,,)+1,COLUMN('2_DATA'!$M$9),1,1,"2_DATA")):INDIRECT(ADDRESS(VLOOKUP($D$2,$A$4:$B$16,2,FALSE)-1,COLUMN('2_DATA'!$M$9),1,1,"2_DATA")),$G198,INDIRECT(ADDRESS(OFFSET($A$3,MATCH($D$2,$A$4:$A$16,0)-1,1,,)+1,COLUMN('2_DATA'!$N$9),1,1,"2_DATA")):INDIRECT(ADDRESS(VLOOKUP($D$2,$A$4:$B$16,2,FALSE)-1,COLUMN('2_DATA'!$N$9),1,1,"2_DATA"))))),0)</f>
        <v>0</v>
      </c>
      <c r="J198" s="58" t="str">
        <f ca="1">IF(I198=0,"",MAX($J$3:J197)+1)</f>
        <v/>
      </c>
      <c r="L198" s="55" t="str">
        <f t="shared" ca="1" si="53"/>
        <v/>
      </c>
      <c r="M198" s="55" t="str">
        <f t="shared" ca="1" si="57"/>
        <v/>
      </c>
      <c r="N198" s="55"/>
      <c r="O198" s="55" t="str">
        <f t="shared" ca="1" si="45"/>
        <v/>
      </c>
      <c r="P198" s="55">
        <f t="shared" ca="1" si="54"/>
        <v>0</v>
      </c>
      <c r="Q198" s="55" t="str">
        <f ca="1">IFERROR(INDEX($O$4:$P$226,MATCH(ROWS($Q$3:Q197),$P$4:$P$226,0),1),"-")</f>
        <v>-</v>
      </c>
      <c r="R198" s="62" t="str">
        <f t="shared" ca="1" si="55"/>
        <v/>
      </c>
      <c r="S198" s="55" t="str">
        <f t="shared" ca="1" si="58"/>
        <v/>
      </c>
      <c r="T198" s="67" t="str">
        <f t="shared" ca="1" si="52"/>
        <v>-</v>
      </c>
      <c r="V198" s="68" t="str">
        <f t="shared" ca="1" si="46"/>
        <v/>
      </c>
      <c r="W198" s="69" t="str">
        <f t="shared" ca="1" si="47"/>
        <v/>
      </c>
      <c r="X198" s="70" t="s">
        <v>84</v>
      </c>
      <c r="Y198" s="68" t="str">
        <f t="shared" ca="1" si="51"/>
        <v/>
      </c>
      <c r="Z198" s="71" t="str">
        <f t="shared" ca="1" si="48"/>
        <v/>
      </c>
      <c r="AA198" s="72" t="str">
        <f t="shared" ca="1" si="49"/>
        <v/>
      </c>
      <c r="AB198" s="72" t="str">
        <f t="shared" ca="1" si="50"/>
        <v/>
      </c>
    </row>
    <row r="199" spans="4:28" ht="24" customHeight="1">
      <c r="D199" s="57">
        <f ca="1">INDIRECT(ADDRESS(ROWS($D$3:D198)+6,D$3,1,1,"3_TIME SUM"))</f>
        <v>0</v>
      </c>
      <c r="E199" s="81" t="str">
        <f ca="1">IF(INDIRECT(ADDRESS(ROWS($E$3:E198)+6,E$3,1,1,"3_TIME SUM"))=0,E198,INDIRECT(ADDRESS(ROWS($E$3:E198)+6,E$3,1,1,"3_TIME SUM")))</f>
        <v>X-Mastree</v>
      </c>
      <c r="F199" s="57" t="str">
        <f t="shared" ca="1" si="56"/>
        <v>X-Mastree : 0</v>
      </c>
      <c r="G199" s="58" t="e">
        <f ca="1">VLOOKUP($D199,INDIRECT(ADDRESS(7,5,1,1,"3_TIME SUM")):INDIRECT(ADDRESS(200,7,1,1,"3_TIME SUM")),2,FALSE)</f>
        <v>#N/A</v>
      </c>
      <c r="H199" s="58" t="e">
        <f ca="1">IF(VLOOKUP($D199,INDIRECT(ADDRESS(7,5,1,1,"3_TIME SUM")):INDIRECT(ADDRESS(200,7,1,1,"3_TIME SUM")),3,FALSE)="","PT",VLOOKUP($D199,INDIRECT(ADDRESS(7,5,1,1,"3_TIME SUM")):INDIRECT(ADDRESS(200,7,1,1,"3_TIME SUM")),3,FALSE))</f>
        <v>#N/A</v>
      </c>
      <c r="I199" s="59">
        <f ca="1">IFERROR(IF(AND($D$2="NON PRODUCTIVE TIME",$H199="NPT"),SUMIF(INDIRECT(ADDRESS(8,COLUMN('2_DATA'!$M$9),1,1,"2_DATA")):INDIRECT(ADDRESS(3000,COLUMN('2_DATA'!$M$9),1,1,"2_DATA")),$G199,INDIRECT(ADDRESS(8,COLUMN('2_DATA'!$N$9),1,1,"2_DATA")):INDIRECT(ADDRESS(3000,COLUMN('2_DATA'!$N$9),1,1,"2_DATA"))),IF($D$2="ALL ACTIVITY",SUMIF(INDIRECT(ADDRESS(9,COLUMN('2_DATA'!$M$9),1,1,"2_DATA")):INDIRECT(ADDRESS(3000,COLUMN('2_DATA'!$M$9),1,1,"2_DATA")),$G199,INDIRECT(ADDRESS(9,COLUMN('2_DATA'!$N$9),1,1,"2_DATA")):INDIRECT(ADDRESS(3000,COLUMN('2_DATA'!$N$9),1,1,"2_DATA"))),SUMIF(INDIRECT(ADDRESS(OFFSET($A$3,MATCH($D$2,$A$4:$A$16,0)-1,1,,)+1,COLUMN('2_DATA'!$M$9),1,1,"2_DATA")):INDIRECT(ADDRESS(VLOOKUP($D$2,$A$4:$B$16,2,FALSE)-1,COLUMN('2_DATA'!$M$9),1,1,"2_DATA")),$G199,INDIRECT(ADDRESS(OFFSET($A$3,MATCH($D$2,$A$4:$A$16,0)-1,1,,)+1,COLUMN('2_DATA'!$N$9),1,1,"2_DATA")):INDIRECT(ADDRESS(VLOOKUP($D$2,$A$4:$B$16,2,FALSE)-1,COLUMN('2_DATA'!$N$9),1,1,"2_DATA"))))),0)</f>
        <v>0</v>
      </c>
      <c r="J199" s="58" t="str">
        <f ca="1">IF(I199=0,"",MAX($J$3:J198)+1)</f>
        <v/>
      </c>
      <c r="L199" s="55" t="str">
        <f t="shared" ca="1" si="53"/>
        <v/>
      </c>
      <c r="M199" s="55" t="str">
        <f t="shared" ca="1" si="57"/>
        <v/>
      </c>
      <c r="N199" s="55"/>
      <c r="O199" s="55" t="str">
        <f t="shared" ca="1" si="45"/>
        <v/>
      </c>
      <c r="P199" s="55">
        <f t="shared" ca="1" si="54"/>
        <v>0</v>
      </c>
      <c r="Q199" s="55" t="str">
        <f ca="1">IFERROR(INDEX($O$4:$P$226,MATCH(ROWS($Q$3:Q198),$P$4:$P$226,0),1),"-")</f>
        <v>-</v>
      </c>
      <c r="R199" s="62" t="str">
        <f t="shared" ca="1" si="55"/>
        <v/>
      </c>
      <c r="S199" s="55" t="str">
        <f t="shared" ca="1" si="58"/>
        <v/>
      </c>
      <c r="T199" s="67" t="str">
        <f t="shared" ca="1" si="52"/>
        <v>-</v>
      </c>
      <c r="V199" s="68" t="str">
        <f t="shared" ca="1" si="46"/>
        <v/>
      </c>
      <c r="W199" s="69" t="str">
        <f t="shared" ca="1" si="47"/>
        <v/>
      </c>
      <c r="X199" s="70" t="s">
        <v>84</v>
      </c>
      <c r="Y199" s="68" t="str">
        <f t="shared" ca="1" si="51"/>
        <v/>
      </c>
      <c r="Z199" s="71" t="str">
        <f t="shared" ca="1" si="48"/>
        <v/>
      </c>
      <c r="AA199" s="72" t="str">
        <f t="shared" ca="1" si="49"/>
        <v/>
      </c>
      <c r="AB199" s="72" t="str">
        <f t="shared" ca="1" si="50"/>
        <v/>
      </c>
    </row>
    <row r="200" spans="4:28" ht="24" customHeight="1">
      <c r="D200" s="57">
        <f ca="1">INDIRECT(ADDRESS(ROWS($D$3:D199)+6,D$3,1,1,"3_TIME SUM"))</f>
        <v>0</v>
      </c>
      <c r="E200" s="81" t="str">
        <f ca="1">IF(INDIRECT(ADDRESS(ROWS($E$3:E199)+6,E$3,1,1,"3_TIME SUM"))=0,E199,INDIRECT(ADDRESS(ROWS($E$3:E199)+6,E$3,1,1,"3_TIME SUM")))</f>
        <v>X-Mastree</v>
      </c>
      <c r="F200" s="57" t="str">
        <f t="shared" ca="1" si="56"/>
        <v>X-Mastree : 0</v>
      </c>
      <c r="G200" s="58" t="e">
        <f ca="1">VLOOKUP($D200,INDIRECT(ADDRESS(7,5,1,1,"3_TIME SUM")):INDIRECT(ADDRESS(200,7,1,1,"3_TIME SUM")),2,FALSE)</f>
        <v>#N/A</v>
      </c>
      <c r="H200" s="58" t="e">
        <f ca="1">IF(VLOOKUP($D200,INDIRECT(ADDRESS(7,5,1,1,"3_TIME SUM")):INDIRECT(ADDRESS(200,7,1,1,"3_TIME SUM")),3,FALSE)="","PT",VLOOKUP($D200,INDIRECT(ADDRESS(7,5,1,1,"3_TIME SUM")):INDIRECT(ADDRESS(200,7,1,1,"3_TIME SUM")),3,FALSE))</f>
        <v>#N/A</v>
      </c>
      <c r="I200" s="59">
        <f ca="1">IFERROR(IF(AND($D$2="NON PRODUCTIVE TIME",$H200="NPT"),SUMIF(INDIRECT(ADDRESS(8,COLUMN('2_DATA'!$M$9),1,1,"2_DATA")):INDIRECT(ADDRESS(3000,COLUMN('2_DATA'!$M$9),1,1,"2_DATA")),$G200,INDIRECT(ADDRESS(8,COLUMN('2_DATA'!$N$9),1,1,"2_DATA")):INDIRECT(ADDRESS(3000,COLUMN('2_DATA'!$N$9),1,1,"2_DATA"))),IF($D$2="ALL ACTIVITY",SUMIF(INDIRECT(ADDRESS(9,COLUMN('2_DATA'!$M$9),1,1,"2_DATA")):INDIRECT(ADDRESS(3000,COLUMN('2_DATA'!$M$9),1,1,"2_DATA")),$G200,INDIRECT(ADDRESS(9,COLUMN('2_DATA'!$N$9),1,1,"2_DATA")):INDIRECT(ADDRESS(3000,COLUMN('2_DATA'!$N$9),1,1,"2_DATA"))),SUMIF(INDIRECT(ADDRESS(OFFSET($A$3,MATCH($D$2,$A$4:$A$16,0)-1,1,,)+1,COLUMN('2_DATA'!$M$9),1,1,"2_DATA")):INDIRECT(ADDRESS(VLOOKUP($D$2,$A$4:$B$16,2,FALSE)-1,COLUMN('2_DATA'!$M$9),1,1,"2_DATA")),$G200,INDIRECT(ADDRESS(OFFSET($A$3,MATCH($D$2,$A$4:$A$16,0)-1,1,,)+1,COLUMN('2_DATA'!$N$9),1,1,"2_DATA")):INDIRECT(ADDRESS(VLOOKUP($D$2,$A$4:$B$16,2,FALSE)-1,COLUMN('2_DATA'!$N$9),1,1,"2_DATA"))))),0)</f>
        <v>0</v>
      </c>
      <c r="J200" s="58" t="str">
        <f ca="1">IF(I200=0,"",MAX($J$3:J199)+1)</f>
        <v/>
      </c>
      <c r="L200" s="55" t="str">
        <f t="shared" ca="1" si="53"/>
        <v/>
      </c>
      <c r="M200" s="55" t="str">
        <f t="shared" ca="1" si="57"/>
        <v/>
      </c>
      <c r="N200" s="55"/>
      <c r="O200" s="55" t="str">
        <f t="shared" ref="O200:O226" ca="1" si="59">+M197</f>
        <v/>
      </c>
      <c r="P200" s="55">
        <f t="shared" ca="1" si="54"/>
        <v>0</v>
      </c>
      <c r="Q200" s="55" t="str">
        <f ca="1">IFERROR(INDEX($O$4:$P$226,MATCH(ROWS($Q$3:Q199),$P$4:$P$226,0),1),"-")</f>
        <v>-</v>
      </c>
      <c r="R200" s="62" t="str">
        <f t="shared" ca="1" si="55"/>
        <v/>
      </c>
      <c r="S200" s="55" t="str">
        <f t="shared" ca="1" si="58"/>
        <v/>
      </c>
      <c r="T200" s="67" t="str">
        <f t="shared" ca="1" si="52"/>
        <v>-</v>
      </c>
      <c r="V200" s="68" t="str">
        <f t="shared" ca="1" si="46"/>
        <v/>
      </c>
      <c r="W200" s="69" t="str">
        <f t="shared" ca="1" si="47"/>
        <v/>
      </c>
      <c r="X200" s="70" t="s">
        <v>84</v>
      </c>
      <c r="Y200" s="68" t="str">
        <f t="shared" ca="1" si="51"/>
        <v/>
      </c>
      <c r="Z200" s="71" t="str">
        <f t="shared" ca="1" si="48"/>
        <v/>
      </c>
      <c r="AA200" s="72" t="str">
        <f t="shared" ca="1" si="49"/>
        <v/>
      </c>
      <c r="AB200" s="72" t="str">
        <f t="shared" ca="1" si="50"/>
        <v/>
      </c>
    </row>
    <row r="201" spans="4:28" ht="24" customHeight="1">
      <c r="D201" s="57">
        <f ca="1">INDIRECT(ADDRESS(ROWS($D$3:D200)+6,D$3,1,1,"3_TIME SUM"))</f>
        <v>0</v>
      </c>
      <c r="E201" s="81" t="str">
        <f ca="1">IF(INDIRECT(ADDRESS(ROWS($E$3:E200)+6,E$3,1,1,"3_TIME SUM"))=0,E200,INDIRECT(ADDRESS(ROWS($E$3:E200)+6,E$3,1,1,"3_TIME SUM")))</f>
        <v>X-Mastree</v>
      </c>
      <c r="F201" s="57" t="str">
        <f t="shared" ca="1" si="56"/>
        <v>X-Mastree : 0</v>
      </c>
      <c r="G201" s="58" t="e">
        <f ca="1">VLOOKUP($D201,INDIRECT(ADDRESS(7,5,1,1,"3_TIME SUM")):INDIRECT(ADDRESS(200,7,1,1,"3_TIME SUM")),2,FALSE)</f>
        <v>#N/A</v>
      </c>
      <c r="H201" s="58" t="e">
        <f ca="1">IF(VLOOKUP($D201,INDIRECT(ADDRESS(7,5,1,1,"3_TIME SUM")):INDIRECT(ADDRESS(200,7,1,1,"3_TIME SUM")),3,FALSE)="","PT",VLOOKUP($D201,INDIRECT(ADDRESS(7,5,1,1,"3_TIME SUM")):INDIRECT(ADDRESS(200,7,1,1,"3_TIME SUM")),3,FALSE))</f>
        <v>#N/A</v>
      </c>
      <c r="I201" s="59">
        <f ca="1">IFERROR(IF(AND($D$2="NON PRODUCTIVE TIME",$H201="NPT"),SUMIF(INDIRECT(ADDRESS(8,COLUMN('2_DATA'!$M$9),1,1,"2_DATA")):INDIRECT(ADDRESS(3000,COLUMN('2_DATA'!$M$9),1,1,"2_DATA")),$G201,INDIRECT(ADDRESS(8,COLUMN('2_DATA'!$N$9),1,1,"2_DATA")):INDIRECT(ADDRESS(3000,COLUMN('2_DATA'!$N$9),1,1,"2_DATA"))),IF($D$2="ALL ACTIVITY",SUMIF(INDIRECT(ADDRESS(9,COLUMN('2_DATA'!$M$9),1,1,"2_DATA")):INDIRECT(ADDRESS(3000,COLUMN('2_DATA'!$M$9),1,1,"2_DATA")),$G201,INDIRECT(ADDRESS(9,COLUMN('2_DATA'!$N$9),1,1,"2_DATA")):INDIRECT(ADDRESS(3000,COLUMN('2_DATA'!$N$9),1,1,"2_DATA"))),SUMIF(INDIRECT(ADDRESS(OFFSET($A$3,MATCH($D$2,$A$4:$A$16,0)-1,1,,)+1,COLUMN('2_DATA'!$M$9),1,1,"2_DATA")):INDIRECT(ADDRESS(VLOOKUP($D$2,$A$4:$B$16,2,FALSE)-1,COLUMN('2_DATA'!$M$9),1,1,"2_DATA")),$G201,INDIRECT(ADDRESS(OFFSET($A$3,MATCH($D$2,$A$4:$A$16,0)-1,1,,)+1,COLUMN('2_DATA'!$N$9),1,1,"2_DATA")):INDIRECT(ADDRESS(VLOOKUP($D$2,$A$4:$B$16,2,FALSE)-1,COLUMN('2_DATA'!$N$9),1,1,"2_DATA"))))),0)</f>
        <v>0</v>
      </c>
      <c r="J201" s="58" t="str">
        <f ca="1">IF(I201=0,"",MAX($J$3:J200)+1)</f>
        <v/>
      </c>
      <c r="L201" s="55" t="str">
        <f t="shared" ca="1" si="53"/>
        <v/>
      </c>
      <c r="M201" s="55" t="str">
        <f t="shared" ca="1" si="57"/>
        <v/>
      </c>
      <c r="N201" s="55"/>
      <c r="O201" s="55" t="str">
        <f t="shared" ca="1" si="59"/>
        <v/>
      </c>
      <c r="P201" s="55">
        <f t="shared" ca="1" si="54"/>
        <v>0</v>
      </c>
      <c r="Q201" s="55" t="str">
        <f ca="1">IFERROR(INDEX($O$4:$P$226,MATCH(ROWS($Q$3:Q200),$P$4:$P$226,0),1),"-")</f>
        <v>-</v>
      </c>
      <c r="R201" s="62" t="str">
        <f t="shared" ca="1" si="55"/>
        <v/>
      </c>
      <c r="S201" s="55" t="str">
        <f t="shared" ca="1" si="58"/>
        <v/>
      </c>
      <c r="T201" s="67" t="str">
        <f t="shared" ca="1" si="52"/>
        <v>-</v>
      </c>
      <c r="V201" s="68" t="str">
        <f t="shared" ca="1" si="46"/>
        <v/>
      </c>
      <c r="W201" s="69" t="str">
        <f t="shared" ca="1" si="47"/>
        <v/>
      </c>
      <c r="X201" s="70" t="s">
        <v>84</v>
      </c>
      <c r="Y201" s="68" t="str">
        <f t="shared" ca="1" si="51"/>
        <v/>
      </c>
      <c r="Z201" s="71" t="str">
        <f t="shared" ca="1" si="48"/>
        <v/>
      </c>
      <c r="AA201" s="72" t="str">
        <f t="shared" ca="1" si="49"/>
        <v/>
      </c>
      <c r="AB201" s="72" t="str">
        <f t="shared" ca="1" si="50"/>
        <v/>
      </c>
    </row>
    <row r="202" spans="4:28" ht="24" customHeight="1">
      <c r="D202" s="57">
        <f ca="1">INDIRECT(ADDRESS(ROWS($D$3:D201)+6,D$3,1,1,"3_TIME SUM"))</f>
        <v>0</v>
      </c>
      <c r="E202" s="81" t="str">
        <f ca="1">IF(INDIRECT(ADDRESS(ROWS($E$3:E201)+6,E$3,1,1,"3_TIME SUM"))=0,E201,INDIRECT(ADDRESS(ROWS($E$3:E201)+6,E$3,1,1,"3_TIME SUM")))</f>
        <v>X-Mastree</v>
      </c>
      <c r="F202" s="57" t="str">
        <f t="shared" ca="1" si="56"/>
        <v>X-Mastree : 0</v>
      </c>
      <c r="G202" s="58" t="e">
        <f ca="1">VLOOKUP($D202,INDIRECT(ADDRESS(7,5,1,1,"3_TIME SUM")):INDIRECT(ADDRESS(200,7,1,1,"3_TIME SUM")),2,FALSE)</f>
        <v>#N/A</v>
      </c>
      <c r="H202" s="58" t="e">
        <f ca="1">IF(VLOOKUP($D202,INDIRECT(ADDRESS(7,5,1,1,"3_TIME SUM")):INDIRECT(ADDRESS(200,7,1,1,"3_TIME SUM")),3,FALSE)="","PT",VLOOKUP($D202,INDIRECT(ADDRESS(7,5,1,1,"3_TIME SUM")):INDIRECT(ADDRESS(200,7,1,1,"3_TIME SUM")),3,FALSE))</f>
        <v>#N/A</v>
      </c>
      <c r="I202" s="59">
        <f ca="1">IFERROR(IF(AND($D$2="NON PRODUCTIVE TIME",$H202="NPT"),SUMIF(INDIRECT(ADDRESS(8,COLUMN('2_DATA'!$M$9),1,1,"2_DATA")):INDIRECT(ADDRESS(3000,COLUMN('2_DATA'!$M$9),1,1,"2_DATA")),$G202,INDIRECT(ADDRESS(8,COLUMN('2_DATA'!$N$9),1,1,"2_DATA")):INDIRECT(ADDRESS(3000,COLUMN('2_DATA'!$N$9),1,1,"2_DATA"))),IF($D$2="ALL ACTIVITY",SUMIF(INDIRECT(ADDRESS(9,COLUMN('2_DATA'!$M$9),1,1,"2_DATA")):INDIRECT(ADDRESS(3000,COLUMN('2_DATA'!$M$9),1,1,"2_DATA")),$G202,INDIRECT(ADDRESS(9,COLUMN('2_DATA'!$N$9),1,1,"2_DATA")):INDIRECT(ADDRESS(3000,COLUMN('2_DATA'!$N$9),1,1,"2_DATA"))),SUMIF(INDIRECT(ADDRESS(OFFSET($A$3,MATCH($D$2,$A$4:$A$16,0)-1,1,,)+1,COLUMN('2_DATA'!$M$9),1,1,"2_DATA")):INDIRECT(ADDRESS(VLOOKUP($D$2,$A$4:$B$16,2,FALSE)-1,COLUMN('2_DATA'!$M$9),1,1,"2_DATA")),$G202,INDIRECT(ADDRESS(OFFSET($A$3,MATCH($D$2,$A$4:$A$16,0)-1,1,,)+1,COLUMN('2_DATA'!$N$9),1,1,"2_DATA")):INDIRECT(ADDRESS(VLOOKUP($D$2,$A$4:$B$16,2,FALSE)-1,COLUMN('2_DATA'!$N$9),1,1,"2_DATA"))))),0)</f>
        <v>0</v>
      </c>
      <c r="J202" s="58" t="str">
        <f ca="1">IF(I202=0,"",MAX($J$3:J201)+1)</f>
        <v/>
      </c>
      <c r="L202" s="55" t="str">
        <f t="shared" ca="1" si="53"/>
        <v/>
      </c>
      <c r="M202" s="55" t="str">
        <f t="shared" ca="1" si="57"/>
        <v/>
      </c>
      <c r="N202" s="55"/>
      <c r="O202" s="55" t="str">
        <f t="shared" ca="1" si="59"/>
        <v/>
      </c>
      <c r="P202" s="55">
        <f t="shared" ca="1" si="54"/>
        <v>0</v>
      </c>
      <c r="Q202" s="55" t="str">
        <f ca="1">IFERROR(INDEX($O$4:$P$226,MATCH(ROWS($Q$3:Q201),$P$4:$P$226,0),1),"-")</f>
        <v>-</v>
      </c>
      <c r="R202" s="62" t="str">
        <f t="shared" ca="1" si="55"/>
        <v/>
      </c>
      <c r="S202" s="55" t="str">
        <f t="shared" ca="1" si="58"/>
        <v/>
      </c>
      <c r="T202" s="67" t="str">
        <f t="shared" ca="1" si="52"/>
        <v>-</v>
      </c>
      <c r="V202" s="68" t="str">
        <f t="shared" ca="1" si="46"/>
        <v/>
      </c>
      <c r="W202" s="69" t="str">
        <f t="shared" ca="1" si="47"/>
        <v/>
      </c>
      <c r="X202" s="70" t="s">
        <v>84</v>
      </c>
      <c r="Y202" s="68" t="str">
        <f t="shared" ca="1" si="51"/>
        <v/>
      </c>
      <c r="Z202" s="71" t="str">
        <f t="shared" ca="1" si="48"/>
        <v/>
      </c>
      <c r="AA202" s="72" t="str">
        <f t="shared" ca="1" si="49"/>
        <v/>
      </c>
      <c r="AB202" s="72" t="str">
        <f t="shared" ca="1" si="50"/>
        <v/>
      </c>
    </row>
    <row r="203" spans="4:28" ht="24" customHeight="1">
      <c r="D203" s="57">
        <f ca="1">INDIRECT(ADDRESS(ROWS($D$3:D202)+6,D$3,1,1,"3_TIME SUM"))</f>
        <v>0</v>
      </c>
      <c r="E203" s="81" t="str">
        <f ca="1">IF(INDIRECT(ADDRESS(ROWS($E$3:E202)+6,E$3,1,1,"3_TIME SUM"))=0,E202,INDIRECT(ADDRESS(ROWS($E$3:E202)+6,E$3,1,1,"3_TIME SUM")))</f>
        <v>X-Mastree</v>
      </c>
      <c r="F203" s="57" t="str">
        <f t="shared" ca="1" si="56"/>
        <v>X-Mastree : 0</v>
      </c>
      <c r="G203" s="58" t="e">
        <f ca="1">VLOOKUP($D203,INDIRECT(ADDRESS(7,5,1,1,"3_TIME SUM")):INDIRECT(ADDRESS(200,7,1,1,"3_TIME SUM")),2,FALSE)</f>
        <v>#N/A</v>
      </c>
      <c r="H203" s="58" t="e">
        <f ca="1">IF(VLOOKUP($D203,INDIRECT(ADDRESS(7,5,1,1,"3_TIME SUM")):INDIRECT(ADDRESS(200,7,1,1,"3_TIME SUM")),3,FALSE)="","PT",VLOOKUP($D203,INDIRECT(ADDRESS(7,5,1,1,"3_TIME SUM")):INDIRECT(ADDRESS(200,7,1,1,"3_TIME SUM")),3,FALSE))</f>
        <v>#N/A</v>
      </c>
      <c r="I203" s="59">
        <f ca="1">IFERROR(IF(AND($D$2="NON PRODUCTIVE TIME",$H203="NPT"),SUMIF(INDIRECT(ADDRESS(8,COLUMN('2_DATA'!$M$9),1,1,"2_DATA")):INDIRECT(ADDRESS(3000,COLUMN('2_DATA'!$M$9),1,1,"2_DATA")),$G203,INDIRECT(ADDRESS(8,COLUMN('2_DATA'!$N$9),1,1,"2_DATA")):INDIRECT(ADDRESS(3000,COLUMN('2_DATA'!$N$9),1,1,"2_DATA"))),IF($D$2="ALL ACTIVITY",SUMIF(INDIRECT(ADDRESS(9,COLUMN('2_DATA'!$M$9),1,1,"2_DATA")):INDIRECT(ADDRESS(3000,COLUMN('2_DATA'!$M$9),1,1,"2_DATA")),$G203,INDIRECT(ADDRESS(9,COLUMN('2_DATA'!$N$9),1,1,"2_DATA")):INDIRECT(ADDRESS(3000,COLUMN('2_DATA'!$N$9),1,1,"2_DATA"))),SUMIF(INDIRECT(ADDRESS(OFFSET($A$3,MATCH($D$2,$A$4:$A$16,0)-1,1,,)+1,COLUMN('2_DATA'!$M$9),1,1,"2_DATA")):INDIRECT(ADDRESS(VLOOKUP($D$2,$A$4:$B$16,2,FALSE)-1,COLUMN('2_DATA'!$M$9),1,1,"2_DATA")),$G203,INDIRECT(ADDRESS(OFFSET($A$3,MATCH($D$2,$A$4:$A$16,0)-1,1,,)+1,COLUMN('2_DATA'!$N$9),1,1,"2_DATA")):INDIRECT(ADDRESS(VLOOKUP($D$2,$A$4:$B$16,2,FALSE)-1,COLUMN('2_DATA'!$N$9),1,1,"2_DATA"))))),0)</f>
        <v>0</v>
      </c>
      <c r="J203" s="58" t="str">
        <f ca="1">IF(I203=0,"",MAX($J$3:J202)+1)</f>
        <v/>
      </c>
      <c r="L203" s="55" t="str">
        <f t="shared" ca="1" si="53"/>
        <v/>
      </c>
      <c r="M203" s="55" t="str">
        <f t="shared" ca="1" si="57"/>
        <v/>
      </c>
      <c r="N203" s="55"/>
      <c r="O203" s="55" t="str">
        <f t="shared" ca="1" si="59"/>
        <v/>
      </c>
      <c r="P203" s="55">
        <f t="shared" ca="1" si="54"/>
        <v>0</v>
      </c>
      <c r="Q203" s="55" t="str">
        <f ca="1">IFERROR(INDEX($O$4:$P$226,MATCH(ROWS($Q$3:Q202),$P$4:$P$226,0),1),"-")</f>
        <v>-</v>
      </c>
      <c r="R203" s="62" t="str">
        <f t="shared" ca="1" si="55"/>
        <v/>
      </c>
      <c r="S203" s="55" t="str">
        <f t="shared" ca="1" si="58"/>
        <v/>
      </c>
      <c r="T203" s="67" t="str">
        <f t="shared" ca="1" si="52"/>
        <v>-</v>
      </c>
      <c r="V203" s="68" t="str">
        <f t="shared" ca="1" si="46"/>
        <v/>
      </c>
      <c r="W203" s="69" t="str">
        <f t="shared" ca="1" si="47"/>
        <v/>
      </c>
      <c r="X203" s="70" t="s">
        <v>84</v>
      </c>
      <c r="Y203" s="68" t="str">
        <f t="shared" ca="1" si="51"/>
        <v/>
      </c>
      <c r="Z203" s="71" t="str">
        <f t="shared" ca="1" si="48"/>
        <v/>
      </c>
      <c r="AA203" s="72" t="str">
        <f t="shared" ca="1" si="49"/>
        <v/>
      </c>
      <c r="AB203" s="72" t="str">
        <f t="shared" ca="1" si="50"/>
        <v/>
      </c>
    </row>
    <row r="204" spans="4:28" ht="24" customHeight="1">
      <c r="D204" s="57">
        <f ca="1">INDIRECT(ADDRESS(ROWS($D$3:D203)+6,D$3,1,1,"3_TIME SUM"))</f>
        <v>0</v>
      </c>
      <c r="E204" s="81" t="str">
        <f ca="1">IF(INDIRECT(ADDRESS(ROWS($E$3:E203)+6,E$3,1,1,"3_TIME SUM"))=0,E203,INDIRECT(ADDRESS(ROWS($E$3:E203)+6,E$3,1,1,"3_TIME SUM")))</f>
        <v>X-Mastree</v>
      </c>
      <c r="F204" s="57" t="str">
        <f t="shared" ca="1" si="56"/>
        <v>X-Mastree : 0</v>
      </c>
      <c r="G204" s="58" t="e">
        <f ca="1">VLOOKUP($D204,INDIRECT(ADDRESS(7,5,1,1,"3_TIME SUM")):INDIRECT(ADDRESS(200,7,1,1,"3_TIME SUM")),2,FALSE)</f>
        <v>#N/A</v>
      </c>
      <c r="H204" s="58" t="e">
        <f ca="1">IF(VLOOKUP($D204,INDIRECT(ADDRESS(7,5,1,1,"3_TIME SUM")):INDIRECT(ADDRESS(200,7,1,1,"3_TIME SUM")),3,FALSE)="","PT",VLOOKUP($D204,INDIRECT(ADDRESS(7,5,1,1,"3_TIME SUM")):INDIRECT(ADDRESS(200,7,1,1,"3_TIME SUM")),3,FALSE))</f>
        <v>#N/A</v>
      </c>
      <c r="I204" s="59">
        <f ca="1">IFERROR(IF(AND($D$2="NON PRODUCTIVE TIME",$H204="NPT"),SUMIF(INDIRECT(ADDRESS(8,COLUMN('2_DATA'!$M$9),1,1,"2_DATA")):INDIRECT(ADDRESS(3000,COLUMN('2_DATA'!$M$9),1,1,"2_DATA")),$G204,INDIRECT(ADDRESS(8,COLUMN('2_DATA'!$N$9),1,1,"2_DATA")):INDIRECT(ADDRESS(3000,COLUMN('2_DATA'!$N$9),1,1,"2_DATA"))),IF($D$2="ALL ACTIVITY",SUMIF(INDIRECT(ADDRESS(9,COLUMN('2_DATA'!$M$9),1,1,"2_DATA")):INDIRECT(ADDRESS(3000,COLUMN('2_DATA'!$M$9),1,1,"2_DATA")),$G204,INDIRECT(ADDRESS(9,COLUMN('2_DATA'!$N$9),1,1,"2_DATA")):INDIRECT(ADDRESS(3000,COLUMN('2_DATA'!$N$9),1,1,"2_DATA"))),SUMIF(INDIRECT(ADDRESS(OFFSET($A$3,MATCH($D$2,$A$4:$A$16,0)-1,1,,)+1,COLUMN('2_DATA'!$M$9),1,1,"2_DATA")):INDIRECT(ADDRESS(VLOOKUP($D$2,$A$4:$B$16,2,FALSE)-1,COLUMN('2_DATA'!$M$9),1,1,"2_DATA")),$G204,INDIRECT(ADDRESS(OFFSET($A$3,MATCH($D$2,$A$4:$A$16,0)-1,1,,)+1,COLUMN('2_DATA'!$N$9),1,1,"2_DATA")):INDIRECT(ADDRESS(VLOOKUP($D$2,$A$4:$B$16,2,FALSE)-1,COLUMN('2_DATA'!$N$9),1,1,"2_DATA"))))),0)</f>
        <v>0</v>
      </c>
      <c r="J204" s="58" t="str">
        <f ca="1">IF(I204=0,"",MAX($J$3:J203)+1)</f>
        <v/>
      </c>
      <c r="L204" s="55" t="str">
        <f t="shared" ca="1" si="53"/>
        <v/>
      </c>
      <c r="M204" s="55" t="str">
        <f t="shared" ca="1" si="57"/>
        <v/>
      </c>
      <c r="N204" s="55"/>
      <c r="O204" s="55" t="str">
        <f t="shared" ca="1" si="59"/>
        <v/>
      </c>
      <c r="P204" s="55">
        <f t="shared" ca="1" si="54"/>
        <v>0</v>
      </c>
      <c r="Q204" s="55" t="str">
        <f ca="1">IFERROR(INDEX($O$4:$P$226,MATCH(ROWS($Q$3:Q203),$P$4:$P$226,0),1),"-")</f>
        <v>-</v>
      </c>
      <c r="R204" s="62" t="str">
        <f t="shared" ca="1" si="55"/>
        <v/>
      </c>
      <c r="S204" s="55" t="str">
        <f t="shared" ca="1" si="58"/>
        <v/>
      </c>
      <c r="T204" s="67" t="str">
        <f t="shared" ca="1" si="52"/>
        <v>-</v>
      </c>
      <c r="V204" s="68" t="str">
        <f t="shared" ca="1" si="46"/>
        <v/>
      </c>
      <c r="W204" s="69" t="str">
        <f t="shared" ca="1" si="47"/>
        <v/>
      </c>
      <c r="X204" s="70" t="s">
        <v>84</v>
      </c>
      <c r="Y204" s="68" t="str">
        <f t="shared" ca="1" si="51"/>
        <v/>
      </c>
      <c r="Z204" s="71" t="str">
        <f t="shared" ca="1" si="48"/>
        <v/>
      </c>
      <c r="AA204" s="72" t="str">
        <f t="shared" ca="1" si="49"/>
        <v/>
      </c>
      <c r="AB204" s="72" t="str">
        <f t="shared" ca="1" si="50"/>
        <v/>
      </c>
    </row>
    <row r="205" spans="4:28" ht="24" customHeight="1">
      <c r="D205" s="57">
        <f ca="1">INDIRECT(ADDRESS(ROWS($D$3:D204)+6,D$3,1,1,"3_TIME SUM"))</f>
        <v>0</v>
      </c>
      <c r="E205" s="81" t="str">
        <f ca="1">IF(INDIRECT(ADDRESS(ROWS($E$3:E204)+6,E$3,1,1,"3_TIME SUM"))=0,E204,INDIRECT(ADDRESS(ROWS($E$3:E204)+6,E$3,1,1,"3_TIME SUM")))</f>
        <v>X-Mastree</v>
      </c>
      <c r="F205" s="57" t="str">
        <f t="shared" ca="1" si="56"/>
        <v>X-Mastree : 0</v>
      </c>
      <c r="G205" s="58" t="e">
        <f ca="1">VLOOKUP($D205,INDIRECT(ADDRESS(7,5,1,1,"3_TIME SUM")):INDIRECT(ADDRESS(200,7,1,1,"3_TIME SUM")),2,FALSE)</f>
        <v>#N/A</v>
      </c>
      <c r="H205" s="58" t="e">
        <f ca="1">IF(VLOOKUP($D205,INDIRECT(ADDRESS(7,5,1,1,"3_TIME SUM")):INDIRECT(ADDRESS(200,7,1,1,"3_TIME SUM")),3,FALSE)="","PT",VLOOKUP($D205,INDIRECT(ADDRESS(7,5,1,1,"3_TIME SUM")):INDIRECT(ADDRESS(200,7,1,1,"3_TIME SUM")),3,FALSE))</f>
        <v>#N/A</v>
      </c>
      <c r="I205" s="59">
        <f ca="1">IFERROR(IF(AND($D$2="NON PRODUCTIVE TIME",$H205="NPT"),SUMIF(INDIRECT(ADDRESS(8,COLUMN('2_DATA'!$M$9),1,1,"2_DATA")):INDIRECT(ADDRESS(3000,COLUMN('2_DATA'!$M$9),1,1,"2_DATA")),$G205,INDIRECT(ADDRESS(8,COLUMN('2_DATA'!$N$9),1,1,"2_DATA")):INDIRECT(ADDRESS(3000,COLUMN('2_DATA'!$N$9),1,1,"2_DATA"))),IF($D$2="ALL ACTIVITY",SUMIF(INDIRECT(ADDRESS(9,COLUMN('2_DATA'!$M$9),1,1,"2_DATA")):INDIRECT(ADDRESS(3000,COLUMN('2_DATA'!$M$9),1,1,"2_DATA")),$G205,INDIRECT(ADDRESS(9,COLUMN('2_DATA'!$N$9),1,1,"2_DATA")):INDIRECT(ADDRESS(3000,COLUMN('2_DATA'!$N$9),1,1,"2_DATA"))),SUMIF(INDIRECT(ADDRESS(OFFSET($A$3,MATCH($D$2,$A$4:$A$16,0)-1,1,,)+1,COLUMN('2_DATA'!$M$9),1,1,"2_DATA")):INDIRECT(ADDRESS(VLOOKUP($D$2,$A$4:$B$16,2,FALSE)-1,COLUMN('2_DATA'!$M$9),1,1,"2_DATA")),$G205,INDIRECT(ADDRESS(OFFSET($A$3,MATCH($D$2,$A$4:$A$16,0)-1,1,,)+1,COLUMN('2_DATA'!$N$9),1,1,"2_DATA")):INDIRECT(ADDRESS(VLOOKUP($D$2,$A$4:$B$16,2,FALSE)-1,COLUMN('2_DATA'!$N$9),1,1,"2_DATA"))))),0)</f>
        <v>0</v>
      </c>
      <c r="J205" s="58" t="str">
        <f ca="1">IF(I205=0,"",MAX($J$3:J204)+1)</f>
        <v/>
      </c>
      <c r="L205" s="55" t="str">
        <f t="shared" ca="1" si="53"/>
        <v/>
      </c>
      <c r="M205" s="55" t="str">
        <f t="shared" ca="1" si="57"/>
        <v/>
      </c>
      <c r="N205" s="55"/>
      <c r="O205" s="55" t="str">
        <f t="shared" ca="1" si="59"/>
        <v/>
      </c>
      <c r="P205" s="55">
        <f t="shared" ca="1" si="54"/>
        <v>0</v>
      </c>
      <c r="Q205" s="55" t="str">
        <f ca="1">IFERROR(INDEX($O$4:$P$226,MATCH(ROWS($Q$3:Q204),$P$4:$P$226,0),1),"-")</f>
        <v>-</v>
      </c>
      <c r="R205" s="62" t="str">
        <f t="shared" ca="1" si="55"/>
        <v/>
      </c>
      <c r="S205" s="55" t="str">
        <f t="shared" ca="1" si="58"/>
        <v/>
      </c>
      <c r="T205" s="67" t="str">
        <f t="shared" ca="1" si="52"/>
        <v>-</v>
      </c>
      <c r="V205" s="68" t="str">
        <f t="shared" ref="V205:V268" ca="1" si="60">IFERROR(IF($S196=0,"",$S196),"")</f>
        <v/>
      </c>
      <c r="W205" s="69" t="str">
        <f t="shared" ref="W205:W268" ca="1" si="61">IFERROR(IF($S196=0,$R196,$R196),"")</f>
        <v/>
      </c>
      <c r="X205" s="70" t="s">
        <v>84</v>
      </c>
      <c r="Y205" s="68" t="str">
        <f t="shared" ca="1" si="51"/>
        <v/>
      </c>
      <c r="Z205" s="71" t="str">
        <f t="shared" ca="1" si="48"/>
        <v/>
      </c>
      <c r="AA205" s="72" t="str">
        <f t="shared" ca="1" si="49"/>
        <v/>
      </c>
      <c r="AB205" s="72" t="str">
        <f t="shared" ca="1" si="50"/>
        <v/>
      </c>
    </row>
    <row r="206" spans="4:28" ht="24" customHeight="1">
      <c r="D206" s="57">
        <f ca="1">INDIRECT(ADDRESS(ROWS($D$3:D205)+6,D$3,1,1,"3_TIME SUM"))</f>
        <v>0</v>
      </c>
      <c r="E206" s="81" t="str">
        <f ca="1">IF(INDIRECT(ADDRESS(ROWS($E$3:E205)+6,E$3,1,1,"3_TIME SUM"))=0,E205,INDIRECT(ADDRESS(ROWS($E$3:E205)+6,E$3,1,1,"3_TIME SUM")))</f>
        <v>X-Mastree</v>
      </c>
      <c r="F206" s="57" t="str">
        <f t="shared" ca="1" si="56"/>
        <v>X-Mastree : 0</v>
      </c>
      <c r="G206" s="58" t="e">
        <f ca="1">VLOOKUP($D206,INDIRECT(ADDRESS(7,5,1,1,"3_TIME SUM")):INDIRECT(ADDRESS(200,7,1,1,"3_TIME SUM")),2,FALSE)</f>
        <v>#N/A</v>
      </c>
      <c r="H206" s="58" t="e">
        <f ca="1">IF(VLOOKUP($D206,INDIRECT(ADDRESS(7,5,1,1,"3_TIME SUM")):INDIRECT(ADDRESS(200,7,1,1,"3_TIME SUM")),3,FALSE)="","PT",VLOOKUP($D206,INDIRECT(ADDRESS(7,5,1,1,"3_TIME SUM")):INDIRECT(ADDRESS(200,7,1,1,"3_TIME SUM")),3,FALSE))</f>
        <v>#N/A</v>
      </c>
      <c r="I206" s="59">
        <f ca="1">IFERROR(IF(AND($D$2="NON PRODUCTIVE TIME",$H206="NPT"),SUMIF(INDIRECT(ADDRESS(8,COLUMN('2_DATA'!$M$9),1,1,"2_DATA")):INDIRECT(ADDRESS(3000,COLUMN('2_DATA'!$M$9),1,1,"2_DATA")),$G206,INDIRECT(ADDRESS(8,COLUMN('2_DATA'!$N$9),1,1,"2_DATA")):INDIRECT(ADDRESS(3000,COLUMN('2_DATA'!$N$9),1,1,"2_DATA"))),IF($D$2="ALL ACTIVITY",SUMIF(INDIRECT(ADDRESS(9,COLUMN('2_DATA'!$M$9),1,1,"2_DATA")):INDIRECT(ADDRESS(3000,COLUMN('2_DATA'!$M$9),1,1,"2_DATA")),$G206,INDIRECT(ADDRESS(9,COLUMN('2_DATA'!$N$9),1,1,"2_DATA")):INDIRECT(ADDRESS(3000,COLUMN('2_DATA'!$N$9),1,1,"2_DATA"))),SUMIF(INDIRECT(ADDRESS(OFFSET($A$3,MATCH($D$2,$A$4:$A$16,0)-1,1,,)+1,COLUMN('2_DATA'!$M$9),1,1,"2_DATA")):INDIRECT(ADDRESS(VLOOKUP($D$2,$A$4:$B$16,2,FALSE)-1,COLUMN('2_DATA'!$M$9),1,1,"2_DATA")),$G206,INDIRECT(ADDRESS(OFFSET($A$3,MATCH($D$2,$A$4:$A$16,0)-1,1,,)+1,COLUMN('2_DATA'!$N$9),1,1,"2_DATA")):INDIRECT(ADDRESS(VLOOKUP($D$2,$A$4:$B$16,2,FALSE)-1,COLUMN('2_DATA'!$N$9),1,1,"2_DATA"))))),0)</f>
        <v>0</v>
      </c>
      <c r="J206" s="58" t="str">
        <f ca="1">IF(I206=0,"",MAX($J$3:J205)+1)</f>
        <v/>
      </c>
      <c r="L206" s="55" t="str">
        <f t="shared" ca="1" si="53"/>
        <v/>
      </c>
      <c r="M206" s="55" t="str">
        <f t="shared" ca="1" si="57"/>
        <v/>
      </c>
      <c r="N206" s="55"/>
      <c r="O206" s="55" t="str">
        <f t="shared" ca="1" si="59"/>
        <v/>
      </c>
      <c r="P206" s="55">
        <f t="shared" ca="1" si="54"/>
        <v>0</v>
      </c>
      <c r="Q206" s="55" t="str">
        <f ca="1">IFERROR(INDEX($O$4:$P$226,MATCH(ROWS($Q$3:Q205),$P$4:$P$226,0),1),"-")</f>
        <v>-</v>
      </c>
      <c r="R206" s="62" t="str">
        <f t="shared" ca="1" si="55"/>
        <v/>
      </c>
      <c r="S206" s="55" t="str">
        <f t="shared" ca="1" si="58"/>
        <v/>
      </c>
      <c r="T206" s="67" t="str">
        <f t="shared" ca="1" si="52"/>
        <v>-</v>
      </c>
      <c r="V206" s="68" t="str">
        <f t="shared" ca="1" si="60"/>
        <v/>
      </c>
      <c r="W206" s="69" t="str">
        <f t="shared" ca="1" si="61"/>
        <v/>
      </c>
      <c r="X206" s="70" t="s">
        <v>84</v>
      </c>
      <c r="Y206" s="68" t="str">
        <f t="shared" ca="1" si="51"/>
        <v/>
      </c>
      <c r="Z206" s="71" t="str">
        <f t="shared" ref="Z206:Z269" ca="1" si="62">IFERROR(VLOOKUP($W206,$F$4:$J$300,2,FALSE),"")</f>
        <v/>
      </c>
      <c r="AA206" s="72" t="str">
        <f t="shared" ref="AA206:AA269" ca="1" si="63">IFERROR(VLOOKUP($W206,$F$4:$J$300,4,FALSE),"")</f>
        <v/>
      </c>
      <c r="AB206" s="72" t="str">
        <f t="shared" ref="AB206:AB269" ca="1" si="64">IFERROR(AA206/24,"")</f>
        <v/>
      </c>
    </row>
    <row r="207" spans="4:28" ht="24" customHeight="1">
      <c r="D207" s="57">
        <f ca="1">INDIRECT(ADDRESS(ROWS($D$3:D206)+6,D$3,1,1,"3_TIME SUM"))</f>
        <v>0</v>
      </c>
      <c r="E207" s="81" t="str">
        <f ca="1">IF(INDIRECT(ADDRESS(ROWS($E$3:E206)+6,E$3,1,1,"3_TIME SUM"))=0,E206,INDIRECT(ADDRESS(ROWS($E$3:E206)+6,E$3,1,1,"3_TIME SUM")))</f>
        <v>X-Mastree</v>
      </c>
      <c r="F207" s="57" t="str">
        <f t="shared" ca="1" si="56"/>
        <v>X-Mastree : 0</v>
      </c>
      <c r="G207" s="58" t="e">
        <f ca="1">VLOOKUP($D207,INDIRECT(ADDRESS(7,5,1,1,"3_TIME SUM")):INDIRECT(ADDRESS(200,7,1,1,"3_TIME SUM")),2,FALSE)</f>
        <v>#N/A</v>
      </c>
      <c r="H207" s="58" t="e">
        <f ca="1">IF(VLOOKUP($D207,INDIRECT(ADDRESS(7,5,1,1,"3_TIME SUM")):INDIRECT(ADDRESS(200,7,1,1,"3_TIME SUM")),3,FALSE)="","PT",VLOOKUP($D207,INDIRECT(ADDRESS(7,5,1,1,"3_TIME SUM")):INDIRECT(ADDRESS(200,7,1,1,"3_TIME SUM")),3,FALSE))</f>
        <v>#N/A</v>
      </c>
      <c r="I207" s="59">
        <f ca="1">IFERROR(IF(AND($D$2="NON PRODUCTIVE TIME",$H207="NPT"),SUMIF(INDIRECT(ADDRESS(8,COLUMN('2_DATA'!$M$9),1,1,"2_DATA")):INDIRECT(ADDRESS(3000,COLUMN('2_DATA'!$M$9),1,1,"2_DATA")),$G207,INDIRECT(ADDRESS(8,COLUMN('2_DATA'!$N$9),1,1,"2_DATA")):INDIRECT(ADDRESS(3000,COLUMN('2_DATA'!$N$9),1,1,"2_DATA"))),IF($D$2="ALL ACTIVITY",SUMIF(INDIRECT(ADDRESS(9,COLUMN('2_DATA'!$M$9),1,1,"2_DATA")):INDIRECT(ADDRESS(3000,COLUMN('2_DATA'!$M$9),1,1,"2_DATA")),$G207,INDIRECT(ADDRESS(9,COLUMN('2_DATA'!$N$9),1,1,"2_DATA")):INDIRECT(ADDRESS(3000,COLUMN('2_DATA'!$N$9),1,1,"2_DATA"))),SUMIF(INDIRECT(ADDRESS(OFFSET($A$3,MATCH($D$2,$A$4:$A$16,0)-1,1,,)+1,COLUMN('2_DATA'!$M$9),1,1,"2_DATA")):INDIRECT(ADDRESS(VLOOKUP($D$2,$A$4:$B$16,2,FALSE)-1,COLUMN('2_DATA'!$M$9),1,1,"2_DATA")),$G207,INDIRECT(ADDRESS(OFFSET($A$3,MATCH($D$2,$A$4:$A$16,0)-1,1,,)+1,COLUMN('2_DATA'!$N$9),1,1,"2_DATA")):INDIRECT(ADDRESS(VLOOKUP($D$2,$A$4:$B$16,2,FALSE)-1,COLUMN('2_DATA'!$N$9),1,1,"2_DATA"))))),0)</f>
        <v>0</v>
      </c>
      <c r="J207" s="58" t="str">
        <f ca="1">IF(I207=0,"",MAX($J$3:J206)+1)</f>
        <v/>
      </c>
      <c r="L207" s="55" t="str">
        <f t="shared" ca="1" si="53"/>
        <v/>
      </c>
      <c r="M207" s="55" t="str">
        <f t="shared" ca="1" si="57"/>
        <v/>
      </c>
      <c r="N207" s="55"/>
      <c r="O207" s="55" t="str">
        <f t="shared" ca="1" si="59"/>
        <v/>
      </c>
      <c r="P207" s="55">
        <f t="shared" ca="1" si="54"/>
        <v>0</v>
      </c>
      <c r="Q207" s="55" t="str">
        <f ca="1">IFERROR(INDEX($O$4:$P$226,MATCH(ROWS($Q$3:Q206),$P$4:$P$226,0),1),"-")</f>
        <v>-</v>
      </c>
      <c r="R207" s="62" t="str">
        <f t="shared" ca="1" si="55"/>
        <v/>
      </c>
      <c r="S207" s="55" t="str">
        <f t="shared" ca="1" si="58"/>
        <v/>
      </c>
      <c r="T207" s="67" t="str">
        <f t="shared" ca="1" si="52"/>
        <v>-</v>
      </c>
      <c r="V207" s="68" t="str">
        <f t="shared" ca="1" si="60"/>
        <v/>
      </c>
      <c r="W207" s="69" t="str">
        <f t="shared" ca="1" si="61"/>
        <v/>
      </c>
      <c r="X207" s="70" t="s">
        <v>84</v>
      </c>
      <c r="Y207" s="68" t="str">
        <f t="shared" ca="1" si="51"/>
        <v/>
      </c>
      <c r="Z207" s="71" t="str">
        <f t="shared" ca="1" si="62"/>
        <v/>
      </c>
      <c r="AA207" s="72" t="str">
        <f t="shared" ca="1" si="63"/>
        <v/>
      </c>
      <c r="AB207" s="72" t="str">
        <f t="shared" ca="1" si="64"/>
        <v/>
      </c>
    </row>
    <row r="208" spans="4:28" ht="24" customHeight="1">
      <c r="D208" s="57">
        <f ca="1">INDIRECT(ADDRESS(ROWS($D$3:D207)+6,D$3,1,1,"3_TIME SUM"))</f>
        <v>0</v>
      </c>
      <c r="E208" s="81" t="str">
        <f ca="1">IF(INDIRECT(ADDRESS(ROWS($E$3:E207)+6,E$3,1,1,"3_TIME SUM"))=0,E207,INDIRECT(ADDRESS(ROWS($E$3:E207)+6,E$3,1,1,"3_TIME SUM")))</f>
        <v>X-Mastree</v>
      </c>
      <c r="F208" s="57" t="str">
        <f t="shared" ca="1" si="56"/>
        <v>X-Mastree : 0</v>
      </c>
      <c r="G208" s="58" t="e">
        <f ca="1">VLOOKUP($D208,INDIRECT(ADDRESS(7,5,1,1,"3_TIME SUM")):INDIRECT(ADDRESS(200,7,1,1,"3_TIME SUM")),2,FALSE)</f>
        <v>#N/A</v>
      </c>
      <c r="H208" s="58" t="e">
        <f ca="1">IF(VLOOKUP($D208,INDIRECT(ADDRESS(7,5,1,1,"3_TIME SUM")):INDIRECT(ADDRESS(200,7,1,1,"3_TIME SUM")),3,FALSE)="","PT",VLOOKUP($D208,INDIRECT(ADDRESS(7,5,1,1,"3_TIME SUM")):INDIRECT(ADDRESS(200,7,1,1,"3_TIME SUM")),3,FALSE))</f>
        <v>#N/A</v>
      </c>
      <c r="I208" s="59">
        <f ca="1">IFERROR(IF(AND($D$2="NON PRODUCTIVE TIME",$H208="NPT"),SUMIF(INDIRECT(ADDRESS(8,COLUMN('2_DATA'!$M$9),1,1,"2_DATA")):INDIRECT(ADDRESS(3000,COLUMN('2_DATA'!$M$9),1,1,"2_DATA")),$G208,INDIRECT(ADDRESS(8,COLUMN('2_DATA'!$N$9),1,1,"2_DATA")):INDIRECT(ADDRESS(3000,COLUMN('2_DATA'!$N$9),1,1,"2_DATA"))),IF($D$2="ALL ACTIVITY",SUMIF(INDIRECT(ADDRESS(9,COLUMN('2_DATA'!$M$9),1,1,"2_DATA")):INDIRECT(ADDRESS(3000,COLUMN('2_DATA'!$M$9),1,1,"2_DATA")),$G208,INDIRECT(ADDRESS(9,COLUMN('2_DATA'!$N$9),1,1,"2_DATA")):INDIRECT(ADDRESS(3000,COLUMN('2_DATA'!$N$9),1,1,"2_DATA"))),SUMIF(INDIRECT(ADDRESS(OFFSET($A$3,MATCH($D$2,$A$4:$A$16,0)-1,1,,)+1,COLUMN('2_DATA'!$M$9),1,1,"2_DATA")):INDIRECT(ADDRESS(VLOOKUP($D$2,$A$4:$B$16,2,FALSE)-1,COLUMN('2_DATA'!$M$9),1,1,"2_DATA")),$G208,INDIRECT(ADDRESS(OFFSET($A$3,MATCH($D$2,$A$4:$A$16,0)-1,1,,)+1,COLUMN('2_DATA'!$N$9),1,1,"2_DATA")):INDIRECT(ADDRESS(VLOOKUP($D$2,$A$4:$B$16,2,FALSE)-1,COLUMN('2_DATA'!$N$9),1,1,"2_DATA"))))),0)</f>
        <v>0</v>
      </c>
      <c r="J208" s="58" t="str">
        <f ca="1">IF(I208=0,"",MAX($J$3:J207)+1)</f>
        <v/>
      </c>
      <c r="L208" s="55" t="str">
        <f t="shared" ca="1" si="53"/>
        <v/>
      </c>
      <c r="M208" s="55" t="str">
        <f t="shared" ca="1" si="57"/>
        <v/>
      </c>
      <c r="N208" s="55"/>
      <c r="O208" s="55" t="str">
        <f t="shared" ca="1" si="59"/>
        <v/>
      </c>
      <c r="P208" s="55">
        <f t="shared" ca="1" si="54"/>
        <v>0</v>
      </c>
      <c r="Q208" s="55" t="str">
        <f ca="1">IFERROR(INDEX($O$4:$P$226,MATCH(ROWS($Q$3:Q207),$P$4:$P$226,0),1),"-")</f>
        <v>-</v>
      </c>
      <c r="R208" s="62" t="str">
        <f t="shared" ca="1" si="55"/>
        <v/>
      </c>
      <c r="S208" s="55" t="str">
        <f t="shared" ca="1" si="58"/>
        <v/>
      </c>
      <c r="T208" s="67" t="str">
        <f t="shared" ca="1" si="52"/>
        <v>-</v>
      </c>
      <c r="V208" s="68" t="str">
        <f t="shared" ca="1" si="60"/>
        <v/>
      </c>
      <c r="W208" s="69" t="str">
        <f t="shared" ca="1" si="61"/>
        <v/>
      </c>
      <c r="X208" s="70" t="s">
        <v>84</v>
      </c>
      <c r="Y208" s="68" t="str">
        <f t="shared" ca="1" si="51"/>
        <v/>
      </c>
      <c r="Z208" s="71" t="str">
        <f t="shared" ca="1" si="62"/>
        <v/>
      </c>
      <c r="AA208" s="72" t="str">
        <f t="shared" ca="1" si="63"/>
        <v/>
      </c>
      <c r="AB208" s="72" t="str">
        <f t="shared" ca="1" si="64"/>
        <v/>
      </c>
    </row>
    <row r="209" spans="4:28" ht="24" customHeight="1">
      <c r="D209" s="57">
        <f ca="1">INDIRECT(ADDRESS(ROWS($D$3:D208)+6,D$3,1,1,"3_TIME SUM"))</f>
        <v>0</v>
      </c>
      <c r="E209" s="81" t="str">
        <f ca="1">IF(INDIRECT(ADDRESS(ROWS($E$3:E208)+6,E$3,1,1,"3_TIME SUM"))=0,E208,INDIRECT(ADDRESS(ROWS($E$3:E208)+6,E$3,1,1,"3_TIME SUM")))</f>
        <v>X-Mastree</v>
      </c>
      <c r="F209" s="57" t="str">
        <f t="shared" ca="1" si="56"/>
        <v>X-Mastree : 0</v>
      </c>
      <c r="G209" s="58" t="e">
        <f ca="1">VLOOKUP($D209,INDIRECT(ADDRESS(7,5,1,1,"3_TIME SUM")):INDIRECT(ADDRESS(200,7,1,1,"3_TIME SUM")),2,FALSE)</f>
        <v>#N/A</v>
      </c>
      <c r="H209" s="58" t="e">
        <f ca="1">IF(VLOOKUP($D209,INDIRECT(ADDRESS(7,5,1,1,"3_TIME SUM")):INDIRECT(ADDRESS(200,7,1,1,"3_TIME SUM")),3,FALSE)="","PT",VLOOKUP($D209,INDIRECT(ADDRESS(7,5,1,1,"3_TIME SUM")):INDIRECT(ADDRESS(200,7,1,1,"3_TIME SUM")),3,FALSE))</f>
        <v>#N/A</v>
      </c>
      <c r="I209" s="59">
        <f ca="1">IFERROR(IF(AND($D$2="NON PRODUCTIVE TIME",$H209="NPT"),SUMIF(INDIRECT(ADDRESS(8,COLUMN('2_DATA'!$M$9),1,1,"2_DATA")):INDIRECT(ADDRESS(3000,COLUMN('2_DATA'!$M$9),1,1,"2_DATA")),$G209,INDIRECT(ADDRESS(8,COLUMN('2_DATA'!$N$9),1,1,"2_DATA")):INDIRECT(ADDRESS(3000,COLUMN('2_DATA'!$N$9),1,1,"2_DATA"))),IF($D$2="ALL ACTIVITY",SUMIF(INDIRECT(ADDRESS(9,COLUMN('2_DATA'!$M$9),1,1,"2_DATA")):INDIRECT(ADDRESS(3000,COLUMN('2_DATA'!$M$9),1,1,"2_DATA")),$G209,INDIRECT(ADDRESS(9,COLUMN('2_DATA'!$N$9),1,1,"2_DATA")):INDIRECT(ADDRESS(3000,COLUMN('2_DATA'!$N$9),1,1,"2_DATA"))),SUMIF(INDIRECT(ADDRESS(OFFSET($A$3,MATCH($D$2,$A$4:$A$16,0)-1,1,,)+1,COLUMN('2_DATA'!$M$9),1,1,"2_DATA")):INDIRECT(ADDRESS(VLOOKUP($D$2,$A$4:$B$16,2,FALSE)-1,COLUMN('2_DATA'!$M$9),1,1,"2_DATA")),$G209,INDIRECT(ADDRESS(OFFSET($A$3,MATCH($D$2,$A$4:$A$16,0)-1,1,,)+1,COLUMN('2_DATA'!$N$9),1,1,"2_DATA")):INDIRECT(ADDRESS(VLOOKUP($D$2,$A$4:$B$16,2,FALSE)-1,COLUMN('2_DATA'!$N$9),1,1,"2_DATA"))))),0)</f>
        <v>0</v>
      </c>
      <c r="J209" s="58" t="str">
        <f ca="1">IF(I209=0,"",MAX($J$3:J208)+1)</f>
        <v/>
      </c>
      <c r="L209" s="55" t="str">
        <f t="shared" ca="1" si="53"/>
        <v/>
      </c>
      <c r="M209" s="55" t="str">
        <f t="shared" ca="1" si="57"/>
        <v/>
      </c>
      <c r="N209" s="55"/>
      <c r="O209" s="55" t="str">
        <f t="shared" ca="1" si="59"/>
        <v/>
      </c>
      <c r="P209" s="55">
        <f t="shared" ca="1" si="54"/>
        <v>0</v>
      </c>
      <c r="Q209" s="55" t="str">
        <f ca="1">IFERROR(INDEX($O$4:$P$226,MATCH(ROWS($Q$3:Q208),$P$4:$P$226,0),1),"-")</f>
        <v>-</v>
      </c>
      <c r="R209" s="62" t="str">
        <f t="shared" ca="1" si="55"/>
        <v/>
      </c>
      <c r="S209" s="55" t="str">
        <f t="shared" ca="1" si="58"/>
        <v/>
      </c>
      <c r="T209" s="67" t="str">
        <f t="shared" ca="1" si="52"/>
        <v>-</v>
      </c>
      <c r="V209" s="68" t="str">
        <f t="shared" ca="1" si="60"/>
        <v/>
      </c>
      <c r="W209" s="69" t="str">
        <f t="shared" ca="1" si="61"/>
        <v/>
      </c>
      <c r="X209" s="70" t="s">
        <v>84</v>
      </c>
      <c r="Y209" s="68" t="str">
        <f t="shared" ref="Y209:Y272" ca="1" si="65">IFERROR(VLOOKUP($W209,$F$4:$J$300,3,FALSE),"")</f>
        <v/>
      </c>
      <c r="Z209" s="71" t="str">
        <f t="shared" ca="1" si="62"/>
        <v/>
      </c>
      <c r="AA209" s="72" t="str">
        <f t="shared" ca="1" si="63"/>
        <v/>
      </c>
      <c r="AB209" s="72" t="str">
        <f t="shared" ca="1" si="64"/>
        <v/>
      </c>
    </row>
    <row r="210" spans="4:28" ht="24" customHeight="1">
      <c r="D210" s="57">
        <f ca="1">INDIRECT(ADDRESS(ROWS($D$3:D209)+6,D$3,1,1,"3_TIME SUM"))</f>
        <v>0</v>
      </c>
      <c r="E210" s="81" t="str">
        <f ca="1">IF(INDIRECT(ADDRESS(ROWS($E$3:E209)+6,E$3,1,1,"3_TIME SUM"))=0,E209,INDIRECT(ADDRESS(ROWS($E$3:E209)+6,E$3,1,1,"3_TIME SUM")))</f>
        <v>X-Mastree</v>
      </c>
      <c r="F210" s="57" t="str">
        <f t="shared" ca="1" si="56"/>
        <v>X-Mastree : 0</v>
      </c>
      <c r="G210" s="58" t="e">
        <f ca="1">VLOOKUP($D210,INDIRECT(ADDRESS(7,5,1,1,"3_TIME SUM")):INDIRECT(ADDRESS(200,7,1,1,"3_TIME SUM")),2,FALSE)</f>
        <v>#N/A</v>
      </c>
      <c r="H210" s="58" t="e">
        <f ca="1">IF(VLOOKUP($D210,INDIRECT(ADDRESS(7,5,1,1,"3_TIME SUM")):INDIRECT(ADDRESS(200,7,1,1,"3_TIME SUM")),3,FALSE)="","PT",VLOOKUP($D210,INDIRECT(ADDRESS(7,5,1,1,"3_TIME SUM")):INDIRECT(ADDRESS(200,7,1,1,"3_TIME SUM")),3,FALSE))</f>
        <v>#N/A</v>
      </c>
      <c r="I210" s="59">
        <f ca="1">IFERROR(IF(AND($D$2="NON PRODUCTIVE TIME",$H210="NPT"),SUMIF(INDIRECT(ADDRESS(8,COLUMN('2_DATA'!$M$9),1,1,"2_DATA")):INDIRECT(ADDRESS(3000,COLUMN('2_DATA'!$M$9),1,1,"2_DATA")),$G210,INDIRECT(ADDRESS(8,COLUMN('2_DATA'!$N$9),1,1,"2_DATA")):INDIRECT(ADDRESS(3000,COLUMN('2_DATA'!$N$9),1,1,"2_DATA"))),IF($D$2="ALL ACTIVITY",SUMIF(INDIRECT(ADDRESS(9,COLUMN('2_DATA'!$M$9),1,1,"2_DATA")):INDIRECT(ADDRESS(3000,COLUMN('2_DATA'!$M$9),1,1,"2_DATA")),$G210,INDIRECT(ADDRESS(9,COLUMN('2_DATA'!$N$9),1,1,"2_DATA")):INDIRECT(ADDRESS(3000,COLUMN('2_DATA'!$N$9),1,1,"2_DATA"))),SUMIF(INDIRECT(ADDRESS(OFFSET($A$3,MATCH($D$2,$A$4:$A$16,0)-1,1,,)+1,COLUMN('2_DATA'!$M$9),1,1,"2_DATA")):INDIRECT(ADDRESS(VLOOKUP($D$2,$A$4:$B$16,2,FALSE)-1,COLUMN('2_DATA'!$M$9),1,1,"2_DATA")),$G210,INDIRECT(ADDRESS(OFFSET($A$3,MATCH($D$2,$A$4:$A$16,0)-1,1,,)+1,COLUMN('2_DATA'!$N$9),1,1,"2_DATA")):INDIRECT(ADDRESS(VLOOKUP($D$2,$A$4:$B$16,2,FALSE)-1,COLUMN('2_DATA'!$N$9),1,1,"2_DATA"))))),0)</f>
        <v>0</v>
      </c>
      <c r="J210" s="58" t="str">
        <f ca="1">IF(I210=0,"",MAX($J$3:J209)+1)</f>
        <v/>
      </c>
      <c r="L210" s="55" t="str">
        <f t="shared" ca="1" si="53"/>
        <v/>
      </c>
      <c r="M210" s="55" t="str">
        <f t="shared" ca="1" si="57"/>
        <v/>
      </c>
      <c r="N210" s="55"/>
      <c r="O210" s="55" t="str">
        <f t="shared" ca="1" si="59"/>
        <v/>
      </c>
      <c r="P210" s="55">
        <f t="shared" ca="1" si="54"/>
        <v>0</v>
      </c>
      <c r="Q210" s="55" t="str">
        <f ca="1">IFERROR(INDEX($O$4:$P$226,MATCH(ROWS($Q$3:Q209),$P$4:$P$226,0),1),"-")</f>
        <v>-</v>
      </c>
      <c r="R210" s="62" t="str">
        <f t="shared" ca="1" si="55"/>
        <v/>
      </c>
      <c r="S210" s="55" t="str">
        <f t="shared" ca="1" si="58"/>
        <v/>
      </c>
      <c r="T210" s="67" t="str">
        <f t="shared" ca="1" si="52"/>
        <v>-</v>
      </c>
      <c r="V210" s="68" t="str">
        <f t="shared" ca="1" si="60"/>
        <v/>
      </c>
      <c r="W210" s="69" t="str">
        <f t="shared" ca="1" si="61"/>
        <v/>
      </c>
      <c r="X210" s="70" t="s">
        <v>84</v>
      </c>
      <c r="Y210" s="68" t="str">
        <f t="shared" ca="1" si="65"/>
        <v/>
      </c>
      <c r="Z210" s="71" t="str">
        <f t="shared" ca="1" si="62"/>
        <v/>
      </c>
      <c r="AA210" s="72" t="str">
        <f t="shared" ca="1" si="63"/>
        <v/>
      </c>
      <c r="AB210" s="72" t="str">
        <f t="shared" ca="1" si="64"/>
        <v/>
      </c>
    </row>
    <row r="211" spans="4:28" ht="24" customHeight="1">
      <c r="D211" s="57">
        <f ca="1">INDIRECT(ADDRESS(ROWS($D$3:D210)+6,D$3,1,1,"3_TIME SUM"))</f>
        <v>0</v>
      </c>
      <c r="E211" s="81" t="str">
        <f ca="1">IF(INDIRECT(ADDRESS(ROWS($E$3:E210)+6,E$3,1,1,"3_TIME SUM"))=0,E210,INDIRECT(ADDRESS(ROWS($E$3:E210)+6,E$3,1,1,"3_TIME SUM")))</f>
        <v>X-Mastree</v>
      </c>
      <c r="F211" s="57" t="str">
        <f t="shared" ca="1" si="56"/>
        <v>X-Mastree : 0</v>
      </c>
      <c r="G211" s="58" t="e">
        <f ca="1">VLOOKUP($D211,INDIRECT(ADDRESS(7,5,1,1,"3_TIME SUM")):INDIRECT(ADDRESS(200,7,1,1,"3_TIME SUM")),2,FALSE)</f>
        <v>#N/A</v>
      </c>
      <c r="H211" s="58" t="e">
        <f ca="1">IF(VLOOKUP($D211,INDIRECT(ADDRESS(7,5,1,1,"3_TIME SUM")):INDIRECT(ADDRESS(200,7,1,1,"3_TIME SUM")),3,FALSE)="","PT",VLOOKUP($D211,INDIRECT(ADDRESS(7,5,1,1,"3_TIME SUM")):INDIRECT(ADDRESS(200,7,1,1,"3_TIME SUM")),3,FALSE))</f>
        <v>#N/A</v>
      </c>
      <c r="I211" s="59">
        <f ca="1">IFERROR(IF(AND($D$2="NON PRODUCTIVE TIME",$H211="NPT"),SUMIF(INDIRECT(ADDRESS(8,COLUMN('2_DATA'!$M$9),1,1,"2_DATA")):INDIRECT(ADDRESS(3000,COLUMN('2_DATA'!$M$9),1,1,"2_DATA")),$G211,INDIRECT(ADDRESS(8,COLUMN('2_DATA'!$N$9),1,1,"2_DATA")):INDIRECT(ADDRESS(3000,COLUMN('2_DATA'!$N$9),1,1,"2_DATA"))),IF($D$2="ALL ACTIVITY",SUMIF(INDIRECT(ADDRESS(9,COLUMN('2_DATA'!$M$9),1,1,"2_DATA")):INDIRECT(ADDRESS(3000,COLUMN('2_DATA'!$M$9),1,1,"2_DATA")),$G211,INDIRECT(ADDRESS(9,COLUMN('2_DATA'!$N$9),1,1,"2_DATA")):INDIRECT(ADDRESS(3000,COLUMN('2_DATA'!$N$9),1,1,"2_DATA"))),SUMIF(INDIRECT(ADDRESS(OFFSET($A$3,MATCH($D$2,$A$4:$A$16,0)-1,1,,)+1,COLUMN('2_DATA'!$M$9),1,1,"2_DATA")):INDIRECT(ADDRESS(VLOOKUP($D$2,$A$4:$B$16,2,FALSE)-1,COLUMN('2_DATA'!$M$9),1,1,"2_DATA")),$G211,INDIRECT(ADDRESS(OFFSET($A$3,MATCH($D$2,$A$4:$A$16,0)-1,1,,)+1,COLUMN('2_DATA'!$N$9),1,1,"2_DATA")):INDIRECT(ADDRESS(VLOOKUP($D$2,$A$4:$B$16,2,FALSE)-1,COLUMN('2_DATA'!$N$9),1,1,"2_DATA"))))),0)</f>
        <v>0</v>
      </c>
      <c r="J211" s="58" t="str">
        <f ca="1">IF(I211=0,"",MAX($J$3:J210)+1)</f>
        <v/>
      </c>
      <c r="L211" s="55" t="str">
        <f t="shared" ca="1" si="53"/>
        <v/>
      </c>
      <c r="M211" s="55" t="str">
        <f t="shared" ca="1" si="57"/>
        <v/>
      </c>
      <c r="N211" s="55"/>
      <c r="O211" s="55" t="str">
        <f t="shared" ca="1" si="59"/>
        <v/>
      </c>
      <c r="P211" s="55">
        <f t="shared" ca="1" si="54"/>
        <v>0</v>
      </c>
      <c r="Q211" s="55" t="str">
        <f ca="1">IFERROR(INDEX($O$4:$P$226,MATCH(ROWS($Q$3:Q210),$P$4:$P$226,0),1),"-")</f>
        <v>-</v>
      </c>
      <c r="R211" s="62" t="str">
        <f t="shared" ca="1" si="55"/>
        <v/>
      </c>
      <c r="S211" s="55" t="str">
        <f t="shared" ca="1" si="58"/>
        <v/>
      </c>
      <c r="T211" s="67" t="str">
        <f t="shared" ca="1" si="52"/>
        <v>-</v>
      </c>
      <c r="V211" s="68" t="str">
        <f t="shared" ca="1" si="60"/>
        <v/>
      </c>
      <c r="W211" s="69" t="str">
        <f t="shared" ca="1" si="61"/>
        <v/>
      </c>
      <c r="X211" s="70" t="s">
        <v>84</v>
      </c>
      <c r="Y211" s="68" t="str">
        <f t="shared" ca="1" si="65"/>
        <v/>
      </c>
      <c r="Z211" s="71" t="str">
        <f t="shared" ca="1" si="62"/>
        <v/>
      </c>
      <c r="AA211" s="72" t="str">
        <f t="shared" ca="1" si="63"/>
        <v/>
      </c>
      <c r="AB211" s="72" t="str">
        <f t="shared" ca="1" si="64"/>
        <v/>
      </c>
    </row>
    <row r="212" spans="4:28" ht="24" customHeight="1">
      <c r="D212" s="57">
        <f ca="1">INDIRECT(ADDRESS(ROWS($D$3:D211)+6,D$3,1,1,"3_TIME SUM"))</f>
        <v>0</v>
      </c>
      <c r="E212" s="81" t="str">
        <f ca="1">IF(INDIRECT(ADDRESS(ROWS($E$3:E211)+6,E$3,1,1,"3_TIME SUM"))=0,E211,INDIRECT(ADDRESS(ROWS($E$3:E211)+6,E$3,1,1,"3_TIME SUM")))</f>
        <v>X-Mastree</v>
      </c>
      <c r="F212" s="57" t="str">
        <f t="shared" ca="1" si="56"/>
        <v>X-Mastree : 0</v>
      </c>
      <c r="G212" s="58" t="e">
        <f ca="1">VLOOKUP($D212,INDIRECT(ADDRESS(7,5,1,1,"3_TIME SUM")):INDIRECT(ADDRESS(200,7,1,1,"3_TIME SUM")),2,FALSE)</f>
        <v>#N/A</v>
      </c>
      <c r="H212" s="58" t="e">
        <f ca="1">IF(VLOOKUP($D212,INDIRECT(ADDRESS(7,5,1,1,"3_TIME SUM")):INDIRECT(ADDRESS(200,7,1,1,"3_TIME SUM")),3,FALSE)="","PT",VLOOKUP($D212,INDIRECT(ADDRESS(7,5,1,1,"3_TIME SUM")):INDIRECT(ADDRESS(200,7,1,1,"3_TIME SUM")),3,FALSE))</f>
        <v>#N/A</v>
      </c>
      <c r="I212" s="59">
        <f ca="1">IFERROR(IF(AND($D$2="NON PRODUCTIVE TIME",$H212="NPT"),SUMIF(INDIRECT(ADDRESS(8,COLUMN('2_DATA'!$M$9),1,1,"2_DATA")):INDIRECT(ADDRESS(3000,COLUMN('2_DATA'!$M$9),1,1,"2_DATA")),$G212,INDIRECT(ADDRESS(8,COLUMN('2_DATA'!$N$9),1,1,"2_DATA")):INDIRECT(ADDRESS(3000,COLUMN('2_DATA'!$N$9),1,1,"2_DATA"))),IF($D$2="ALL ACTIVITY",SUMIF(INDIRECT(ADDRESS(9,COLUMN('2_DATA'!$M$9),1,1,"2_DATA")):INDIRECT(ADDRESS(3000,COLUMN('2_DATA'!$M$9),1,1,"2_DATA")),$G212,INDIRECT(ADDRESS(9,COLUMN('2_DATA'!$N$9),1,1,"2_DATA")):INDIRECT(ADDRESS(3000,COLUMN('2_DATA'!$N$9),1,1,"2_DATA"))),SUMIF(INDIRECT(ADDRESS(OFFSET($A$3,MATCH($D$2,$A$4:$A$16,0)-1,1,,)+1,COLUMN('2_DATA'!$M$9),1,1,"2_DATA")):INDIRECT(ADDRESS(VLOOKUP($D$2,$A$4:$B$16,2,FALSE)-1,COLUMN('2_DATA'!$M$9),1,1,"2_DATA")),$G212,INDIRECT(ADDRESS(OFFSET($A$3,MATCH($D$2,$A$4:$A$16,0)-1,1,,)+1,COLUMN('2_DATA'!$N$9),1,1,"2_DATA")):INDIRECT(ADDRESS(VLOOKUP($D$2,$A$4:$B$16,2,FALSE)-1,COLUMN('2_DATA'!$N$9),1,1,"2_DATA"))))),0)</f>
        <v>0</v>
      </c>
      <c r="J212" s="58" t="str">
        <f ca="1">IF(I212=0,"",MAX($J$3:J211)+1)</f>
        <v/>
      </c>
      <c r="L212" s="55" t="str">
        <f t="shared" ca="1" si="53"/>
        <v/>
      </c>
      <c r="M212" s="55" t="str">
        <f t="shared" ca="1" si="57"/>
        <v/>
      </c>
      <c r="N212" s="55"/>
      <c r="O212" s="55" t="str">
        <f t="shared" ca="1" si="59"/>
        <v/>
      </c>
      <c r="P212" s="55">
        <f t="shared" ca="1" si="54"/>
        <v>0</v>
      </c>
      <c r="Q212" s="55" t="str">
        <f ca="1">IFERROR(INDEX($O$4:$P$226,MATCH(ROWS($Q$3:Q211),$P$4:$P$226,0),1),"-")</f>
        <v>-</v>
      </c>
      <c r="R212" s="62" t="str">
        <f t="shared" ca="1" si="55"/>
        <v/>
      </c>
      <c r="S212" s="55" t="str">
        <f t="shared" ca="1" si="58"/>
        <v/>
      </c>
      <c r="T212" s="67" t="str">
        <f t="shared" ca="1" si="52"/>
        <v>-</v>
      </c>
      <c r="V212" s="68" t="str">
        <f t="shared" ca="1" si="60"/>
        <v/>
      </c>
      <c r="W212" s="69" t="str">
        <f t="shared" ca="1" si="61"/>
        <v/>
      </c>
      <c r="X212" s="70" t="s">
        <v>84</v>
      </c>
      <c r="Y212" s="68" t="str">
        <f t="shared" ca="1" si="65"/>
        <v/>
      </c>
      <c r="Z212" s="71" t="str">
        <f t="shared" ca="1" si="62"/>
        <v/>
      </c>
      <c r="AA212" s="72" t="str">
        <f t="shared" ca="1" si="63"/>
        <v/>
      </c>
      <c r="AB212" s="72" t="str">
        <f t="shared" ca="1" si="64"/>
        <v/>
      </c>
    </row>
    <row r="213" spans="4:28" ht="24" customHeight="1">
      <c r="D213" s="57">
        <f ca="1">INDIRECT(ADDRESS(ROWS($D$3:D212)+6,D$3,1,1,"3_TIME SUM"))</f>
        <v>0</v>
      </c>
      <c r="E213" s="81" t="str">
        <f ca="1">IF(INDIRECT(ADDRESS(ROWS($E$3:E212)+6,E$3,1,1,"3_TIME SUM"))=0,E212,INDIRECT(ADDRESS(ROWS($E$3:E212)+6,E$3,1,1,"3_TIME SUM")))</f>
        <v>X-Mastree</v>
      </c>
      <c r="F213" s="57" t="str">
        <f t="shared" ca="1" si="56"/>
        <v>X-Mastree : 0</v>
      </c>
      <c r="G213" s="58" t="e">
        <f ca="1">VLOOKUP($D213,INDIRECT(ADDRESS(7,5,1,1,"3_TIME SUM")):INDIRECT(ADDRESS(200,7,1,1,"3_TIME SUM")),2,FALSE)</f>
        <v>#N/A</v>
      </c>
      <c r="H213" s="58" t="e">
        <f ca="1">IF(VLOOKUP($D213,INDIRECT(ADDRESS(7,5,1,1,"3_TIME SUM")):INDIRECT(ADDRESS(200,7,1,1,"3_TIME SUM")),3,FALSE)="","PT",VLOOKUP($D213,INDIRECT(ADDRESS(7,5,1,1,"3_TIME SUM")):INDIRECT(ADDRESS(200,7,1,1,"3_TIME SUM")),3,FALSE))</f>
        <v>#N/A</v>
      </c>
      <c r="I213" s="59">
        <f ca="1">IFERROR(IF(AND($D$2="NON PRODUCTIVE TIME",$H213="NPT"),SUMIF(INDIRECT(ADDRESS(8,COLUMN('2_DATA'!$M$9),1,1,"2_DATA")):INDIRECT(ADDRESS(3000,COLUMN('2_DATA'!$M$9),1,1,"2_DATA")),$G213,INDIRECT(ADDRESS(8,COLUMN('2_DATA'!$N$9),1,1,"2_DATA")):INDIRECT(ADDRESS(3000,COLUMN('2_DATA'!$N$9),1,1,"2_DATA"))),IF($D$2="ALL ACTIVITY",SUMIF(INDIRECT(ADDRESS(9,COLUMN('2_DATA'!$M$9),1,1,"2_DATA")):INDIRECT(ADDRESS(3000,COLUMN('2_DATA'!$M$9),1,1,"2_DATA")),$G213,INDIRECT(ADDRESS(9,COLUMN('2_DATA'!$N$9),1,1,"2_DATA")):INDIRECT(ADDRESS(3000,COLUMN('2_DATA'!$N$9),1,1,"2_DATA"))),SUMIF(INDIRECT(ADDRESS(OFFSET($A$3,MATCH($D$2,$A$4:$A$16,0)-1,1,,)+1,COLUMN('2_DATA'!$M$9),1,1,"2_DATA")):INDIRECT(ADDRESS(VLOOKUP($D$2,$A$4:$B$16,2,FALSE)-1,COLUMN('2_DATA'!$M$9),1,1,"2_DATA")),$G213,INDIRECT(ADDRESS(OFFSET($A$3,MATCH($D$2,$A$4:$A$16,0)-1,1,,)+1,COLUMN('2_DATA'!$N$9),1,1,"2_DATA")):INDIRECT(ADDRESS(VLOOKUP($D$2,$A$4:$B$16,2,FALSE)-1,COLUMN('2_DATA'!$N$9),1,1,"2_DATA"))))),0)</f>
        <v>0</v>
      </c>
      <c r="J213" s="58" t="str">
        <f ca="1">IF(I213=0,"",MAX($J$3:J212)+1)</f>
        <v/>
      </c>
      <c r="L213" s="55" t="str">
        <f t="shared" ca="1" si="53"/>
        <v/>
      </c>
      <c r="M213" s="55" t="str">
        <f t="shared" ca="1" si="57"/>
        <v/>
      </c>
      <c r="N213" s="55"/>
      <c r="O213" s="55" t="str">
        <f t="shared" ca="1" si="59"/>
        <v/>
      </c>
      <c r="P213" s="55">
        <f t="shared" ca="1" si="54"/>
        <v>0</v>
      </c>
      <c r="Q213" s="55" t="str">
        <f ca="1">IFERROR(INDEX($O$4:$P$226,MATCH(ROWS($Q$3:Q212),$P$4:$P$226,0),1),"-")</f>
        <v>-</v>
      </c>
      <c r="R213" s="62" t="str">
        <f t="shared" ca="1" si="55"/>
        <v/>
      </c>
      <c r="S213" s="55" t="str">
        <f t="shared" ca="1" si="58"/>
        <v/>
      </c>
      <c r="T213" s="67" t="str">
        <f t="shared" ca="1" si="52"/>
        <v>-</v>
      </c>
      <c r="V213" s="68" t="str">
        <f t="shared" ca="1" si="60"/>
        <v/>
      </c>
      <c r="W213" s="69" t="str">
        <f t="shared" ca="1" si="61"/>
        <v/>
      </c>
      <c r="X213" s="70" t="s">
        <v>84</v>
      </c>
      <c r="Y213" s="68" t="str">
        <f t="shared" ca="1" si="65"/>
        <v/>
      </c>
      <c r="Z213" s="71" t="str">
        <f t="shared" ca="1" si="62"/>
        <v/>
      </c>
      <c r="AA213" s="72" t="str">
        <f t="shared" ca="1" si="63"/>
        <v/>
      </c>
      <c r="AB213" s="72" t="str">
        <f t="shared" ca="1" si="64"/>
        <v/>
      </c>
    </row>
    <row r="214" spans="4:28" ht="24" customHeight="1">
      <c r="D214" s="57">
        <f ca="1">INDIRECT(ADDRESS(ROWS($D$3:D213)+6,D$3,1,1,"3_TIME SUM"))</f>
        <v>0</v>
      </c>
      <c r="E214" s="81" t="str">
        <f ca="1">IF(INDIRECT(ADDRESS(ROWS($E$3:E213)+6,E$3,1,1,"3_TIME SUM"))=0,E213,INDIRECT(ADDRESS(ROWS($E$3:E213)+6,E$3,1,1,"3_TIME SUM")))</f>
        <v>X-Mastree</v>
      </c>
      <c r="F214" s="57" t="str">
        <f t="shared" ca="1" si="56"/>
        <v>X-Mastree : 0</v>
      </c>
      <c r="G214" s="58" t="e">
        <f ca="1">VLOOKUP($D214,INDIRECT(ADDRESS(7,5,1,1,"3_TIME SUM")):INDIRECT(ADDRESS(200,7,1,1,"3_TIME SUM")),2,FALSE)</f>
        <v>#N/A</v>
      </c>
      <c r="H214" s="58" t="e">
        <f ca="1">IF(VLOOKUP($D214,INDIRECT(ADDRESS(7,5,1,1,"3_TIME SUM")):INDIRECT(ADDRESS(200,7,1,1,"3_TIME SUM")),3,FALSE)="","PT",VLOOKUP($D214,INDIRECT(ADDRESS(7,5,1,1,"3_TIME SUM")):INDIRECT(ADDRESS(200,7,1,1,"3_TIME SUM")),3,FALSE))</f>
        <v>#N/A</v>
      </c>
      <c r="I214" s="59">
        <f ca="1">IFERROR(IF(AND($D$2="NON PRODUCTIVE TIME",$H214="NPT"),SUMIF(INDIRECT(ADDRESS(8,COLUMN('2_DATA'!$M$9),1,1,"2_DATA")):INDIRECT(ADDRESS(3000,COLUMN('2_DATA'!$M$9),1,1,"2_DATA")),$G214,INDIRECT(ADDRESS(8,COLUMN('2_DATA'!$N$9),1,1,"2_DATA")):INDIRECT(ADDRESS(3000,COLUMN('2_DATA'!$N$9),1,1,"2_DATA"))),IF($D$2="ALL ACTIVITY",SUMIF(INDIRECT(ADDRESS(9,COLUMN('2_DATA'!$M$9),1,1,"2_DATA")):INDIRECT(ADDRESS(3000,COLUMN('2_DATA'!$M$9),1,1,"2_DATA")),$G214,INDIRECT(ADDRESS(9,COLUMN('2_DATA'!$N$9),1,1,"2_DATA")):INDIRECT(ADDRESS(3000,COLUMN('2_DATA'!$N$9),1,1,"2_DATA"))),SUMIF(INDIRECT(ADDRESS(OFFSET($A$3,MATCH($D$2,$A$4:$A$16,0)-1,1,,)+1,COLUMN('2_DATA'!$M$9),1,1,"2_DATA")):INDIRECT(ADDRESS(VLOOKUP($D$2,$A$4:$B$16,2,FALSE)-1,COLUMN('2_DATA'!$M$9),1,1,"2_DATA")),$G214,INDIRECT(ADDRESS(OFFSET($A$3,MATCH($D$2,$A$4:$A$16,0)-1,1,,)+1,COLUMN('2_DATA'!$N$9),1,1,"2_DATA")):INDIRECT(ADDRESS(VLOOKUP($D$2,$A$4:$B$16,2,FALSE)-1,COLUMN('2_DATA'!$N$9),1,1,"2_DATA"))))),0)</f>
        <v>0</v>
      </c>
      <c r="J214" s="58" t="str">
        <f ca="1">IF(I214=0,"",MAX($J$3:J213)+1)</f>
        <v/>
      </c>
      <c r="L214" s="55" t="str">
        <f t="shared" ca="1" si="53"/>
        <v/>
      </c>
      <c r="M214" s="55" t="str">
        <f t="shared" ca="1" si="57"/>
        <v/>
      </c>
      <c r="N214" s="55"/>
      <c r="O214" s="55" t="str">
        <f t="shared" ca="1" si="59"/>
        <v/>
      </c>
      <c r="P214" s="55">
        <f t="shared" ca="1" si="54"/>
        <v>0</v>
      </c>
      <c r="Q214" s="55" t="str">
        <f ca="1">IFERROR(INDEX($O$4:$P$226,MATCH(ROWS($Q$3:Q213),$P$4:$P$226,0),1),"-")</f>
        <v>-</v>
      </c>
      <c r="R214" s="62" t="str">
        <f t="shared" ca="1" si="55"/>
        <v/>
      </c>
      <c r="S214" s="55" t="str">
        <f t="shared" ca="1" si="58"/>
        <v/>
      </c>
      <c r="T214" s="67" t="str">
        <f t="shared" ca="1" si="52"/>
        <v>-</v>
      </c>
      <c r="V214" s="68" t="str">
        <f t="shared" ca="1" si="60"/>
        <v/>
      </c>
      <c r="W214" s="69" t="str">
        <f t="shared" ca="1" si="61"/>
        <v/>
      </c>
      <c r="X214" s="70" t="s">
        <v>84</v>
      </c>
      <c r="Y214" s="68" t="str">
        <f t="shared" ca="1" si="65"/>
        <v/>
      </c>
      <c r="Z214" s="71" t="str">
        <f t="shared" ca="1" si="62"/>
        <v/>
      </c>
      <c r="AA214" s="72" t="str">
        <f t="shared" ca="1" si="63"/>
        <v/>
      </c>
      <c r="AB214" s="72" t="str">
        <f t="shared" ca="1" si="64"/>
        <v/>
      </c>
    </row>
    <row r="215" spans="4:28" ht="24" customHeight="1">
      <c r="D215" s="57">
        <f ca="1">INDIRECT(ADDRESS(ROWS($D$3:D214)+6,D$3,1,1,"3_TIME SUM"))</f>
        <v>0</v>
      </c>
      <c r="E215" s="81" t="str">
        <f ca="1">IF(INDIRECT(ADDRESS(ROWS($E$3:E214)+6,E$3,1,1,"3_TIME SUM"))=0,E214,INDIRECT(ADDRESS(ROWS($E$3:E214)+6,E$3,1,1,"3_TIME SUM")))</f>
        <v>X-Mastree</v>
      </c>
      <c r="F215" s="57" t="str">
        <f t="shared" ca="1" si="56"/>
        <v>X-Mastree : 0</v>
      </c>
      <c r="G215" s="58" t="e">
        <f ca="1">VLOOKUP($D215,INDIRECT(ADDRESS(7,5,1,1,"3_TIME SUM")):INDIRECT(ADDRESS(200,7,1,1,"3_TIME SUM")),2,FALSE)</f>
        <v>#N/A</v>
      </c>
      <c r="H215" s="58" t="e">
        <f ca="1">IF(VLOOKUP($D215,INDIRECT(ADDRESS(7,5,1,1,"3_TIME SUM")):INDIRECT(ADDRESS(200,7,1,1,"3_TIME SUM")),3,FALSE)="","PT",VLOOKUP($D215,INDIRECT(ADDRESS(7,5,1,1,"3_TIME SUM")):INDIRECT(ADDRESS(200,7,1,1,"3_TIME SUM")),3,FALSE))</f>
        <v>#N/A</v>
      </c>
      <c r="I215" s="59">
        <f ca="1">IFERROR(IF(AND($D$2="NON PRODUCTIVE TIME",$H215="NPT"),SUMIF(INDIRECT(ADDRESS(8,COLUMN('2_DATA'!$M$9),1,1,"2_DATA")):INDIRECT(ADDRESS(3000,COLUMN('2_DATA'!$M$9),1,1,"2_DATA")),$G215,INDIRECT(ADDRESS(8,COLUMN('2_DATA'!$N$9),1,1,"2_DATA")):INDIRECT(ADDRESS(3000,COLUMN('2_DATA'!$N$9),1,1,"2_DATA"))),IF($D$2="ALL ACTIVITY",SUMIF(INDIRECT(ADDRESS(9,COLUMN('2_DATA'!$M$9),1,1,"2_DATA")):INDIRECT(ADDRESS(3000,COLUMN('2_DATA'!$M$9),1,1,"2_DATA")),$G215,INDIRECT(ADDRESS(9,COLUMN('2_DATA'!$N$9),1,1,"2_DATA")):INDIRECT(ADDRESS(3000,COLUMN('2_DATA'!$N$9),1,1,"2_DATA"))),SUMIF(INDIRECT(ADDRESS(OFFSET($A$3,MATCH($D$2,$A$4:$A$16,0)-1,1,,)+1,COLUMN('2_DATA'!$M$9),1,1,"2_DATA")):INDIRECT(ADDRESS(VLOOKUP($D$2,$A$4:$B$16,2,FALSE)-1,COLUMN('2_DATA'!$M$9),1,1,"2_DATA")),$G215,INDIRECT(ADDRESS(OFFSET($A$3,MATCH($D$2,$A$4:$A$16,0)-1,1,,)+1,COLUMN('2_DATA'!$N$9),1,1,"2_DATA")):INDIRECT(ADDRESS(VLOOKUP($D$2,$A$4:$B$16,2,FALSE)-1,COLUMN('2_DATA'!$N$9),1,1,"2_DATA"))))),0)</f>
        <v>0</v>
      </c>
      <c r="J215" s="58" t="str">
        <f ca="1">IF(I215=0,"",MAX($J$3:J214)+1)</f>
        <v/>
      </c>
      <c r="L215" s="55" t="str">
        <f t="shared" ca="1" si="53"/>
        <v/>
      </c>
      <c r="M215" s="55" t="str">
        <f t="shared" ca="1" si="57"/>
        <v/>
      </c>
      <c r="N215" s="55"/>
      <c r="O215" s="55" t="str">
        <f t="shared" ca="1" si="59"/>
        <v/>
      </c>
      <c r="P215" s="55">
        <f t="shared" ca="1" si="54"/>
        <v>0</v>
      </c>
      <c r="Q215" s="55" t="str">
        <f ca="1">IFERROR(INDEX($O$4:$P$226,MATCH(ROWS($Q$3:Q214),$P$4:$P$226,0),1),"-")</f>
        <v>-</v>
      </c>
      <c r="R215" s="62" t="str">
        <f t="shared" ca="1" si="55"/>
        <v/>
      </c>
      <c r="S215" s="55" t="str">
        <f t="shared" ca="1" si="58"/>
        <v/>
      </c>
      <c r="T215" s="67" t="str">
        <f t="shared" ca="1" si="52"/>
        <v>-</v>
      </c>
      <c r="V215" s="68" t="str">
        <f t="shared" ca="1" si="60"/>
        <v/>
      </c>
      <c r="W215" s="69" t="str">
        <f t="shared" ca="1" si="61"/>
        <v/>
      </c>
      <c r="X215" s="70" t="s">
        <v>84</v>
      </c>
      <c r="Y215" s="68" t="str">
        <f t="shared" ca="1" si="65"/>
        <v/>
      </c>
      <c r="Z215" s="71" t="str">
        <f t="shared" ca="1" si="62"/>
        <v/>
      </c>
      <c r="AA215" s="72" t="str">
        <f t="shared" ca="1" si="63"/>
        <v/>
      </c>
      <c r="AB215" s="72" t="str">
        <f t="shared" ca="1" si="64"/>
        <v/>
      </c>
    </row>
    <row r="216" spans="4:28" ht="24" customHeight="1">
      <c r="D216" s="57">
        <f ca="1">INDIRECT(ADDRESS(ROWS($D$3:D215)+6,D$3,1,1,"3_TIME SUM"))</f>
        <v>0</v>
      </c>
      <c r="E216" s="81" t="str">
        <f ca="1">IF(INDIRECT(ADDRESS(ROWS($E$3:E215)+6,E$3,1,1,"3_TIME SUM"))=0,E215,INDIRECT(ADDRESS(ROWS($E$3:E215)+6,E$3,1,1,"3_TIME SUM")))</f>
        <v>X-Mastree</v>
      </c>
      <c r="F216" s="57" t="str">
        <f t="shared" ca="1" si="56"/>
        <v>X-Mastree : 0</v>
      </c>
      <c r="G216" s="58" t="e">
        <f ca="1">VLOOKUP($D216,INDIRECT(ADDRESS(7,5,1,1,"3_TIME SUM")):INDIRECT(ADDRESS(200,7,1,1,"3_TIME SUM")),2,FALSE)</f>
        <v>#N/A</v>
      </c>
      <c r="H216" s="58" t="e">
        <f ca="1">IF(VLOOKUP($D216,INDIRECT(ADDRESS(7,5,1,1,"3_TIME SUM")):INDIRECT(ADDRESS(200,7,1,1,"3_TIME SUM")),3,FALSE)="","PT",VLOOKUP($D216,INDIRECT(ADDRESS(7,5,1,1,"3_TIME SUM")):INDIRECT(ADDRESS(200,7,1,1,"3_TIME SUM")),3,FALSE))</f>
        <v>#N/A</v>
      </c>
      <c r="I216" s="59">
        <f ca="1">IFERROR(IF(AND($D$2="NON PRODUCTIVE TIME",$H216="NPT"),SUMIF(INDIRECT(ADDRESS(8,COLUMN('2_DATA'!$M$9),1,1,"2_DATA")):INDIRECT(ADDRESS(3000,COLUMN('2_DATA'!$M$9),1,1,"2_DATA")),$G216,INDIRECT(ADDRESS(8,COLUMN('2_DATA'!$N$9),1,1,"2_DATA")):INDIRECT(ADDRESS(3000,COLUMN('2_DATA'!$N$9),1,1,"2_DATA"))),IF($D$2="ALL ACTIVITY",SUMIF(INDIRECT(ADDRESS(9,COLUMN('2_DATA'!$M$9),1,1,"2_DATA")):INDIRECT(ADDRESS(3000,COLUMN('2_DATA'!$M$9),1,1,"2_DATA")),$G216,INDIRECT(ADDRESS(9,COLUMN('2_DATA'!$N$9),1,1,"2_DATA")):INDIRECT(ADDRESS(3000,COLUMN('2_DATA'!$N$9),1,1,"2_DATA"))),SUMIF(INDIRECT(ADDRESS(OFFSET($A$3,MATCH($D$2,$A$4:$A$16,0)-1,1,,)+1,COLUMN('2_DATA'!$M$9),1,1,"2_DATA")):INDIRECT(ADDRESS(VLOOKUP($D$2,$A$4:$B$16,2,FALSE)-1,COLUMN('2_DATA'!$M$9),1,1,"2_DATA")),$G216,INDIRECT(ADDRESS(OFFSET($A$3,MATCH($D$2,$A$4:$A$16,0)-1,1,,)+1,COLUMN('2_DATA'!$N$9),1,1,"2_DATA")):INDIRECT(ADDRESS(VLOOKUP($D$2,$A$4:$B$16,2,FALSE)-1,COLUMN('2_DATA'!$N$9),1,1,"2_DATA"))))),0)</f>
        <v>0</v>
      </c>
      <c r="J216" s="58" t="str">
        <f ca="1">IF(I216=0,"",MAX($J$3:J215)+1)</f>
        <v/>
      </c>
      <c r="L216" s="55" t="str">
        <f t="shared" ca="1" si="53"/>
        <v/>
      </c>
      <c r="M216" s="55" t="str">
        <f t="shared" ca="1" si="57"/>
        <v/>
      </c>
      <c r="N216" s="55"/>
      <c r="O216" s="55" t="str">
        <f t="shared" ca="1" si="59"/>
        <v/>
      </c>
      <c r="P216" s="55">
        <f t="shared" ca="1" si="54"/>
        <v>0</v>
      </c>
      <c r="Q216" s="55" t="str">
        <f ca="1">IFERROR(INDEX($O$4:$P$226,MATCH(ROWS($Q$3:Q215),$P$4:$P$226,0),1),"-")</f>
        <v>-</v>
      </c>
      <c r="R216" s="62" t="str">
        <f t="shared" ca="1" si="55"/>
        <v/>
      </c>
      <c r="S216" s="55" t="str">
        <f t="shared" ca="1" si="58"/>
        <v/>
      </c>
      <c r="T216" s="67" t="str">
        <f t="shared" ca="1" si="52"/>
        <v>-</v>
      </c>
      <c r="V216" s="68" t="str">
        <f t="shared" ca="1" si="60"/>
        <v/>
      </c>
      <c r="W216" s="69" t="str">
        <f t="shared" ca="1" si="61"/>
        <v/>
      </c>
      <c r="X216" s="70" t="s">
        <v>84</v>
      </c>
      <c r="Y216" s="68" t="str">
        <f t="shared" ca="1" si="65"/>
        <v/>
      </c>
      <c r="Z216" s="71" t="str">
        <f t="shared" ca="1" si="62"/>
        <v/>
      </c>
      <c r="AA216" s="72" t="str">
        <f t="shared" ca="1" si="63"/>
        <v/>
      </c>
      <c r="AB216" s="72" t="str">
        <f t="shared" ca="1" si="64"/>
        <v/>
      </c>
    </row>
    <row r="217" spans="4:28" ht="24" customHeight="1">
      <c r="D217" s="57">
        <f ca="1">INDIRECT(ADDRESS(ROWS($D$3:D216)+6,D$3,1,1,"3_TIME SUM"))</f>
        <v>0</v>
      </c>
      <c r="E217" s="81" t="str">
        <f ca="1">IF(INDIRECT(ADDRESS(ROWS($E$3:E216)+6,E$3,1,1,"3_TIME SUM"))=0,E216,INDIRECT(ADDRESS(ROWS($E$3:E216)+6,E$3,1,1,"3_TIME SUM")))</f>
        <v>X-Mastree</v>
      </c>
      <c r="F217" s="57" t="str">
        <f t="shared" ca="1" si="56"/>
        <v>X-Mastree : 0</v>
      </c>
      <c r="G217" s="58" t="e">
        <f ca="1">VLOOKUP($D217,INDIRECT(ADDRESS(7,5,1,1,"3_TIME SUM")):INDIRECT(ADDRESS(200,7,1,1,"3_TIME SUM")),2,FALSE)</f>
        <v>#N/A</v>
      </c>
      <c r="H217" s="58" t="e">
        <f ca="1">IF(VLOOKUP($D217,INDIRECT(ADDRESS(7,5,1,1,"3_TIME SUM")):INDIRECT(ADDRESS(200,7,1,1,"3_TIME SUM")),3,FALSE)="","PT",VLOOKUP($D217,INDIRECT(ADDRESS(7,5,1,1,"3_TIME SUM")):INDIRECT(ADDRESS(200,7,1,1,"3_TIME SUM")),3,FALSE))</f>
        <v>#N/A</v>
      </c>
      <c r="I217" s="59">
        <f ca="1">IFERROR(IF(AND($D$2="NON PRODUCTIVE TIME",$H217="NPT"),SUMIF(INDIRECT(ADDRESS(8,COLUMN('2_DATA'!$M$9),1,1,"2_DATA")):INDIRECT(ADDRESS(3000,COLUMN('2_DATA'!$M$9),1,1,"2_DATA")),$G217,INDIRECT(ADDRESS(8,COLUMN('2_DATA'!$N$9),1,1,"2_DATA")):INDIRECT(ADDRESS(3000,COLUMN('2_DATA'!$N$9),1,1,"2_DATA"))),IF($D$2="ALL ACTIVITY",SUMIF(INDIRECT(ADDRESS(9,COLUMN('2_DATA'!$M$9),1,1,"2_DATA")):INDIRECT(ADDRESS(3000,COLUMN('2_DATA'!$M$9),1,1,"2_DATA")),$G217,INDIRECT(ADDRESS(9,COLUMN('2_DATA'!$N$9),1,1,"2_DATA")):INDIRECT(ADDRESS(3000,COLUMN('2_DATA'!$N$9),1,1,"2_DATA"))),SUMIF(INDIRECT(ADDRESS(OFFSET($A$3,MATCH($D$2,$A$4:$A$16,0)-1,1,,)+1,COLUMN('2_DATA'!$M$9),1,1,"2_DATA")):INDIRECT(ADDRESS(VLOOKUP($D$2,$A$4:$B$16,2,FALSE)-1,COLUMN('2_DATA'!$M$9),1,1,"2_DATA")),$G217,INDIRECT(ADDRESS(OFFSET($A$3,MATCH($D$2,$A$4:$A$16,0)-1,1,,)+1,COLUMN('2_DATA'!$N$9),1,1,"2_DATA")):INDIRECT(ADDRESS(VLOOKUP($D$2,$A$4:$B$16,2,FALSE)-1,COLUMN('2_DATA'!$N$9),1,1,"2_DATA"))))),0)</f>
        <v>0</v>
      </c>
      <c r="J217" s="58" t="str">
        <f ca="1">IF(I217=0,"",MAX($J$3:J216)+1)</f>
        <v/>
      </c>
      <c r="L217" s="55" t="str">
        <f t="shared" ca="1" si="53"/>
        <v/>
      </c>
      <c r="M217" s="55" t="str">
        <f t="shared" ca="1" si="57"/>
        <v/>
      </c>
      <c r="N217" s="55"/>
      <c r="O217" s="55" t="str">
        <f t="shared" ca="1" si="59"/>
        <v/>
      </c>
      <c r="P217" s="55">
        <f t="shared" ca="1" si="54"/>
        <v>0</v>
      </c>
      <c r="Q217" s="55" t="str">
        <f ca="1">IFERROR(INDEX($O$4:$P$226,MATCH(ROWS($Q$3:Q216),$P$4:$P$226,0),1),"-")</f>
        <v>-</v>
      </c>
      <c r="R217" s="62" t="str">
        <f t="shared" ca="1" si="55"/>
        <v/>
      </c>
      <c r="S217" s="55" t="str">
        <f t="shared" ca="1" si="58"/>
        <v/>
      </c>
      <c r="T217" s="67" t="str">
        <f t="shared" ca="1" si="52"/>
        <v>-</v>
      </c>
      <c r="V217" s="68" t="str">
        <f t="shared" ca="1" si="60"/>
        <v/>
      </c>
      <c r="W217" s="69" t="str">
        <f t="shared" ca="1" si="61"/>
        <v/>
      </c>
      <c r="X217" s="70" t="s">
        <v>84</v>
      </c>
      <c r="Y217" s="68" t="str">
        <f t="shared" ca="1" si="65"/>
        <v/>
      </c>
      <c r="Z217" s="71" t="str">
        <f t="shared" ca="1" si="62"/>
        <v/>
      </c>
      <c r="AA217" s="72" t="str">
        <f t="shared" ca="1" si="63"/>
        <v/>
      </c>
      <c r="AB217" s="72" t="str">
        <f t="shared" ca="1" si="64"/>
        <v/>
      </c>
    </row>
    <row r="218" spans="4:28" ht="24" customHeight="1">
      <c r="D218" s="57">
        <f ca="1">INDIRECT(ADDRESS(ROWS($D$3:D217)+6,D$3,1,1,"3_TIME SUM"))</f>
        <v>0</v>
      </c>
      <c r="E218" s="81" t="str">
        <f ca="1">IF(INDIRECT(ADDRESS(ROWS($E$3:E217)+6,E$3,1,1,"3_TIME SUM"))=0,E217,INDIRECT(ADDRESS(ROWS($E$3:E217)+6,E$3,1,1,"3_TIME SUM")))</f>
        <v>X-Mastree</v>
      </c>
      <c r="F218" s="57" t="str">
        <f t="shared" ca="1" si="56"/>
        <v>X-Mastree : 0</v>
      </c>
      <c r="G218" s="58" t="e">
        <f ca="1">VLOOKUP($D218,INDIRECT(ADDRESS(7,5,1,1,"3_TIME SUM")):INDIRECT(ADDRESS(200,7,1,1,"3_TIME SUM")),2,FALSE)</f>
        <v>#N/A</v>
      </c>
      <c r="H218" s="58" t="e">
        <f ca="1">IF(VLOOKUP($D218,INDIRECT(ADDRESS(7,5,1,1,"3_TIME SUM")):INDIRECT(ADDRESS(200,7,1,1,"3_TIME SUM")),3,FALSE)="","PT",VLOOKUP($D218,INDIRECT(ADDRESS(7,5,1,1,"3_TIME SUM")):INDIRECT(ADDRESS(200,7,1,1,"3_TIME SUM")),3,FALSE))</f>
        <v>#N/A</v>
      </c>
      <c r="I218" s="59">
        <f ca="1">IFERROR(IF(AND($D$2="NON PRODUCTIVE TIME",$H218="NPT"),SUMIF(INDIRECT(ADDRESS(8,COLUMN('2_DATA'!$M$9),1,1,"2_DATA")):INDIRECT(ADDRESS(3000,COLUMN('2_DATA'!$M$9),1,1,"2_DATA")),$G218,INDIRECT(ADDRESS(8,COLUMN('2_DATA'!$N$9),1,1,"2_DATA")):INDIRECT(ADDRESS(3000,COLUMN('2_DATA'!$N$9),1,1,"2_DATA"))),IF($D$2="ALL ACTIVITY",SUMIF(INDIRECT(ADDRESS(9,COLUMN('2_DATA'!$M$9),1,1,"2_DATA")):INDIRECT(ADDRESS(3000,COLUMN('2_DATA'!$M$9),1,1,"2_DATA")),$G218,INDIRECT(ADDRESS(9,COLUMN('2_DATA'!$N$9),1,1,"2_DATA")):INDIRECT(ADDRESS(3000,COLUMN('2_DATA'!$N$9),1,1,"2_DATA"))),SUMIF(INDIRECT(ADDRESS(OFFSET($A$3,MATCH($D$2,$A$4:$A$16,0)-1,1,,)+1,COLUMN('2_DATA'!$M$9),1,1,"2_DATA")):INDIRECT(ADDRESS(VLOOKUP($D$2,$A$4:$B$16,2,FALSE)-1,COLUMN('2_DATA'!$M$9),1,1,"2_DATA")),$G218,INDIRECT(ADDRESS(OFFSET($A$3,MATCH($D$2,$A$4:$A$16,0)-1,1,,)+1,COLUMN('2_DATA'!$N$9),1,1,"2_DATA")):INDIRECT(ADDRESS(VLOOKUP($D$2,$A$4:$B$16,2,FALSE)-1,COLUMN('2_DATA'!$N$9),1,1,"2_DATA"))))),0)</f>
        <v>0</v>
      </c>
      <c r="J218" s="58" t="str">
        <f ca="1">IF(I218=0,"",MAX($J$3:J217)+1)</f>
        <v/>
      </c>
      <c r="L218" s="55" t="str">
        <f t="shared" ca="1" si="53"/>
        <v/>
      </c>
      <c r="M218" s="55" t="str">
        <f t="shared" ca="1" si="57"/>
        <v/>
      </c>
      <c r="N218" s="55"/>
      <c r="O218" s="55" t="str">
        <f t="shared" ca="1" si="59"/>
        <v/>
      </c>
      <c r="P218" s="55">
        <f t="shared" ca="1" si="54"/>
        <v>0</v>
      </c>
      <c r="Q218" s="55" t="str">
        <f ca="1">IFERROR(INDEX($O$4:$P$226,MATCH(ROWS($Q$3:Q217),$P$4:$P$226,0),1),"-")</f>
        <v>-</v>
      </c>
      <c r="R218" s="62" t="str">
        <f t="shared" ca="1" si="55"/>
        <v/>
      </c>
      <c r="S218" s="55" t="str">
        <f t="shared" ca="1" si="58"/>
        <v/>
      </c>
      <c r="T218" s="67" t="str">
        <f t="shared" ca="1" si="52"/>
        <v>-</v>
      </c>
      <c r="V218" s="68" t="str">
        <f t="shared" ca="1" si="60"/>
        <v/>
      </c>
      <c r="W218" s="69" t="str">
        <f t="shared" ca="1" si="61"/>
        <v/>
      </c>
      <c r="X218" s="70" t="s">
        <v>84</v>
      </c>
      <c r="Y218" s="68" t="str">
        <f t="shared" ca="1" si="65"/>
        <v/>
      </c>
      <c r="Z218" s="71" t="str">
        <f t="shared" ca="1" si="62"/>
        <v/>
      </c>
      <c r="AA218" s="72" t="str">
        <f t="shared" ca="1" si="63"/>
        <v/>
      </c>
      <c r="AB218" s="72" t="str">
        <f t="shared" ca="1" si="64"/>
        <v/>
      </c>
    </row>
    <row r="219" spans="4:28" ht="24" customHeight="1">
      <c r="D219" s="57">
        <f ca="1">INDIRECT(ADDRESS(ROWS($D$3:D218)+6,D$3,1,1,"3_TIME SUM"))</f>
        <v>0</v>
      </c>
      <c r="E219" s="81" t="str">
        <f ca="1">IF(INDIRECT(ADDRESS(ROWS($E$3:E218)+6,E$3,1,1,"3_TIME SUM"))=0,E218,INDIRECT(ADDRESS(ROWS($E$3:E218)+6,E$3,1,1,"3_TIME SUM")))</f>
        <v>X-Mastree</v>
      </c>
      <c r="F219" s="57" t="str">
        <f t="shared" ca="1" si="56"/>
        <v>X-Mastree : 0</v>
      </c>
      <c r="G219" s="58" t="e">
        <f ca="1">VLOOKUP($D219,INDIRECT(ADDRESS(7,5,1,1,"3_TIME SUM")):INDIRECT(ADDRESS(200,7,1,1,"3_TIME SUM")),2,FALSE)</f>
        <v>#N/A</v>
      </c>
      <c r="H219" s="58" t="e">
        <f ca="1">IF(VLOOKUP($D219,INDIRECT(ADDRESS(7,5,1,1,"3_TIME SUM")):INDIRECT(ADDRESS(200,7,1,1,"3_TIME SUM")),3,FALSE)="","PT",VLOOKUP($D219,INDIRECT(ADDRESS(7,5,1,1,"3_TIME SUM")):INDIRECT(ADDRESS(200,7,1,1,"3_TIME SUM")),3,FALSE))</f>
        <v>#N/A</v>
      </c>
      <c r="I219" s="59">
        <f ca="1">IFERROR(IF(AND($D$2="NON PRODUCTIVE TIME",$H219="NPT"),SUMIF(INDIRECT(ADDRESS(8,COLUMN('2_DATA'!$M$9),1,1,"2_DATA")):INDIRECT(ADDRESS(3000,COLUMN('2_DATA'!$M$9),1,1,"2_DATA")),$G219,INDIRECT(ADDRESS(8,COLUMN('2_DATA'!$N$9),1,1,"2_DATA")):INDIRECT(ADDRESS(3000,COLUMN('2_DATA'!$N$9),1,1,"2_DATA"))),IF($D$2="ALL ACTIVITY",SUMIF(INDIRECT(ADDRESS(9,COLUMN('2_DATA'!$M$9),1,1,"2_DATA")):INDIRECT(ADDRESS(3000,COLUMN('2_DATA'!$M$9),1,1,"2_DATA")),$G219,INDIRECT(ADDRESS(9,COLUMN('2_DATA'!$N$9),1,1,"2_DATA")):INDIRECT(ADDRESS(3000,COLUMN('2_DATA'!$N$9),1,1,"2_DATA"))),SUMIF(INDIRECT(ADDRESS(OFFSET($A$3,MATCH($D$2,$A$4:$A$16,0)-1,1,,)+1,COLUMN('2_DATA'!$M$9),1,1,"2_DATA")):INDIRECT(ADDRESS(VLOOKUP($D$2,$A$4:$B$16,2,FALSE)-1,COLUMN('2_DATA'!$M$9),1,1,"2_DATA")),$G219,INDIRECT(ADDRESS(OFFSET($A$3,MATCH($D$2,$A$4:$A$16,0)-1,1,,)+1,COLUMN('2_DATA'!$N$9),1,1,"2_DATA")):INDIRECT(ADDRESS(VLOOKUP($D$2,$A$4:$B$16,2,FALSE)-1,COLUMN('2_DATA'!$N$9),1,1,"2_DATA"))))),0)</f>
        <v>0</v>
      </c>
      <c r="J219" s="58" t="str">
        <f ca="1">IF(I219=0,"",MAX($J$3:J218)+1)</f>
        <v/>
      </c>
      <c r="L219" s="55" t="str">
        <f t="shared" ca="1" si="53"/>
        <v/>
      </c>
      <c r="M219" s="55" t="str">
        <f t="shared" ca="1" si="57"/>
        <v/>
      </c>
      <c r="N219" s="55"/>
      <c r="O219" s="55" t="str">
        <f t="shared" ca="1" si="59"/>
        <v/>
      </c>
      <c r="P219" s="55">
        <f t="shared" ca="1" si="54"/>
        <v>0</v>
      </c>
      <c r="Q219" s="55" t="str">
        <f ca="1">IFERROR(INDEX($O$4:$P$226,MATCH(ROWS($Q$3:Q218),$P$4:$P$226,0),1),"-")</f>
        <v>-</v>
      </c>
      <c r="R219" s="62" t="str">
        <f t="shared" ca="1" si="55"/>
        <v/>
      </c>
      <c r="S219" s="55" t="str">
        <f t="shared" ca="1" si="58"/>
        <v/>
      </c>
      <c r="T219" s="67" t="str">
        <f t="shared" ca="1" si="52"/>
        <v>-</v>
      </c>
      <c r="V219" s="68" t="str">
        <f t="shared" ca="1" si="60"/>
        <v/>
      </c>
      <c r="W219" s="69" t="str">
        <f t="shared" ca="1" si="61"/>
        <v/>
      </c>
      <c r="X219" s="70" t="s">
        <v>84</v>
      </c>
      <c r="Y219" s="68" t="str">
        <f t="shared" ca="1" si="65"/>
        <v/>
      </c>
      <c r="Z219" s="71" t="str">
        <f t="shared" ca="1" si="62"/>
        <v/>
      </c>
      <c r="AA219" s="72" t="str">
        <f t="shared" ca="1" si="63"/>
        <v/>
      </c>
      <c r="AB219" s="72" t="str">
        <f t="shared" ca="1" si="64"/>
        <v/>
      </c>
    </row>
    <row r="220" spans="4:28" ht="24" customHeight="1">
      <c r="D220" s="57">
        <f ca="1">INDIRECT(ADDRESS(ROWS($D$3:D219)+6,D$3,1,1,"3_TIME SUM"))</f>
        <v>0</v>
      </c>
      <c r="E220" s="81" t="str">
        <f ca="1">IF(INDIRECT(ADDRESS(ROWS($E$3:E219)+6,E$3,1,1,"3_TIME SUM"))=0,E219,INDIRECT(ADDRESS(ROWS($E$3:E219)+6,E$3,1,1,"3_TIME SUM")))</f>
        <v>X-Mastree</v>
      </c>
      <c r="F220" s="57" t="str">
        <f t="shared" ca="1" si="56"/>
        <v>X-Mastree : 0</v>
      </c>
      <c r="G220" s="58" t="e">
        <f ca="1">VLOOKUP($D220,INDIRECT(ADDRESS(7,5,1,1,"3_TIME SUM")):INDIRECT(ADDRESS(200,7,1,1,"3_TIME SUM")),2,FALSE)</f>
        <v>#N/A</v>
      </c>
      <c r="H220" s="58" t="e">
        <f ca="1">IF(VLOOKUP($D220,INDIRECT(ADDRESS(7,5,1,1,"3_TIME SUM")):INDIRECT(ADDRESS(200,7,1,1,"3_TIME SUM")),3,FALSE)="","PT",VLOOKUP($D220,INDIRECT(ADDRESS(7,5,1,1,"3_TIME SUM")):INDIRECT(ADDRESS(200,7,1,1,"3_TIME SUM")),3,FALSE))</f>
        <v>#N/A</v>
      </c>
      <c r="I220" s="59">
        <f ca="1">IFERROR(IF(AND($D$2="NON PRODUCTIVE TIME",$H220="NPT"),SUMIF(INDIRECT(ADDRESS(8,COLUMN('2_DATA'!$M$9),1,1,"2_DATA")):INDIRECT(ADDRESS(3000,COLUMN('2_DATA'!$M$9),1,1,"2_DATA")),$G220,INDIRECT(ADDRESS(8,COLUMN('2_DATA'!$N$9),1,1,"2_DATA")):INDIRECT(ADDRESS(3000,COLUMN('2_DATA'!$N$9),1,1,"2_DATA"))),IF($D$2="ALL ACTIVITY",SUMIF(INDIRECT(ADDRESS(9,COLUMN('2_DATA'!$M$9),1,1,"2_DATA")):INDIRECT(ADDRESS(3000,COLUMN('2_DATA'!$M$9),1,1,"2_DATA")),$G220,INDIRECT(ADDRESS(9,COLUMN('2_DATA'!$N$9),1,1,"2_DATA")):INDIRECT(ADDRESS(3000,COLUMN('2_DATA'!$N$9),1,1,"2_DATA"))),SUMIF(INDIRECT(ADDRESS(OFFSET($A$3,MATCH($D$2,$A$4:$A$16,0)-1,1,,)+1,COLUMN('2_DATA'!$M$9),1,1,"2_DATA")):INDIRECT(ADDRESS(VLOOKUP($D$2,$A$4:$B$16,2,FALSE)-1,COLUMN('2_DATA'!$M$9),1,1,"2_DATA")),$G220,INDIRECT(ADDRESS(OFFSET($A$3,MATCH($D$2,$A$4:$A$16,0)-1,1,,)+1,COLUMN('2_DATA'!$N$9),1,1,"2_DATA")):INDIRECT(ADDRESS(VLOOKUP($D$2,$A$4:$B$16,2,FALSE)-1,COLUMN('2_DATA'!$N$9),1,1,"2_DATA"))))),0)</f>
        <v>0</v>
      </c>
      <c r="J220" s="58" t="str">
        <f ca="1">IF(I220=0,"",MAX($J$3:J219)+1)</f>
        <v/>
      </c>
      <c r="L220" s="55" t="str">
        <f t="shared" ca="1" si="53"/>
        <v/>
      </c>
      <c r="M220" s="55" t="str">
        <f t="shared" ca="1" si="57"/>
        <v/>
      </c>
      <c r="N220" s="55"/>
      <c r="O220" s="55" t="str">
        <f t="shared" ca="1" si="59"/>
        <v/>
      </c>
      <c r="P220" s="55">
        <f t="shared" ca="1" si="54"/>
        <v>0</v>
      </c>
      <c r="Q220" s="55" t="str">
        <f ca="1">IFERROR(INDEX($O$4:$P$226,MATCH(ROWS($Q$3:Q219),$P$4:$P$226,0),1),"-")</f>
        <v>-</v>
      </c>
      <c r="R220" s="62" t="str">
        <f t="shared" ca="1" si="55"/>
        <v/>
      </c>
      <c r="S220" s="55" t="str">
        <f t="shared" ca="1" si="58"/>
        <v/>
      </c>
      <c r="T220" s="67" t="str">
        <f t="shared" ca="1" si="52"/>
        <v>-</v>
      </c>
      <c r="V220" s="68" t="str">
        <f t="shared" ca="1" si="60"/>
        <v/>
      </c>
      <c r="W220" s="69" t="str">
        <f t="shared" ca="1" si="61"/>
        <v/>
      </c>
      <c r="X220" s="70" t="s">
        <v>84</v>
      </c>
      <c r="Y220" s="68" t="str">
        <f t="shared" ca="1" si="65"/>
        <v/>
      </c>
      <c r="Z220" s="71" t="str">
        <f t="shared" ca="1" si="62"/>
        <v/>
      </c>
      <c r="AA220" s="72" t="str">
        <f t="shared" ca="1" si="63"/>
        <v/>
      </c>
      <c r="AB220" s="72" t="str">
        <f t="shared" ca="1" si="64"/>
        <v/>
      </c>
    </row>
    <row r="221" spans="4:28" ht="24" customHeight="1">
      <c r="D221" s="57">
        <f ca="1">INDIRECT(ADDRESS(ROWS($D$3:D220)+6,D$3,1,1,"3_TIME SUM"))</f>
        <v>0</v>
      </c>
      <c r="E221" s="81" t="str">
        <f ca="1">IF(INDIRECT(ADDRESS(ROWS($E$3:E220)+6,E$3,1,1,"3_TIME SUM"))=0,E220,INDIRECT(ADDRESS(ROWS($E$3:E220)+6,E$3,1,1,"3_TIME SUM")))</f>
        <v>X-Mastree</v>
      </c>
      <c r="F221" s="57" t="str">
        <f t="shared" ca="1" si="56"/>
        <v>X-Mastree : 0</v>
      </c>
      <c r="G221" s="58" t="e">
        <f ca="1">VLOOKUP($D221,INDIRECT(ADDRESS(7,5,1,1,"3_TIME SUM")):INDIRECT(ADDRESS(200,7,1,1,"3_TIME SUM")),2,FALSE)</f>
        <v>#N/A</v>
      </c>
      <c r="H221" s="58" t="e">
        <f ca="1">IF(VLOOKUP($D221,INDIRECT(ADDRESS(7,5,1,1,"3_TIME SUM")):INDIRECT(ADDRESS(200,7,1,1,"3_TIME SUM")),3,FALSE)="","PT",VLOOKUP($D221,INDIRECT(ADDRESS(7,5,1,1,"3_TIME SUM")):INDIRECT(ADDRESS(200,7,1,1,"3_TIME SUM")),3,FALSE))</f>
        <v>#N/A</v>
      </c>
      <c r="I221" s="59">
        <f ca="1">IFERROR(IF(AND($D$2="NON PRODUCTIVE TIME",$H221="NPT"),SUMIF(INDIRECT(ADDRESS(8,COLUMN('2_DATA'!$M$9),1,1,"2_DATA")):INDIRECT(ADDRESS(3000,COLUMN('2_DATA'!$M$9),1,1,"2_DATA")),$G221,INDIRECT(ADDRESS(8,COLUMN('2_DATA'!$N$9),1,1,"2_DATA")):INDIRECT(ADDRESS(3000,COLUMN('2_DATA'!$N$9),1,1,"2_DATA"))),IF($D$2="ALL ACTIVITY",SUMIF(INDIRECT(ADDRESS(9,COLUMN('2_DATA'!$M$9),1,1,"2_DATA")):INDIRECT(ADDRESS(3000,COLUMN('2_DATA'!$M$9),1,1,"2_DATA")),$G221,INDIRECT(ADDRESS(9,COLUMN('2_DATA'!$N$9),1,1,"2_DATA")):INDIRECT(ADDRESS(3000,COLUMN('2_DATA'!$N$9),1,1,"2_DATA"))),SUMIF(INDIRECT(ADDRESS(OFFSET($A$3,MATCH($D$2,$A$4:$A$16,0)-1,1,,)+1,COLUMN('2_DATA'!$M$9),1,1,"2_DATA")):INDIRECT(ADDRESS(VLOOKUP($D$2,$A$4:$B$16,2,FALSE)-1,COLUMN('2_DATA'!$M$9),1,1,"2_DATA")),$G221,INDIRECT(ADDRESS(OFFSET($A$3,MATCH($D$2,$A$4:$A$16,0)-1,1,,)+1,COLUMN('2_DATA'!$N$9),1,1,"2_DATA")):INDIRECT(ADDRESS(VLOOKUP($D$2,$A$4:$B$16,2,FALSE)-1,COLUMN('2_DATA'!$N$9),1,1,"2_DATA"))))),0)</f>
        <v>0</v>
      </c>
      <c r="J221" s="58" t="str">
        <f ca="1">IF(I221=0,"",MAX($J$3:J220)+1)</f>
        <v/>
      </c>
      <c r="L221" s="55" t="str">
        <f t="shared" ca="1" si="53"/>
        <v/>
      </c>
      <c r="M221" s="55" t="str">
        <f t="shared" ca="1" si="57"/>
        <v/>
      </c>
      <c r="N221" s="55"/>
      <c r="O221" s="55" t="str">
        <f t="shared" ca="1" si="59"/>
        <v/>
      </c>
      <c r="P221" s="55">
        <f t="shared" ca="1" si="54"/>
        <v>0</v>
      </c>
      <c r="Q221" s="55" t="str">
        <f ca="1">IFERROR(INDEX($O$4:$P$226,MATCH(ROWS($Q$3:Q220),$P$4:$P$226,0),1),"-")</f>
        <v>-</v>
      </c>
      <c r="R221" s="62" t="str">
        <f t="shared" ca="1" si="55"/>
        <v/>
      </c>
      <c r="S221" s="55" t="str">
        <f t="shared" ca="1" si="58"/>
        <v/>
      </c>
      <c r="T221" s="67" t="str">
        <f t="shared" ca="1" si="52"/>
        <v>-</v>
      </c>
      <c r="V221" s="68" t="str">
        <f t="shared" ca="1" si="60"/>
        <v/>
      </c>
      <c r="W221" s="69" t="str">
        <f t="shared" ca="1" si="61"/>
        <v/>
      </c>
      <c r="X221" s="70" t="s">
        <v>84</v>
      </c>
      <c r="Y221" s="68" t="str">
        <f t="shared" ca="1" si="65"/>
        <v/>
      </c>
      <c r="Z221" s="71" t="str">
        <f t="shared" ca="1" si="62"/>
        <v/>
      </c>
      <c r="AA221" s="72" t="str">
        <f t="shared" ca="1" si="63"/>
        <v/>
      </c>
      <c r="AB221" s="72" t="str">
        <f t="shared" ca="1" si="64"/>
        <v/>
      </c>
    </row>
    <row r="222" spans="4:28" ht="24" customHeight="1">
      <c r="D222" s="57">
        <f ca="1">INDIRECT(ADDRESS(ROWS($D$3:D221)+6,D$3,1,1,"3_TIME SUM"))</f>
        <v>0</v>
      </c>
      <c r="E222" s="81" t="str">
        <f ca="1">IF(INDIRECT(ADDRESS(ROWS($E$3:E221)+6,E$3,1,1,"3_TIME SUM"))=0,E221,INDIRECT(ADDRESS(ROWS($E$3:E221)+6,E$3,1,1,"3_TIME SUM")))</f>
        <v>X-Mastree</v>
      </c>
      <c r="F222" s="57" t="str">
        <f t="shared" ca="1" si="56"/>
        <v>X-Mastree : 0</v>
      </c>
      <c r="G222" s="58" t="e">
        <f ca="1">VLOOKUP($D222,INDIRECT(ADDRESS(7,5,1,1,"3_TIME SUM")):INDIRECT(ADDRESS(200,7,1,1,"3_TIME SUM")),2,FALSE)</f>
        <v>#N/A</v>
      </c>
      <c r="H222" s="58" t="e">
        <f ca="1">IF(VLOOKUP($D222,INDIRECT(ADDRESS(7,5,1,1,"3_TIME SUM")):INDIRECT(ADDRESS(200,7,1,1,"3_TIME SUM")),3,FALSE)="","PT",VLOOKUP($D222,INDIRECT(ADDRESS(7,5,1,1,"3_TIME SUM")):INDIRECT(ADDRESS(200,7,1,1,"3_TIME SUM")),3,FALSE))</f>
        <v>#N/A</v>
      </c>
      <c r="I222" s="59">
        <f ca="1">IFERROR(IF(AND($D$2="NON PRODUCTIVE TIME",$H222="NPT"),SUMIF(INDIRECT(ADDRESS(8,COLUMN('2_DATA'!$M$9),1,1,"2_DATA")):INDIRECT(ADDRESS(3000,COLUMN('2_DATA'!$M$9),1,1,"2_DATA")),$G222,INDIRECT(ADDRESS(8,COLUMN('2_DATA'!$N$9),1,1,"2_DATA")):INDIRECT(ADDRESS(3000,COLUMN('2_DATA'!$N$9),1,1,"2_DATA"))),IF($D$2="ALL ACTIVITY",SUMIF(INDIRECT(ADDRESS(9,COLUMN('2_DATA'!$M$9),1,1,"2_DATA")):INDIRECT(ADDRESS(3000,COLUMN('2_DATA'!$M$9),1,1,"2_DATA")),$G222,INDIRECT(ADDRESS(9,COLUMN('2_DATA'!$N$9),1,1,"2_DATA")):INDIRECT(ADDRESS(3000,COLUMN('2_DATA'!$N$9),1,1,"2_DATA"))),SUMIF(INDIRECT(ADDRESS(OFFSET($A$3,MATCH($D$2,$A$4:$A$16,0)-1,1,,)+1,COLUMN('2_DATA'!$M$9),1,1,"2_DATA")):INDIRECT(ADDRESS(VLOOKUP($D$2,$A$4:$B$16,2,FALSE)-1,COLUMN('2_DATA'!$M$9),1,1,"2_DATA")),$G222,INDIRECT(ADDRESS(OFFSET($A$3,MATCH($D$2,$A$4:$A$16,0)-1,1,,)+1,COLUMN('2_DATA'!$N$9),1,1,"2_DATA")):INDIRECT(ADDRESS(VLOOKUP($D$2,$A$4:$B$16,2,FALSE)-1,COLUMN('2_DATA'!$N$9),1,1,"2_DATA"))))),0)</f>
        <v>0</v>
      </c>
      <c r="J222" s="58" t="str">
        <f ca="1">IF(I222=0,"",MAX($J$3:J221)+1)</f>
        <v/>
      </c>
      <c r="L222" s="55" t="str">
        <f t="shared" ca="1" si="53"/>
        <v/>
      </c>
      <c r="M222" s="55" t="str">
        <f t="shared" ca="1" si="57"/>
        <v/>
      </c>
      <c r="N222" s="55"/>
      <c r="O222" s="55" t="str">
        <f t="shared" ca="1" si="59"/>
        <v/>
      </c>
      <c r="P222" s="55">
        <f t="shared" ca="1" si="54"/>
        <v>0</v>
      </c>
      <c r="Q222" s="55" t="str">
        <f ca="1">IFERROR(INDEX($O$4:$P$226,MATCH(ROWS($Q$3:Q221),$P$4:$P$226,0),1),"-")</f>
        <v>-</v>
      </c>
      <c r="R222" s="62" t="str">
        <f t="shared" ca="1" si="55"/>
        <v/>
      </c>
      <c r="S222" s="55" t="str">
        <f t="shared" ca="1" si="58"/>
        <v/>
      </c>
      <c r="T222" s="67" t="str">
        <f t="shared" ca="1" si="52"/>
        <v>-</v>
      </c>
      <c r="V222" s="68" t="str">
        <f t="shared" ca="1" si="60"/>
        <v/>
      </c>
      <c r="W222" s="69" t="str">
        <f t="shared" ca="1" si="61"/>
        <v/>
      </c>
      <c r="X222" s="70" t="s">
        <v>84</v>
      </c>
      <c r="Y222" s="68" t="str">
        <f t="shared" ca="1" si="65"/>
        <v/>
      </c>
      <c r="Z222" s="71" t="str">
        <f t="shared" ca="1" si="62"/>
        <v/>
      </c>
      <c r="AA222" s="72" t="str">
        <f t="shared" ca="1" si="63"/>
        <v/>
      </c>
      <c r="AB222" s="72" t="str">
        <f t="shared" ca="1" si="64"/>
        <v/>
      </c>
    </row>
    <row r="223" spans="4:28" ht="24" customHeight="1">
      <c r="D223" s="57">
        <f ca="1">INDIRECT(ADDRESS(ROWS($D$3:D222)+6,D$3,1,1,"3_TIME SUM"))</f>
        <v>0</v>
      </c>
      <c r="E223" s="81" t="str">
        <f ca="1">IF(INDIRECT(ADDRESS(ROWS($E$3:E222)+6,E$3,1,1,"3_TIME SUM"))=0,E222,INDIRECT(ADDRESS(ROWS($E$3:E222)+6,E$3,1,1,"3_TIME SUM")))</f>
        <v>X-Mastree</v>
      </c>
      <c r="F223" s="57" t="str">
        <f t="shared" ca="1" si="56"/>
        <v>X-Mastree : 0</v>
      </c>
      <c r="G223" s="58" t="e">
        <f ca="1">VLOOKUP($D223,INDIRECT(ADDRESS(7,5,1,1,"3_TIME SUM")):INDIRECT(ADDRESS(200,7,1,1,"3_TIME SUM")),2,FALSE)</f>
        <v>#N/A</v>
      </c>
      <c r="H223" s="58" t="e">
        <f ca="1">IF(VLOOKUP($D223,INDIRECT(ADDRESS(7,5,1,1,"3_TIME SUM")):INDIRECT(ADDRESS(200,7,1,1,"3_TIME SUM")),3,FALSE)="","PT",VLOOKUP($D223,INDIRECT(ADDRESS(7,5,1,1,"3_TIME SUM")):INDIRECT(ADDRESS(200,7,1,1,"3_TIME SUM")),3,FALSE))</f>
        <v>#N/A</v>
      </c>
      <c r="I223" s="59">
        <f ca="1">IFERROR(IF(AND($D$2="NON PRODUCTIVE TIME",$H223="NPT"),SUMIF(INDIRECT(ADDRESS(8,COLUMN('2_DATA'!$M$9),1,1,"2_DATA")):INDIRECT(ADDRESS(3000,COLUMN('2_DATA'!$M$9),1,1,"2_DATA")),$G223,INDIRECT(ADDRESS(8,COLUMN('2_DATA'!$N$9),1,1,"2_DATA")):INDIRECT(ADDRESS(3000,COLUMN('2_DATA'!$N$9),1,1,"2_DATA"))),IF($D$2="ALL ACTIVITY",SUMIF(INDIRECT(ADDRESS(9,COLUMN('2_DATA'!$M$9),1,1,"2_DATA")):INDIRECT(ADDRESS(3000,COLUMN('2_DATA'!$M$9),1,1,"2_DATA")),$G223,INDIRECT(ADDRESS(9,COLUMN('2_DATA'!$N$9),1,1,"2_DATA")):INDIRECT(ADDRESS(3000,COLUMN('2_DATA'!$N$9),1,1,"2_DATA"))),SUMIF(INDIRECT(ADDRESS(OFFSET($A$3,MATCH($D$2,$A$4:$A$16,0)-1,1,,)+1,COLUMN('2_DATA'!$M$9),1,1,"2_DATA")):INDIRECT(ADDRESS(VLOOKUP($D$2,$A$4:$B$16,2,FALSE)-1,COLUMN('2_DATA'!$M$9),1,1,"2_DATA")),$G223,INDIRECT(ADDRESS(OFFSET($A$3,MATCH($D$2,$A$4:$A$16,0)-1,1,,)+1,COLUMN('2_DATA'!$N$9),1,1,"2_DATA")):INDIRECT(ADDRESS(VLOOKUP($D$2,$A$4:$B$16,2,FALSE)-1,COLUMN('2_DATA'!$N$9),1,1,"2_DATA"))))),0)</f>
        <v>0</v>
      </c>
      <c r="J223" s="58" t="str">
        <f ca="1">IF(I223=0,"",MAX($J$3:J222)+1)</f>
        <v/>
      </c>
      <c r="L223" s="55" t="str">
        <f t="shared" ca="1" si="53"/>
        <v/>
      </c>
      <c r="M223" s="55" t="str">
        <f t="shared" ca="1" si="57"/>
        <v/>
      </c>
      <c r="N223" s="55"/>
      <c r="O223" s="55" t="str">
        <f t="shared" ca="1" si="59"/>
        <v/>
      </c>
      <c r="P223" s="55">
        <f t="shared" ca="1" si="54"/>
        <v>0</v>
      </c>
      <c r="Q223" s="55" t="str">
        <f ca="1">IFERROR(INDEX($O$4:$P$226,MATCH(ROWS($Q$3:Q222),$P$4:$P$226,0),1),"-")</f>
        <v>-</v>
      </c>
      <c r="R223" s="62" t="str">
        <f t="shared" ca="1" si="55"/>
        <v/>
      </c>
      <c r="S223" s="55" t="str">
        <f t="shared" ca="1" si="58"/>
        <v/>
      </c>
      <c r="T223" s="67" t="str">
        <f t="shared" ca="1" si="52"/>
        <v>-</v>
      </c>
      <c r="V223" s="68" t="str">
        <f t="shared" ca="1" si="60"/>
        <v/>
      </c>
      <c r="W223" s="69" t="str">
        <f t="shared" ca="1" si="61"/>
        <v/>
      </c>
      <c r="X223" s="70" t="s">
        <v>84</v>
      </c>
      <c r="Y223" s="68" t="str">
        <f t="shared" ca="1" si="65"/>
        <v/>
      </c>
      <c r="Z223" s="71" t="str">
        <f t="shared" ca="1" si="62"/>
        <v/>
      </c>
      <c r="AA223" s="72" t="str">
        <f t="shared" ca="1" si="63"/>
        <v/>
      </c>
      <c r="AB223" s="72" t="str">
        <f t="shared" ca="1" si="64"/>
        <v/>
      </c>
    </row>
    <row r="224" spans="4:28" ht="24" customHeight="1">
      <c r="D224" s="57">
        <f ca="1">INDIRECT(ADDRESS(ROWS($D$3:D223)+6,D$3,1,1,"3_TIME SUM"))</f>
        <v>0</v>
      </c>
      <c r="E224" s="81" t="str">
        <f ca="1">IF(INDIRECT(ADDRESS(ROWS($E$3:E223)+6,E$3,1,1,"3_TIME SUM"))=0,E223,INDIRECT(ADDRESS(ROWS($E$3:E223)+6,E$3,1,1,"3_TIME SUM")))</f>
        <v>X-Mastree</v>
      </c>
      <c r="F224" s="57" t="str">
        <f t="shared" ca="1" si="56"/>
        <v>X-Mastree : 0</v>
      </c>
      <c r="G224" s="58" t="e">
        <f ca="1">VLOOKUP($D224,INDIRECT(ADDRESS(7,5,1,1,"3_TIME SUM")):INDIRECT(ADDRESS(200,7,1,1,"3_TIME SUM")),2,FALSE)</f>
        <v>#N/A</v>
      </c>
      <c r="H224" s="58" t="e">
        <f ca="1">IF(VLOOKUP($D224,INDIRECT(ADDRESS(7,5,1,1,"3_TIME SUM")):INDIRECT(ADDRESS(200,7,1,1,"3_TIME SUM")),3,FALSE)="","PT",VLOOKUP($D224,INDIRECT(ADDRESS(7,5,1,1,"3_TIME SUM")):INDIRECT(ADDRESS(200,7,1,1,"3_TIME SUM")),3,FALSE))</f>
        <v>#N/A</v>
      </c>
      <c r="I224" s="59">
        <f ca="1">IFERROR(IF(AND($D$2="NON PRODUCTIVE TIME",$H224="NPT"),SUMIF(INDIRECT(ADDRESS(8,COLUMN('2_DATA'!$M$9),1,1,"2_DATA")):INDIRECT(ADDRESS(3000,COLUMN('2_DATA'!$M$9),1,1,"2_DATA")),$G224,INDIRECT(ADDRESS(8,COLUMN('2_DATA'!$N$9),1,1,"2_DATA")):INDIRECT(ADDRESS(3000,COLUMN('2_DATA'!$N$9),1,1,"2_DATA"))),IF($D$2="ALL ACTIVITY",SUMIF(INDIRECT(ADDRESS(9,COLUMN('2_DATA'!$M$9),1,1,"2_DATA")):INDIRECT(ADDRESS(3000,COLUMN('2_DATA'!$M$9),1,1,"2_DATA")),$G224,INDIRECT(ADDRESS(9,COLUMN('2_DATA'!$N$9),1,1,"2_DATA")):INDIRECT(ADDRESS(3000,COLUMN('2_DATA'!$N$9),1,1,"2_DATA"))),SUMIF(INDIRECT(ADDRESS(OFFSET($A$3,MATCH($D$2,$A$4:$A$16,0)-1,1,,)+1,COLUMN('2_DATA'!$M$9),1,1,"2_DATA")):INDIRECT(ADDRESS(VLOOKUP($D$2,$A$4:$B$16,2,FALSE)-1,COLUMN('2_DATA'!$M$9),1,1,"2_DATA")),$G224,INDIRECT(ADDRESS(OFFSET($A$3,MATCH($D$2,$A$4:$A$16,0)-1,1,,)+1,COLUMN('2_DATA'!$N$9),1,1,"2_DATA")):INDIRECT(ADDRESS(VLOOKUP($D$2,$A$4:$B$16,2,FALSE)-1,COLUMN('2_DATA'!$N$9),1,1,"2_DATA"))))),0)</f>
        <v>0</v>
      </c>
      <c r="J224" s="58" t="str">
        <f ca="1">IF(I224=0,"",MAX($J$3:J223)+1)</f>
        <v/>
      </c>
      <c r="L224" s="55" t="str">
        <f t="shared" ca="1" si="53"/>
        <v/>
      </c>
      <c r="M224" s="55" t="str">
        <f t="shared" ca="1" si="57"/>
        <v/>
      </c>
      <c r="N224" s="55"/>
      <c r="O224" s="55" t="str">
        <f t="shared" ca="1" si="59"/>
        <v/>
      </c>
      <c r="P224" s="55">
        <f t="shared" ca="1" si="54"/>
        <v>0</v>
      </c>
      <c r="Q224" s="55" t="str">
        <f ca="1">IFERROR(INDEX($O$4:$P$226,MATCH(ROWS($Q$3:Q223),$P$4:$P$226,0),1),"-")</f>
        <v>-</v>
      </c>
      <c r="R224" s="62" t="str">
        <f t="shared" ca="1" si="55"/>
        <v/>
      </c>
      <c r="S224" s="55" t="str">
        <f t="shared" ca="1" si="58"/>
        <v/>
      </c>
      <c r="T224" s="67" t="str">
        <f t="shared" ca="1" si="52"/>
        <v>-</v>
      </c>
      <c r="V224" s="68" t="str">
        <f t="shared" ca="1" si="60"/>
        <v/>
      </c>
      <c r="W224" s="69" t="str">
        <f t="shared" ca="1" si="61"/>
        <v/>
      </c>
      <c r="X224" s="70" t="s">
        <v>84</v>
      </c>
      <c r="Y224" s="68" t="str">
        <f t="shared" ca="1" si="65"/>
        <v/>
      </c>
      <c r="Z224" s="71" t="str">
        <f t="shared" ca="1" si="62"/>
        <v/>
      </c>
      <c r="AA224" s="72" t="str">
        <f t="shared" ca="1" si="63"/>
        <v/>
      </c>
      <c r="AB224" s="72" t="str">
        <f t="shared" ca="1" si="64"/>
        <v/>
      </c>
    </row>
    <row r="225" spans="4:28" ht="24" customHeight="1">
      <c r="D225" s="57">
        <f ca="1">INDIRECT(ADDRESS(ROWS($D$3:D224)+6,D$3,1,1,"3_TIME SUM"))</f>
        <v>0</v>
      </c>
      <c r="E225" s="81" t="str">
        <f ca="1">IF(INDIRECT(ADDRESS(ROWS($E$3:E224)+6,E$3,1,1,"3_TIME SUM"))=0,E224,INDIRECT(ADDRESS(ROWS($E$3:E224)+6,E$3,1,1,"3_TIME SUM")))</f>
        <v>X-Mastree</v>
      </c>
      <c r="F225" s="57" t="str">
        <f t="shared" ca="1" si="56"/>
        <v>X-Mastree : 0</v>
      </c>
      <c r="G225" s="58" t="e">
        <f ca="1">VLOOKUP($D225,INDIRECT(ADDRESS(7,5,1,1,"3_TIME SUM")):INDIRECT(ADDRESS(200,7,1,1,"3_TIME SUM")),2,FALSE)</f>
        <v>#N/A</v>
      </c>
      <c r="H225" s="58" t="e">
        <f ca="1">IF(VLOOKUP($D225,INDIRECT(ADDRESS(7,5,1,1,"3_TIME SUM")):INDIRECT(ADDRESS(200,7,1,1,"3_TIME SUM")),3,FALSE)="","PT",VLOOKUP($D225,INDIRECT(ADDRESS(7,5,1,1,"3_TIME SUM")):INDIRECT(ADDRESS(200,7,1,1,"3_TIME SUM")),3,FALSE))</f>
        <v>#N/A</v>
      </c>
      <c r="I225" s="59">
        <f ca="1">IFERROR(IF(AND($D$2="NON PRODUCTIVE TIME",$H225="NPT"),SUMIF(INDIRECT(ADDRESS(8,COLUMN('2_DATA'!$M$9),1,1,"2_DATA")):INDIRECT(ADDRESS(3000,COLUMN('2_DATA'!$M$9),1,1,"2_DATA")),$G225,INDIRECT(ADDRESS(8,COLUMN('2_DATA'!$N$9),1,1,"2_DATA")):INDIRECT(ADDRESS(3000,COLUMN('2_DATA'!$N$9),1,1,"2_DATA"))),IF($D$2="ALL ACTIVITY",SUMIF(INDIRECT(ADDRESS(9,COLUMN('2_DATA'!$M$9),1,1,"2_DATA")):INDIRECT(ADDRESS(3000,COLUMN('2_DATA'!$M$9),1,1,"2_DATA")),$G225,INDIRECT(ADDRESS(9,COLUMN('2_DATA'!$N$9),1,1,"2_DATA")):INDIRECT(ADDRESS(3000,COLUMN('2_DATA'!$N$9),1,1,"2_DATA"))),SUMIF(INDIRECT(ADDRESS(OFFSET($A$3,MATCH($D$2,$A$4:$A$16,0)-1,1,,)+1,COLUMN('2_DATA'!$M$9),1,1,"2_DATA")):INDIRECT(ADDRESS(VLOOKUP($D$2,$A$4:$B$16,2,FALSE)-1,COLUMN('2_DATA'!$M$9),1,1,"2_DATA")),$G225,INDIRECT(ADDRESS(OFFSET($A$3,MATCH($D$2,$A$4:$A$16,0)-1,1,,)+1,COLUMN('2_DATA'!$N$9),1,1,"2_DATA")):INDIRECT(ADDRESS(VLOOKUP($D$2,$A$4:$B$16,2,FALSE)-1,COLUMN('2_DATA'!$N$9),1,1,"2_DATA"))))),0)</f>
        <v>0</v>
      </c>
      <c r="J225" s="58" t="str">
        <f ca="1">IF(I225=0,"",MAX($J$3:J224)+1)</f>
        <v/>
      </c>
      <c r="L225" s="55" t="str">
        <f t="shared" ca="1" si="53"/>
        <v/>
      </c>
      <c r="M225" s="55" t="str">
        <f t="shared" ca="1" si="57"/>
        <v/>
      </c>
      <c r="N225" s="55"/>
      <c r="O225" s="55" t="str">
        <f t="shared" ca="1" si="59"/>
        <v/>
      </c>
      <c r="P225" s="55">
        <f t="shared" ca="1" si="54"/>
        <v>0</v>
      </c>
      <c r="Q225" s="55" t="str">
        <f ca="1">IFERROR(INDEX($O$4:$P$226,MATCH(ROWS($Q$3:Q224),$P$4:$P$226,0),1),"-")</f>
        <v>-</v>
      </c>
      <c r="R225" s="62" t="str">
        <f t="shared" ca="1" si="55"/>
        <v/>
      </c>
      <c r="S225" s="55" t="str">
        <f t="shared" ca="1" si="58"/>
        <v/>
      </c>
      <c r="T225" s="67" t="str">
        <f t="shared" ca="1" si="52"/>
        <v>-</v>
      </c>
      <c r="V225" s="68" t="str">
        <f t="shared" ca="1" si="60"/>
        <v/>
      </c>
      <c r="W225" s="69" t="str">
        <f t="shared" ca="1" si="61"/>
        <v/>
      </c>
      <c r="X225" s="70" t="s">
        <v>84</v>
      </c>
      <c r="Y225" s="68" t="str">
        <f t="shared" ca="1" si="65"/>
        <v/>
      </c>
      <c r="Z225" s="71" t="str">
        <f t="shared" ca="1" si="62"/>
        <v/>
      </c>
      <c r="AA225" s="72" t="str">
        <f t="shared" ca="1" si="63"/>
        <v/>
      </c>
      <c r="AB225" s="72" t="str">
        <f t="shared" ca="1" si="64"/>
        <v/>
      </c>
    </row>
    <row r="226" spans="4:28" ht="24" customHeight="1">
      <c r="D226" s="57">
        <f ca="1">INDIRECT(ADDRESS(ROWS($D$3:D225)+6,D$3,1,1,"3_TIME SUM"))</f>
        <v>0</v>
      </c>
      <c r="E226" s="81" t="str">
        <f ca="1">IF(INDIRECT(ADDRESS(ROWS($E$3:E225)+6,E$3,1,1,"3_TIME SUM"))=0,E225,INDIRECT(ADDRESS(ROWS($E$3:E225)+6,E$3,1,1,"3_TIME SUM")))</f>
        <v>X-Mastree</v>
      </c>
      <c r="F226" s="57" t="str">
        <f t="shared" ca="1" si="56"/>
        <v>X-Mastree : 0</v>
      </c>
      <c r="G226" s="58" t="e">
        <f ca="1">VLOOKUP($D226,INDIRECT(ADDRESS(7,5,1,1,"3_TIME SUM")):INDIRECT(ADDRESS(200,7,1,1,"3_TIME SUM")),2,FALSE)</f>
        <v>#N/A</v>
      </c>
      <c r="H226" s="58" t="e">
        <f ca="1">IF(VLOOKUP($D226,INDIRECT(ADDRESS(7,5,1,1,"3_TIME SUM")):INDIRECT(ADDRESS(200,7,1,1,"3_TIME SUM")),3,FALSE)="","PT",VLOOKUP($D226,INDIRECT(ADDRESS(7,5,1,1,"3_TIME SUM")):INDIRECT(ADDRESS(200,7,1,1,"3_TIME SUM")),3,FALSE))</f>
        <v>#N/A</v>
      </c>
      <c r="I226" s="59">
        <f ca="1">IFERROR(IF(AND($D$2="NON PRODUCTIVE TIME",$H226="NPT"),SUMIF(INDIRECT(ADDRESS(8,COLUMN('2_DATA'!$M$9),1,1,"2_DATA")):INDIRECT(ADDRESS(3000,COLUMN('2_DATA'!$M$9),1,1,"2_DATA")),$G226,INDIRECT(ADDRESS(8,COLUMN('2_DATA'!$N$9),1,1,"2_DATA")):INDIRECT(ADDRESS(3000,COLUMN('2_DATA'!$N$9),1,1,"2_DATA"))),IF($D$2="ALL ACTIVITY",SUMIF(INDIRECT(ADDRESS(9,COLUMN('2_DATA'!$M$9),1,1,"2_DATA")):INDIRECT(ADDRESS(3000,COLUMN('2_DATA'!$M$9),1,1,"2_DATA")),$G226,INDIRECT(ADDRESS(9,COLUMN('2_DATA'!$N$9),1,1,"2_DATA")):INDIRECT(ADDRESS(3000,COLUMN('2_DATA'!$N$9),1,1,"2_DATA"))),SUMIF(INDIRECT(ADDRESS(OFFSET($A$3,MATCH($D$2,$A$4:$A$16,0)-1,1,,)+1,COLUMN('2_DATA'!$M$9),1,1,"2_DATA")):INDIRECT(ADDRESS(VLOOKUP($D$2,$A$4:$B$16,2,FALSE)-1,COLUMN('2_DATA'!$M$9),1,1,"2_DATA")),$G226,INDIRECT(ADDRESS(OFFSET($A$3,MATCH($D$2,$A$4:$A$16,0)-1,1,,)+1,COLUMN('2_DATA'!$N$9),1,1,"2_DATA")):INDIRECT(ADDRESS(VLOOKUP($D$2,$A$4:$B$16,2,FALSE)-1,COLUMN('2_DATA'!$N$9),1,1,"2_DATA"))))),0)</f>
        <v>0</v>
      </c>
      <c r="J226" s="58" t="str">
        <f ca="1">IF(I226=0,"",MAX($J$3:J225)+1)</f>
        <v/>
      </c>
      <c r="L226" s="55" t="str">
        <f t="shared" ca="1" si="53"/>
        <v/>
      </c>
      <c r="M226" s="55" t="str">
        <f t="shared" ca="1" si="57"/>
        <v/>
      </c>
      <c r="N226" s="55"/>
      <c r="O226" s="55" t="str">
        <f t="shared" ca="1" si="59"/>
        <v/>
      </c>
      <c r="P226" s="55">
        <f t="shared" ca="1" si="54"/>
        <v>0</v>
      </c>
      <c r="Q226" s="55" t="str">
        <f ca="1">IFERROR(INDEX($O$4:$P$226,MATCH(ROWS($Q$3:Q225),$P$4:$P$226,0),1),"-")</f>
        <v>-</v>
      </c>
      <c r="R226" s="62" t="str">
        <f t="shared" ca="1" si="55"/>
        <v/>
      </c>
      <c r="S226" s="55" t="str">
        <f t="shared" ca="1" si="58"/>
        <v/>
      </c>
      <c r="T226" s="67" t="str">
        <f t="shared" ca="1" si="52"/>
        <v>-</v>
      </c>
      <c r="V226" s="68" t="str">
        <f t="shared" ca="1" si="60"/>
        <v/>
      </c>
      <c r="W226" s="69" t="str">
        <f t="shared" ca="1" si="61"/>
        <v/>
      </c>
      <c r="X226" s="70" t="s">
        <v>84</v>
      </c>
      <c r="Y226" s="68" t="str">
        <f t="shared" ca="1" si="65"/>
        <v/>
      </c>
      <c r="Z226" s="71" t="str">
        <f t="shared" ca="1" si="62"/>
        <v/>
      </c>
      <c r="AA226" s="72" t="str">
        <f t="shared" ca="1" si="63"/>
        <v/>
      </c>
      <c r="AB226" s="72" t="str">
        <f t="shared" ca="1" si="64"/>
        <v/>
      </c>
    </row>
    <row r="227" spans="4:28" ht="24" customHeight="1">
      <c r="T227" s="67" t="str">
        <f t="shared" ca="1" si="52"/>
        <v>-</v>
      </c>
      <c r="V227" s="68" t="str">
        <f t="shared" ca="1" si="60"/>
        <v/>
      </c>
      <c r="W227" s="69" t="str">
        <f t="shared" ca="1" si="61"/>
        <v/>
      </c>
      <c r="X227" s="70" t="s">
        <v>84</v>
      </c>
      <c r="Y227" s="68" t="str">
        <f t="shared" ca="1" si="65"/>
        <v/>
      </c>
      <c r="Z227" s="71" t="str">
        <f t="shared" ca="1" si="62"/>
        <v/>
      </c>
      <c r="AA227" s="72" t="str">
        <f t="shared" ca="1" si="63"/>
        <v/>
      </c>
      <c r="AB227" s="72" t="str">
        <f t="shared" ca="1" si="64"/>
        <v/>
      </c>
    </row>
    <row r="228" spans="4:28" ht="24" customHeight="1">
      <c r="T228" s="67" t="str">
        <f t="shared" ref="T228:T291" ca="1" si="66">Q197</f>
        <v>-</v>
      </c>
      <c r="V228" s="68" t="str">
        <f t="shared" ca="1" si="60"/>
        <v/>
      </c>
      <c r="W228" s="69" t="str">
        <f t="shared" ca="1" si="61"/>
        <v/>
      </c>
      <c r="X228" s="70" t="s">
        <v>84</v>
      </c>
      <c r="Y228" s="68" t="str">
        <f t="shared" ca="1" si="65"/>
        <v/>
      </c>
      <c r="Z228" s="71" t="str">
        <f t="shared" ca="1" si="62"/>
        <v/>
      </c>
      <c r="AA228" s="72" t="str">
        <f t="shared" ca="1" si="63"/>
        <v/>
      </c>
      <c r="AB228" s="72" t="str">
        <f t="shared" ca="1" si="64"/>
        <v/>
      </c>
    </row>
    <row r="229" spans="4:28" ht="24" customHeight="1">
      <c r="T229" s="67" t="str">
        <f t="shared" ca="1" si="66"/>
        <v>-</v>
      </c>
      <c r="V229" s="68" t="str">
        <f t="shared" ca="1" si="60"/>
        <v/>
      </c>
      <c r="W229" s="69" t="str">
        <f t="shared" ca="1" si="61"/>
        <v/>
      </c>
      <c r="X229" s="70" t="s">
        <v>84</v>
      </c>
      <c r="Y229" s="68" t="str">
        <f t="shared" ca="1" si="65"/>
        <v/>
      </c>
      <c r="Z229" s="71" t="str">
        <f t="shared" ca="1" si="62"/>
        <v/>
      </c>
      <c r="AA229" s="72" t="str">
        <f t="shared" ca="1" si="63"/>
        <v/>
      </c>
      <c r="AB229" s="72" t="str">
        <f t="shared" ca="1" si="64"/>
        <v/>
      </c>
    </row>
    <row r="230" spans="4:28" ht="24" customHeight="1">
      <c r="T230" s="67" t="str">
        <f t="shared" ca="1" si="66"/>
        <v>-</v>
      </c>
      <c r="V230" s="68" t="str">
        <f t="shared" ca="1" si="60"/>
        <v/>
      </c>
      <c r="W230" s="69" t="str">
        <f t="shared" ca="1" si="61"/>
        <v/>
      </c>
      <c r="X230" s="70" t="s">
        <v>84</v>
      </c>
      <c r="Y230" s="68" t="str">
        <f t="shared" ca="1" si="65"/>
        <v/>
      </c>
      <c r="Z230" s="71" t="str">
        <f t="shared" ca="1" si="62"/>
        <v/>
      </c>
      <c r="AA230" s="72" t="str">
        <f t="shared" ca="1" si="63"/>
        <v/>
      </c>
      <c r="AB230" s="72" t="str">
        <f t="shared" ca="1" si="64"/>
        <v/>
      </c>
    </row>
    <row r="231" spans="4:28" ht="24" customHeight="1">
      <c r="T231" s="67" t="str">
        <f t="shared" ca="1" si="66"/>
        <v>-</v>
      </c>
      <c r="V231" s="68" t="str">
        <f t="shared" ca="1" si="60"/>
        <v/>
      </c>
      <c r="W231" s="69" t="str">
        <f t="shared" ca="1" si="61"/>
        <v/>
      </c>
      <c r="X231" s="70" t="s">
        <v>84</v>
      </c>
      <c r="Y231" s="68" t="str">
        <f t="shared" ca="1" si="65"/>
        <v/>
      </c>
      <c r="Z231" s="71" t="str">
        <f t="shared" ca="1" si="62"/>
        <v/>
      </c>
      <c r="AA231" s="72" t="str">
        <f t="shared" ca="1" si="63"/>
        <v/>
      </c>
      <c r="AB231" s="72" t="str">
        <f t="shared" ca="1" si="64"/>
        <v/>
      </c>
    </row>
    <row r="232" spans="4:28" ht="24" customHeight="1">
      <c r="T232" s="67" t="str">
        <f t="shared" ca="1" si="66"/>
        <v>-</v>
      </c>
      <c r="V232" s="68" t="str">
        <f t="shared" ca="1" si="60"/>
        <v/>
      </c>
      <c r="W232" s="69" t="str">
        <f t="shared" ca="1" si="61"/>
        <v/>
      </c>
      <c r="X232" s="70" t="s">
        <v>84</v>
      </c>
      <c r="Y232" s="68" t="str">
        <f t="shared" ca="1" si="65"/>
        <v/>
      </c>
      <c r="Z232" s="71" t="str">
        <f t="shared" ca="1" si="62"/>
        <v/>
      </c>
      <c r="AA232" s="72" t="str">
        <f t="shared" ca="1" si="63"/>
        <v/>
      </c>
      <c r="AB232" s="72" t="str">
        <f t="shared" ca="1" si="64"/>
        <v/>
      </c>
    </row>
    <row r="233" spans="4:28" ht="24" customHeight="1">
      <c r="T233" s="67" t="str">
        <f t="shared" ca="1" si="66"/>
        <v>-</v>
      </c>
      <c r="V233" s="68" t="str">
        <f t="shared" ca="1" si="60"/>
        <v/>
      </c>
      <c r="W233" s="69" t="str">
        <f t="shared" ca="1" si="61"/>
        <v/>
      </c>
      <c r="X233" s="70" t="s">
        <v>84</v>
      </c>
      <c r="Y233" s="68" t="str">
        <f t="shared" ca="1" si="65"/>
        <v/>
      </c>
      <c r="Z233" s="71" t="str">
        <f t="shared" ca="1" si="62"/>
        <v/>
      </c>
      <c r="AA233" s="72" t="str">
        <f t="shared" ca="1" si="63"/>
        <v/>
      </c>
      <c r="AB233" s="72" t="str">
        <f t="shared" ca="1" si="64"/>
        <v/>
      </c>
    </row>
    <row r="234" spans="4:28" ht="24" customHeight="1">
      <c r="T234" s="67" t="str">
        <f t="shared" ca="1" si="66"/>
        <v>-</v>
      </c>
      <c r="V234" s="68" t="str">
        <f t="shared" ca="1" si="60"/>
        <v/>
      </c>
      <c r="W234" s="69" t="str">
        <f t="shared" ca="1" si="61"/>
        <v/>
      </c>
      <c r="X234" s="70" t="s">
        <v>84</v>
      </c>
      <c r="Y234" s="68" t="str">
        <f t="shared" ca="1" si="65"/>
        <v/>
      </c>
      <c r="Z234" s="71" t="str">
        <f t="shared" ca="1" si="62"/>
        <v/>
      </c>
      <c r="AA234" s="72" t="str">
        <f t="shared" ca="1" si="63"/>
        <v/>
      </c>
      <c r="AB234" s="72" t="str">
        <f t="shared" ca="1" si="64"/>
        <v/>
      </c>
    </row>
    <row r="235" spans="4:28" ht="24" customHeight="1">
      <c r="T235" s="67" t="str">
        <f t="shared" ca="1" si="66"/>
        <v>-</v>
      </c>
      <c r="V235" s="68" t="str">
        <f t="shared" ca="1" si="60"/>
        <v/>
      </c>
      <c r="W235" s="69" t="str">
        <f t="shared" ca="1" si="61"/>
        <v/>
      </c>
      <c r="X235" s="70" t="s">
        <v>84</v>
      </c>
      <c r="Y235" s="68" t="str">
        <f t="shared" ca="1" si="65"/>
        <v/>
      </c>
      <c r="Z235" s="71" t="str">
        <f t="shared" ca="1" si="62"/>
        <v/>
      </c>
      <c r="AA235" s="72" t="str">
        <f t="shared" ca="1" si="63"/>
        <v/>
      </c>
      <c r="AB235" s="72" t="str">
        <f t="shared" ca="1" si="64"/>
        <v/>
      </c>
    </row>
    <row r="236" spans="4:28" ht="24" customHeight="1">
      <c r="T236" s="67" t="str">
        <f t="shared" ca="1" si="66"/>
        <v>-</v>
      </c>
      <c r="V236" s="68" t="str">
        <f t="shared" si="60"/>
        <v/>
      </c>
      <c r="W236" s="69">
        <f t="shared" si="61"/>
        <v>0</v>
      </c>
      <c r="X236" s="70" t="s">
        <v>84</v>
      </c>
      <c r="Y236" s="68" t="str">
        <f t="shared" ca="1" si="65"/>
        <v/>
      </c>
      <c r="Z236" s="71" t="str">
        <f t="shared" ca="1" si="62"/>
        <v/>
      </c>
      <c r="AA236" s="72" t="str">
        <f t="shared" ca="1" si="63"/>
        <v/>
      </c>
      <c r="AB236" s="72" t="str">
        <f t="shared" ca="1" si="64"/>
        <v/>
      </c>
    </row>
    <row r="237" spans="4:28" ht="24" customHeight="1">
      <c r="T237" s="67" t="str">
        <f t="shared" ca="1" si="66"/>
        <v>-</v>
      </c>
      <c r="V237" s="68" t="str">
        <f t="shared" si="60"/>
        <v/>
      </c>
      <c r="W237" s="69">
        <f t="shared" si="61"/>
        <v>0</v>
      </c>
      <c r="X237" s="70" t="s">
        <v>84</v>
      </c>
      <c r="Y237" s="68" t="str">
        <f t="shared" ca="1" si="65"/>
        <v/>
      </c>
      <c r="Z237" s="71" t="str">
        <f t="shared" ca="1" si="62"/>
        <v/>
      </c>
      <c r="AA237" s="72" t="str">
        <f t="shared" ca="1" si="63"/>
        <v/>
      </c>
      <c r="AB237" s="72" t="str">
        <f t="shared" ca="1" si="64"/>
        <v/>
      </c>
    </row>
    <row r="238" spans="4:28" ht="24" customHeight="1">
      <c r="T238" s="67" t="str">
        <f t="shared" ca="1" si="66"/>
        <v>-</v>
      </c>
      <c r="V238" s="68" t="str">
        <f t="shared" si="60"/>
        <v/>
      </c>
      <c r="W238" s="69">
        <f t="shared" si="61"/>
        <v>0</v>
      </c>
      <c r="X238" s="70" t="s">
        <v>84</v>
      </c>
      <c r="Y238" s="68" t="str">
        <f t="shared" ca="1" si="65"/>
        <v/>
      </c>
      <c r="Z238" s="71" t="str">
        <f t="shared" ca="1" si="62"/>
        <v/>
      </c>
      <c r="AA238" s="72" t="str">
        <f t="shared" ca="1" si="63"/>
        <v/>
      </c>
      <c r="AB238" s="72" t="str">
        <f t="shared" ca="1" si="64"/>
        <v/>
      </c>
    </row>
    <row r="239" spans="4:28" ht="24" customHeight="1">
      <c r="T239" s="67" t="str">
        <f t="shared" ca="1" si="66"/>
        <v>-</v>
      </c>
      <c r="V239" s="68" t="str">
        <f t="shared" si="60"/>
        <v/>
      </c>
      <c r="W239" s="69">
        <f t="shared" si="61"/>
        <v>0</v>
      </c>
      <c r="X239" s="70" t="s">
        <v>84</v>
      </c>
      <c r="Y239" s="68" t="str">
        <f t="shared" ca="1" si="65"/>
        <v/>
      </c>
      <c r="Z239" s="71" t="str">
        <f t="shared" ca="1" si="62"/>
        <v/>
      </c>
      <c r="AA239" s="72" t="str">
        <f t="shared" ca="1" si="63"/>
        <v/>
      </c>
      <c r="AB239" s="72" t="str">
        <f t="shared" ca="1" si="64"/>
        <v/>
      </c>
    </row>
    <row r="240" spans="4:28" ht="24" customHeight="1">
      <c r="T240" s="67" t="str">
        <f t="shared" ca="1" si="66"/>
        <v>-</v>
      </c>
      <c r="V240" s="68" t="str">
        <f t="shared" si="60"/>
        <v/>
      </c>
      <c r="W240" s="69">
        <f t="shared" si="61"/>
        <v>0</v>
      </c>
      <c r="X240" s="70" t="s">
        <v>84</v>
      </c>
      <c r="Y240" s="68" t="str">
        <f t="shared" ca="1" si="65"/>
        <v/>
      </c>
      <c r="Z240" s="71" t="str">
        <f t="shared" ca="1" si="62"/>
        <v/>
      </c>
      <c r="AA240" s="72" t="str">
        <f t="shared" ca="1" si="63"/>
        <v/>
      </c>
      <c r="AB240" s="72" t="str">
        <f t="shared" ca="1" si="64"/>
        <v/>
      </c>
    </row>
    <row r="241" spans="20:28" ht="24" customHeight="1">
      <c r="T241" s="67" t="str">
        <f t="shared" ca="1" si="66"/>
        <v>-</v>
      </c>
      <c r="V241" s="68" t="str">
        <f t="shared" si="60"/>
        <v/>
      </c>
      <c r="W241" s="69">
        <f t="shared" si="61"/>
        <v>0</v>
      </c>
      <c r="X241" s="70" t="s">
        <v>84</v>
      </c>
      <c r="Y241" s="68" t="str">
        <f t="shared" ca="1" si="65"/>
        <v/>
      </c>
      <c r="Z241" s="71" t="str">
        <f t="shared" ca="1" si="62"/>
        <v/>
      </c>
      <c r="AA241" s="72" t="str">
        <f t="shared" ca="1" si="63"/>
        <v/>
      </c>
      <c r="AB241" s="72" t="str">
        <f t="shared" ca="1" si="64"/>
        <v/>
      </c>
    </row>
    <row r="242" spans="20:28" ht="24" customHeight="1">
      <c r="T242" s="67" t="str">
        <f t="shared" ca="1" si="66"/>
        <v>-</v>
      </c>
      <c r="V242" s="68" t="str">
        <f t="shared" si="60"/>
        <v/>
      </c>
      <c r="W242" s="69">
        <f t="shared" si="61"/>
        <v>0</v>
      </c>
      <c r="X242" s="70" t="s">
        <v>84</v>
      </c>
      <c r="Y242" s="68" t="str">
        <f t="shared" ca="1" si="65"/>
        <v/>
      </c>
      <c r="Z242" s="71" t="str">
        <f t="shared" ca="1" si="62"/>
        <v/>
      </c>
      <c r="AA242" s="72" t="str">
        <f t="shared" ca="1" si="63"/>
        <v/>
      </c>
      <c r="AB242" s="72" t="str">
        <f t="shared" ca="1" si="64"/>
        <v/>
      </c>
    </row>
    <row r="243" spans="20:28" ht="24" customHeight="1">
      <c r="T243" s="67" t="str">
        <f t="shared" ca="1" si="66"/>
        <v>-</v>
      </c>
      <c r="V243" s="68" t="str">
        <f t="shared" si="60"/>
        <v/>
      </c>
      <c r="W243" s="69">
        <f t="shared" si="61"/>
        <v>0</v>
      </c>
      <c r="X243" s="70" t="s">
        <v>84</v>
      </c>
      <c r="Y243" s="68" t="str">
        <f t="shared" ca="1" si="65"/>
        <v/>
      </c>
      <c r="Z243" s="71" t="str">
        <f t="shared" ca="1" si="62"/>
        <v/>
      </c>
      <c r="AA243" s="72" t="str">
        <f t="shared" ca="1" si="63"/>
        <v/>
      </c>
      <c r="AB243" s="72" t="str">
        <f t="shared" ca="1" si="64"/>
        <v/>
      </c>
    </row>
    <row r="244" spans="20:28" ht="24" customHeight="1">
      <c r="T244" s="67" t="str">
        <f t="shared" ca="1" si="66"/>
        <v>-</v>
      </c>
      <c r="V244" s="68" t="str">
        <f t="shared" si="60"/>
        <v/>
      </c>
      <c r="W244" s="69">
        <f t="shared" si="61"/>
        <v>0</v>
      </c>
      <c r="X244" s="70" t="s">
        <v>84</v>
      </c>
      <c r="Y244" s="68" t="str">
        <f t="shared" ca="1" si="65"/>
        <v/>
      </c>
      <c r="Z244" s="71" t="str">
        <f t="shared" ca="1" si="62"/>
        <v/>
      </c>
      <c r="AA244" s="72" t="str">
        <f t="shared" ca="1" si="63"/>
        <v/>
      </c>
      <c r="AB244" s="72" t="str">
        <f t="shared" ca="1" si="64"/>
        <v/>
      </c>
    </row>
    <row r="245" spans="20:28" ht="24" customHeight="1">
      <c r="T245" s="67" t="str">
        <f t="shared" ca="1" si="66"/>
        <v>-</v>
      </c>
      <c r="V245" s="68" t="str">
        <f t="shared" si="60"/>
        <v/>
      </c>
      <c r="W245" s="69">
        <f t="shared" si="61"/>
        <v>0</v>
      </c>
      <c r="X245" s="70" t="s">
        <v>84</v>
      </c>
      <c r="Y245" s="68" t="str">
        <f t="shared" ca="1" si="65"/>
        <v/>
      </c>
      <c r="Z245" s="71" t="str">
        <f t="shared" ca="1" si="62"/>
        <v/>
      </c>
      <c r="AA245" s="72" t="str">
        <f t="shared" ca="1" si="63"/>
        <v/>
      </c>
      <c r="AB245" s="72" t="str">
        <f t="shared" ca="1" si="64"/>
        <v/>
      </c>
    </row>
    <row r="246" spans="20:28" ht="24" customHeight="1">
      <c r="T246" s="67" t="str">
        <f t="shared" ca="1" si="66"/>
        <v>-</v>
      </c>
      <c r="V246" s="68" t="str">
        <f t="shared" si="60"/>
        <v/>
      </c>
      <c r="W246" s="69">
        <f t="shared" si="61"/>
        <v>0</v>
      </c>
      <c r="X246" s="70" t="s">
        <v>84</v>
      </c>
      <c r="Y246" s="68" t="str">
        <f t="shared" ca="1" si="65"/>
        <v/>
      </c>
      <c r="Z246" s="71" t="str">
        <f t="shared" ca="1" si="62"/>
        <v/>
      </c>
      <c r="AA246" s="72" t="str">
        <f t="shared" ca="1" si="63"/>
        <v/>
      </c>
      <c r="AB246" s="72" t="str">
        <f t="shared" ca="1" si="64"/>
        <v/>
      </c>
    </row>
    <row r="247" spans="20:28" ht="24" customHeight="1">
      <c r="T247" s="67" t="str">
        <f t="shared" ca="1" si="66"/>
        <v>-</v>
      </c>
      <c r="V247" s="68" t="str">
        <f t="shared" si="60"/>
        <v/>
      </c>
      <c r="W247" s="69">
        <f t="shared" si="61"/>
        <v>0</v>
      </c>
      <c r="X247" s="70" t="s">
        <v>84</v>
      </c>
      <c r="Y247" s="68" t="str">
        <f t="shared" ca="1" si="65"/>
        <v/>
      </c>
      <c r="Z247" s="71" t="str">
        <f t="shared" ca="1" si="62"/>
        <v/>
      </c>
      <c r="AA247" s="72" t="str">
        <f t="shared" ca="1" si="63"/>
        <v/>
      </c>
      <c r="AB247" s="72" t="str">
        <f t="shared" ca="1" si="64"/>
        <v/>
      </c>
    </row>
    <row r="248" spans="20:28" ht="24" customHeight="1">
      <c r="T248" s="67" t="str">
        <f t="shared" ca="1" si="66"/>
        <v>-</v>
      </c>
      <c r="V248" s="68" t="str">
        <f t="shared" si="60"/>
        <v/>
      </c>
      <c r="W248" s="69">
        <f t="shared" si="61"/>
        <v>0</v>
      </c>
      <c r="X248" s="70" t="s">
        <v>84</v>
      </c>
      <c r="Y248" s="68" t="str">
        <f t="shared" ca="1" si="65"/>
        <v/>
      </c>
      <c r="Z248" s="71" t="str">
        <f t="shared" ca="1" si="62"/>
        <v/>
      </c>
      <c r="AA248" s="72" t="str">
        <f t="shared" ca="1" si="63"/>
        <v/>
      </c>
      <c r="AB248" s="72" t="str">
        <f t="shared" ca="1" si="64"/>
        <v/>
      </c>
    </row>
    <row r="249" spans="20:28" ht="24" customHeight="1">
      <c r="T249" s="67" t="str">
        <f t="shared" ca="1" si="66"/>
        <v>-</v>
      </c>
      <c r="V249" s="68" t="str">
        <f t="shared" si="60"/>
        <v/>
      </c>
      <c r="W249" s="69">
        <f t="shared" si="61"/>
        <v>0</v>
      </c>
      <c r="X249" s="70" t="s">
        <v>84</v>
      </c>
      <c r="Y249" s="68" t="str">
        <f t="shared" ca="1" si="65"/>
        <v/>
      </c>
      <c r="Z249" s="71" t="str">
        <f t="shared" ca="1" si="62"/>
        <v/>
      </c>
      <c r="AA249" s="72" t="str">
        <f t="shared" ca="1" si="63"/>
        <v/>
      </c>
      <c r="AB249" s="72" t="str">
        <f t="shared" ca="1" si="64"/>
        <v/>
      </c>
    </row>
    <row r="250" spans="20:28" ht="24" customHeight="1">
      <c r="T250" s="67" t="str">
        <f t="shared" ca="1" si="66"/>
        <v>-</v>
      </c>
      <c r="V250" s="68" t="str">
        <f t="shared" si="60"/>
        <v/>
      </c>
      <c r="W250" s="69">
        <f t="shared" si="61"/>
        <v>0</v>
      </c>
      <c r="X250" s="70" t="s">
        <v>84</v>
      </c>
      <c r="Y250" s="68" t="str">
        <f t="shared" ca="1" si="65"/>
        <v/>
      </c>
      <c r="Z250" s="71" t="str">
        <f t="shared" ca="1" si="62"/>
        <v/>
      </c>
      <c r="AA250" s="72" t="str">
        <f t="shared" ca="1" si="63"/>
        <v/>
      </c>
      <c r="AB250" s="72" t="str">
        <f t="shared" ca="1" si="64"/>
        <v/>
      </c>
    </row>
    <row r="251" spans="20:28" ht="24" customHeight="1">
      <c r="T251" s="67" t="str">
        <f t="shared" ca="1" si="66"/>
        <v>-</v>
      </c>
      <c r="V251" s="68" t="str">
        <f t="shared" si="60"/>
        <v/>
      </c>
      <c r="W251" s="69">
        <f t="shared" si="61"/>
        <v>0</v>
      </c>
      <c r="X251" s="70" t="s">
        <v>84</v>
      </c>
      <c r="Y251" s="68" t="str">
        <f t="shared" ca="1" si="65"/>
        <v/>
      </c>
      <c r="Z251" s="71" t="str">
        <f t="shared" ca="1" si="62"/>
        <v/>
      </c>
      <c r="AA251" s="72" t="str">
        <f t="shared" ca="1" si="63"/>
        <v/>
      </c>
      <c r="AB251" s="72" t="str">
        <f t="shared" ca="1" si="64"/>
        <v/>
      </c>
    </row>
    <row r="252" spans="20:28" ht="24" customHeight="1">
      <c r="T252" s="67" t="str">
        <f t="shared" ca="1" si="66"/>
        <v>-</v>
      </c>
      <c r="V252" s="68" t="str">
        <f t="shared" si="60"/>
        <v/>
      </c>
      <c r="W252" s="69">
        <f t="shared" si="61"/>
        <v>0</v>
      </c>
      <c r="X252" s="70" t="s">
        <v>84</v>
      </c>
      <c r="Y252" s="68" t="str">
        <f t="shared" ca="1" si="65"/>
        <v/>
      </c>
      <c r="Z252" s="71" t="str">
        <f t="shared" ca="1" si="62"/>
        <v/>
      </c>
      <c r="AA252" s="72" t="str">
        <f t="shared" ca="1" si="63"/>
        <v/>
      </c>
      <c r="AB252" s="72" t="str">
        <f t="shared" ca="1" si="64"/>
        <v/>
      </c>
    </row>
    <row r="253" spans="20:28" ht="24" customHeight="1">
      <c r="T253" s="67" t="str">
        <f t="shared" ca="1" si="66"/>
        <v>-</v>
      </c>
      <c r="V253" s="68" t="str">
        <f t="shared" si="60"/>
        <v/>
      </c>
      <c r="W253" s="69">
        <f t="shared" si="61"/>
        <v>0</v>
      </c>
      <c r="X253" s="70" t="s">
        <v>84</v>
      </c>
      <c r="Y253" s="68" t="str">
        <f t="shared" ca="1" si="65"/>
        <v/>
      </c>
      <c r="Z253" s="71" t="str">
        <f t="shared" ca="1" si="62"/>
        <v/>
      </c>
      <c r="AA253" s="72" t="str">
        <f t="shared" ca="1" si="63"/>
        <v/>
      </c>
      <c r="AB253" s="72" t="str">
        <f t="shared" ca="1" si="64"/>
        <v/>
      </c>
    </row>
    <row r="254" spans="20:28" ht="24" customHeight="1">
      <c r="T254" s="67" t="str">
        <f t="shared" ca="1" si="66"/>
        <v>-</v>
      </c>
      <c r="V254" s="68" t="str">
        <f t="shared" si="60"/>
        <v/>
      </c>
      <c r="W254" s="69">
        <f t="shared" si="61"/>
        <v>0</v>
      </c>
      <c r="X254" s="70" t="s">
        <v>84</v>
      </c>
      <c r="Y254" s="68" t="str">
        <f t="shared" ca="1" si="65"/>
        <v/>
      </c>
      <c r="Z254" s="71" t="str">
        <f t="shared" ca="1" si="62"/>
        <v/>
      </c>
      <c r="AA254" s="72" t="str">
        <f t="shared" ca="1" si="63"/>
        <v/>
      </c>
      <c r="AB254" s="72" t="str">
        <f t="shared" ca="1" si="64"/>
        <v/>
      </c>
    </row>
    <row r="255" spans="20:28" ht="24" customHeight="1">
      <c r="T255" s="67" t="str">
        <f t="shared" ca="1" si="66"/>
        <v>-</v>
      </c>
      <c r="V255" s="68" t="str">
        <f t="shared" si="60"/>
        <v/>
      </c>
      <c r="W255" s="69">
        <f t="shared" si="61"/>
        <v>0</v>
      </c>
      <c r="X255" s="70" t="s">
        <v>84</v>
      </c>
      <c r="Y255" s="68" t="str">
        <f t="shared" ca="1" si="65"/>
        <v/>
      </c>
      <c r="Z255" s="71" t="str">
        <f t="shared" ca="1" si="62"/>
        <v/>
      </c>
      <c r="AA255" s="72" t="str">
        <f t="shared" ca="1" si="63"/>
        <v/>
      </c>
      <c r="AB255" s="72" t="str">
        <f t="shared" ca="1" si="64"/>
        <v/>
      </c>
    </row>
    <row r="256" spans="20:28" ht="24" customHeight="1">
      <c r="T256" s="67" t="str">
        <f t="shared" ca="1" si="66"/>
        <v>-</v>
      </c>
      <c r="V256" s="68" t="str">
        <f t="shared" si="60"/>
        <v/>
      </c>
      <c r="W256" s="69">
        <f t="shared" si="61"/>
        <v>0</v>
      </c>
      <c r="X256" s="70" t="s">
        <v>84</v>
      </c>
      <c r="Y256" s="68" t="str">
        <f t="shared" ca="1" si="65"/>
        <v/>
      </c>
      <c r="Z256" s="71" t="str">
        <f t="shared" ca="1" si="62"/>
        <v/>
      </c>
      <c r="AA256" s="72" t="str">
        <f t="shared" ca="1" si="63"/>
        <v/>
      </c>
      <c r="AB256" s="72" t="str">
        <f t="shared" ca="1" si="64"/>
        <v/>
      </c>
    </row>
    <row r="257" spans="20:28" ht="24" customHeight="1">
      <c r="T257" s="67" t="str">
        <f t="shared" ca="1" si="66"/>
        <v>-</v>
      </c>
      <c r="V257" s="68" t="str">
        <f t="shared" si="60"/>
        <v/>
      </c>
      <c r="W257" s="69">
        <f t="shared" si="61"/>
        <v>0</v>
      </c>
      <c r="X257" s="70" t="s">
        <v>84</v>
      </c>
      <c r="Y257" s="68" t="str">
        <f t="shared" ca="1" si="65"/>
        <v/>
      </c>
      <c r="Z257" s="71" t="str">
        <f t="shared" ca="1" si="62"/>
        <v/>
      </c>
      <c r="AA257" s="72" t="str">
        <f t="shared" ca="1" si="63"/>
        <v/>
      </c>
      <c r="AB257" s="72" t="str">
        <f t="shared" ca="1" si="64"/>
        <v/>
      </c>
    </row>
    <row r="258" spans="20:28" ht="24" customHeight="1">
      <c r="T258" s="67">
        <f t="shared" si="66"/>
        <v>0</v>
      </c>
      <c r="V258" s="68" t="str">
        <f t="shared" si="60"/>
        <v/>
      </c>
      <c r="W258" s="69">
        <f t="shared" si="61"/>
        <v>0</v>
      </c>
      <c r="X258" s="70" t="s">
        <v>84</v>
      </c>
      <c r="Y258" s="68" t="str">
        <f t="shared" ca="1" si="65"/>
        <v/>
      </c>
      <c r="Z258" s="71" t="str">
        <f t="shared" ca="1" si="62"/>
        <v/>
      </c>
      <c r="AA258" s="72" t="str">
        <f t="shared" ca="1" si="63"/>
        <v/>
      </c>
      <c r="AB258" s="72" t="str">
        <f t="shared" ca="1" si="64"/>
        <v/>
      </c>
    </row>
    <row r="259" spans="20:28" ht="24" customHeight="1">
      <c r="T259" s="67">
        <f t="shared" si="66"/>
        <v>0</v>
      </c>
      <c r="V259" s="68" t="str">
        <f t="shared" si="60"/>
        <v/>
      </c>
      <c r="W259" s="69">
        <f t="shared" si="61"/>
        <v>0</v>
      </c>
      <c r="X259" s="70" t="s">
        <v>84</v>
      </c>
      <c r="Y259" s="68" t="str">
        <f t="shared" ca="1" si="65"/>
        <v/>
      </c>
      <c r="Z259" s="71" t="str">
        <f t="shared" ca="1" si="62"/>
        <v/>
      </c>
      <c r="AA259" s="72" t="str">
        <f t="shared" ca="1" si="63"/>
        <v/>
      </c>
      <c r="AB259" s="72" t="str">
        <f t="shared" ca="1" si="64"/>
        <v/>
      </c>
    </row>
    <row r="260" spans="20:28" ht="24" customHeight="1">
      <c r="T260" s="67">
        <f t="shared" si="66"/>
        <v>0</v>
      </c>
      <c r="V260" s="68" t="str">
        <f t="shared" si="60"/>
        <v/>
      </c>
      <c r="W260" s="69">
        <f t="shared" si="61"/>
        <v>0</v>
      </c>
      <c r="X260" s="70" t="s">
        <v>84</v>
      </c>
      <c r="Y260" s="68" t="str">
        <f t="shared" ca="1" si="65"/>
        <v/>
      </c>
      <c r="Z260" s="71" t="str">
        <f t="shared" ca="1" si="62"/>
        <v/>
      </c>
      <c r="AA260" s="72" t="str">
        <f t="shared" ca="1" si="63"/>
        <v/>
      </c>
      <c r="AB260" s="72" t="str">
        <f t="shared" ca="1" si="64"/>
        <v/>
      </c>
    </row>
    <row r="261" spans="20:28" ht="24" customHeight="1">
      <c r="T261" s="67">
        <f t="shared" si="66"/>
        <v>0</v>
      </c>
      <c r="V261" s="68" t="str">
        <f t="shared" si="60"/>
        <v/>
      </c>
      <c r="W261" s="69">
        <f t="shared" si="61"/>
        <v>0</v>
      </c>
      <c r="X261" s="70" t="s">
        <v>84</v>
      </c>
      <c r="Y261" s="68" t="str">
        <f t="shared" ca="1" si="65"/>
        <v/>
      </c>
      <c r="Z261" s="71" t="str">
        <f t="shared" ca="1" si="62"/>
        <v/>
      </c>
      <c r="AA261" s="72" t="str">
        <f t="shared" ca="1" si="63"/>
        <v/>
      </c>
      <c r="AB261" s="72" t="str">
        <f t="shared" ca="1" si="64"/>
        <v/>
      </c>
    </row>
    <row r="262" spans="20:28" ht="24" customHeight="1">
      <c r="T262" s="67">
        <f t="shared" si="66"/>
        <v>0</v>
      </c>
      <c r="V262" s="68" t="str">
        <f t="shared" si="60"/>
        <v/>
      </c>
      <c r="W262" s="69">
        <f t="shared" si="61"/>
        <v>0</v>
      </c>
      <c r="X262" s="70" t="s">
        <v>84</v>
      </c>
      <c r="Y262" s="68" t="str">
        <f t="shared" ca="1" si="65"/>
        <v/>
      </c>
      <c r="Z262" s="71" t="str">
        <f t="shared" ca="1" si="62"/>
        <v/>
      </c>
      <c r="AA262" s="72" t="str">
        <f t="shared" ca="1" si="63"/>
        <v/>
      </c>
      <c r="AB262" s="72" t="str">
        <f t="shared" ca="1" si="64"/>
        <v/>
      </c>
    </row>
    <row r="263" spans="20:28" ht="24" customHeight="1">
      <c r="T263" s="67">
        <f t="shared" si="66"/>
        <v>0</v>
      </c>
      <c r="V263" s="68" t="str">
        <f t="shared" si="60"/>
        <v/>
      </c>
      <c r="W263" s="69">
        <f t="shared" si="61"/>
        <v>0</v>
      </c>
      <c r="X263" s="70" t="s">
        <v>84</v>
      </c>
      <c r="Y263" s="68" t="str">
        <f t="shared" ca="1" si="65"/>
        <v/>
      </c>
      <c r="Z263" s="71" t="str">
        <f t="shared" ca="1" si="62"/>
        <v/>
      </c>
      <c r="AA263" s="72" t="str">
        <f t="shared" ca="1" si="63"/>
        <v/>
      </c>
      <c r="AB263" s="72" t="str">
        <f t="shared" ca="1" si="64"/>
        <v/>
      </c>
    </row>
    <row r="264" spans="20:28" ht="24" customHeight="1">
      <c r="T264" s="67">
        <f t="shared" si="66"/>
        <v>0</v>
      </c>
      <c r="V264" s="68" t="str">
        <f t="shared" si="60"/>
        <v/>
      </c>
      <c r="W264" s="69">
        <f t="shared" si="61"/>
        <v>0</v>
      </c>
      <c r="X264" s="70" t="s">
        <v>84</v>
      </c>
      <c r="Y264" s="68" t="str">
        <f t="shared" ca="1" si="65"/>
        <v/>
      </c>
      <c r="Z264" s="71" t="str">
        <f t="shared" ca="1" si="62"/>
        <v/>
      </c>
      <c r="AA264" s="72" t="str">
        <f t="shared" ca="1" si="63"/>
        <v/>
      </c>
      <c r="AB264" s="72" t="str">
        <f t="shared" ca="1" si="64"/>
        <v/>
      </c>
    </row>
    <row r="265" spans="20:28" ht="24" customHeight="1">
      <c r="T265" s="67">
        <f t="shared" si="66"/>
        <v>0</v>
      </c>
      <c r="V265" s="68" t="str">
        <f t="shared" si="60"/>
        <v/>
      </c>
      <c r="W265" s="69">
        <f t="shared" si="61"/>
        <v>0</v>
      </c>
      <c r="X265" s="70" t="s">
        <v>84</v>
      </c>
      <c r="Y265" s="68" t="str">
        <f t="shared" ca="1" si="65"/>
        <v/>
      </c>
      <c r="Z265" s="71" t="str">
        <f t="shared" ca="1" si="62"/>
        <v/>
      </c>
      <c r="AA265" s="72" t="str">
        <f t="shared" ca="1" si="63"/>
        <v/>
      </c>
      <c r="AB265" s="72" t="str">
        <f t="shared" ca="1" si="64"/>
        <v/>
      </c>
    </row>
    <row r="266" spans="20:28" ht="24" customHeight="1">
      <c r="T266" s="67">
        <f t="shared" si="66"/>
        <v>0</v>
      </c>
      <c r="V266" s="68" t="str">
        <f t="shared" si="60"/>
        <v/>
      </c>
      <c r="W266" s="69">
        <f t="shared" si="61"/>
        <v>0</v>
      </c>
      <c r="X266" s="70" t="s">
        <v>84</v>
      </c>
      <c r="Y266" s="68" t="str">
        <f t="shared" ca="1" si="65"/>
        <v/>
      </c>
      <c r="Z266" s="71" t="str">
        <f t="shared" ca="1" si="62"/>
        <v/>
      </c>
      <c r="AA266" s="72" t="str">
        <f t="shared" ca="1" si="63"/>
        <v/>
      </c>
      <c r="AB266" s="72" t="str">
        <f t="shared" ca="1" si="64"/>
        <v/>
      </c>
    </row>
    <row r="267" spans="20:28" ht="24" customHeight="1">
      <c r="T267" s="67">
        <f t="shared" si="66"/>
        <v>0</v>
      </c>
      <c r="V267" s="68" t="str">
        <f t="shared" si="60"/>
        <v/>
      </c>
      <c r="W267" s="69">
        <f t="shared" si="61"/>
        <v>0</v>
      </c>
      <c r="X267" s="70" t="s">
        <v>84</v>
      </c>
      <c r="Y267" s="68" t="str">
        <f t="shared" ca="1" si="65"/>
        <v/>
      </c>
      <c r="Z267" s="71" t="str">
        <f t="shared" ca="1" si="62"/>
        <v/>
      </c>
      <c r="AA267" s="72" t="str">
        <f t="shared" ca="1" si="63"/>
        <v/>
      </c>
      <c r="AB267" s="72" t="str">
        <f t="shared" ca="1" si="64"/>
        <v/>
      </c>
    </row>
    <row r="268" spans="20:28" ht="24" customHeight="1">
      <c r="T268" s="67">
        <f t="shared" si="66"/>
        <v>0</v>
      </c>
      <c r="V268" s="68" t="str">
        <f t="shared" si="60"/>
        <v/>
      </c>
      <c r="W268" s="69">
        <f t="shared" si="61"/>
        <v>0</v>
      </c>
      <c r="X268" s="70" t="s">
        <v>84</v>
      </c>
      <c r="Y268" s="68" t="str">
        <f t="shared" ca="1" si="65"/>
        <v/>
      </c>
      <c r="Z268" s="71" t="str">
        <f t="shared" ca="1" si="62"/>
        <v/>
      </c>
      <c r="AA268" s="72" t="str">
        <f t="shared" ca="1" si="63"/>
        <v/>
      </c>
      <c r="AB268" s="72" t="str">
        <f t="shared" ca="1" si="64"/>
        <v/>
      </c>
    </row>
    <row r="269" spans="20:28" ht="24" customHeight="1">
      <c r="T269" s="67">
        <f t="shared" si="66"/>
        <v>0</v>
      </c>
      <c r="V269" s="68" t="str">
        <f t="shared" ref="V269:V332" si="67">IFERROR(IF($S260=0,"",$S260),"")</f>
        <v/>
      </c>
      <c r="W269" s="69">
        <f t="shared" ref="W269:W332" si="68">IFERROR(IF($S260=0,$R260,$R260),"")</f>
        <v>0</v>
      </c>
      <c r="X269" s="70" t="s">
        <v>84</v>
      </c>
      <c r="Y269" s="68" t="str">
        <f t="shared" ca="1" si="65"/>
        <v/>
      </c>
      <c r="Z269" s="71" t="str">
        <f t="shared" ca="1" si="62"/>
        <v/>
      </c>
      <c r="AA269" s="72" t="str">
        <f t="shared" ca="1" si="63"/>
        <v/>
      </c>
      <c r="AB269" s="72" t="str">
        <f t="shared" ca="1" si="64"/>
        <v/>
      </c>
    </row>
    <row r="270" spans="20:28" ht="24" customHeight="1">
      <c r="T270" s="67">
        <f t="shared" si="66"/>
        <v>0</v>
      </c>
      <c r="V270" s="68" t="str">
        <f t="shared" si="67"/>
        <v/>
      </c>
      <c r="W270" s="69">
        <f t="shared" si="68"/>
        <v>0</v>
      </c>
      <c r="X270" s="70" t="s">
        <v>84</v>
      </c>
      <c r="Y270" s="68" t="str">
        <f t="shared" ca="1" si="65"/>
        <v/>
      </c>
      <c r="Z270" s="71" t="str">
        <f t="shared" ref="Z270:Z333" ca="1" si="69">IFERROR(VLOOKUP($W270,$F$4:$J$300,2,FALSE),"")</f>
        <v/>
      </c>
      <c r="AA270" s="72" t="str">
        <f t="shared" ref="AA270:AA333" ca="1" si="70">IFERROR(VLOOKUP($W270,$F$4:$J$300,4,FALSE),"")</f>
        <v/>
      </c>
      <c r="AB270" s="72" t="str">
        <f t="shared" ref="AB270:AB333" ca="1" si="71">IFERROR(AA270/24,"")</f>
        <v/>
      </c>
    </row>
    <row r="271" spans="20:28" ht="24" customHeight="1">
      <c r="T271" s="67">
        <f t="shared" si="66"/>
        <v>0</v>
      </c>
      <c r="V271" s="68" t="str">
        <f t="shared" si="67"/>
        <v/>
      </c>
      <c r="W271" s="69">
        <f t="shared" si="68"/>
        <v>0</v>
      </c>
      <c r="X271" s="70" t="s">
        <v>84</v>
      </c>
      <c r="Y271" s="68" t="str">
        <f t="shared" ca="1" si="65"/>
        <v/>
      </c>
      <c r="Z271" s="71" t="str">
        <f t="shared" ca="1" si="69"/>
        <v/>
      </c>
      <c r="AA271" s="72" t="str">
        <f t="shared" ca="1" si="70"/>
        <v/>
      </c>
      <c r="AB271" s="72" t="str">
        <f t="shared" ca="1" si="71"/>
        <v/>
      </c>
    </row>
    <row r="272" spans="20:28" ht="24" customHeight="1">
      <c r="T272" s="67">
        <f t="shared" si="66"/>
        <v>0</v>
      </c>
      <c r="V272" s="68" t="str">
        <f t="shared" si="67"/>
        <v/>
      </c>
      <c r="W272" s="69">
        <f t="shared" si="68"/>
        <v>0</v>
      </c>
      <c r="X272" s="70" t="s">
        <v>84</v>
      </c>
      <c r="Y272" s="68" t="str">
        <f t="shared" ca="1" si="65"/>
        <v/>
      </c>
      <c r="Z272" s="71" t="str">
        <f t="shared" ca="1" si="69"/>
        <v/>
      </c>
      <c r="AA272" s="72" t="str">
        <f t="shared" ca="1" si="70"/>
        <v/>
      </c>
      <c r="AB272" s="72" t="str">
        <f t="shared" ca="1" si="71"/>
        <v/>
      </c>
    </row>
    <row r="273" spans="20:28" ht="24" customHeight="1">
      <c r="T273" s="67">
        <f t="shared" si="66"/>
        <v>0</v>
      </c>
      <c r="V273" s="68" t="str">
        <f t="shared" si="67"/>
        <v/>
      </c>
      <c r="W273" s="69">
        <f t="shared" si="68"/>
        <v>0</v>
      </c>
      <c r="X273" s="70" t="s">
        <v>84</v>
      </c>
      <c r="Y273" s="68" t="str">
        <f t="shared" ref="Y273:Y336" ca="1" si="72">IFERROR(VLOOKUP($W273,$F$4:$J$300,3,FALSE),"")</f>
        <v/>
      </c>
      <c r="Z273" s="71" t="str">
        <f t="shared" ca="1" si="69"/>
        <v/>
      </c>
      <c r="AA273" s="72" t="str">
        <f t="shared" ca="1" si="70"/>
        <v/>
      </c>
      <c r="AB273" s="72" t="str">
        <f t="shared" ca="1" si="71"/>
        <v/>
      </c>
    </row>
    <row r="274" spans="20:28" ht="24" customHeight="1">
      <c r="T274" s="67">
        <f t="shared" si="66"/>
        <v>0</v>
      </c>
      <c r="V274" s="68" t="str">
        <f t="shared" si="67"/>
        <v/>
      </c>
      <c r="W274" s="69">
        <f t="shared" si="68"/>
        <v>0</v>
      </c>
      <c r="X274" s="70" t="s">
        <v>84</v>
      </c>
      <c r="Y274" s="68" t="str">
        <f t="shared" ca="1" si="72"/>
        <v/>
      </c>
      <c r="Z274" s="71" t="str">
        <f t="shared" ca="1" si="69"/>
        <v/>
      </c>
      <c r="AA274" s="72" t="str">
        <f t="shared" ca="1" si="70"/>
        <v/>
      </c>
      <c r="AB274" s="72" t="str">
        <f t="shared" ca="1" si="71"/>
        <v/>
      </c>
    </row>
    <row r="275" spans="20:28" ht="24" customHeight="1">
      <c r="T275" s="67">
        <f t="shared" si="66"/>
        <v>0</v>
      </c>
      <c r="V275" s="68" t="str">
        <f t="shared" si="67"/>
        <v/>
      </c>
      <c r="W275" s="69">
        <f t="shared" si="68"/>
        <v>0</v>
      </c>
      <c r="X275" s="70" t="s">
        <v>84</v>
      </c>
      <c r="Y275" s="68" t="str">
        <f t="shared" ca="1" si="72"/>
        <v/>
      </c>
      <c r="Z275" s="71" t="str">
        <f t="shared" ca="1" si="69"/>
        <v/>
      </c>
      <c r="AA275" s="72" t="str">
        <f t="shared" ca="1" si="70"/>
        <v/>
      </c>
      <c r="AB275" s="72" t="str">
        <f t="shared" ca="1" si="71"/>
        <v/>
      </c>
    </row>
    <row r="276" spans="20:28" ht="24" customHeight="1">
      <c r="T276" s="67">
        <f t="shared" si="66"/>
        <v>0</v>
      </c>
      <c r="V276" s="68" t="str">
        <f t="shared" si="67"/>
        <v/>
      </c>
      <c r="W276" s="69">
        <f t="shared" si="68"/>
        <v>0</v>
      </c>
      <c r="X276" s="70" t="s">
        <v>84</v>
      </c>
      <c r="Y276" s="68" t="str">
        <f t="shared" ca="1" si="72"/>
        <v/>
      </c>
      <c r="Z276" s="71" t="str">
        <f t="shared" ca="1" si="69"/>
        <v/>
      </c>
      <c r="AA276" s="72" t="str">
        <f t="shared" ca="1" si="70"/>
        <v/>
      </c>
      <c r="AB276" s="72" t="str">
        <f t="shared" ca="1" si="71"/>
        <v/>
      </c>
    </row>
    <row r="277" spans="20:28" ht="24" customHeight="1">
      <c r="T277" s="67">
        <f t="shared" si="66"/>
        <v>0</v>
      </c>
      <c r="V277" s="68" t="str">
        <f t="shared" si="67"/>
        <v/>
      </c>
      <c r="W277" s="69">
        <f t="shared" si="68"/>
        <v>0</v>
      </c>
      <c r="X277" s="70" t="s">
        <v>84</v>
      </c>
      <c r="Y277" s="68" t="str">
        <f t="shared" ca="1" si="72"/>
        <v/>
      </c>
      <c r="Z277" s="71" t="str">
        <f t="shared" ca="1" si="69"/>
        <v/>
      </c>
      <c r="AA277" s="72" t="str">
        <f t="shared" ca="1" si="70"/>
        <v/>
      </c>
      <c r="AB277" s="72" t="str">
        <f t="shared" ca="1" si="71"/>
        <v/>
      </c>
    </row>
    <row r="278" spans="20:28" ht="24" customHeight="1">
      <c r="T278" s="67">
        <f t="shared" si="66"/>
        <v>0</v>
      </c>
      <c r="V278" s="68" t="str">
        <f t="shared" si="67"/>
        <v/>
      </c>
      <c r="W278" s="69">
        <f t="shared" si="68"/>
        <v>0</v>
      </c>
      <c r="X278" s="70" t="s">
        <v>84</v>
      </c>
      <c r="Y278" s="68" t="str">
        <f t="shared" ca="1" si="72"/>
        <v/>
      </c>
      <c r="Z278" s="71" t="str">
        <f t="shared" ca="1" si="69"/>
        <v/>
      </c>
      <c r="AA278" s="72" t="str">
        <f t="shared" ca="1" si="70"/>
        <v/>
      </c>
      <c r="AB278" s="72" t="str">
        <f t="shared" ca="1" si="71"/>
        <v/>
      </c>
    </row>
    <row r="279" spans="20:28" ht="24" customHeight="1">
      <c r="T279" s="67">
        <f t="shared" si="66"/>
        <v>0</v>
      </c>
      <c r="V279" s="68" t="str">
        <f t="shared" si="67"/>
        <v/>
      </c>
      <c r="W279" s="69">
        <f t="shared" si="68"/>
        <v>0</v>
      </c>
      <c r="X279" s="70" t="s">
        <v>84</v>
      </c>
      <c r="Y279" s="68" t="str">
        <f t="shared" ca="1" si="72"/>
        <v/>
      </c>
      <c r="Z279" s="71" t="str">
        <f t="shared" ca="1" si="69"/>
        <v/>
      </c>
      <c r="AA279" s="72" t="str">
        <f t="shared" ca="1" si="70"/>
        <v/>
      </c>
      <c r="AB279" s="72" t="str">
        <f t="shared" ca="1" si="71"/>
        <v/>
      </c>
    </row>
    <row r="280" spans="20:28" ht="24" customHeight="1">
      <c r="T280" s="67">
        <f t="shared" si="66"/>
        <v>0</v>
      </c>
      <c r="V280" s="68" t="str">
        <f t="shared" si="67"/>
        <v/>
      </c>
      <c r="W280" s="69">
        <f t="shared" si="68"/>
        <v>0</v>
      </c>
      <c r="X280" s="70" t="s">
        <v>84</v>
      </c>
      <c r="Y280" s="68" t="str">
        <f t="shared" ca="1" si="72"/>
        <v/>
      </c>
      <c r="Z280" s="71" t="str">
        <f t="shared" ca="1" si="69"/>
        <v/>
      </c>
      <c r="AA280" s="72" t="str">
        <f t="shared" ca="1" si="70"/>
        <v/>
      </c>
      <c r="AB280" s="72" t="str">
        <f t="shared" ca="1" si="71"/>
        <v/>
      </c>
    </row>
    <row r="281" spans="20:28" ht="24" customHeight="1">
      <c r="T281" s="67">
        <f t="shared" si="66"/>
        <v>0</v>
      </c>
      <c r="V281" s="68" t="str">
        <f t="shared" si="67"/>
        <v/>
      </c>
      <c r="W281" s="69">
        <f t="shared" si="68"/>
        <v>0</v>
      </c>
      <c r="X281" s="70" t="s">
        <v>84</v>
      </c>
      <c r="Y281" s="68" t="str">
        <f t="shared" ca="1" si="72"/>
        <v/>
      </c>
      <c r="Z281" s="71" t="str">
        <f t="shared" ca="1" si="69"/>
        <v/>
      </c>
      <c r="AA281" s="72" t="str">
        <f t="shared" ca="1" si="70"/>
        <v/>
      </c>
      <c r="AB281" s="72" t="str">
        <f t="shared" ca="1" si="71"/>
        <v/>
      </c>
    </row>
    <row r="282" spans="20:28" ht="24" customHeight="1">
      <c r="T282" s="67">
        <f t="shared" si="66"/>
        <v>0</v>
      </c>
      <c r="V282" s="68" t="str">
        <f t="shared" si="67"/>
        <v/>
      </c>
      <c r="W282" s="69">
        <f t="shared" si="68"/>
        <v>0</v>
      </c>
      <c r="X282" s="70" t="s">
        <v>84</v>
      </c>
      <c r="Y282" s="68" t="str">
        <f t="shared" ca="1" si="72"/>
        <v/>
      </c>
      <c r="Z282" s="71" t="str">
        <f t="shared" ca="1" si="69"/>
        <v/>
      </c>
      <c r="AA282" s="72" t="str">
        <f t="shared" ca="1" si="70"/>
        <v/>
      </c>
      <c r="AB282" s="72" t="str">
        <f t="shared" ca="1" si="71"/>
        <v/>
      </c>
    </row>
    <row r="283" spans="20:28" ht="24" customHeight="1">
      <c r="T283" s="67">
        <f t="shared" si="66"/>
        <v>0</v>
      </c>
      <c r="V283" s="68" t="str">
        <f t="shared" si="67"/>
        <v/>
      </c>
      <c r="W283" s="69">
        <f t="shared" si="68"/>
        <v>0</v>
      </c>
      <c r="X283" s="70" t="s">
        <v>84</v>
      </c>
      <c r="Y283" s="68" t="str">
        <f t="shared" ca="1" si="72"/>
        <v/>
      </c>
      <c r="Z283" s="71" t="str">
        <f t="shared" ca="1" si="69"/>
        <v/>
      </c>
      <c r="AA283" s="72" t="str">
        <f t="shared" ca="1" si="70"/>
        <v/>
      </c>
      <c r="AB283" s="72" t="str">
        <f t="shared" ca="1" si="71"/>
        <v/>
      </c>
    </row>
    <row r="284" spans="20:28" ht="24" customHeight="1">
      <c r="T284" s="67">
        <f t="shared" si="66"/>
        <v>0</v>
      </c>
      <c r="V284" s="68" t="str">
        <f t="shared" si="67"/>
        <v/>
      </c>
      <c r="W284" s="69">
        <f t="shared" si="68"/>
        <v>0</v>
      </c>
      <c r="X284" s="70" t="s">
        <v>84</v>
      </c>
      <c r="Y284" s="68" t="str">
        <f t="shared" ca="1" si="72"/>
        <v/>
      </c>
      <c r="Z284" s="71" t="str">
        <f t="shared" ca="1" si="69"/>
        <v/>
      </c>
      <c r="AA284" s="72" t="str">
        <f t="shared" ca="1" si="70"/>
        <v/>
      </c>
      <c r="AB284" s="72" t="str">
        <f t="shared" ca="1" si="71"/>
        <v/>
      </c>
    </row>
    <row r="285" spans="20:28" ht="24" customHeight="1">
      <c r="T285" s="67">
        <f t="shared" si="66"/>
        <v>0</v>
      </c>
      <c r="V285" s="68" t="str">
        <f t="shared" si="67"/>
        <v/>
      </c>
      <c r="W285" s="69">
        <f t="shared" si="68"/>
        <v>0</v>
      </c>
      <c r="X285" s="70" t="s">
        <v>84</v>
      </c>
      <c r="Y285" s="68" t="str">
        <f t="shared" ca="1" si="72"/>
        <v/>
      </c>
      <c r="Z285" s="71" t="str">
        <f t="shared" ca="1" si="69"/>
        <v/>
      </c>
      <c r="AA285" s="72" t="str">
        <f t="shared" ca="1" si="70"/>
        <v/>
      </c>
      <c r="AB285" s="72" t="str">
        <f t="shared" ca="1" si="71"/>
        <v/>
      </c>
    </row>
    <row r="286" spans="20:28" ht="24" customHeight="1">
      <c r="T286" s="67">
        <f t="shared" si="66"/>
        <v>0</v>
      </c>
      <c r="V286" s="68" t="str">
        <f t="shared" si="67"/>
        <v/>
      </c>
      <c r="W286" s="69">
        <f t="shared" si="68"/>
        <v>0</v>
      </c>
      <c r="X286" s="70" t="s">
        <v>84</v>
      </c>
      <c r="Y286" s="68" t="str">
        <f t="shared" ca="1" si="72"/>
        <v/>
      </c>
      <c r="Z286" s="71" t="str">
        <f t="shared" ca="1" si="69"/>
        <v/>
      </c>
      <c r="AA286" s="72" t="str">
        <f t="shared" ca="1" si="70"/>
        <v/>
      </c>
      <c r="AB286" s="72" t="str">
        <f t="shared" ca="1" si="71"/>
        <v/>
      </c>
    </row>
    <row r="287" spans="20:28" ht="24" customHeight="1">
      <c r="T287" s="67">
        <f t="shared" si="66"/>
        <v>0</v>
      </c>
      <c r="V287" s="68" t="str">
        <f t="shared" si="67"/>
        <v/>
      </c>
      <c r="W287" s="69">
        <f t="shared" si="68"/>
        <v>0</v>
      </c>
      <c r="X287" s="70" t="s">
        <v>84</v>
      </c>
      <c r="Y287" s="68" t="str">
        <f t="shared" ca="1" si="72"/>
        <v/>
      </c>
      <c r="Z287" s="71" t="str">
        <f t="shared" ca="1" si="69"/>
        <v/>
      </c>
      <c r="AA287" s="72" t="str">
        <f t="shared" ca="1" si="70"/>
        <v/>
      </c>
      <c r="AB287" s="72" t="str">
        <f t="shared" ca="1" si="71"/>
        <v/>
      </c>
    </row>
    <row r="288" spans="20:28" ht="24" customHeight="1">
      <c r="T288" s="67">
        <f t="shared" si="66"/>
        <v>0</v>
      </c>
      <c r="V288" s="68" t="str">
        <f t="shared" si="67"/>
        <v/>
      </c>
      <c r="W288" s="69">
        <f t="shared" si="68"/>
        <v>0</v>
      </c>
      <c r="X288" s="70" t="s">
        <v>84</v>
      </c>
      <c r="Y288" s="68" t="str">
        <f t="shared" ca="1" si="72"/>
        <v/>
      </c>
      <c r="Z288" s="71" t="str">
        <f t="shared" ca="1" si="69"/>
        <v/>
      </c>
      <c r="AA288" s="72" t="str">
        <f t="shared" ca="1" si="70"/>
        <v/>
      </c>
      <c r="AB288" s="72" t="str">
        <f t="shared" ca="1" si="71"/>
        <v/>
      </c>
    </row>
    <row r="289" spans="20:28" ht="24" customHeight="1">
      <c r="T289" s="67">
        <f t="shared" si="66"/>
        <v>0</v>
      </c>
      <c r="V289" s="68" t="str">
        <f t="shared" si="67"/>
        <v/>
      </c>
      <c r="W289" s="69">
        <f t="shared" si="68"/>
        <v>0</v>
      </c>
      <c r="X289" s="70" t="s">
        <v>84</v>
      </c>
      <c r="Y289" s="68" t="str">
        <f t="shared" ca="1" si="72"/>
        <v/>
      </c>
      <c r="Z289" s="71" t="str">
        <f t="shared" ca="1" si="69"/>
        <v/>
      </c>
      <c r="AA289" s="72" t="str">
        <f t="shared" ca="1" si="70"/>
        <v/>
      </c>
      <c r="AB289" s="72" t="str">
        <f t="shared" ca="1" si="71"/>
        <v/>
      </c>
    </row>
    <row r="290" spans="20:28" ht="24" customHeight="1">
      <c r="T290" s="67">
        <f t="shared" si="66"/>
        <v>0</v>
      </c>
      <c r="V290" s="68" t="str">
        <f t="shared" si="67"/>
        <v/>
      </c>
      <c r="W290" s="69">
        <f t="shared" si="68"/>
        <v>0</v>
      </c>
      <c r="X290" s="70" t="s">
        <v>84</v>
      </c>
      <c r="Y290" s="68" t="str">
        <f t="shared" ca="1" si="72"/>
        <v/>
      </c>
      <c r="Z290" s="71" t="str">
        <f t="shared" ca="1" si="69"/>
        <v/>
      </c>
      <c r="AA290" s="72" t="str">
        <f t="shared" ca="1" si="70"/>
        <v/>
      </c>
      <c r="AB290" s="72" t="str">
        <f t="shared" ca="1" si="71"/>
        <v/>
      </c>
    </row>
    <row r="291" spans="20:28" ht="24" customHeight="1">
      <c r="T291" s="67">
        <f t="shared" si="66"/>
        <v>0</v>
      </c>
      <c r="V291" s="68" t="str">
        <f t="shared" si="67"/>
        <v/>
      </c>
      <c r="W291" s="69">
        <f t="shared" si="68"/>
        <v>0</v>
      </c>
      <c r="X291" s="70" t="s">
        <v>84</v>
      </c>
      <c r="Y291" s="68" t="str">
        <f t="shared" ca="1" si="72"/>
        <v/>
      </c>
      <c r="Z291" s="71" t="str">
        <f t="shared" ca="1" si="69"/>
        <v/>
      </c>
      <c r="AA291" s="72" t="str">
        <f t="shared" ca="1" si="70"/>
        <v/>
      </c>
      <c r="AB291" s="72" t="str">
        <f t="shared" ca="1" si="71"/>
        <v/>
      </c>
    </row>
    <row r="292" spans="20:28" ht="24" customHeight="1">
      <c r="T292" s="67">
        <f t="shared" ref="T292:T355" si="73">Q261</f>
        <v>0</v>
      </c>
      <c r="V292" s="68" t="str">
        <f t="shared" si="67"/>
        <v/>
      </c>
      <c r="W292" s="69">
        <f t="shared" si="68"/>
        <v>0</v>
      </c>
      <c r="X292" s="70" t="s">
        <v>84</v>
      </c>
      <c r="Y292" s="68" t="str">
        <f t="shared" ca="1" si="72"/>
        <v/>
      </c>
      <c r="Z292" s="71" t="str">
        <f t="shared" ca="1" si="69"/>
        <v/>
      </c>
      <c r="AA292" s="72" t="str">
        <f t="shared" ca="1" si="70"/>
        <v/>
      </c>
      <c r="AB292" s="72" t="str">
        <f t="shared" ca="1" si="71"/>
        <v/>
      </c>
    </row>
    <row r="293" spans="20:28" ht="24" customHeight="1">
      <c r="T293" s="67">
        <f t="shared" si="73"/>
        <v>0</v>
      </c>
      <c r="V293" s="68" t="str">
        <f t="shared" si="67"/>
        <v/>
      </c>
      <c r="W293" s="69">
        <f t="shared" si="68"/>
        <v>0</v>
      </c>
      <c r="X293" s="70" t="s">
        <v>84</v>
      </c>
      <c r="Y293" s="68" t="str">
        <f t="shared" ca="1" si="72"/>
        <v/>
      </c>
      <c r="Z293" s="71" t="str">
        <f t="shared" ca="1" si="69"/>
        <v/>
      </c>
      <c r="AA293" s="72" t="str">
        <f t="shared" ca="1" si="70"/>
        <v/>
      </c>
      <c r="AB293" s="72" t="str">
        <f t="shared" ca="1" si="71"/>
        <v/>
      </c>
    </row>
    <row r="294" spans="20:28" ht="24" customHeight="1">
      <c r="T294" s="67">
        <f t="shared" si="73"/>
        <v>0</v>
      </c>
      <c r="V294" s="68" t="str">
        <f t="shared" si="67"/>
        <v/>
      </c>
      <c r="W294" s="69">
        <f t="shared" si="68"/>
        <v>0</v>
      </c>
      <c r="X294" s="70" t="s">
        <v>84</v>
      </c>
      <c r="Y294" s="68" t="str">
        <f t="shared" ca="1" si="72"/>
        <v/>
      </c>
      <c r="Z294" s="71" t="str">
        <f t="shared" ca="1" si="69"/>
        <v/>
      </c>
      <c r="AA294" s="72" t="str">
        <f t="shared" ca="1" si="70"/>
        <v/>
      </c>
      <c r="AB294" s="72" t="str">
        <f t="shared" ca="1" si="71"/>
        <v/>
      </c>
    </row>
    <row r="295" spans="20:28" ht="24" customHeight="1">
      <c r="T295" s="67">
        <f t="shared" si="73"/>
        <v>0</v>
      </c>
      <c r="V295" s="68" t="str">
        <f t="shared" si="67"/>
        <v/>
      </c>
      <c r="W295" s="69">
        <f t="shared" si="68"/>
        <v>0</v>
      </c>
      <c r="X295" s="70" t="s">
        <v>84</v>
      </c>
      <c r="Y295" s="68" t="str">
        <f t="shared" ca="1" si="72"/>
        <v/>
      </c>
      <c r="Z295" s="71" t="str">
        <f t="shared" ca="1" si="69"/>
        <v/>
      </c>
      <c r="AA295" s="72" t="str">
        <f t="shared" ca="1" si="70"/>
        <v/>
      </c>
      <c r="AB295" s="72" t="str">
        <f t="shared" ca="1" si="71"/>
        <v/>
      </c>
    </row>
    <row r="296" spans="20:28" ht="24" customHeight="1">
      <c r="T296" s="67">
        <f t="shared" si="73"/>
        <v>0</v>
      </c>
      <c r="V296" s="68" t="str">
        <f t="shared" si="67"/>
        <v/>
      </c>
      <c r="W296" s="69">
        <f t="shared" si="68"/>
        <v>0</v>
      </c>
      <c r="X296" s="70" t="s">
        <v>84</v>
      </c>
      <c r="Y296" s="68" t="str">
        <f t="shared" ca="1" si="72"/>
        <v/>
      </c>
      <c r="Z296" s="71" t="str">
        <f t="shared" ca="1" si="69"/>
        <v/>
      </c>
      <c r="AA296" s="72" t="str">
        <f t="shared" ca="1" si="70"/>
        <v/>
      </c>
      <c r="AB296" s="72" t="str">
        <f t="shared" ca="1" si="71"/>
        <v/>
      </c>
    </row>
    <row r="297" spans="20:28" ht="24" customHeight="1">
      <c r="T297" s="67">
        <f t="shared" si="73"/>
        <v>0</v>
      </c>
      <c r="V297" s="68" t="str">
        <f t="shared" si="67"/>
        <v/>
      </c>
      <c r="W297" s="69">
        <f t="shared" si="68"/>
        <v>0</v>
      </c>
      <c r="X297" s="70" t="s">
        <v>84</v>
      </c>
      <c r="Y297" s="68" t="str">
        <f t="shared" ca="1" si="72"/>
        <v/>
      </c>
      <c r="Z297" s="71" t="str">
        <f t="shared" ca="1" si="69"/>
        <v/>
      </c>
      <c r="AA297" s="72" t="str">
        <f t="shared" ca="1" si="70"/>
        <v/>
      </c>
      <c r="AB297" s="72" t="str">
        <f t="shared" ca="1" si="71"/>
        <v/>
      </c>
    </row>
    <row r="298" spans="20:28" ht="24" customHeight="1">
      <c r="T298" s="67">
        <f t="shared" si="73"/>
        <v>0</v>
      </c>
      <c r="V298" s="68" t="str">
        <f t="shared" si="67"/>
        <v/>
      </c>
      <c r="W298" s="69">
        <f t="shared" si="68"/>
        <v>0</v>
      </c>
      <c r="X298" s="70" t="s">
        <v>84</v>
      </c>
      <c r="Y298" s="68" t="str">
        <f t="shared" ca="1" si="72"/>
        <v/>
      </c>
      <c r="Z298" s="71" t="str">
        <f t="shared" ca="1" si="69"/>
        <v/>
      </c>
      <c r="AA298" s="72" t="str">
        <f t="shared" ca="1" si="70"/>
        <v/>
      </c>
      <c r="AB298" s="72" t="str">
        <f t="shared" ca="1" si="71"/>
        <v/>
      </c>
    </row>
    <row r="299" spans="20:28" ht="24" customHeight="1">
      <c r="T299" s="67">
        <f t="shared" si="73"/>
        <v>0</v>
      </c>
      <c r="V299" s="68" t="str">
        <f t="shared" si="67"/>
        <v/>
      </c>
      <c r="W299" s="69">
        <f t="shared" si="68"/>
        <v>0</v>
      </c>
      <c r="X299" s="70" t="s">
        <v>84</v>
      </c>
      <c r="Y299" s="68" t="str">
        <f t="shared" ca="1" si="72"/>
        <v/>
      </c>
      <c r="Z299" s="71" t="str">
        <f t="shared" ca="1" si="69"/>
        <v/>
      </c>
      <c r="AA299" s="72" t="str">
        <f t="shared" ca="1" si="70"/>
        <v/>
      </c>
      <c r="AB299" s="72" t="str">
        <f t="shared" ca="1" si="71"/>
        <v/>
      </c>
    </row>
    <row r="300" spans="20:28" ht="24" customHeight="1">
      <c r="T300" s="67">
        <f t="shared" si="73"/>
        <v>0</v>
      </c>
      <c r="V300" s="68" t="str">
        <f t="shared" si="67"/>
        <v/>
      </c>
      <c r="W300" s="69">
        <f t="shared" si="68"/>
        <v>0</v>
      </c>
      <c r="X300" s="70" t="s">
        <v>84</v>
      </c>
      <c r="Y300" s="68" t="str">
        <f t="shared" ca="1" si="72"/>
        <v/>
      </c>
      <c r="Z300" s="71" t="str">
        <f t="shared" ca="1" si="69"/>
        <v/>
      </c>
      <c r="AA300" s="72" t="str">
        <f t="shared" ca="1" si="70"/>
        <v/>
      </c>
      <c r="AB300" s="72" t="str">
        <f t="shared" ca="1" si="71"/>
        <v/>
      </c>
    </row>
    <row r="301" spans="20:28" ht="24" customHeight="1">
      <c r="T301" s="67">
        <f t="shared" si="73"/>
        <v>0</v>
      </c>
      <c r="V301" s="68" t="str">
        <f t="shared" si="67"/>
        <v/>
      </c>
      <c r="W301" s="69">
        <f t="shared" si="68"/>
        <v>0</v>
      </c>
      <c r="X301" s="70" t="s">
        <v>84</v>
      </c>
      <c r="Y301" s="68" t="str">
        <f t="shared" ca="1" si="72"/>
        <v/>
      </c>
      <c r="Z301" s="71" t="str">
        <f t="shared" ca="1" si="69"/>
        <v/>
      </c>
      <c r="AA301" s="72" t="str">
        <f t="shared" ca="1" si="70"/>
        <v/>
      </c>
      <c r="AB301" s="72" t="str">
        <f t="shared" ca="1" si="71"/>
        <v/>
      </c>
    </row>
    <row r="302" spans="20:28" ht="24" customHeight="1">
      <c r="T302" s="67">
        <f t="shared" si="73"/>
        <v>0</v>
      </c>
      <c r="V302" s="68" t="str">
        <f t="shared" si="67"/>
        <v/>
      </c>
      <c r="W302" s="69">
        <f t="shared" si="68"/>
        <v>0</v>
      </c>
      <c r="X302" s="70" t="s">
        <v>84</v>
      </c>
      <c r="Y302" s="68" t="str">
        <f t="shared" ca="1" si="72"/>
        <v/>
      </c>
      <c r="Z302" s="71" t="str">
        <f t="shared" ca="1" si="69"/>
        <v/>
      </c>
      <c r="AA302" s="72" t="str">
        <f t="shared" ca="1" si="70"/>
        <v/>
      </c>
      <c r="AB302" s="72" t="str">
        <f t="shared" ca="1" si="71"/>
        <v/>
      </c>
    </row>
    <row r="303" spans="20:28" ht="24" customHeight="1">
      <c r="T303" s="67">
        <f t="shared" si="73"/>
        <v>0</v>
      </c>
      <c r="V303" s="68" t="str">
        <f t="shared" si="67"/>
        <v/>
      </c>
      <c r="W303" s="69">
        <f t="shared" si="68"/>
        <v>0</v>
      </c>
      <c r="X303" s="70" t="s">
        <v>84</v>
      </c>
      <c r="Y303" s="68" t="str">
        <f t="shared" ca="1" si="72"/>
        <v/>
      </c>
      <c r="Z303" s="71" t="str">
        <f t="shared" ca="1" si="69"/>
        <v/>
      </c>
      <c r="AA303" s="72" t="str">
        <f t="shared" ca="1" si="70"/>
        <v/>
      </c>
      <c r="AB303" s="72" t="str">
        <f t="shared" ca="1" si="71"/>
        <v/>
      </c>
    </row>
    <row r="304" spans="20:28" ht="24" customHeight="1">
      <c r="T304" s="67">
        <f t="shared" si="73"/>
        <v>0</v>
      </c>
      <c r="V304" s="68" t="str">
        <f t="shared" si="67"/>
        <v/>
      </c>
      <c r="W304" s="69">
        <f t="shared" si="68"/>
        <v>0</v>
      </c>
      <c r="X304" s="70" t="s">
        <v>84</v>
      </c>
      <c r="Y304" s="68" t="str">
        <f t="shared" ca="1" si="72"/>
        <v/>
      </c>
      <c r="Z304" s="71" t="str">
        <f t="shared" ca="1" si="69"/>
        <v/>
      </c>
      <c r="AA304" s="72" t="str">
        <f t="shared" ca="1" si="70"/>
        <v/>
      </c>
      <c r="AB304" s="72" t="str">
        <f t="shared" ca="1" si="71"/>
        <v/>
      </c>
    </row>
    <row r="305" spans="20:28" ht="24" customHeight="1">
      <c r="T305" s="67">
        <f t="shared" si="73"/>
        <v>0</v>
      </c>
      <c r="V305" s="68" t="str">
        <f t="shared" si="67"/>
        <v/>
      </c>
      <c r="W305" s="69">
        <f t="shared" si="68"/>
        <v>0</v>
      </c>
      <c r="X305" s="70" t="s">
        <v>84</v>
      </c>
      <c r="Y305" s="68" t="str">
        <f t="shared" ca="1" si="72"/>
        <v/>
      </c>
      <c r="Z305" s="71" t="str">
        <f t="shared" ca="1" si="69"/>
        <v/>
      </c>
      <c r="AA305" s="72" t="str">
        <f t="shared" ca="1" si="70"/>
        <v/>
      </c>
      <c r="AB305" s="72" t="str">
        <f t="shared" ca="1" si="71"/>
        <v/>
      </c>
    </row>
    <row r="306" spans="20:28" ht="24" customHeight="1">
      <c r="T306" s="67">
        <f t="shared" si="73"/>
        <v>0</v>
      </c>
      <c r="V306" s="68" t="str">
        <f t="shared" si="67"/>
        <v/>
      </c>
      <c r="W306" s="69">
        <f t="shared" si="68"/>
        <v>0</v>
      </c>
      <c r="X306" s="70" t="s">
        <v>84</v>
      </c>
      <c r="Y306" s="68" t="str">
        <f t="shared" ca="1" si="72"/>
        <v/>
      </c>
      <c r="Z306" s="71" t="str">
        <f t="shared" ca="1" si="69"/>
        <v/>
      </c>
      <c r="AA306" s="72" t="str">
        <f t="shared" ca="1" si="70"/>
        <v/>
      </c>
      <c r="AB306" s="72" t="str">
        <f t="shared" ca="1" si="71"/>
        <v/>
      </c>
    </row>
    <row r="307" spans="20:28" ht="24" customHeight="1">
      <c r="T307" s="67">
        <f t="shared" si="73"/>
        <v>0</v>
      </c>
      <c r="V307" s="68" t="str">
        <f t="shared" si="67"/>
        <v/>
      </c>
      <c r="W307" s="69">
        <f t="shared" si="68"/>
        <v>0</v>
      </c>
      <c r="X307" s="70" t="s">
        <v>84</v>
      </c>
      <c r="Y307" s="68" t="str">
        <f t="shared" ca="1" si="72"/>
        <v/>
      </c>
      <c r="Z307" s="71" t="str">
        <f t="shared" ca="1" si="69"/>
        <v/>
      </c>
      <c r="AA307" s="72" t="str">
        <f t="shared" ca="1" si="70"/>
        <v/>
      </c>
      <c r="AB307" s="72" t="str">
        <f t="shared" ca="1" si="71"/>
        <v/>
      </c>
    </row>
    <row r="308" spans="20:28" ht="24" customHeight="1">
      <c r="T308" s="67">
        <f t="shared" si="73"/>
        <v>0</v>
      </c>
      <c r="V308" s="68" t="str">
        <f t="shared" si="67"/>
        <v/>
      </c>
      <c r="W308" s="69">
        <f t="shared" si="68"/>
        <v>0</v>
      </c>
      <c r="X308" s="70" t="s">
        <v>84</v>
      </c>
      <c r="Y308" s="68" t="str">
        <f t="shared" ca="1" si="72"/>
        <v/>
      </c>
      <c r="Z308" s="71" t="str">
        <f t="shared" ca="1" si="69"/>
        <v/>
      </c>
      <c r="AA308" s="72" t="str">
        <f t="shared" ca="1" si="70"/>
        <v/>
      </c>
      <c r="AB308" s="72" t="str">
        <f t="shared" ca="1" si="71"/>
        <v/>
      </c>
    </row>
    <row r="309" spans="20:28" ht="24" customHeight="1">
      <c r="T309" s="67">
        <f t="shared" si="73"/>
        <v>0</v>
      </c>
      <c r="V309" s="68" t="str">
        <f t="shared" si="67"/>
        <v/>
      </c>
      <c r="W309" s="69">
        <f t="shared" si="68"/>
        <v>0</v>
      </c>
      <c r="X309" s="70" t="s">
        <v>84</v>
      </c>
      <c r="Y309" s="68" t="str">
        <f t="shared" ca="1" si="72"/>
        <v/>
      </c>
      <c r="Z309" s="71" t="str">
        <f t="shared" ca="1" si="69"/>
        <v/>
      </c>
      <c r="AA309" s="72" t="str">
        <f t="shared" ca="1" si="70"/>
        <v/>
      </c>
      <c r="AB309" s="72" t="str">
        <f t="shared" ca="1" si="71"/>
        <v/>
      </c>
    </row>
    <row r="310" spans="20:28" ht="24" customHeight="1">
      <c r="T310" s="67">
        <f t="shared" si="73"/>
        <v>0</v>
      </c>
      <c r="V310" s="68" t="str">
        <f t="shared" si="67"/>
        <v/>
      </c>
      <c r="W310" s="69">
        <f t="shared" si="68"/>
        <v>0</v>
      </c>
      <c r="X310" s="70" t="s">
        <v>84</v>
      </c>
      <c r="Y310" s="68" t="str">
        <f t="shared" ca="1" si="72"/>
        <v/>
      </c>
      <c r="Z310" s="71" t="str">
        <f t="shared" ca="1" si="69"/>
        <v/>
      </c>
      <c r="AA310" s="72" t="str">
        <f t="shared" ca="1" si="70"/>
        <v/>
      </c>
      <c r="AB310" s="72" t="str">
        <f t="shared" ca="1" si="71"/>
        <v/>
      </c>
    </row>
    <row r="311" spans="20:28" ht="24" customHeight="1">
      <c r="T311" s="67">
        <f t="shared" si="73"/>
        <v>0</v>
      </c>
      <c r="V311" s="68" t="str">
        <f t="shared" si="67"/>
        <v/>
      </c>
      <c r="W311" s="69">
        <f t="shared" si="68"/>
        <v>0</v>
      </c>
      <c r="X311" s="70" t="s">
        <v>84</v>
      </c>
      <c r="Y311" s="68" t="str">
        <f t="shared" ca="1" si="72"/>
        <v/>
      </c>
      <c r="Z311" s="71" t="str">
        <f t="shared" ca="1" si="69"/>
        <v/>
      </c>
      <c r="AA311" s="72" t="str">
        <f t="shared" ca="1" si="70"/>
        <v/>
      </c>
      <c r="AB311" s="72" t="str">
        <f t="shared" ca="1" si="71"/>
        <v/>
      </c>
    </row>
    <row r="312" spans="20:28" ht="24" customHeight="1">
      <c r="T312" s="67">
        <f t="shared" si="73"/>
        <v>0</v>
      </c>
      <c r="V312" s="68" t="str">
        <f t="shared" si="67"/>
        <v/>
      </c>
      <c r="W312" s="69">
        <f t="shared" si="68"/>
        <v>0</v>
      </c>
      <c r="X312" s="70" t="s">
        <v>84</v>
      </c>
      <c r="Y312" s="68" t="str">
        <f t="shared" ca="1" si="72"/>
        <v/>
      </c>
      <c r="Z312" s="71" t="str">
        <f t="shared" ca="1" si="69"/>
        <v/>
      </c>
      <c r="AA312" s="72" t="str">
        <f t="shared" ca="1" si="70"/>
        <v/>
      </c>
      <c r="AB312" s="72" t="str">
        <f t="shared" ca="1" si="71"/>
        <v/>
      </c>
    </row>
    <row r="313" spans="20:28" ht="24" customHeight="1">
      <c r="T313" s="67">
        <f t="shared" si="73"/>
        <v>0</v>
      </c>
      <c r="V313" s="68" t="str">
        <f t="shared" si="67"/>
        <v/>
      </c>
      <c r="W313" s="69">
        <f t="shared" si="68"/>
        <v>0</v>
      </c>
      <c r="X313" s="70" t="s">
        <v>84</v>
      </c>
      <c r="Y313" s="68" t="str">
        <f t="shared" ca="1" si="72"/>
        <v/>
      </c>
      <c r="Z313" s="71" t="str">
        <f t="shared" ca="1" si="69"/>
        <v/>
      </c>
      <c r="AA313" s="72" t="str">
        <f t="shared" ca="1" si="70"/>
        <v/>
      </c>
      <c r="AB313" s="72" t="str">
        <f t="shared" ca="1" si="71"/>
        <v/>
      </c>
    </row>
    <row r="314" spans="20:28" ht="24" customHeight="1">
      <c r="T314" s="67">
        <f t="shared" si="73"/>
        <v>0</v>
      </c>
      <c r="V314" s="68" t="str">
        <f t="shared" si="67"/>
        <v/>
      </c>
      <c r="W314" s="69">
        <f t="shared" si="68"/>
        <v>0</v>
      </c>
      <c r="X314" s="70" t="s">
        <v>84</v>
      </c>
      <c r="Y314" s="68" t="str">
        <f t="shared" ca="1" si="72"/>
        <v/>
      </c>
      <c r="Z314" s="71" t="str">
        <f t="shared" ca="1" si="69"/>
        <v/>
      </c>
      <c r="AA314" s="72" t="str">
        <f t="shared" ca="1" si="70"/>
        <v/>
      </c>
      <c r="AB314" s="72" t="str">
        <f t="shared" ca="1" si="71"/>
        <v/>
      </c>
    </row>
    <row r="315" spans="20:28" ht="24" customHeight="1">
      <c r="T315" s="67">
        <f t="shared" si="73"/>
        <v>0</v>
      </c>
      <c r="V315" s="68" t="str">
        <f t="shared" si="67"/>
        <v/>
      </c>
      <c r="W315" s="69">
        <f t="shared" si="68"/>
        <v>0</v>
      </c>
      <c r="X315" s="70" t="s">
        <v>84</v>
      </c>
      <c r="Y315" s="68" t="str">
        <f t="shared" ca="1" si="72"/>
        <v/>
      </c>
      <c r="Z315" s="71" t="str">
        <f t="shared" ca="1" si="69"/>
        <v/>
      </c>
      <c r="AA315" s="72" t="str">
        <f t="shared" ca="1" si="70"/>
        <v/>
      </c>
      <c r="AB315" s="72" t="str">
        <f t="shared" ca="1" si="71"/>
        <v/>
      </c>
    </row>
    <row r="316" spans="20:28" ht="24" customHeight="1">
      <c r="T316" s="67">
        <f t="shared" si="73"/>
        <v>0</v>
      </c>
      <c r="V316" s="68" t="str">
        <f t="shared" si="67"/>
        <v/>
      </c>
      <c r="W316" s="69">
        <f t="shared" si="68"/>
        <v>0</v>
      </c>
      <c r="X316" s="70" t="s">
        <v>84</v>
      </c>
      <c r="Y316" s="68" t="str">
        <f t="shared" ca="1" si="72"/>
        <v/>
      </c>
      <c r="Z316" s="71" t="str">
        <f t="shared" ca="1" si="69"/>
        <v/>
      </c>
      <c r="AA316" s="72" t="str">
        <f t="shared" ca="1" si="70"/>
        <v/>
      </c>
      <c r="AB316" s="72" t="str">
        <f t="shared" ca="1" si="71"/>
        <v/>
      </c>
    </row>
    <row r="317" spans="20:28" ht="24" customHeight="1">
      <c r="T317" s="67">
        <f t="shared" si="73"/>
        <v>0</v>
      </c>
      <c r="V317" s="68" t="str">
        <f t="shared" si="67"/>
        <v/>
      </c>
      <c r="W317" s="69">
        <f t="shared" si="68"/>
        <v>0</v>
      </c>
      <c r="X317" s="70" t="s">
        <v>84</v>
      </c>
      <c r="Y317" s="68" t="str">
        <f t="shared" ca="1" si="72"/>
        <v/>
      </c>
      <c r="Z317" s="71" t="str">
        <f t="shared" ca="1" si="69"/>
        <v/>
      </c>
      <c r="AA317" s="72" t="str">
        <f t="shared" ca="1" si="70"/>
        <v/>
      </c>
      <c r="AB317" s="72" t="str">
        <f t="shared" ca="1" si="71"/>
        <v/>
      </c>
    </row>
    <row r="318" spans="20:28" ht="24" customHeight="1">
      <c r="T318" s="67">
        <f t="shared" si="73"/>
        <v>0</v>
      </c>
      <c r="V318" s="68" t="str">
        <f t="shared" si="67"/>
        <v/>
      </c>
      <c r="W318" s="69">
        <f t="shared" si="68"/>
        <v>0</v>
      </c>
      <c r="X318" s="70" t="s">
        <v>84</v>
      </c>
      <c r="Y318" s="68" t="str">
        <f t="shared" ca="1" si="72"/>
        <v/>
      </c>
      <c r="Z318" s="71" t="str">
        <f t="shared" ca="1" si="69"/>
        <v/>
      </c>
      <c r="AA318" s="72" t="str">
        <f t="shared" ca="1" si="70"/>
        <v/>
      </c>
      <c r="AB318" s="72" t="str">
        <f t="shared" ca="1" si="71"/>
        <v/>
      </c>
    </row>
    <row r="319" spans="20:28" ht="24" customHeight="1">
      <c r="T319" s="67">
        <f t="shared" si="73"/>
        <v>0</v>
      </c>
      <c r="V319" s="68" t="str">
        <f t="shared" si="67"/>
        <v/>
      </c>
      <c r="W319" s="69">
        <f t="shared" si="68"/>
        <v>0</v>
      </c>
      <c r="X319" s="70" t="s">
        <v>84</v>
      </c>
      <c r="Y319" s="68" t="str">
        <f t="shared" ca="1" si="72"/>
        <v/>
      </c>
      <c r="Z319" s="71" t="str">
        <f t="shared" ca="1" si="69"/>
        <v/>
      </c>
      <c r="AA319" s="72" t="str">
        <f t="shared" ca="1" si="70"/>
        <v/>
      </c>
      <c r="AB319" s="72" t="str">
        <f t="shared" ca="1" si="71"/>
        <v/>
      </c>
    </row>
    <row r="320" spans="20:28" ht="24" customHeight="1">
      <c r="T320" s="67">
        <f t="shared" si="73"/>
        <v>0</v>
      </c>
      <c r="V320" s="68" t="str">
        <f t="shared" si="67"/>
        <v/>
      </c>
      <c r="W320" s="69">
        <f t="shared" si="68"/>
        <v>0</v>
      </c>
      <c r="X320" s="70" t="s">
        <v>84</v>
      </c>
      <c r="Y320" s="68" t="str">
        <f t="shared" ca="1" si="72"/>
        <v/>
      </c>
      <c r="Z320" s="71" t="str">
        <f t="shared" ca="1" si="69"/>
        <v/>
      </c>
      <c r="AA320" s="72" t="str">
        <f t="shared" ca="1" si="70"/>
        <v/>
      </c>
      <c r="AB320" s="72" t="str">
        <f t="shared" ca="1" si="71"/>
        <v/>
      </c>
    </row>
    <row r="321" spans="20:28" ht="24" customHeight="1">
      <c r="T321" s="67">
        <f t="shared" si="73"/>
        <v>0</v>
      </c>
      <c r="V321" s="68" t="str">
        <f t="shared" si="67"/>
        <v/>
      </c>
      <c r="W321" s="69">
        <f t="shared" si="68"/>
        <v>0</v>
      </c>
      <c r="X321" s="70" t="s">
        <v>84</v>
      </c>
      <c r="Y321" s="68" t="str">
        <f t="shared" ca="1" si="72"/>
        <v/>
      </c>
      <c r="Z321" s="71" t="str">
        <f t="shared" ca="1" si="69"/>
        <v/>
      </c>
      <c r="AA321" s="72" t="str">
        <f t="shared" ca="1" si="70"/>
        <v/>
      </c>
      <c r="AB321" s="72" t="str">
        <f t="shared" ca="1" si="71"/>
        <v/>
      </c>
    </row>
    <row r="322" spans="20:28" ht="24" customHeight="1">
      <c r="T322" s="67">
        <f t="shared" si="73"/>
        <v>0</v>
      </c>
      <c r="V322" s="68" t="str">
        <f t="shared" si="67"/>
        <v/>
      </c>
      <c r="W322" s="69">
        <f t="shared" si="68"/>
        <v>0</v>
      </c>
      <c r="X322" s="70" t="s">
        <v>84</v>
      </c>
      <c r="Y322" s="68" t="str">
        <f t="shared" ca="1" si="72"/>
        <v/>
      </c>
      <c r="Z322" s="71" t="str">
        <f t="shared" ca="1" si="69"/>
        <v/>
      </c>
      <c r="AA322" s="72" t="str">
        <f t="shared" ca="1" si="70"/>
        <v/>
      </c>
      <c r="AB322" s="72" t="str">
        <f t="shared" ca="1" si="71"/>
        <v/>
      </c>
    </row>
    <row r="323" spans="20:28" ht="24" customHeight="1">
      <c r="T323" s="67">
        <f t="shared" si="73"/>
        <v>0</v>
      </c>
      <c r="V323" s="68" t="str">
        <f t="shared" si="67"/>
        <v/>
      </c>
      <c r="W323" s="69">
        <f t="shared" si="68"/>
        <v>0</v>
      </c>
      <c r="X323" s="70" t="s">
        <v>84</v>
      </c>
      <c r="Y323" s="68" t="str">
        <f t="shared" ca="1" si="72"/>
        <v/>
      </c>
      <c r="Z323" s="71" t="str">
        <f t="shared" ca="1" si="69"/>
        <v/>
      </c>
      <c r="AA323" s="72" t="str">
        <f t="shared" ca="1" si="70"/>
        <v/>
      </c>
      <c r="AB323" s="72" t="str">
        <f t="shared" ca="1" si="71"/>
        <v/>
      </c>
    </row>
    <row r="324" spans="20:28" ht="24" customHeight="1">
      <c r="T324" s="67">
        <f t="shared" si="73"/>
        <v>0</v>
      </c>
      <c r="V324" s="68" t="str">
        <f t="shared" si="67"/>
        <v/>
      </c>
      <c r="W324" s="69">
        <f t="shared" si="68"/>
        <v>0</v>
      </c>
      <c r="X324" s="70" t="s">
        <v>84</v>
      </c>
      <c r="Y324" s="68" t="str">
        <f t="shared" ca="1" si="72"/>
        <v/>
      </c>
      <c r="Z324" s="71" t="str">
        <f t="shared" ca="1" si="69"/>
        <v/>
      </c>
      <c r="AA324" s="72" t="str">
        <f t="shared" ca="1" si="70"/>
        <v/>
      </c>
      <c r="AB324" s="72" t="str">
        <f t="shared" ca="1" si="71"/>
        <v/>
      </c>
    </row>
    <row r="325" spans="20:28" ht="24" customHeight="1">
      <c r="T325" s="67">
        <f t="shared" si="73"/>
        <v>0</v>
      </c>
      <c r="V325" s="68" t="str">
        <f t="shared" si="67"/>
        <v/>
      </c>
      <c r="W325" s="69">
        <f t="shared" si="68"/>
        <v>0</v>
      </c>
      <c r="X325" s="70" t="s">
        <v>84</v>
      </c>
      <c r="Y325" s="68" t="str">
        <f t="shared" ca="1" si="72"/>
        <v/>
      </c>
      <c r="Z325" s="71" t="str">
        <f t="shared" ca="1" si="69"/>
        <v/>
      </c>
      <c r="AA325" s="72" t="str">
        <f t="shared" ca="1" si="70"/>
        <v/>
      </c>
      <c r="AB325" s="72" t="str">
        <f t="shared" ca="1" si="71"/>
        <v/>
      </c>
    </row>
    <row r="326" spans="20:28" ht="24" customHeight="1">
      <c r="T326" s="67">
        <f t="shared" si="73"/>
        <v>0</v>
      </c>
      <c r="V326" s="68" t="str">
        <f t="shared" si="67"/>
        <v/>
      </c>
      <c r="W326" s="69">
        <f t="shared" si="68"/>
        <v>0</v>
      </c>
      <c r="X326" s="70" t="s">
        <v>84</v>
      </c>
      <c r="Y326" s="68" t="str">
        <f t="shared" ca="1" si="72"/>
        <v/>
      </c>
      <c r="Z326" s="71" t="str">
        <f t="shared" ca="1" si="69"/>
        <v/>
      </c>
      <c r="AA326" s="72" t="str">
        <f t="shared" ca="1" si="70"/>
        <v/>
      </c>
      <c r="AB326" s="72" t="str">
        <f t="shared" ca="1" si="71"/>
        <v/>
      </c>
    </row>
    <row r="327" spans="20:28" ht="24" customHeight="1">
      <c r="T327" s="67">
        <f t="shared" si="73"/>
        <v>0</v>
      </c>
      <c r="V327" s="68" t="str">
        <f t="shared" si="67"/>
        <v/>
      </c>
      <c r="W327" s="69">
        <f t="shared" si="68"/>
        <v>0</v>
      </c>
      <c r="X327" s="70" t="s">
        <v>84</v>
      </c>
      <c r="Y327" s="68" t="str">
        <f t="shared" ca="1" si="72"/>
        <v/>
      </c>
      <c r="Z327" s="71" t="str">
        <f t="shared" ca="1" si="69"/>
        <v/>
      </c>
      <c r="AA327" s="72" t="str">
        <f t="shared" ca="1" si="70"/>
        <v/>
      </c>
      <c r="AB327" s="72" t="str">
        <f t="shared" ca="1" si="71"/>
        <v/>
      </c>
    </row>
    <row r="328" spans="20:28" ht="24" customHeight="1">
      <c r="T328" s="67">
        <f t="shared" si="73"/>
        <v>0</v>
      </c>
      <c r="V328" s="68" t="str">
        <f t="shared" si="67"/>
        <v/>
      </c>
      <c r="W328" s="69">
        <f t="shared" si="68"/>
        <v>0</v>
      </c>
      <c r="X328" s="70" t="s">
        <v>84</v>
      </c>
      <c r="Y328" s="68" t="str">
        <f t="shared" ca="1" si="72"/>
        <v/>
      </c>
      <c r="Z328" s="71" t="str">
        <f t="shared" ca="1" si="69"/>
        <v/>
      </c>
      <c r="AA328" s="72" t="str">
        <f t="shared" ca="1" si="70"/>
        <v/>
      </c>
      <c r="AB328" s="72" t="str">
        <f t="shared" ca="1" si="71"/>
        <v/>
      </c>
    </row>
    <row r="329" spans="20:28" ht="24" customHeight="1">
      <c r="T329" s="67">
        <f t="shared" si="73"/>
        <v>0</v>
      </c>
      <c r="V329" s="68" t="str">
        <f t="shared" si="67"/>
        <v/>
      </c>
      <c r="W329" s="69">
        <f t="shared" si="68"/>
        <v>0</v>
      </c>
      <c r="X329" s="70" t="s">
        <v>84</v>
      </c>
      <c r="Y329" s="68" t="str">
        <f t="shared" ca="1" si="72"/>
        <v/>
      </c>
      <c r="Z329" s="71" t="str">
        <f t="shared" ca="1" si="69"/>
        <v/>
      </c>
      <c r="AA329" s="72" t="str">
        <f t="shared" ca="1" si="70"/>
        <v/>
      </c>
      <c r="AB329" s="72" t="str">
        <f t="shared" ca="1" si="71"/>
        <v/>
      </c>
    </row>
    <row r="330" spans="20:28" ht="24" customHeight="1">
      <c r="T330" s="67">
        <f t="shared" si="73"/>
        <v>0</v>
      </c>
      <c r="V330" s="68" t="str">
        <f t="shared" si="67"/>
        <v/>
      </c>
      <c r="W330" s="69">
        <f t="shared" si="68"/>
        <v>0</v>
      </c>
      <c r="X330" s="70" t="s">
        <v>84</v>
      </c>
      <c r="Y330" s="68" t="str">
        <f t="shared" ca="1" si="72"/>
        <v/>
      </c>
      <c r="Z330" s="71" t="str">
        <f t="shared" ca="1" si="69"/>
        <v/>
      </c>
      <c r="AA330" s="72" t="str">
        <f t="shared" ca="1" si="70"/>
        <v/>
      </c>
      <c r="AB330" s="72" t="str">
        <f t="shared" ca="1" si="71"/>
        <v/>
      </c>
    </row>
    <row r="331" spans="20:28" ht="24" customHeight="1">
      <c r="T331" s="67">
        <f t="shared" si="73"/>
        <v>0</v>
      </c>
      <c r="V331" s="68" t="str">
        <f t="shared" si="67"/>
        <v/>
      </c>
      <c r="W331" s="69">
        <f t="shared" si="68"/>
        <v>0</v>
      </c>
      <c r="X331" s="70" t="s">
        <v>84</v>
      </c>
      <c r="Y331" s="68" t="str">
        <f t="shared" ca="1" si="72"/>
        <v/>
      </c>
      <c r="Z331" s="71" t="str">
        <f t="shared" ca="1" si="69"/>
        <v/>
      </c>
      <c r="AA331" s="72" t="str">
        <f t="shared" ca="1" si="70"/>
        <v/>
      </c>
      <c r="AB331" s="72" t="str">
        <f t="shared" ca="1" si="71"/>
        <v/>
      </c>
    </row>
    <row r="332" spans="20:28" ht="24" customHeight="1">
      <c r="T332" s="67">
        <f t="shared" si="73"/>
        <v>0</v>
      </c>
      <c r="V332" s="68" t="str">
        <f t="shared" si="67"/>
        <v/>
      </c>
      <c r="W332" s="69">
        <f t="shared" si="68"/>
        <v>0</v>
      </c>
      <c r="X332" s="70" t="s">
        <v>84</v>
      </c>
      <c r="Y332" s="68" t="str">
        <f t="shared" ca="1" si="72"/>
        <v/>
      </c>
      <c r="Z332" s="71" t="str">
        <f t="shared" ca="1" si="69"/>
        <v/>
      </c>
      <c r="AA332" s="72" t="str">
        <f t="shared" ca="1" si="70"/>
        <v/>
      </c>
      <c r="AB332" s="72" t="str">
        <f t="shared" ca="1" si="71"/>
        <v/>
      </c>
    </row>
    <row r="333" spans="20:28" ht="24" customHeight="1">
      <c r="T333" s="67">
        <f t="shared" si="73"/>
        <v>0</v>
      </c>
      <c r="V333" s="68" t="str">
        <f t="shared" ref="V333:V377" si="74">IFERROR(IF($S324=0,"",$S324),"")</f>
        <v/>
      </c>
      <c r="W333" s="69">
        <f t="shared" ref="W333:W377" si="75">IFERROR(IF($S324=0,$R324,$R324),"")</f>
        <v>0</v>
      </c>
      <c r="X333" s="70" t="s">
        <v>84</v>
      </c>
      <c r="Y333" s="68" t="str">
        <f t="shared" ca="1" si="72"/>
        <v/>
      </c>
      <c r="Z333" s="71" t="str">
        <f t="shared" ca="1" si="69"/>
        <v/>
      </c>
      <c r="AA333" s="72" t="str">
        <f t="shared" ca="1" si="70"/>
        <v/>
      </c>
      <c r="AB333" s="72" t="str">
        <f t="shared" ca="1" si="71"/>
        <v/>
      </c>
    </row>
    <row r="334" spans="20:28" ht="24" customHeight="1">
      <c r="T334" s="67">
        <f t="shared" si="73"/>
        <v>0</v>
      </c>
      <c r="V334" s="68" t="str">
        <f t="shared" si="74"/>
        <v/>
      </c>
      <c r="W334" s="69">
        <f t="shared" si="75"/>
        <v>0</v>
      </c>
      <c r="X334" s="70" t="s">
        <v>84</v>
      </c>
      <c r="Y334" s="68" t="str">
        <f t="shared" ca="1" si="72"/>
        <v/>
      </c>
      <c r="Z334" s="71" t="str">
        <f t="shared" ref="Z334:Z377" ca="1" si="76">IFERROR(VLOOKUP($W334,$F$4:$J$300,2,FALSE),"")</f>
        <v/>
      </c>
      <c r="AA334" s="72" t="str">
        <f t="shared" ref="AA334:AA377" ca="1" si="77">IFERROR(VLOOKUP($W334,$F$4:$J$300,4,FALSE),"")</f>
        <v/>
      </c>
      <c r="AB334" s="72" t="str">
        <f t="shared" ref="AB334:AB377" ca="1" si="78">IFERROR(AA334/24,"")</f>
        <v/>
      </c>
    </row>
    <row r="335" spans="20:28" ht="24" customHeight="1">
      <c r="T335" s="67">
        <f t="shared" si="73"/>
        <v>0</v>
      </c>
      <c r="V335" s="68" t="str">
        <f t="shared" si="74"/>
        <v/>
      </c>
      <c r="W335" s="69">
        <f t="shared" si="75"/>
        <v>0</v>
      </c>
      <c r="X335" s="70" t="s">
        <v>84</v>
      </c>
      <c r="Y335" s="68" t="str">
        <f t="shared" ca="1" si="72"/>
        <v/>
      </c>
      <c r="Z335" s="71" t="str">
        <f t="shared" ca="1" si="76"/>
        <v/>
      </c>
      <c r="AA335" s="72" t="str">
        <f t="shared" ca="1" si="77"/>
        <v/>
      </c>
      <c r="AB335" s="72" t="str">
        <f t="shared" ca="1" si="78"/>
        <v/>
      </c>
    </row>
    <row r="336" spans="20:28" ht="24" customHeight="1">
      <c r="T336" s="67">
        <f t="shared" si="73"/>
        <v>0</v>
      </c>
      <c r="V336" s="68" t="str">
        <f t="shared" si="74"/>
        <v/>
      </c>
      <c r="W336" s="69">
        <f t="shared" si="75"/>
        <v>0</v>
      </c>
      <c r="X336" s="70" t="s">
        <v>84</v>
      </c>
      <c r="Y336" s="68" t="str">
        <f t="shared" ca="1" si="72"/>
        <v/>
      </c>
      <c r="Z336" s="71" t="str">
        <f t="shared" ca="1" si="76"/>
        <v/>
      </c>
      <c r="AA336" s="72" t="str">
        <f t="shared" ca="1" si="77"/>
        <v/>
      </c>
      <c r="AB336" s="72" t="str">
        <f t="shared" ca="1" si="78"/>
        <v/>
      </c>
    </row>
    <row r="337" spans="20:28" ht="24" customHeight="1">
      <c r="T337" s="67">
        <f t="shared" si="73"/>
        <v>0</v>
      </c>
      <c r="V337" s="68" t="str">
        <f t="shared" si="74"/>
        <v/>
      </c>
      <c r="W337" s="69">
        <f t="shared" si="75"/>
        <v>0</v>
      </c>
      <c r="X337" s="70" t="s">
        <v>84</v>
      </c>
      <c r="Y337" s="68" t="str">
        <f t="shared" ref="Y337:Y377" ca="1" si="79">IFERROR(VLOOKUP($W337,$F$4:$J$300,3,FALSE),"")</f>
        <v/>
      </c>
      <c r="Z337" s="71" t="str">
        <f t="shared" ca="1" si="76"/>
        <v/>
      </c>
      <c r="AA337" s="72" t="str">
        <f t="shared" ca="1" si="77"/>
        <v/>
      </c>
      <c r="AB337" s="72" t="str">
        <f t="shared" ca="1" si="78"/>
        <v/>
      </c>
    </row>
    <row r="338" spans="20:28" ht="24" customHeight="1">
      <c r="T338" s="67">
        <f t="shared" si="73"/>
        <v>0</v>
      </c>
      <c r="V338" s="68" t="str">
        <f t="shared" si="74"/>
        <v/>
      </c>
      <c r="W338" s="69">
        <f t="shared" si="75"/>
        <v>0</v>
      </c>
      <c r="X338" s="70" t="s">
        <v>84</v>
      </c>
      <c r="Y338" s="68" t="str">
        <f t="shared" ca="1" si="79"/>
        <v/>
      </c>
      <c r="Z338" s="71" t="str">
        <f t="shared" ca="1" si="76"/>
        <v/>
      </c>
      <c r="AA338" s="72" t="str">
        <f t="shared" ca="1" si="77"/>
        <v/>
      </c>
      <c r="AB338" s="72" t="str">
        <f t="shared" ca="1" si="78"/>
        <v/>
      </c>
    </row>
    <row r="339" spans="20:28" ht="24" customHeight="1">
      <c r="T339" s="67">
        <f t="shared" si="73"/>
        <v>0</v>
      </c>
      <c r="V339" s="68" t="str">
        <f t="shared" si="74"/>
        <v/>
      </c>
      <c r="W339" s="69">
        <f t="shared" si="75"/>
        <v>0</v>
      </c>
      <c r="X339" s="70" t="s">
        <v>84</v>
      </c>
      <c r="Y339" s="68" t="str">
        <f t="shared" ca="1" si="79"/>
        <v/>
      </c>
      <c r="Z339" s="71" t="str">
        <f t="shared" ca="1" si="76"/>
        <v/>
      </c>
      <c r="AA339" s="72" t="str">
        <f t="shared" ca="1" si="77"/>
        <v/>
      </c>
      <c r="AB339" s="72" t="str">
        <f t="shared" ca="1" si="78"/>
        <v/>
      </c>
    </row>
    <row r="340" spans="20:28" ht="24" customHeight="1">
      <c r="T340" s="67">
        <f t="shared" si="73"/>
        <v>0</v>
      </c>
      <c r="V340" s="68" t="str">
        <f t="shared" si="74"/>
        <v/>
      </c>
      <c r="W340" s="69">
        <f t="shared" si="75"/>
        <v>0</v>
      </c>
      <c r="X340" s="70" t="s">
        <v>84</v>
      </c>
      <c r="Y340" s="68" t="str">
        <f t="shared" ca="1" si="79"/>
        <v/>
      </c>
      <c r="Z340" s="71" t="str">
        <f t="shared" ca="1" si="76"/>
        <v/>
      </c>
      <c r="AA340" s="72" t="str">
        <f t="shared" ca="1" si="77"/>
        <v/>
      </c>
      <c r="AB340" s="72" t="str">
        <f t="shared" ca="1" si="78"/>
        <v/>
      </c>
    </row>
    <row r="341" spans="20:28" ht="24" customHeight="1">
      <c r="T341" s="67">
        <f t="shared" si="73"/>
        <v>0</v>
      </c>
      <c r="V341" s="68" t="str">
        <f t="shared" si="74"/>
        <v/>
      </c>
      <c r="W341" s="69">
        <f t="shared" si="75"/>
        <v>0</v>
      </c>
      <c r="X341" s="70" t="s">
        <v>84</v>
      </c>
      <c r="Y341" s="68" t="str">
        <f t="shared" ca="1" si="79"/>
        <v/>
      </c>
      <c r="Z341" s="71" t="str">
        <f t="shared" ca="1" si="76"/>
        <v/>
      </c>
      <c r="AA341" s="72" t="str">
        <f t="shared" ca="1" si="77"/>
        <v/>
      </c>
      <c r="AB341" s="72" t="str">
        <f t="shared" ca="1" si="78"/>
        <v/>
      </c>
    </row>
    <row r="342" spans="20:28" ht="24" customHeight="1">
      <c r="T342" s="67">
        <f t="shared" si="73"/>
        <v>0</v>
      </c>
      <c r="V342" s="68" t="str">
        <f t="shared" si="74"/>
        <v/>
      </c>
      <c r="W342" s="69">
        <f t="shared" si="75"/>
        <v>0</v>
      </c>
      <c r="X342" s="70" t="s">
        <v>84</v>
      </c>
      <c r="Y342" s="68" t="str">
        <f t="shared" ca="1" si="79"/>
        <v/>
      </c>
      <c r="Z342" s="71" t="str">
        <f t="shared" ca="1" si="76"/>
        <v/>
      </c>
      <c r="AA342" s="72" t="str">
        <f t="shared" ca="1" si="77"/>
        <v/>
      </c>
      <c r="AB342" s="72" t="str">
        <f t="shared" ca="1" si="78"/>
        <v/>
      </c>
    </row>
    <row r="343" spans="20:28" ht="24" customHeight="1">
      <c r="T343" s="67">
        <f t="shared" si="73"/>
        <v>0</v>
      </c>
      <c r="V343" s="68" t="str">
        <f t="shared" si="74"/>
        <v/>
      </c>
      <c r="W343" s="69">
        <f t="shared" si="75"/>
        <v>0</v>
      </c>
      <c r="X343" s="70" t="s">
        <v>84</v>
      </c>
      <c r="Y343" s="68" t="str">
        <f t="shared" ca="1" si="79"/>
        <v/>
      </c>
      <c r="Z343" s="71" t="str">
        <f t="shared" ca="1" si="76"/>
        <v/>
      </c>
      <c r="AA343" s="72" t="str">
        <f t="shared" ca="1" si="77"/>
        <v/>
      </c>
      <c r="AB343" s="72" t="str">
        <f t="shared" ca="1" si="78"/>
        <v/>
      </c>
    </row>
    <row r="344" spans="20:28" ht="24" customHeight="1">
      <c r="T344" s="67">
        <f t="shared" si="73"/>
        <v>0</v>
      </c>
      <c r="V344" s="68" t="str">
        <f t="shared" si="74"/>
        <v/>
      </c>
      <c r="W344" s="69">
        <f t="shared" si="75"/>
        <v>0</v>
      </c>
      <c r="X344" s="70" t="s">
        <v>84</v>
      </c>
      <c r="Y344" s="68" t="str">
        <f t="shared" ca="1" si="79"/>
        <v/>
      </c>
      <c r="Z344" s="71" t="str">
        <f t="shared" ca="1" si="76"/>
        <v/>
      </c>
      <c r="AA344" s="72" t="str">
        <f t="shared" ca="1" si="77"/>
        <v/>
      </c>
      <c r="AB344" s="72" t="str">
        <f t="shared" ca="1" si="78"/>
        <v/>
      </c>
    </row>
    <row r="345" spans="20:28" ht="24" customHeight="1">
      <c r="T345" s="67">
        <f t="shared" si="73"/>
        <v>0</v>
      </c>
      <c r="V345" s="68" t="str">
        <f t="shared" si="74"/>
        <v/>
      </c>
      <c r="W345" s="69">
        <f t="shared" si="75"/>
        <v>0</v>
      </c>
      <c r="X345" s="70" t="s">
        <v>84</v>
      </c>
      <c r="Y345" s="68" t="str">
        <f t="shared" ca="1" si="79"/>
        <v/>
      </c>
      <c r="Z345" s="71" t="str">
        <f t="shared" ca="1" si="76"/>
        <v/>
      </c>
      <c r="AA345" s="72" t="str">
        <f t="shared" ca="1" si="77"/>
        <v/>
      </c>
      <c r="AB345" s="72" t="str">
        <f t="shared" ca="1" si="78"/>
        <v/>
      </c>
    </row>
    <row r="346" spans="20:28" ht="24" customHeight="1">
      <c r="T346" s="67">
        <f t="shared" si="73"/>
        <v>0</v>
      </c>
      <c r="V346" s="68" t="str">
        <f t="shared" si="74"/>
        <v/>
      </c>
      <c r="W346" s="69">
        <f t="shared" si="75"/>
        <v>0</v>
      </c>
      <c r="X346" s="70" t="s">
        <v>84</v>
      </c>
      <c r="Y346" s="68" t="str">
        <f t="shared" ca="1" si="79"/>
        <v/>
      </c>
      <c r="Z346" s="71" t="str">
        <f t="shared" ca="1" si="76"/>
        <v/>
      </c>
      <c r="AA346" s="72" t="str">
        <f t="shared" ca="1" si="77"/>
        <v/>
      </c>
      <c r="AB346" s="72" t="str">
        <f t="shared" ca="1" si="78"/>
        <v/>
      </c>
    </row>
    <row r="347" spans="20:28" ht="24" customHeight="1">
      <c r="T347" s="67">
        <f t="shared" si="73"/>
        <v>0</v>
      </c>
      <c r="V347" s="68" t="str">
        <f t="shared" si="74"/>
        <v/>
      </c>
      <c r="W347" s="69">
        <f t="shared" si="75"/>
        <v>0</v>
      </c>
      <c r="X347" s="70" t="s">
        <v>84</v>
      </c>
      <c r="Y347" s="68" t="str">
        <f t="shared" ca="1" si="79"/>
        <v/>
      </c>
      <c r="Z347" s="71" t="str">
        <f t="shared" ca="1" si="76"/>
        <v/>
      </c>
      <c r="AA347" s="72" t="str">
        <f t="shared" ca="1" si="77"/>
        <v/>
      </c>
      <c r="AB347" s="72" t="str">
        <f t="shared" ca="1" si="78"/>
        <v/>
      </c>
    </row>
    <row r="348" spans="20:28" ht="24" customHeight="1">
      <c r="T348" s="67">
        <f t="shared" si="73"/>
        <v>0</v>
      </c>
      <c r="V348" s="68" t="str">
        <f t="shared" si="74"/>
        <v/>
      </c>
      <c r="W348" s="69">
        <f t="shared" si="75"/>
        <v>0</v>
      </c>
      <c r="X348" s="70" t="s">
        <v>84</v>
      </c>
      <c r="Y348" s="68" t="str">
        <f t="shared" ca="1" si="79"/>
        <v/>
      </c>
      <c r="Z348" s="71" t="str">
        <f t="shared" ca="1" si="76"/>
        <v/>
      </c>
      <c r="AA348" s="72" t="str">
        <f t="shared" ca="1" si="77"/>
        <v/>
      </c>
      <c r="AB348" s="72" t="str">
        <f t="shared" ca="1" si="78"/>
        <v/>
      </c>
    </row>
    <row r="349" spans="20:28" ht="24" customHeight="1">
      <c r="T349" s="67">
        <f t="shared" si="73"/>
        <v>0</v>
      </c>
      <c r="V349" s="68" t="str">
        <f t="shared" si="74"/>
        <v/>
      </c>
      <c r="W349" s="69">
        <f t="shared" si="75"/>
        <v>0</v>
      </c>
      <c r="X349" s="70" t="s">
        <v>84</v>
      </c>
      <c r="Y349" s="68" t="str">
        <f t="shared" ca="1" si="79"/>
        <v/>
      </c>
      <c r="Z349" s="71" t="str">
        <f t="shared" ca="1" si="76"/>
        <v/>
      </c>
      <c r="AA349" s="72" t="str">
        <f t="shared" ca="1" si="77"/>
        <v/>
      </c>
      <c r="AB349" s="72" t="str">
        <f t="shared" ca="1" si="78"/>
        <v/>
      </c>
    </row>
    <row r="350" spans="20:28" ht="24" customHeight="1">
      <c r="T350" s="67">
        <f t="shared" si="73"/>
        <v>0</v>
      </c>
      <c r="V350" s="68" t="str">
        <f t="shared" si="74"/>
        <v/>
      </c>
      <c r="W350" s="69">
        <f t="shared" si="75"/>
        <v>0</v>
      </c>
      <c r="X350" s="70" t="s">
        <v>84</v>
      </c>
      <c r="Y350" s="68" t="str">
        <f t="shared" ca="1" si="79"/>
        <v/>
      </c>
      <c r="Z350" s="71" t="str">
        <f t="shared" ca="1" si="76"/>
        <v/>
      </c>
      <c r="AA350" s="72" t="str">
        <f t="shared" ca="1" si="77"/>
        <v/>
      </c>
      <c r="AB350" s="72" t="str">
        <f t="shared" ca="1" si="78"/>
        <v/>
      </c>
    </row>
    <row r="351" spans="20:28" ht="24" customHeight="1">
      <c r="T351" s="67">
        <f t="shared" si="73"/>
        <v>0</v>
      </c>
      <c r="V351" s="68" t="str">
        <f t="shared" si="74"/>
        <v/>
      </c>
      <c r="W351" s="69">
        <f t="shared" si="75"/>
        <v>0</v>
      </c>
      <c r="X351" s="70" t="s">
        <v>84</v>
      </c>
      <c r="Y351" s="68" t="str">
        <f t="shared" ca="1" si="79"/>
        <v/>
      </c>
      <c r="Z351" s="71" t="str">
        <f t="shared" ca="1" si="76"/>
        <v/>
      </c>
      <c r="AA351" s="72" t="str">
        <f t="shared" ca="1" si="77"/>
        <v/>
      </c>
      <c r="AB351" s="72" t="str">
        <f t="shared" ca="1" si="78"/>
        <v/>
      </c>
    </row>
    <row r="352" spans="20:28" ht="24" customHeight="1">
      <c r="T352" s="67">
        <f t="shared" si="73"/>
        <v>0</v>
      </c>
      <c r="V352" s="68" t="str">
        <f t="shared" si="74"/>
        <v/>
      </c>
      <c r="W352" s="69">
        <f t="shared" si="75"/>
        <v>0</v>
      </c>
      <c r="X352" s="70" t="s">
        <v>84</v>
      </c>
      <c r="Y352" s="68" t="str">
        <f t="shared" ca="1" si="79"/>
        <v/>
      </c>
      <c r="Z352" s="71" t="str">
        <f t="shared" ca="1" si="76"/>
        <v/>
      </c>
      <c r="AA352" s="72" t="str">
        <f t="shared" ca="1" si="77"/>
        <v/>
      </c>
      <c r="AB352" s="72" t="str">
        <f t="shared" ca="1" si="78"/>
        <v/>
      </c>
    </row>
    <row r="353" spans="20:28" ht="24" customHeight="1">
      <c r="T353" s="67">
        <f t="shared" si="73"/>
        <v>0</v>
      </c>
      <c r="V353" s="68" t="str">
        <f t="shared" si="74"/>
        <v/>
      </c>
      <c r="W353" s="69">
        <f t="shared" si="75"/>
        <v>0</v>
      </c>
      <c r="X353" s="70" t="s">
        <v>84</v>
      </c>
      <c r="Y353" s="68" t="str">
        <f t="shared" ca="1" si="79"/>
        <v/>
      </c>
      <c r="Z353" s="71" t="str">
        <f t="shared" ca="1" si="76"/>
        <v/>
      </c>
      <c r="AA353" s="72" t="str">
        <f t="shared" ca="1" si="77"/>
        <v/>
      </c>
      <c r="AB353" s="72" t="str">
        <f t="shared" ca="1" si="78"/>
        <v/>
      </c>
    </row>
    <row r="354" spans="20:28" ht="24" customHeight="1">
      <c r="T354" s="67">
        <f t="shared" si="73"/>
        <v>0</v>
      </c>
      <c r="V354" s="68" t="str">
        <f t="shared" si="74"/>
        <v/>
      </c>
      <c r="W354" s="69">
        <f t="shared" si="75"/>
        <v>0</v>
      </c>
      <c r="X354" s="70" t="s">
        <v>84</v>
      </c>
      <c r="Y354" s="68" t="str">
        <f t="shared" ca="1" si="79"/>
        <v/>
      </c>
      <c r="Z354" s="71" t="str">
        <f t="shared" ca="1" si="76"/>
        <v/>
      </c>
      <c r="AA354" s="72" t="str">
        <f t="shared" ca="1" si="77"/>
        <v/>
      </c>
      <c r="AB354" s="72" t="str">
        <f t="shared" ca="1" si="78"/>
        <v/>
      </c>
    </row>
    <row r="355" spans="20:28" ht="24" customHeight="1">
      <c r="T355" s="67">
        <f t="shared" si="73"/>
        <v>0</v>
      </c>
      <c r="V355" s="68" t="str">
        <f t="shared" si="74"/>
        <v/>
      </c>
      <c r="W355" s="69">
        <f t="shared" si="75"/>
        <v>0</v>
      </c>
      <c r="X355" s="70" t="s">
        <v>84</v>
      </c>
      <c r="Y355" s="68" t="str">
        <f t="shared" ca="1" si="79"/>
        <v/>
      </c>
      <c r="Z355" s="71" t="str">
        <f t="shared" ca="1" si="76"/>
        <v/>
      </c>
      <c r="AA355" s="72" t="str">
        <f t="shared" ca="1" si="77"/>
        <v/>
      </c>
      <c r="AB355" s="72" t="str">
        <f t="shared" ca="1" si="78"/>
        <v/>
      </c>
    </row>
    <row r="356" spans="20:28" ht="24" customHeight="1">
      <c r="T356" s="67">
        <f t="shared" ref="T356:T400" si="80">Q325</f>
        <v>0</v>
      </c>
      <c r="V356" s="68" t="str">
        <f t="shared" si="74"/>
        <v/>
      </c>
      <c r="W356" s="69">
        <f t="shared" si="75"/>
        <v>0</v>
      </c>
      <c r="X356" s="70" t="s">
        <v>84</v>
      </c>
      <c r="Y356" s="68" t="str">
        <f t="shared" ca="1" si="79"/>
        <v/>
      </c>
      <c r="Z356" s="71" t="str">
        <f t="shared" ca="1" si="76"/>
        <v/>
      </c>
      <c r="AA356" s="72" t="str">
        <f t="shared" ca="1" si="77"/>
        <v/>
      </c>
      <c r="AB356" s="72" t="str">
        <f t="shared" ca="1" si="78"/>
        <v/>
      </c>
    </row>
    <row r="357" spans="20:28" ht="24" customHeight="1">
      <c r="T357" s="67">
        <f t="shared" si="80"/>
        <v>0</v>
      </c>
      <c r="V357" s="68" t="str">
        <f t="shared" si="74"/>
        <v/>
      </c>
      <c r="W357" s="69">
        <f t="shared" si="75"/>
        <v>0</v>
      </c>
      <c r="X357" s="70" t="s">
        <v>84</v>
      </c>
      <c r="Y357" s="68" t="str">
        <f t="shared" ca="1" si="79"/>
        <v/>
      </c>
      <c r="Z357" s="71" t="str">
        <f t="shared" ca="1" si="76"/>
        <v/>
      </c>
      <c r="AA357" s="72" t="str">
        <f t="shared" ca="1" si="77"/>
        <v/>
      </c>
      <c r="AB357" s="72" t="str">
        <f t="shared" ca="1" si="78"/>
        <v/>
      </c>
    </row>
    <row r="358" spans="20:28" ht="24" customHeight="1">
      <c r="T358" s="67">
        <f t="shared" si="80"/>
        <v>0</v>
      </c>
      <c r="V358" s="68" t="str">
        <f t="shared" si="74"/>
        <v/>
      </c>
      <c r="W358" s="69">
        <f t="shared" si="75"/>
        <v>0</v>
      </c>
      <c r="X358" s="70" t="s">
        <v>84</v>
      </c>
      <c r="Y358" s="68" t="str">
        <f t="shared" ca="1" si="79"/>
        <v/>
      </c>
      <c r="Z358" s="71" t="str">
        <f t="shared" ca="1" si="76"/>
        <v/>
      </c>
      <c r="AA358" s="72" t="str">
        <f t="shared" ca="1" si="77"/>
        <v/>
      </c>
      <c r="AB358" s="72" t="str">
        <f t="shared" ca="1" si="78"/>
        <v/>
      </c>
    </row>
    <row r="359" spans="20:28" ht="24" customHeight="1">
      <c r="T359" s="67">
        <f t="shared" si="80"/>
        <v>0</v>
      </c>
      <c r="V359" s="68" t="str">
        <f t="shared" si="74"/>
        <v/>
      </c>
      <c r="W359" s="69">
        <f t="shared" si="75"/>
        <v>0</v>
      </c>
      <c r="X359" s="70" t="s">
        <v>84</v>
      </c>
      <c r="Y359" s="68" t="str">
        <f t="shared" ca="1" si="79"/>
        <v/>
      </c>
      <c r="Z359" s="71" t="str">
        <f t="shared" ca="1" si="76"/>
        <v/>
      </c>
      <c r="AA359" s="72" t="str">
        <f t="shared" ca="1" si="77"/>
        <v/>
      </c>
      <c r="AB359" s="72" t="str">
        <f t="shared" ca="1" si="78"/>
        <v/>
      </c>
    </row>
    <row r="360" spans="20:28" ht="24" customHeight="1">
      <c r="T360" s="67">
        <f t="shared" si="80"/>
        <v>0</v>
      </c>
      <c r="V360" s="68" t="str">
        <f t="shared" si="74"/>
        <v/>
      </c>
      <c r="W360" s="69">
        <f t="shared" si="75"/>
        <v>0</v>
      </c>
      <c r="X360" s="70" t="s">
        <v>84</v>
      </c>
      <c r="Y360" s="68" t="str">
        <f t="shared" ca="1" si="79"/>
        <v/>
      </c>
      <c r="Z360" s="71" t="str">
        <f t="shared" ca="1" si="76"/>
        <v/>
      </c>
      <c r="AA360" s="72" t="str">
        <f t="shared" ca="1" si="77"/>
        <v/>
      </c>
      <c r="AB360" s="72" t="str">
        <f t="shared" ca="1" si="78"/>
        <v/>
      </c>
    </row>
    <row r="361" spans="20:28" ht="24" customHeight="1">
      <c r="T361" s="67">
        <f t="shared" si="80"/>
        <v>0</v>
      </c>
      <c r="V361" s="68" t="str">
        <f t="shared" si="74"/>
        <v/>
      </c>
      <c r="W361" s="69">
        <f t="shared" si="75"/>
        <v>0</v>
      </c>
      <c r="X361" s="70" t="s">
        <v>84</v>
      </c>
      <c r="Y361" s="68" t="str">
        <f t="shared" ca="1" si="79"/>
        <v/>
      </c>
      <c r="Z361" s="71" t="str">
        <f t="shared" ca="1" si="76"/>
        <v/>
      </c>
      <c r="AA361" s="72" t="str">
        <f t="shared" ca="1" si="77"/>
        <v/>
      </c>
      <c r="AB361" s="72" t="str">
        <f t="shared" ca="1" si="78"/>
        <v/>
      </c>
    </row>
    <row r="362" spans="20:28" ht="24" customHeight="1">
      <c r="T362" s="67">
        <f t="shared" si="80"/>
        <v>0</v>
      </c>
      <c r="V362" s="68" t="str">
        <f t="shared" si="74"/>
        <v/>
      </c>
      <c r="W362" s="69">
        <f t="shared" si="75"/>
        <v>0</v>
      </c>
      <c r="X362" s="70" t="s">
        <v>84</v>
      </c>
      <c r="Y362" s="68" t="str">
        <f t="shared" ca="1" si="79"/>
        <v/>
      </c>
      <c r="Z362" s="71" t="str">
        <f t="shared" ca="1" si="76"/>
        <v/>
      </c>
      <c r="AA362" s="72" t="str">
        <f t="shared" ca="1" si="77"/>
        <v/>
      </c>
      <c r="AB362" s="72" t="str">
        <f t="shared" ca="1" si="78"/>
        <v/>
      </c>
    </row>
    <row r="363" spans="20:28" ht="24" customHeight="1">
      <c r="T363" s="67">
        <f t="shared" si="80"/>
        <v>0</v>
      </c>
      <c r="V363" s="68" t="str">
        <f t="shared" si="74"/>
        <v/>
      </c>
      <c r="W363" s="69">
        <f t="shared" si="75"/>
        <v>0</v>
      </c>
      <c r="X363" s="70" t="s">
        <v>84</v>
      </c>
      <c r="Y363" s="68" t="str">
        <f t="shared" ca="1" si="79"/>
        <v/>
      </c>
      <c r="Z363" s="71" t="str">
        <f t="shared" ca="1" si="76"/>
        <v/>
      </c>
      <c r="AA363" s="72" t="str">
        <f t="shared" ca="1" si="77"/>
        <v/>
      </c>
      <c r="AB363" s="72" t="str">
        <f t="shared" ca="1" si="78"/>
        <v/>
      </c>
    </row>
    <row r="364" spans="20:28" ht="24" customHeight="1">
      <c r="T364" s="67">
        <f t="shared" si="80"/>
        <v>0</v>
      </c>
      <c r="V364" s="68" t="str">
        <f t="shared" si="74"/>
        <v/>
      </c>
      <c r="W364" s="69">
        <f t="shared" si="75"/>
        <v>0</v>
      </c>
      <c r="X364" s="70" t="s">
        <v>84</v>
      </c>
      <c r="Y364" s="68" t="str">
        <f t="shared" ca="1" si="79"/>
        <v/>
      </c>
      <c r="Z364" s="71" t="str">
        <f t="shared" ca="1" si="76"/>
        <v/>
      </c>
      <c r="AA364" s="72" t="str">
        <f t="shared" ca="1" si="77"/>
        <v/>
      </c>
      <c r="AB364" s="72" t="str">
        <f t="shared" ca="1" si="78"/>
        <v/>
      </c>
    </row>
    <row r="365" spans="20:28" ht="24" customHeight="1">
      <c r="T365" s="67">
        <f t="shared" si="80"/>
        <v>0</v>
      </c>
      <c r="V365" s="68" t="str">
        <f t="shared" si="74"/>
        <v/>
      </c>
      <c r="W365" s="69">
        <f t="shared" si="75"/>
        <v>0</v>
      </c>
      <c r="X365" s="70" t="s">
        <v>84</v>
      </c>
      <c r="Y365" s="68" t="str">
        <f t="shared" ca="1" si="79"/>
        <v/>
      </c>
      <c r="Z365" s="71" t="str">
        <f t="shared" ca="1" si="76"/>
        <v/>
      </c>
      <c r="AA365" s="72" t="str">
        <f t="shared" ca="1" si="77"/>
        <v/>
      </c>
      <c r="AB365" s="72" t="str">
        <f t="shared" ca="1" si="78"/>
        <v/>
      </c>
    </row>
    <row r="366" spans="20:28" ht="24" customHeight="1">
      <c r="T366" s="67">
        <f t="shared" si="80"/>
        <v>0</v>
      </c>
      <c r="V366" s="68" t="str">
        <f t="shared" si="74"/>
        <v/>
      </c>
      <c r="W366" s="69">
        <f t="shared" si="75"/>
        <v>0</v>
      </c>
      <c r="X366" s="70" t="s">
        <v>84</v>
      </c>
      <c r="Y366" s="68" t="str">
        <f t="shared" ca="1" si="79"/>
        <v/>
      </c>
      <c r="Z366" s="71" t="str">
        <f t="shared" ca="1" si="76"/>
        <v/>
      </c>
      <c r="AA366" s="72" t="str">
        <f t="shared" ca="1" si="77"/>
        <v/>
      </c>
      <c r="AB366" s="72" t="str">
        <f t="shared" ca="1" si="78"/>
        <v/>
      </c>
    </row>
    <row r="367" spans="20:28" ht="24" customHeight="1">
      <c r="T367" s="67">
        <f t="shared" si="80"/>
        <v>0</v>
      </c>
      <c r="V367" s="68" t="str">
        <f t="shared" si="74"/>
        <v/>
      </c>
      <c r="W367" s="69">
        <f t="shared" si="75"/>
        <v>0</v>
      </c>
      <c r="X367" s="70" t="s">
        <v>84</v>
      </c>
      <c r="Y367" s="68" t="str">
        <f t="shared" ca="1" si="79"/>
        <v/>
      </c>
      <c r="Z367" s="71" t="str">
        <f t="shared" ca="1" si="76"/>
        <v/>
      </c>
      <c r="AA367" s="72" t="str">
        <f t="shared" ca="1" si="77"/>
        <v/>
      </c>
      <c r="AB367" s="72" t="str">
        <f t="shared" ca="1" si="78"/>
        <v/>
      </c>
    </row>
    <row r="368" spans="20:28" ht="24" customHeight="1">
      <c r="T368" s="67">
        <f t="shared" si="80"/>
        <v>0</v>
      </c>
      <c r="V368" s="68" t="str">
        <f t="shared" si="74"/>
        <v/>
      </c>
      <c r="W368" s="69">
        <f t="shared" si="75"/>
        <v>0</v>
      </c>
      <c r="X368" s="70" t="s">
        <v>84</v>
      </c>
      <c r="Y368" s="68" t="str">
        <f t="shared" ca="1" si="79"/>
        <v/>
      </c>
      <c r="Z368" s="71" t="str">
        <f t="shared" ca="1" si="76"/>
        <v/>
      </c>
      <c r="AA368" s="72" t="str">
        <f t="shared" ca="1" si="77"/>
        <v/>
      </c>
      <c r="AB368" s="72" t="str">
        <f t="shared" ca="1" si="78"/>
        <v/>
      </c>
    </row>
    <row r="369" spans="20:28" ht="24" customHeight="1">
      <c r="T369" s="67">
        <f t="shared" si="80"/>
        <v>0</v>
      </c>
      <c r="V369" s="68" t="str">
        <f t="shared" si="74"/>
        <v/>
      </c>
      <c r="W369" s="69">
        <f t="shared" si="75"/>
        <v>0</v>
      </c>
      <c r="X369" s="70" t="s">
        <v>84</v>
      </c>
      <c r="Y369" s="68" t="str">
        <f t="shared" ca="1" si="79"/>
        <v/>
      </c>
      <c r="Z369" s="71" t="str">
        <f t="shared" ca="1" si="76"/>
        <v/>
      </c>
      <c r="AA369" s="72" t="str">
        <f t="shared" ca="1" si="77"/>
        <v/>
      </c>
      <c r="AB369" s="72" t="str">
        <f t="shared" ca="1" si="78"/>
        <v/>
      </c>
    </row>
    <row r="370" spans="20:28" ht="24" customHeight="1">
      <c r="T370" s="67">
        <f t="shared" si="80"/>
        <v>0</v>
      </c>
      <c r="V370" s="68" t="str">
        <f t="shared" si="74"/>
        <v/>
      </c>
      <c r="W370" s="69">
        <f t="shared" si="75"/>
        <v>0</v>
      </c>
      <c r="X370" s="70" t="s">
        <v>84</v>
      </c>
      <c r="Y370" s="68" t="str">
        <f t="shared" ca="1" si="79"/>
        <v/>
      </c>
      <c r="Z370" s="71" t="str">
        <f t="shared" ca="1" si="76"/>
        <v/>
      </c>
      <c r="AA370" s="72" t="str">
        <f t="shared" ca="1" si="77"/>
        <v/>
      </c>
      <c r="AB370" s="72" t="str">
        <f t="shared" ca="1" si="78"/>
        <v/>
      </c>
    </row>
    <row r="371" spans="20:28" ht="24" customHeight="1">
      <c r="T371" s="67">
        <f t="shared" si="80"/>
        <v>0</v>
      </c>
      <c r="V371" s="68" t="str">
        <f t="shared" si="74"/>
        <v/>
      </c>
      <c r="W371" s="69">
        <f t="shared" si="75"/>
        <v>0</v>
      </c>
      <c r="X371" s="70" t="s">
        <v>84</v>
      </c>
      <c r="Y371" s="68" t="str">
        <f t="shared" ca="1" si="79"/>
        <v/>
      </c>
      <c r="Z371" s="71" t="str">
        <f t="shared" ca="1" si="76"/>
        <v/>
      </c>
      <c r="AA371" s="72" t="str">
        <f t="shared" ca="1" si="77"/>
        <v/>
      </c>
      <c r="AB371" s="72" t="str">
        <f t="shared" ca="1" si="78"/>
        <v/>
      </c>
    </row>
    <row r="372" spans="20:28" ht="24" customHeight="1">
      <c r="T372" s="67">
        <f t="shared" si="80"/>
        <v>0</v>
      </c>
      <c r="V372" s="68" t="str">
        <f t="shared" si="74"/>
        <v/>
      </c>
      <c r="W372" s="69">
        <f t="shared" si="75"/>
        <v>0</v>
      </c>
      <c r="X372" s="70" t="s">
        <v>84</v>
      </c>
      <c r="Y372" s="68" t="str">
        <f t="shared" ca="1" si="79"/>
        <v/>
      </c>
      <c r="Z372" s="71" t="str">
        <f t="shared" ca="1" si="76"/>
        <v/>
      </c>
      <c r="AA372" s="72" t="str">
        <f t="shared" ca="1" si="77"/>
        <v/>
      </c>
      <c r="AB372" s="72" t="str">
        <f t="shared" ca="1" si="78"/>
        <v/>
      </c>
    </row>
    <row r="373" spans="20:28" ht="24" customHeight="1">
      <c r="T373" s="67">
        <f t="shared" si="80"/>
        <v>0</v>
      </c>
      <c r="V373" s="68" t="str">
        <f t="shared" si="74"/>
        <v/>
      </c>
      <c r="W373" s="69">
        <f t="shared" si="75"/>
        <v>0</v>
      </c>
      <c r="X373" s="70" t="s">
        <v>84</v>
      </c>
      <c r="Y373" s="68" t="str">
        <f t="shared" ca="1" si="79"/>
        <v/>
      </c>
      <c r="Z373" s="71" t="str">
        <f t="shared" ca="1" si="76"/>
        <v/>
      </c>
      <c r="AA373" s="72" t="str">
        <f t="shared" ca="1" si="77"/>
        <v/>
      </c>
      <c r="AB373" s="72" t="str">
        <f t="shared" ca="1" si="78"/>
        <v/>
      </c>
    </row>
    <row r="374" spans="20:28" ht="24" customHeight="1">
      <c r="T374" s="67">
        <f t="shared" si="80"/>
        <v>0</v>
      </c>
      <c r="V374" s="68" t="str">
        <f t="shared" si="74"/>
        <v/>
      </c>
      <c r="W374" s="69">
        <f t="shared" si="75"/>
        <v>0</v>
      </c>
      <c r="X374" s="70" t="s">
        <v>84</v>
      </c>
      <c r="Y374" s="68" t="str">
        <f t="shared" ca="1" si="79"/>
        <v/>
      </c>
      <c r="Z374" s="71" t="str">
        <f t="shared" ca="1" si="76"/>
        <v/>
      </c>
      <c r="AA374" s="72" t="str">
        <f t="shared" ca="1" si="77"/>
        <v/>
      </c>
      <c r="AB374" s="72" t="str">
        <f t="shared" ca="1" si="78"/>
        <v/>
      </c>
    </row>
    <row r="375" spans="20:28" ht="24" customHeight="1">
      <c r="T375" s="67">
        <f t="shared" si="80"/>
        <v>0</v>
      </c>
      <c r="V375" s="68" t="str">
        <f t="shared" si="74"/>
        <v/>
      </c>
      <c r="W375" s="69">
        <f t="shared" si="75"/>
        <v>0</v>
      </c>
      <c r="X375" s="70" t="s">
        <v>84</v>
      </c>
      <c r="Y375" s="68" t="str">
        <f t="shared" ca="1" si="79"/>
        <v/>
      </c>
      <c r="Z375" s="71" t="str">
        <f t="shared" ca="1" si="76"/>
        <v/>
      </c>
      <c r="AA375" s="72" t="str">
        <f t="shared" ca="1" si="77"/>
        <v/>
      </c>
      <c r="AB375" s="72" t="str">
        <f t="shared" ca="1" si="78"/>
        <v/>
      </c>
    </row>
    <row r="376" spans="20:28" ht="24" customHeight="1">
      <c r="T376" s="67">
        <f t="shared" si="80"/>
        <v>0</v>
      </c>
      <c r="V376" s="68" t="str">
        <f t="shared" si="74"/>
        <v/>
      </c>
      <c r="W376" s="69">
        <f t="shared" si="75"/>
        <v>0</v>
      </c>
      <c r="X376" s="70" t="s">
        <v>84</v>
      </c>
      <c r="Y376" s="68" t="str">
        <f t="shared" ca="1" si="79"/>
        <v/>
      </c>
      <c r="Z376" s="71" t="str">
        <f t="shared" ca="1" si="76"/>
        <v/>
      </c>
      <c r="AA376" s="72" t="str">
        <f t="shared" ca="1" si="77"/>
        <v/>
      </c>
      <c r="AB376" s="72" t="str">
        <f t="shared" ca="1" si="78"/>
        <v/>
      </c>
    </row>
    <row r="377" spans="20:28" ht="24" customHeight="1">
      <c r="T377" s="67">
        <f t="shared" si="80"/>
        <v>0</v>
      </c>
      <c r="V377" s="68" t="str">
        <f t="shared" si="74"/>
        <v/>
      </c>
      <c r="W377" s="69">
        <f t="shared" si="75"/>
        <v>0</v>
      </c>
      <c r="X377" s="70" t="s">
        <v>84</v>
      </c>
      <c r="Y377" s="68" t="str">
        <f t="shared" ca="1" si="79"/>
        <v/>
      </c>
      <c r="Z377" s="71" t="str">
        <f t="shared" ca="1" si="76"/>
        <v/>
      </c>
      <c r="AA377" s="72" t="str">
        <f t="shared" ca="1" si="77"/>
        <v/>
      </c>
      <c r="AB377" s="72" t="str">
        <f t="shared" ca="1" si="78"/>
        <v/>
      </c>
    </row>
    <row r="378" spans="20:28" ht="24" customHeight="1">
      <c r="T378" s="67">
        <f t="shared" si="80"/>
        <v>0</v>
      </c>
    </row>
    <row r="379" spans="20:28" ht="24" customHeight="1">
      <c r="T379" s="67">
        <f t="shared" si="80"/>
        <v>0</v>
      </c>
    </row>
    <row r="380" spans="20:28" ht="24" customHeight="1">
      <c r="T380" s="67">
        <f t="shared" si="80"/>
        <v>0</v>
      </c>
    </row>
    <row r="381" spans="20:28" ht="24" customHeight="1">
      <c r="T381" s="67">
        <f t="shared" si="80"/>
        <v>0</v>
      </c>
    </row>
    <row r="382" spans="20:28" ht="24" customHeight="1">
      <c r="T382" s="67">
        <f t="shared" si="80"/>
        <v>0</v>
      </c>
    </row>
    <row r="383" spans="20:28" ht="24" customHeight="1">
      <c r="T383" s="67">
        <f t="shared" si="80"/>
        <v>0</v>
      </c>
    </row>
    <row r="384" spans="20:28" ht="24" customHeight="1">
      <c r="T384" s="67">
        <f t="shared" si="80"/>
        <v>0</v>
      </c>
    </row>
    <row r="385" spans="20:20" ht="24" customHeight="1">
      <c r="T385" s="67">
        <f t="shared" si="80"/>
        <v>0</v>
      </c>
    </row>
    <row r="386" spans="20:20" ht="24" customHeight="1">
      <c r="T386" s="67">
        <f t="shared" si="80"/>
        <v>0</v>
      </c>
    </row>
    <row r="387" spans="20:20" ht="24" customHeight="1">
      <c r="T387" s="67">
        <f t="shared" si="80"/>
        <v>0</v>
      </c>
    </row>
    <row r="388" spans="20:20" ht="24" customHeight="1">
      <c r="T388" s="67">
        <f t="shared" si="80"/>
        <v>0</v>
      </c>
    </row>
    <row r="389" spans="20:20" ht="24" customHeight="1">
      <c r="T389" s="67">
        <f t="shared" si="80"/>
        <v>0</v>
      </c>
    </row>
    <row r="390" spans="20:20" ht="24" customHeight="1">
      <c r="T390" s="67">
        <f t="shared" si="80"/>
        <v>0</v>
      </c>
    </row>
    <row r="391" spans="20:20" ht="24" customHeight="1">
      <c r="T391" s="67">
        <f t="shared" si="80"/>
        <v>0</v>
      </c>
    </row>
    <row r="392" spans="20:20" ht="24" customHeight="1">
      <c r="T392" s="67">
        <f t="shared" si="80"/>
        <v>0</v>
      </c>
    </row>
    <row r="393" spans="20:20" ht="24" customHeight="1">
      <c r="T393" s="67">
        <f t="shared" si="80"/>
        <v>0</v>
      </c>
    </row>
    <row r="394" spans="20:20" ht="24" customHeight="1">
      <c r="T394" s="67">
        <f t="shared" si="80"/>
        <v>0</v>
      </c>
    </row>
    <row r="395" spans="20:20" ht="24" customHeight="1">
      <c r="T395" s="67">
        <f t="shared" si="80"/>
        <v>0</v>
      </c>
    </row>
    <row r="396" spans="20:20" ht="24" customHeight="1">
      <c r="T396" s="67">
        <f t="shared" si="80"/>
        <v>0</v>
      </c>
    </row>
    <row r="397" spans="20:20" ht="24" customHeight="1">
      <c r="T397" s="67">
        <f t="shared" si="80"/>
        <v>0</v>
      </c>
    </row>
    <row r="398" spans="20:20" ht="24" customHeight="1">
      <c r="T398" s="67">
        <f t="shared" si="80"/>
        <v>0</v>
      </c>
    </row>
    <row r="399" spans="20:20" ht="24" customHeight="1">
      <c r="T399" s="67">
        <f t="shared" si="80"/>
        <v>0</v>
      </c>
    </row>
    <row r="400" spans="20:20">
      <c r="T400" s="67">
        <f t="shared" si="80"/>
        <v>0</v>
      </c>
    </row>
  </sheetData>
  <sheetProtection selectLockedCells="1"/>
  <mergeCells count="9">
    <mergeCell ref="W12:X12"/>
    <mergeCell ref="W1:AA1"/>
    <mergeCell ref="D2:H2"/>
    <mergeCell ref="I2:J2"/>
    <mergeCell ref="V2:V3"/>
    <mergeCell ref="W2:AA2"/>
    <mergeCell ref="AB2:AB3"/>
    <mergeCell ref="W3:X3"/>
    <mergeCell ref="Y3:AA3"/>
  </mergeCells>
  <conditionalFormatting sqref="AB13:AB377">
    <cfRule type="dataBar" priority="1">
      <dataBar>
        <cfvo type="min"/>
        <cfvo type="max"/>
        <color rgb="FFFFB628"/>
      </dataBar>
    </cfRule>
  </conditionalFormatting>
  <dataValidations count="3">
    <dataValidation type="list" allowBlank="1" showInputMessage="1" showErrorMessage="1" sqref="W2:AA2 JS2:JW2 TO2:TS2 ADK2:ADO2 ANG2:ANK2 AXC2:AXG2 BGY2:BHC2 BQU2:BQY2 CAQ2:CAU2 CKM2:CKQ2 CUI2:CUM2 DEE2:DEI2 DOA2:DOE2 DXW2:DYA2 EHS2:EHW2 ERO2:ERS2 FBK2:FBO2 FLG2:FLK2 FVC2:FVG2 GEY2:GFC2 GOU2:GOY2 GYQ2:GYU2 HIM2:HIQ2 HSI2:HSM2 ICE2:ICI2 IMA2:IME2 IVW2:IWA2 JFS2:JFW2 JPO2:JPS2 JZK2:JZO2 KJG2:KJK2 KTC2:KTG2 LCY2:LDC2 LMU2:LMY2 LWQ2:LWU2 MGM2:MGQ2 MQI2:MQM2 NAE2:NAI2 NKA2:NKE2 NTW2:NUA2 ODS2:ODW2 ONO2:ONS2 OXK2:OXO2 PHG2:PHK2 PRC2:PRG2 QAY2:QBC2 QKU2:QKY2 QUQ2:QUU2 REM2:REQ2 ROI2:ROM2 RYE2:RYI2 SIA2:SIE2 SRW2:SSA2 TBS2:TBW2 TLO2:TLS2 TVK2:TVO2 UFG2:UFK2 UPC2:UPG2 UYY2:UZC2 VIU2:VIY2 VSQ2:VSU2 WCM2:WCQ2 WMI2:WMM2 WWE2:WWI2 W65538:AA65538 JS65538:JW65538 TO65538:TS65538 ADK65538:ADO65538 ANG65538:ANK65538 AXC65538:AXG65538 BGY65538:BHC65538 BQU65538:BQY65538 CAQ65538:CAU65538 CKM65538:CKQ65538 CUI65538:CUM65538 DEE65538:DEI65538 DOA65538:DOE65538 DXW65538:DYA65538 EHS65538:EHW65538 ERO65538:ERS65538 FBK65538:FBO65538 FLG65538:FLK65538 FVC65538:FVG65538 GEY65538:GFC65538 GOU65538:GOY65538 GYQ65538:GYU65538 HIM65538:HIQ65538 HSI65538:HSM65538 ICE65538:ICI65538 IMA65538:IME65538 IVW65538:IWA65538 JFS65538:JFW65538 JPO65538:JPS65538 JZK65538:JZO65538 KJG65538:KJK65538 KTC65538:KTG65538 LCY65538:LDC65538 LMU65538:LMY65538 LWQ65538:LWU65538 MGM65538:MGQ65538 MQI65538:MQM65538 NAE65538:NAI65538 NKA65538:NKE65538 NTW65538:NUA65538 ODS65538:ODW65538 ONO65538:ONS65538 OXK65538:OXO65538 PHG65538:PHK65538 PRC65538:PRG65538 QAY65538:QBC65538 QKU65538:QKY65538 QUQ65538:QUU65538 REM65538:REQ65538 ROI65538:ROM65538 RYE65538:RYI65538 SIA65538:SIE65538 SRW65538:SSA65538 TBS65538:TBW65538 TLO65538:TLS65538 TVK65538:TVO65538 UFG65538:UFK65538 UPC65538:UPG65538 UYY65538:UZC65538 VIU65538:VIY65538 VSQ65538:VSU65538 WCM65538:WCQ65538 WMI65538:WMM65538 WWE65538:WWI65538 W131074:AA131074 JS131074:JW131074 TO131074:TS131074 ADK131074:ADO131074 ANG131074:ANK131074 AXC131074:AXG131074 BGY131074:BHC131074 BQU131074:BQY131074 CAQ131074:CAU131074 CKM131074:CKQ131074 CUI131074:CUM131074 DEE131074:DEI131074 DOA131074:DOE131074 DXW131074:DYA131074 EHS131074:EHW131074 ERO131074:ERS131074 FBK131074:FBO131074 FLG131074:FLK131074 FVC131074:FVG131074 GEY131074:GFC131074 GOU131074:GOY131074 GYQ131074:GYU131074 HIM131074:HIQ131074 HSI131074:HSM131074 ICE131074:ICI131074 IMA131074:IME131074 IVW131074:IWA131074 JFS131074:JFW131074 JPO131074:JPS131074 JZK131074:JZO131074 KJG131074:KJK131074 KTC131074:KTG131074 LCY131074:LDC131074 LMU131074:LMY131074 LWQ131074:LWU131074 MGM131074:MGQ131074 MQI131074:MQM131074 NAE131074:NAI131074 NKA131074:NKE131074 NTW131074:NUA131074 ODS131074:ODW131074 ONO131074:ONS131074 OXK131074:OXO131074 PHG131074:PHK131074 PRC131074:PRG131074 QAY131074:QBC131074 QKU131074:QKY131074 QUQ131074:QUU131074 REM131074:REQ131074 ROI131074:ROM131074 RYE131074:RYI131074 SIA131074:SIE131074 SRW131074:SSA131074 TBS131074:TBW131074 TLO131074:TLS131074 TVK131074:TVO131074 UFG131074:UFK131074 UPC131074:UPG131074 UYY131074:UZC131074 VIU131074:VIY131074 VSQ131074:VSU131074 WCM131074:WCQ131074 WMI131074:WMM131074 WWE131074:WWI131074 W196610:AA196610 JS196610:JW196610 TO196610:TS196610 ADK196610:ADO196610 ANG196610:ANK196610 AXC196610:AXG196610 BGY196610:BHC196610 BQU196610:BQY196610 CAQ196610:CAU196610 CKM196610:CKQ196610 CUI196610:CUM196610 DEE196610:DEI196610 DOA196610:DOE196610 DXW196610:DYA196610 EHS196610:EHW196610 ERO196610:ERS196610 FBK196610:FBO196610 FLG196610:FLK196610 FVC196610:FVG196610 GEY196610:GFC196610 GOU196610:GOY196610 GYQ196610:GYU196610 HIM196610:HIQ196610 HSI196610:HSM196610 ICE196610:ICI196610 IMA196610:IME196610 IVW196610:IWA196610 JFS196610:JFW196610 JPO196610:JPS196610 JZK196610:JZO196610 KJG196610:KJK196610 KTC196610:KTG196610 LCY196610:LDC196610 LMU196610:LMY196610 LWQ196610:LWU196610 MGM196610:MGQ196610 MQI196610:MQM196610 NAE196610:NAI196610 NKA196610:NKE196610 NTW196610:NUA196610 ODS196610:ODW196610 ONO196610:ONS196610 OXK196610:OXO196610 PHG196610:PHK196610 PRC196610:PRG196610 QAY196610:QBC196610 QKU196610:QKY196610 QUQ196610:QUU196610 REM196610:REQ196610 ROI196610:ROM196610 RYE196610:RYI196610 SIA196610:SIE196610 SRW196610:SSA196610 TBS196610:TBW196610 TLO196610:TLS196610 TVK196610:TVO196610 UFG196610:UFK196610 UPC196610:UPG196610 UYY196610:UZC196610 VIU196610:VIY196610 VSQ196610:VSU196610 WCM196610:WCQ196610 WMI196610:WMM196610 WWE196610:WWI196610 W262146:AA262146 JS262146:JW262146 TO262146:TS262146 ADK262146:ADO262146 ANG262146:ANK262146 AXC262146:AXG262146 BGY262146:BHC262146 BQU262146:BQY262146 CAQ262146:CAU262146 CKM262146:CKQ262146 CUI262146:CUM262146 DEE262146:DEI262146 DOA262146:DOE262146 DXW262146:DYA262146 EHS262146:EHW262146 ERO262146:ERS262146 FBK262146:FBO262146 FLG262146:FLK262146 FVC262146:FVG262146 GEY262146:GFC262146 GOU262146:GOY262146 GYQ262146:GYU262146 HIM262146:HIQ262146 HSI262146:HSM262146 ICE262146:ICI262146 IMA262146:IME262146 IVW262146:IWA262146 JFS262146:JFW262146 JPO262146:JPS262146 JZK262146:JZO262146 KJG262146:KJK262146 KTC262146:KTG262146 LCY262146:LDC262146 LMU262146:LMY262146 LWQ262146:LWU262146 MGM262146:MGQ262146 MQI262146:MQM262146 NAE262146:NAI262146 NKA262146:NKE262146 NTW262146:NUA262146 ODS262146:ODW262146 ONO262146:ONS262146 OXK262146:OXO262146 PHG262146:PHK262146 PRC262146:PRG262146 QAY262146:QBC262146 QKU262146:QKY262146 QUQ262146:QUU262146 REM262146:REQ262146 ROI262146:ROM262146 RYE262146:RYI262146 SIA262146:SIE262146 SRW262146:SSA262146 TBS262146:TBW262146 TLO262146:TLS262146 TVK262146:TVO262146 UFG262146:UFK262146 UPC262146:UPG262146 UYY262146:UZC262146 VIU262146:VIY262146 VSQ262146:VSU262146 WCM262146:WCQ262146 WMI262146:WMM262146 WWE262146:WWI262146 W327682:AA327682 JS327682:JW327682 TO327682:TS327682 ADK327682:ADO327682 ANG327682:ANK327682 AXC327682:AXG327682 BGY327682:BHC327682 BQU327682:BQY327682 CAQ327682:CAU327682 CKM327682:CKQ327682 CUI327682:CUM327682 DEE327682:DEI327682 DOA327682:DOE327682 DXW327682:DYA327682 EHS327682:EHW327682 ERO327682:ERS327682 FBK327682:FBO327682 FLG327682:FLK327682 FVC327682:FVG327682 GEY327682:GFC327682 GOU327682:GOY327682 GYQ327682:GYU327682 HIM327682:HIQ327682 HSI327682:HSM327682 ICE327682:ICI327682 IMA327682:IME327682 IVW327682:IWA327682 JFS327682:JFW327682 JPO327682:JPS327682 JZK327682:JZO327682 KJG327682:KJK327682 KTC327682:KTG327682 LCY327682:LDC327682 LMU327682:LMY327682 LWQ327682:LWU327682 MGM327682:MGQ327682 MQI327682:MQM327682 NAE327682:NAI327682 NKA327682:NKE327682 NTW327682:NUA327682 ODS327682:ODW327682 ONO327682:ONS327682 OXK327682:OXO327682 PHG327682:PHK327682 PRC327682:PRG327682 QAY327682:QBC327682 QKU327682:QKY327682 QUQ327682:QUU327682 REM327682:REQ327682 ROI327682:ROM327682 RYE327682:RYI327682 SIA327682:SIE327682 SRW327682:SSA327682 TBS327682:TBW327682 TLO327682:TLS327682 TVK327682:TVO327682 UFG327682:UFK327682 UPC327682:UPG327682 UYY327682:UZC327682 VIU327682:VIY327682 VSQ327682:VSU327682 WCM327682:WCQ327682 WMI327682:WMM327682 WWE327682:WWI327682 W393218:AA393218 JS393218:JW393218 TO393218:TS393218 ADK393218:ADO393218 ANG393218:ANK393218 AXC393218:AXG393218 BGY393218:BHC393218 BQU393218:BQY393218 CAQ393218:CAU393218 CKM393218:CKQ393218 CUI393218:CUM393218 DEE393218:DEI393218 DOA393218:DOE393218 DXW393218:DYA393218 EHS393218:EHW393218 ERO393218:ERS393218 FBK393218:FBO393218 FLG393218:FLK393218 FVC393218:FVG393218 GEY393218:GFC393218 GOU393218:GOY393218 GYQ393218:GYU393218 HIM393218:HIQ393218 HSI393218:HSM393218 ICE393218:ICI393218 IMA393218:IME393218 IVW393218:IWA393218 JFS393218:JFW393218 JPO393218:JPS393218 JZK393218:JZO393218 KJG393218:KJK393218 KTC393218:KTG393218 LCY393218:LDC393218 LMU393218:LMY393218 LWQ393218:LWU393218 MGM393218:MGQ393218 MQI393218:MQM393218 NAE393218:NAI393218 NKA393218:NKE393218 NTW393218:NUA393218 ODS393218:ODW393218 ONO393218:ONS393218 OXK393218:OXO393218 PHG393218:PHK393218 PRC393218:PRG393218 QAY393218:QBC393218 QKU393218:QKY393218 QUQ393218:QUU393218 REM393218:REQ393218 ROI393218:ROM393218 RYE393218:RYI393218 SIA393218:SIE393218 SRW393218:SSA393218 TBS393218:TBW393218 TLO393218:TLS393218 TVK393218:TVO393218 UFG393218:UFK393218 UPC393218:UPG393218 UYY393218:UZC393218 VIU393218:VIY393218 VSQ393218:VSU393218 WCM393218:WCQ393218 WMI393218:WMM393218 WWE393218:WWI393218 W458754:AA458754 JS458754:JW458754 TO458754:TS458754 ADK458754:ADO458754 ANG458754:ANK458754 AXC458754:AXG458754 BGY458754:BHC458754 BQU458754:BQY458754 CAQ458754:CAU458754 CKM458754:CKQ458754 CUI458754:CUM458754 DEE458754:DEI458754 DOA458754:DOE458754 DXW458754:DYA458754 EHS458754:EHW458754 ERO458754:ERS458754 FBK458754:FBO458754 FLG458754:FLK458754 FVC458754:FVG458754 GEY458754:GFC458754 GOU458754:GOY458754 GYQ458754:GYU458754 HIM458754:HIQ458754 HSI458754:HSM458754 ICE458754:ICI458754 IMA458754:IME458754 IVW458754:IWA458754 JFS458754:JFW458754 JPO458754:JPS458754 JZK458754:JZO458754 KJG458754:KJK458754 KTC458754:KTG458754 LCY458754:LDC458754 LMU458754:LMY458754 LWQ458754:LWU458754 MGM458754:MGQ458754 MQI458754:MQM458754 NAE458754:NAI458754 NKA458754:NKE458754 NTW458754:NUA458754 ODS458754:ODW458754 ONO458754:ONS458754 OXK458754:OXO458754 PHG458754:PHK458754 PRC458754:PRG458754 QAY458754:QBC458754 QKU458754:QKY458754 QUQ458754:QUU458754 REM458754:REQ458754 ROI458754:ROM458754 RYE458754:RYI458754 SIA458754:SIE458754 SRW458754:SSA458754 TBS458754:TBW458754 TLO458754:TLS458754 TVK458754:TVO458754 UFG458754:UFK458754 UPC458754:UPG458754 UYY458754:UZC458754 VIU458754:VIY458754 VSQ458754:VSU458754 WCM458754:WCQ458754 WMI458754:WMM458754 WWE458754:WWI458754 W524290:AA524290 JS524290:JW524290 TO524290:TS524290 ADK524290:ADO524290 ANG524290:ANK524290 AXC524290:AXG524290 BGY524290:BHC524290 BQU524290:BQY524290 CAQ524290:CAU524290 CKM524290:CKQ524290 CUI524290:CUM524290 DEE524290:DEI524290 DOA524290:DOE524290 DXW524290:DYA524290 EHS524290:EHW524290 ERO524290:ERS524290 FBK524290:FBO524290 FLG524290:FLK524290 FVC524290:FVG524290 GEY524290:GFC524290 GOU524290:GOY524290 GYQ524290:GYU524290 HIM524290:HIQ524290 HSI524290:HSM524290 ICE524290:ICI524290 IMA524290:IME524290 IVW524290:IWA524290 JFS524290:JFW524290 JPO524290:JPS524290 JZK524290:JZO524290 KJG524290:KJK524290 KTC524290:KTG524290 LCY524290:LDC524290 LMU524290:LMY524290 LWQ524290:LWU524290 MGM524290:MGQ524290 MQI524290:MQM524290 NAE524290:NAI524290 NKA524290:NKE524290 NTW524290:NUA524290 ODS524290:ODW524290 ONO524290:ONS524290 OXK524290:OXO524290 PHG524290:PHK524290 PRC524290:PRG524290 QAY524290:QBC524290 QKU524290:QKY524290 QUQ524290:QUU524290 REM524290:REQ524290 ROI524290:ROM524290 RYE524290:RYI524290 SIA524290:SIE524290 SRW524290:SSA524290 TBS524290:TBW524290 TLO524290:TLS524290 TVK524290:TVO524290 UFG524290:UFK524290 UPC524290:UPG524290 UYY524290:UZC524290 VIU524290:VIY524290 VSQ524290:VSU524290 WCM524290:WCQ524290 WMI524290:WMM524290 WWE524290:WWI524290 W589826:AA589826 JS589826:JW589826 TO589826:TS589826 ADK589826:ADO589826 ANG589826:ANK589826 AXC589826:AXG589826 BGY589826:BHC589826 BQU589826:BQY589826 CAQ589826:CAU589826 CKM589826:CKQ589826 CUI589826:CUM589826 DEE589826:DEI589826 DOA589826:DOE589826 DXW589826:DYA589826 EHS589826:EHW589826 ERO589826:ERS589826 FBK589826:FBO589826 FLG589826:FLK589826 FVC589826:FVG589826 GEY589826:GFC589826 GOU589826:GOY589826 GYQ589826:GYU589826 HIM589826:HIQ589826 HSI589826:HSM589826 ICE589826:ICI589826 IMA589826:IME589826 IVW589826:IWA589826 JFS589826:JFW589826 JPO589826:JPS589826 JZK589826:JZO589826 KJG589826:KJK589826 KTC589826:KTG589826 LCY589826:LDC589826 LMU589826:LMY589826 LWQ589826:LWU589826 MGM589826:MGQ589826 MQI589826:MQM589826 NAE589826:NAI589826 NKA589826:NKE589826 NTW589826:NUA589826 ODS589826:ODW589826 ONO589826:ONS589826 OXK589826:OXO589826 PHG589826:PHK589826 PRC589826:PRG589826 QAY589826:QBC589826 QKU589826:QKY589826 QUQ589826:QUU589826 REM589826:REQ589826 ROI589826:ROM589826 RYE589826:RYI589826 SIA589826:SIE589826 SRW589826:SSA589826 TBS589826:TBW589826 TLO589826:TLS589826 TVK589826:TVO589826 UFG589826:UFK589826 UPC589826:UPG589826 UYY589826:UZC589826 VIU589826:VIY589826 VSQ589826:VSU589826 WCM589826:WCQ589826 WMI589826:WMM589826 WWE589826:WWI589826 W655362:AA655362 JS655362:JW655362 TO655362:TS655362 ADK655362:ADO655362 ANG655362:ANK655362 AXC655362:AXG655362 BGY655362:BHC655362 BQU655362:BQY655362 CAQ655362:CAU655362 CKM655362:CKQ655362 CUI655362:CUM655362 DEE655362:DEI655362 DOA655362:DOE655362 DXW655362:DYA655362 EHS655362:EHW655362 ERO655362:ERS655362 FBK655362:FBO655362 FLG655362:FLK655362 FVC655362:FVG655362 GEY655362:GFC655362 GOU655362:GOY655362 GYQ655362:GYU655362 HIM655362:HIQ655362 HSI655362:HSM655362 ICE655362:ICI655362 IMA655362:IME655362 IVW655362:IWA655362 JFS655362:JFW655362 JPO655362:JPS655362 JZK655362:JZO655362 KJG655362:KJK655362 KTC655362:KTG655362 LCY655362:LDC655362 LMU655362:LMY655362 LWQ655362:LWU655362 MGM655362:MGQ655362 MQI655362:MQM655362 NAE655362:NAI655362 NKA655362:NKE655362 NTW655362:NUA655362 ODS655362:ODW655362 ONO655362:ONS655362 OXK655362:OXO655362 PHG655362:PHK655362 PRC655362:PRG655362 QAY655362:QBC655362 QKU655362:QKY655362 QUQ655362:QUU655362 REM655362:REQ655362 ROI655362:ROM655362 RYE655362:RYI655362 SIA655362:SIE655362 SRW655362:SSA655362 TBS655362:TBW655362 TLO655362:TLS655362 TVK655362:TVO655362 UFG655362:UFK655362 UPC655362:UPG655362 UYY655362:UZC655362 VIU655362:VIY655362 VSQ655362:VSU655362 WCM655362:WCQ655362 WMI655362:WMM655362 WWE655362:WWI655362 W720898:AA720898 JS720898:JW720898 TO720898:TS720898 ADK720898:ADO720898 ANG720898:ANK720898 AXC720898:AXG720898 BGY720898:BHC720898 BQU720898:BQY720898 CAQ720898:CAU720898 CKM720898:CKQ720898 CUI720898:CUM720898 DEE720898:DEI720898 DOA720898:DOE720898 DXW720898:DYA720898 EHS720898:EHW720898 ERO720898:ERS720898 FBK720898:FBO720898 FLG720898:FLK720898 FVC720898:FVG720898 GEY720898:GFC720898 GOU720898:GOY720898 GYQ720898:GYU720898 HIM720898:HIQ720898 HSI720898:HSM720898 ICE720898:ICI720898 IMA720898:IME720898 IVW720898:IWA720898 JFS720898:JFW720898 JPO720898:JPS720898 JZK720898:JZO720898 KJG720898:KJK720898 KTC720898:KTG720898 LCY720898:LDC720898 LMU720898:LMY720898 LWQ720898:LWU720898 MGM720898:MGQ720898 MQI720898:MQM720898 NAE720898:NAI720898 NKA720898:NKE720898 NTW720898:NUA720898 ODS720898:ODW720898 ONO720898:ONS720898 OXK720898:OXO720898 PHG720898:PHK720898 PRC720898:PRG720898 QAY720898:QBC720898 QKU720898:QKY720898 QUQ720898:QUU720898 REM720898:REQ720898 ROI720898:ROM720898 RYE720898:RYI720898 SIA720898:SIE720898 SRW720898:SSA720898 TBS720898:TBW720898 TLO720898:TLS720898 TVK720898:TVO720898 UFG720898:UFK720898 UPC720898:UPG720898 UYY720898:UZC720898 VIU720898:VIY720898 VSQ720898:VSU720898 WCM720898:WCQ720898 WMI720898:WMM720898 WWE720898:WWI720898 W786434:AA786434 JS786434:JW786434 TO786434:TS786434 ADK786434:ADO786434 ANG786434:ANK786434 AXC786434:AXG786434 BGY786434:BHC786434 BQU786434:BQY786434 CAQ786434:CAU786434 CKM786434:CKQ786434 CUI786434:CUM786434 DEE786434:DEI786434 DOA786434:DOE786434 DXW786434:DYA786434 EHS786434:EHW786434 ERO786434:ERS786434 FBK786434:FBO786434 FLG786434:FLK786434 FVC786434:FVG786434 GEY786434:GFC786434 GOU786434:GOY786434 GYQ786434:GYU786434 HIM786434:HIQ786434 HSI786434:HSM786434 ICE786434:ICI786434 IMA786434:IME786434 IVW786434:IWA786434 JFS786434:JFW786434 JPO786434:JPS786434 JZK786434:JZO786434 KJG786434:KJK786434 KTC786434:KTG786434 LCY786434:LDC786434 LMU786434:LMY786434 LWQ786434:LWU786434 MGM786434:MGQ786434 MQI786434:MQM786434 NAE786434:NAI786434 NKA786434:NKE786434 NTW786434:NUA786434 ODS786434:ODW786434 ONO786434:ONS786434 OXK786434:OXO786434 PHG786434:PHK786434 PRC786434:PRG786434 QAY786434:QBC786434 QKU786434:QKY786434 QUQ786434:QUU786434 REM786434:REQ786434 ROI786434:ROM786434 RYE786434:RYI786434 SIA786434:SIE786434 SRW786434:SSA786434 TBS786434:TBW786434 TLO786434:TLS786434 TVK786434:TVO786434 UFG786434:UFK786434 UPC786434:UPG786434 UYY786434:UZC786434 VIU786434:VIY786434 VSQ786434:VSU786434 WCM786434:WCQ786434 WMI786434:WMM786434 WWE786434:WWI786434 W851970:AA851970 JS851970:JW851970 TO851970:TS851970 ADK851970:ADO851970 ANG851970:ANK851970 AXC851970:AXG851970 BGY851970:BHC851970 BQU851970:BQY851970 CAQ851970:CAU851970 CKM851970:CKQ851970 CUI851970:CUM851970 DEE851970:DEI851970 DOA851970:DOE851970 DXW851970:DYA851970 EHS851970:EHW851970 ERO851970:ERS851970 FBK851970:FBO851970 FLG851970:FLK851970 FVC851970:FVG851970 GEY851970:GFC851970 GOU851970:GOY851970 GYQ851970:GYU851970 HIM851970:HIQ851970 HSI851970:HSM851970 ICE851970:ICI851970 IMA851970:IME851970 IVW851970:IWA851970 JFS851970:JFW851970 JPO851970:JPS851970 JZK851970:JZO851970 KJG851970:KJK851970 KTC851970:KTG851970 LCY851970:LDC851970 LMU851970:LMY851970 LWQ851970:LWU851970 MGM851970:MGQ851970 MQI851970:MQM851970 NAE851970:NAI851970 NKA851970:NKE851970 NTW851970:NUA851970 ODS851970:ODW851970 ONO851970:ONS851970 OXK851970:OXO851970 PHG851970:PHK851970 PRC851970:PRG851970 QAY851970:QBC851970 QKU851970:QKY851970 QUQ851970:QUU851970 REM851970:REQ851970 ROI851970:ROM851970 RYE851970:RYI851970 SIA851970:SIE851970 SRW851970:SSA851970 TBS851970:TBW851970 TLO851970:TLS851970 TVK851970:TVO851970 UFG851970:UFK851970 UPC851970:UPG851970 UYY851970:UZC851970 VIU851970:VIY851970 VSQ851970:VSU851970 WCM851970:WCQ851970 WMI851970:WMM851970 WWE851970:WWI851970 W917506:AA917506 JS917506:JW917506 TO917506:TS917506 ADK917506:ADO917506 ANG917506:ANK917506 AXC917506:AXG917506 BGY917506:BHC917506 BQU917506:BQY917506 CAQ917506:CAU917506 CKM917506:CKQ917506 CUI917506:CUM917506 DEE917506:DEI917506 DOA917506:DOE917506 DXW917506:DYA917506 EHS917506:EHW917506 ERO917506:ERS917506 FBK917506:FBO917506 FLG917506:FLK917506 FVC917506:FVG917506 GEY917506:GFC917506 GOU917506:GOY917506 GYQ917506:GYU917506 HIM917506:HIQ917506 HSI917506:HSM917506 ICE917506:ICI917506 IMA917506:IME917506 IVW917506:IWA917506 JFS917506:JFW917506 JPO917506:JPS917506 JZK917506:JZO917506 KJG917506:KJK917506 KTC917506:KTG917506 LCY917506:LDC917506 LMU917506:LMY917506 LWQ917506:LWU917506 MGM917506:MGQ917506 MQI917506:MQM917506 NAE917506:NAI917506 NKA917506:NKE917506 NTW917506:NUA917506 ODS917506:ODW917506 ONO917506:ONS917506 OXK917506:OXO917506 PHG917506:PHK917506 PRC917506:PRG917506 QAY917506:QBC917506 QKU917506:QKY917506 QUQ917506:QUU917506 REM917506:REQ917506 ROI917506:ROM917506 RYE917506:RYI917506 SIA917506:SIE917506 SRW917506:SSA917506 TBS917506:TBW917506 TLO917506:TLS917506 TVK917506:TVO917506 UFG917506:UFK917506 UPC917506:UPG917506 UYY917506:UZC917506 VIU917506:VIY917506 VSQ917506:VSU917506 WCM917506:WCQ917506 WMI917506:WMM917506 WWE917506:WWI917506 W983042:AA983042 JS983042:JW983042 TO983042:TS983042 ADK983042:ADO983042 ANG983042:ANK983042 AXC983042:AXG983042 BGY983042:BHC983042 BQU983042:BQY983042 CAQ983042:CAU983042 CKM983042:CKQ983042 CUI983042:CUM983042 DEE983042:DEI983042 DOA983042:DOE983042 DXW983042:DYA983042 EHS983042:EHW983042 ERO983042:ERS983042 FBK983042:FBO983042 FLG983042:FLK983042 FVC983042:FVG983042 GEY983042:GFC983042 GOU983042:GOY983042 GYQ983042:GYU983042 HIM983042:HIQ983042 HSI983042:HSM983042 ICE983042:ICI983042 IMA983042:IME983042 IVW983042:IWA983042 JFS983042:JFW983042 JPO983042:JPS983042 JZK983042:JZO983042 KJG983042:KJK983042 KTC983042:KTG983042 LCY983042:LDC983042 LMU983042:LMY983042 LWQ983042:LWU983042 MGM983042:MGQ983042 MQI983042:MQM983042 NAE983042:NAI983042 NKA983042:NKE983042 NTW983042:NUA983042 ODS983042:ODW983042 ONO983042:ONS983042 OXK983042:OXO983042 PHG983042:PHK983042 PRC983042:PRG983042 QAY983042:QBC983042 QKU983042:QKY983042 QUQ983042:QUU983042 REM983042:REQ983042 ROI983042:ROM983042 RYE983042:RYI983042 SIA983042:SIE983042 SRW983042:SSA983042 TBS983042:TBW983042 TLO983042:TLS983042 TVK983042:TVO983042 UFG983042:UFK983042 UPC983042:UPG983042 UYY983042:UZC983042 VIU983042:VIY983042 VSQ983042:VSU983042 WCM983042:WCQ983042 WMI983042:WMM983042 WWE983042:WWI983042" xr:uid="{00000000-0002-0000-0500-000000000000}">
      <formula1>$A$5:$A$16</formula1>
    </dataValidation>
    <dataValidation type="list" allowBlank="1" showInputMessage="1" showErrorMessage="1" sqref="WVL983042:WVP983042 IZ2:JD2 SV2:SZ2 ACR2:ACV2 AMN2:AMR2 AWJ2:AWN2 BGF2:BGJ2 BQB2:BQF2 BZX2:CAB2 CJT2:CJX2 CTP2:CTT2 DDL2:DDP2 DNH2:DNL2 DXD2:DXH2 EGZ2:EHD2 EQV2:EQZ2 FAR2:FAV2 FKN2:FKR2 FUJ2:FUN2 GEF2:GEJ2 GOB2:GOF2 GXX2:GYB2 HHT2:HHX2 HRP2:HRT2 IBL2:IBP2 ILH2:ILL2 IVD2:IVH2 JEZ2:JFD2 JOV2:JOZ2 JYR2:JYV2 KIN2:KIR2 KSJ2:KSN2 LCF2:LCJ2 LMB2:LMF2 LVX2:LWB2 MFT2:MFX2 MPP2:MPT2 MZL2:MZP2 NJH2:NJL2 NTD2:NTH2 OCZ2:ODD2 OMV2:OMZ2 OWR2:OWV2 PGN2:PGR2 PQJ2:PQN2 QAF2:QAJ2 QKB2:QKF2 QTX2:QUB2 RDT2:RDX2 RNP2:RNT2 RXL2:RXP2 SHH2:SHL2 SRD2:SRH2 TAZ2:TBD2 TKV2:TKZ2 TUR2:TUV2 UEN2:UER2 UOJ2:UON2 UYF2:UYJ2 VIB2:VIF2 VRX2:VSB2 WBT2:WBX2 WLP2:WLT2 WVL2:WVP2 D65538:H65538 IZ65538:JD65538 SV65538:SZ65538 ACR65538:ACV65538 AMN65538:AMR65538 AWJ65538:AWN65538 BGF65538:BGJ65538 BQB65538:BQF65538 BZX65538:CAB65538 CJT65538:CJX65538 CTP65538:CTT65538 DDL65538:DDP65538 DNH65538:DNL65538 DXD65538:DXH65538 EGZ65538:EHD65538 EQV65538:EQZ65538 FAR65538:FAV65538 FKN65538:FKR65538 FUJ65538:FUN65538 GEF65538:GEJ65538 GOB65538:GOF65538 GXX65538:GYB65538 HHT65538:HHX65538 HRP65538:HRT65538 IBL65538:IBP65538 ILH65538:ILL65538 IVD65538:IVH65538 JEZ65538:JFD65538 JOV65538:JOZ65538 JYR65538:JYV65538 KIN65538:KIR65538 KSJ65538:KSN65538 LCF65538:LCJ65538 LMB65538:LMF65538 LVX65538:LWB65538 MFT65538:MFX65538 MPP65538:MPT65538 MZL65538:MZP65538 NJH65538:NJL65538 NTD65538:NTH65538 OCZ65538:ODD65538 OMV65538:OMZ65538 OWR65538:OWV65538 PGN65538:PGR65538 PQJ65538:PQN65538 QAF65538:QAJ65538 QKB65538:QKF65538 QTX65538:QUB65538 RDT65538:RDX65538 RNP65538:RNT65538 RXL65538:RXP65538 SHH65538:SHL65538 SRD65538:SRH65538 TAZ65538:TBD65538 TKV65538:TKZ65538 TUR65538:TUV65538 UEN65538:UER65538 UOJ65538:UON65538 UYF65538:UYJ65538 VIB65538:VIF65538 VRX65538:VSB65538 WBT65538:WBX65538 WLP65538:WLT65538 WVL65538:WVP65538 D131074:H131074 IZ131074:JD131074 SV131074:SZ131074 ACR131074:ACV131074 AMN131074:AMR131074 AWJ131074:AWN131074 BGF131074:BGJ131074 BQB131074:BQF131074 BZX131074:CAB131074 CJT131074:CJX131074 CTP131074:CTT131074 DDL131074:DDP131074 DNH131074:DNL131074 DXD131074:DXH131074 EGZ131074:EHD131074 EQV131074:EQZ131074 FAR131074:FAV131074 FKN131074:FKR131074 FUJ131074:FUN131074 GEF131074:GEJ131074 GOB131074:GOF131074 GXX131074:GYB131074 HHT131074:HHX131074 HRP131074:HRT131074 IBL131074:IBP131074 ILH131074:ILL131074 IVD131074:IVH131074 JEZ131074:JFD131074 JOV131074:JOZ131074 JYR131074:JYV131074 KIN131074:KIR131074 KSJ131074:KSN131074 LCF131074:LCJ131074 LMB131074:LMF131074 LVX131074:LWB131074 MFT131074:MFX131074 MPP131074:MPT131074 MZL131074:MZP131074 NJH131074:NJL131074 NTD131074:NTH131074 OCZ131074:ODD131074 OMV131074:OMZ131074 OWR131074:OWV131074 PGN131074:PGR131074 PQJ131074:PQN131074 QAF131074:QAJ131074 QKB131074:QKF131074 QTX131074:QUB131074 RDT131074:RDX131074 RNP131074:RNT131074 RXL131074:RXP131074 SHH131074:SHL131074 SRD131074:SRH131074 TAZ131074:TBD131074 TKV131074:TKZ131074 TUR131074:TUV131074 UEN131074:UER131074 UOJ131074:UON131074 UYF131074:UYJ131074 VIB131074:VIF131074 VRX131074:VSB131074 WBT131074:WBX131074 WLP131074:WLT131074 WVL131074:WVP131074 D196610:H196610 IZ196610:JD196610 SV196610:SZ196610 ACR196610:ACV196610 AMN196610:AMR196610 AWJ196610:AWN196610 BGF196610:BGJ196610 BQB196610:BQF196610 BZX196610:CAB196610 CJT196610:CJX196610 CTP196610:CTT196610 DDL196610:DDP196610 DNH196610:DNL196610 DXD196610:DXH196610 EGZ196610:EHD196610 EQV196610:EQZ196610 FAR196610:FAV196610 FKN196610:FKR196610 FUJ196610:FUN196610 GEF196610:GEJ196610 GOB196610:GOF196610 GXX196610:GYB196610 HHT196610:HHX196610 HRP196610:HRT196610 IBL196610:IBP196610 ILH196610:ILL196610 IVD196610:IVH196610 JEZ196610:JFD196610 JOV196610:JOZ196610 JYR196610:JYV196610 KIN196610:KIR196610 KSJ196610:KSN196610 LCF196610:LCJ196610 LMB196610:LMF196610 LVX196610:LWB196610 MFT196610:MFX196610 MPP196610:MPT196610 MZL196610:MZP196610 NJH196610:NJL196610 NTD196610:NTH196610 OCZ196610:ODD196610 OMV196610:OMZ196610 OWR196610:OWV196610 PGN196610:PGR196610 PQJ196610:PQN196610 QAF196610:QAJ196610 QKB196610:QKF196610 QTX196610:QUB196610 RDT196610:RDX196610 RNP196610:RNT196610 RXL196610:RXP196610 SHH196610:SHL196610 SRD196610:SRH196610 TAZ196610:TBD196610 TKV196610:TKZ196610 TUR196610:TUV196610 UEN196610:UER196610 UOJ196610:UON196610 UYF196610:UYJ196610 VIB196610:VIF196610 VRX196610:VSB196610 WBT196610:WBX196610 WLP196610:WLT196610 WVL196610:WVP196610 D262146:H262146 IZ262146:JD262146 SV262146:SZ262146 ACR262146:ACV262146 AMN262146:AMR262146 AWJ262146:AWN262146 BGF262146:BGJ262146 BQB262146:BQF262146 BZX262146:CAB262146 CJT262146:CJX262146 CTP262146:CTT262146 DDL262146:DDP262146 DNH262146:DNL262146 DXD262146:DXH262146 EGZ262146:EHD262146 EQV262146:EQZ262146 FAR262146:FAV262146 FKN262146:FKR262146 FUJ262146:FUN262146 GEF262146:GEJ262146 GOB262146:GOF262146 GXX262146:GYB262146 HHT262146:HHX262146 HRP262146:HRT262146 IBL262146:IBP262146 ILH262146:ILL262146 IVD262146:IVH262146 JEZ262146:JFD262146 JOV262146:JOZ262146 JYR262146:JYV262146 KIN262146:KIR262146 KSJ262146:KSN262146 LCF262146:LCJ262146 LMB262146:LMF262146 LVX262146:LWB262146 MFT262146:MFX262146 MPP262146:MPT262146 MZL262146:MZP262146 NJH262146:NJL262146 NTD262146:NTH262146 OCZ262146:ODD262146 OMV262146:OMZ262146 OWR262146:OWV262146 PGN262146:PGR262146 PQJ262146:PQN262146 QAF262146:QAJ262146 QKB262146:QKF262146 QTX262146:QUB262146 RDT262146:RDX262146 RNP262146:RNT262146 RXL262146:RXP262146 SHH262146:SHL262146 SRD262146:SRH262146 TAZ262146:TBD262146 TKV262146:TKZ262146 TUR262146:TUV262146 UEN262146:UER262146 UOJ262146:UON262146 UYF262146:UYJ262146 VIB262146:VIF262146 VRX262146:VSB262146 WBT262146:WBX262146 WLP262146:WLT262146 WVL262146:WVP262146 D327682:H327682 IZ327682:JD327682 SV327682:SZ327682 ACR327682:ACV327682 AMN327682:AMR327682 AWJ327682:AWN327682 BGF327682:BGJ327682 BQB327682:BQF327682 BZX327682:CAB327682 CJT327682:CJX327682 CTP327682:CTT327682 DDL327682:DDP327682 DNH327682:DNL327682 DXD327682:DXH327682 EGZ327682:EHD327682 EQV327682:EQZ327682 FAR327682:FAV327682 FKN327682:FKR327682 FUJ327682:FUN327682 GEF327682:GEJ327682 GOB327682:GOF327682 GXX327682:GYB327682 HHT327682:HHX327682 HRP327682:HRT327682 IBL327682:IBP327682 ILH327682:ILL327682 IVD327682:IVH327682 JEZ327682:JFD327682 JOV327682:JOZ327682 JYR327682:JYV327682 KIN327682:KIR327682 KSJ327682:KSN327682 LCF327682:LCJ327682 LMB327682:LMF327682 LVX327682:LWB327682 MFT327682:MFX327682 MPP327682:MPT327682 MZL327682:MZP327682 NJH327682:NJL327682 NTD327682:NTH327682 OCZ327682:ODD327682 OMV327682:OMZ327682 OWR327682:OWV327682 PGN327682:PGR327682 PQJ327682:PQN327682 QAF327682:QAJ327682 QKB327682:QKF327682 QTX327682:QUB327682 RDT327682:RDX327682 RNP327682:RNT327682 RXL327682:RXP327682 SHH327682:SHL327682 SRD327682:SRH327682 TAZ327682:TBD327682 TKV327682:TKZ327682 TUR327682:TUV327682 UEN327682:UER327682 UOJ327682:UON327682 UYF327682:UYJ327682 VIB327682:VIF327682 VRX327682:VSB327682 WBT327682:WBX327682 WLP327682:WLT327682 WVL327682:WVP327682 D393218:H393218 IZ393218:JD393218 SV393218:SZ393218 ACR393218:ACV393218 AMN393218:AMR393218 AWJ393218:AWN393218 BGF393218:BGJ393218 BQB393218:BQF393218 BZX393218:CAB393218 CJT393218:CJX393218 CTP393218:CTT393218 DDL393218:DDP393218 DNH393218:DNL393218 DXD393218:DXH393218 EGZ393218:EHD393218 EQV393218:EQZ393218 FAR393218:FAV393218 FKN393218:FKR393218 FUJ393218:FUN393218 GEF393218:GEJ393218 GOB393218:GOF393218 GXX393218:GYB393218 HHT393218:HHX393218 HRP393218:HRT393218 IBL393218:IBP393218 ILH393218:ILL393218 IVD393218:IVH393218 JEZ393218:JFD393218 JOV393218:JOZ393218 JYR393218:JYV393218 KIN393218:KIR393218 KSJ393218:KSN393218 LCF393218:LCJ393218 LMB393218:LMF393218 LVX393218:LWB393218 MFT393218:MFX393218 MPP393218:MPT393218 MZL393218:MZP393218 NJH393218:NJL393218 NTD393218:NTH393218 OCZ393218:ODD393218 OMV393218:OMZ393218 OWR393218:OWV393218 PGN393218:PGR393218 PQJ393218:PQN393218 QAF393218:QAJ393218 QKB393218:QKF393218 QTX393218:QUB393218 RDT393218:RDX393218 RNP393218:RNT393218 RXL393218:RXP393218 SHH393218:SHL393218 SRD393218:SRH393218 TAZ393218:TBD393218 TKV393218:TKZ393218 TUR393218:TUV393218 UEN393218:UER393218 UOJ393218:UON393218 UYF393218:UYJ393218 VIB393218:VIF393218 VRX393218:VSB393218 WBT393218:WBX393218 WLP393218:WLT393218 WVL393218:WVP393218 D458754:H458754 IZ458754:JD458754 SV458754:SZ458754 ACR458754:ACV458754 AMN458754:AMR458754 AWJ458754:AWN458754 BGF458754:BGJ458754 BQB458754:BQF458754 BZX458754:CAB458754 CJT458754:CJX458754 CTP458754:CTT458754 DDL458754:DDP458754 DNH458754:DNL458754 DXD458754:DXH458754 EGZ458754:EHD458754 EQV458754:EQZ458754 FAR458754:FAV458754 FKN458754:FKR458754 FUJ458754:FUN458754 GEF458754:GEJ458754 GOB458754:GOF458754 GXX458754:GYB458754 HHT458754:HHX458754 HRP458754:HRT458754 IBL458754:IBP458754 ILH458754:ILL458754 IVD458754:IVH458754 JEZ458754:JFD458754 JOV458754:JOZ458754 JYR458754:JYV458754 KIN458754:KIR458754 KSJ458754:KSN458754 LCF458754:LCJ458754 LMB458754:LMF458754 LVX458754:LWB458754 MFT458754:MFX458754 MPP458754:MPT458754 MZL458754:MZP458754 NJH458754:NJL458754 NTD458754:NTH458754 OCZ458754:ODD458754 OMV458754:OMZ458754 OWR458754:OWV458754 PGN458754:PGR458754 PQJ458754:PQN458754 QAF458754:QAJ458754 QKB458754:QKF458754 QTX458754:QUB458754 RDT458754:RDX458754 RNP458754:RNT458754 RXL458754:RXP458754 SHH458754:SHL458754 SRD458754:SRH458754 TAZ458754:TBD458754 TKV458754:TKZ458754 TUR458754:TUV458754 UEN458754:UER458754 UOJ458754:UON458754 UYF458754:UYJ458754 VIB458754:VIF458754 VRX458754:VSB458754 WBT458754:WBX458754 WLP458754:WLT458754 WVL458754:WVP458754 D524290:H524290 IZ524290:JD524290 SV524290:SZ524290 ACR524290:ACV524290 AMN524290:AMR524290 AWJ524290:AWN524290 BGF524290:BGJ524290 BQB524290:BQF524290 BZX524290:CAB524290 CJT524290:CJX524290 CTP524290:CTT524290 DDL524290:DDP524290 DNH524290:DNL524290 DXD524290:DXH524290 EGZ524290:EHD524290 EQV524290:EQZ524290 FAR524290:FAV524290 FKN524290:FKR524290 FUJ524290:FUN524290 GEF524290:GEJ524290 GOB524290:GOF524290 GXX524290:GYB524290 HHT524290:HHX524290 HRP524290:HRT524290 IBL524290:IBP524290 ILH524290:ILL524290 IVD524290:IVH524290 JEZ524290:JFD524290 JOV524290:JOZ524290 JYR524290:JYV524290 KIN524290:KIR524290 KSJ524290:KSN524290 LCF524290:LCJ524290 LMB524290:LMF524290 LVX524290:LWB524290 MFT524290:MFX524290 MPP524290:MPT524290 MZL524290:MZP524290 NJH524290:NJL524290 NTD524290:NTH524290 OCZ524290:ODD524290 OMV524290:OMZ524290 OWR524290:OWV524290 PGN524290:PGR524290 PQJ524290:PQN524290 QAF524290:QAJ524290 QKB524290:QKF524290 QTX524290:QUB524290 RDT524290:RDX524290 RNP524290:RNT524290 RXL524290:RXP524290 SHH524290:SHL524290 SRD524290:SRH524290 TAZ524290:TBD524290 TKV524290:TKZ524290 TUR524290:TUV524290 UEN524290:UER524290 UOJ524290:UON524290 UYF524290:UYJ524290 VIB524290:VIF524290 VRX524290:VSB524290 WBT524290:WBX524290 WLP524290:WLT524290 WVL524290:WVP524290 D589826:H589826 IZ589826:JD589826 SV589826:SZ589826 ACR589826:ACV589826 AMN589826:AMR589826 AWJ589826:AWN589826 BGF589826:BGJ589826 BQB589826:BQF589826 BZX589826:CAB589826 CJT589826:CJX589826 CTP589826:CTT589826 DDL589826:DDP589826 DNH589826:DNL589826 DXD589826:DXH589826 EGZ589826:EHD589826 EQV589826:EQZ589826 FAR589826:FAV589826 FKN589826:FKR589826 FUJ589826:FUN589826 GEF589826:GEJ589826 GOB589826:GOF589826 GXX589826:GYB589826 HHT589826:HHX589826 HRP589826:HRT589826 IBL589826:IBP589826 ILH589826:ILL589826 IVD589826:IVH589826 JEZ589826:JFD589826 JOV589826:JOZ589826 JYR589826:JYV589826 KIN589826:KIR589826 KSJ589826:KSN589826 LCF589826:LCJ589826 LMB589826:LMF589826 LVX589826:LWB589826 MFT589826:MFX589826 MPP589826:MPT589826 MZL589826:MZP589826 NJH589826:NJL589826 NTD589826:NTH589826 OCZ589826:ODD589826 OMV589826:OMZ589826 OWR589826:OWV589826 PGN589826:PGR589826 PQJ589826:PQN589826 QAF589826:QAJ589826 QKB589826:QKF589826 QTX589826:QUB589826 RDT589826:RDX589826 RNP589826:RNT589826 RXL589826:RXP589826 SHH589826:SHL589826 SRD589826:SRH589826 TAZ589826:TBD589826 TKV589826:TKZ589826 TUR589826:TUV589826 UEN589826:UER589826 UOJ589826:UON589826 UYF589826:UYJ589826 VIB589826:VIF589826 VRX589826:VSB589826 WBT589826:WBX589826 WLP589826:WLT589826 WVL589826:WVP589826 D655362:H655362 IZ655362:JD655362 SV655362:SZ655362 ACR655362:ACV655362 AMN655362:AMR655362 AWJ655362:AWN655362 BGF655362:BGJ655362 BQB655362:BQF655362 BZX655362:CAB655362 CJT655362:CJX655362 CTP655362:CTT655362 DDL655362:DDP655362 DNH655362:DNL655362 DXD655362:DXH655362 EGZ655362:EHD655362 EQV655362:EQZ655362 FAR655362:FAV655362 FKN655362:FKR655362 FUJ655362:FUN655362 GEF655362:GEJ655362 GOB655362:GOF655362 GXX655362:GYB655362 HHT655362:HHX655362 HRP655362:HRT655362 IBL655362:IBP655362 ILH655362:ILL655362 IVD655362:IVH655362 JEZ655362:JFD655362 JOV655362:JOZ655362 JYR655362:JYV655362 KIN655362:KIR655362 KSJ655362:KSN655362 LCF655362:LCJ655362 LMB655362:LMF655362 LVX655362:LWB655362 MFT655362:MFX655362 MPP655362:MPT655362 MZL655362:MZP655362 NJH655362:NJL655362 NTD655362:NTH655362 OCZ655362:ODD655362 OMV655362:OMZ655362 OWR655362:OWV655362 PGN655362:PGR655362 PQJ655362:PQN655362 QAF655362:QAJ655362 QKB655362:QKF655362 QTX655362:QUB655362 RDT655362:RDX655362 RNP655362:RNT655362 RXL655362:RXP655362 SHH655362:SHL655362 SRD655362:SRH655362 TAZ655362:TBD655362 TKV655362:TKZ655362 TUR655362:TUV655362 UEN655362:UER655362 UOJ655362:UON655362 UYF655362:UYJ655362 VIB655362:VIF655362 VRX655362:VSB655362 WBT655362:WBX655362 WLP655362:WLT655362 WVL655362:WVP655362 D720898:H720898 IZ720898:JD720898 SV720898:SZ720898 ACR720898:ACV720898 AMN720898:AMR720898 AWJ720898:AWN720898 BGF720898:BGJ720898 BQB720898:BQF720898 BZX720898:CAB720898 CJT720898:CJX720898 CTP720898:CTT720898 DDL720898:DDP720898 DNH720898:DNL720898 DXD720898:DXH720898 EGZ720898:EHD720898 EQV720898:EQZ720898 FAR720898:FAV720898 FKN720898:FKR720898 FUJ720898:FUN720898 GEF720898:GEJ720898 GOB720898:GOF720898 GXX720898:GYB720898 HHT720898:HHX720898 HRP720898:HRT720898 IBL720898:IBP720898 ILH720898:ILL720898 IVD720898:IVH720898 JEZ720898:JFD720898 JOV720898:JOZ720898 JYR720898:JYV720898 KIN720898:KIR720898 KSJ720898:KSN720898 LCF720898:LCJ720898 LMB720898:LMF720898 LVX720898:LWB720898 MFT720898:MFX720898 MPP720898:MPT720898 MZL720898:MZP720898 NJH720898:NJL720898 NTD720898:NTH720898 OCZ720898:ODD720898 OMV720898:OMZ720898 OWR720898:OWV720898 PGN720898:PGR720898 PQJ720898:PQN720898 QAF720898:QAJ720898 QKB720898:QKF720898 QTX720898:QUB720898 RDT720898:RDX720898 RNP720898:RNT720898 RXL720898:RXP720898 SHH720898:SHL720898 SRD720898:SRH720898 TAZ720898:TBD720898 TKV720898:TKZ720898 TUR720898:TUV720898 UEN720898:UER720898 UOJ720898:UON720898 UYF720898:UYJ720898 VIB720898:VIF720898 VRX720898:VSB720898 WBT720898:WBX720898 WLP720898:WLT720898 WVL720898:WVP720898 D786434:H786434 IZ786434:JD786434 SV786434:SZ786434 ACR786434:ACV786434 AMN786434:AMR786434 AWJ786434:AWN786434 BGF786434:BGJ786434 BQB786434:BQF786434 BZX786434:CAB786434 CJT786434:CJX786434 CTP786434:CTT786434 DDL786434:DDP786434 DNH786434:DNL786434 DXD786434:DXH786434 EGZ786434:EHD786434 EQV786434:EQZ786434 FAR786434:FAV786434 FKN786434:FKR786434 FUJ786434:FUN786434 GEF786434:GEJ786434 GOB786434:GOF786434 GXX786434:GYB786434 HHT786434:HHX786434 HRP786434:HRT786434 IBL786434:IBP786434 ILH786434:ILL786434 IVD786434:IVH786434 JEZ786434:JFD786434 JOV786434:JOZ786434 JYR786434:JYV786434 KIN786434:KIR786434 KSJ786434:KSN786434 LCF786434:LCJ786434 LMB786434:LMF786434 LVX786434:LWB786434 MFT786434:MFX786434 MPP786434:MPT786434 MZL786434:MZP786434 NJH786434:NJL786434 NTD786434:NTH786434 OCZ786434:ODD786434 OMV786434:OMZ786434 OWR786434:OWV786434 PGN786434:PGR786434 PQJ786434:PQN786434 QAF786434:QAJ786434 QKB786434:QKF786434 QTX786434:QUB786434 RDT786434:RDX786434 RNP786434:RNT786434 RXL786434:RXP786434 SHH786434:SHL786434 SRD786434:SRH786434 TAZ786434:TBD786434 TKV786434:TKZ786434 TUR786434:TUV786434 UEN786434:UER786434 UOJ786434:UON786434 UYF786434:UYJ786434 VIB786434:VIF786434 VRX786434:VSB786434 WBT786434:WBX786434 WLP786434:WLT786434 WVL786434:WVP786434 D851970:H851970 IZ851970:JD851970 SV851970:SZ851970 ACR851970:ACV851970 AMN851970:AMR851970 AWJ851970:AWN851970 BGF851970:BGJ851970 BQB851970:BQF851970 BZX851970:CAB851970 CJT851970:CJX851970 CTP851970:CTT851970 DDL851970:DDP851970 DNH851970:DNL851970 DXD851970:DXH851970 EGZ851970:EHD851970 EQV851970:EQZ851970 FAR851970:FAV851970 FKN851970:FKR851970 FUJ851970:FUN851970 GEF851970:GEJ851970 GOB851970:GOF851970 GXX851970:GYB851970 HHT851970:HHX851970 HRP851970:HRT851970 IBL851970:IBP851970 ILH851970:ILL851970 IVD851970:IVH851970 JEZ851970:JFD851970 JOV851970:JOZ851970 JYR851970:JYV851970 KIN851970:KIR851970 KSJ851970:KSN851970 LCF851970:LCJ851970 LMB851970:LMF851970 LVX851970:LWB851970 MFT851970:MFX851970 MPP851970:MPT851970 MZL851970:MZP851970 NJH851970:NJL851970 NTD851970:NTH851970 OCZ851970:ODD851970 OMV851970:OMZ851970 OWR851970:OWV851970 PGN851970:PGR851970 PQJ851970:PQN851970 QAF851970:QAJ851970 QKB851970:QKF851970 QTX851970:QUB851970 RDT851970:RDX851970 RNP851970:RNT851970 RXL851970:RXP851970 SHH851970:SHL851970 SRD851970:SRH851970 TAZ851970:TBD851970 TKV851970:TKZ851970 TUR851970:TUV851970 UEN851970:UER851970 UOJ851970:UON851970 UYF851970:UYJ851970 VIB851970:VIF851970 VRX851970:VSB851970 WBT851970:WBX851970 WLP851970:WLT851970 WVL851970:WVP851970 D917506:H917506 IZ917506:JD917506 SV917506:SZ917506 ACR917506:ACV917506 AMN917506:AMR917506 AWJ917506:AWN917506 BGF917506:BGJ917506 BQB917506:BQF917506 BZX917506:CAB917506 CJT917506:CJX917506 CTP917506:CTT917506 DDL917506:DDP917506 DNH917506:DNL917506 DXD917506:DXH917506 EGZ917506:EHD917506 EQV917506:EQZ917506 FAR917506:FAV917506 FKN917506:FKR917506 FUJ917506:FUN917506 GEF917506:GEJ917506 GOB917506:GOF917506 GXX917506:GYB917506 HHT917506:HHX917506 HRP917506:HRT917506 IBL917506:IBP917506 ILH917506:ILL917506 IVD917506:IVH917506 JEZ917506:JFD917506 JOV917506:JOZ917506 JYR917506:JYV917506 KIN917506:KIR917506 KSJ917506:KSN917506 LCF917506:LCJ917506 LMB917506:LMF917506 LVX917506:LWB917506 MFT917506:MFX917506 MPP917506:MPT917506 MZL917506:MZP917506 NJH917506:NJL917506 NTD917506:NTH917506 OCZ917506:ODD917506 OMV917506:OMZ917506 OWR917506:OWV917506 PGN917506:PGR917506 PQJ917506:PQN917506 QAF917506:QAJ917506 QKB917506:QKF917506 QTX917506:QUB917506 RDT917506:RDX917506 RNP917506:RNT917506 RXL917506:RXP917506 SHH917506:SHL917506 SRD917506:SRH917506 TAZ917506:TBD917506 TKV917506:TKZ917506 TUR917506:TUV917506 UEN917506:UER917506 UOJ917506:UON917506 UYF917506:UYJ917506 VIB917506:VIF917506 VRX917506:VSB917506 WBT917506:WBX917506 WLP917506:WLT917506 WVL917506:WVP917506 D983042:H983042 IZ983042:JD983042 SV983042:SZ983042 ACR983042:ACV983042 AMN983042:AMR983042 AWJ983042:AWN983042 BGF983042:BGJ983042 BQB983042:BQF983042 BZX983042:CAB983042 CJT983042:CJX983042 CTP983042:CTT983042 DDL983042:DDP983042 DNH983042:DNL983042 DXD983042:DXH983042 EGZ983042:EHD983042 EQV983042:EQZ983042 FAR983042:FAV983042 FKN983042:FKR983042 FUJ983042:FUN983042 GEF983042:GEJ983042 GOB983042:GOF983042 GXX983042:GYB983042 HHT983042:HHX983042 HRP983042:HRT983042 IBL983042:IBP983042 ILH983042:ILL983042 IVD983042:IVH983042 JEZ983042:JFD983042 JOV983042:JOZ983042 JYR983042:JYV983042 KIN983042:KIR983042 KSJ983042:KSN983042 LCF983042:LCJ983042 LMB983042:LMF983042 LVX983042:LWB983042 MFT983042:MFX983042 MPP983042:MPT983042 MZL983042:MZP983042 NJH983042:NJL983042 NTD983042:NTH983042 OCZ983042:ODD983042 OMV983042:OMZ983042 OWR983042:OWV983042 PGN983042:PGR983042 PQJ983042:PQN983042 QAF983042:QAJ983042 QKB983042:QKF983042 QTX983042:QUB983042 RDT983042:RDX983042 RNP983042:RNT983042 RXL983042:RXP983042 SHH983042:SHL983042 SRD983042:SRH983042 TAZ983042:TBD983042 TKV983042:TKZ983042 TUR983042:TUV983042 UEN983042:UER983042 UOJ983042:UON983042 UYF983042:UYJ983042 VIB983042:VIF983042 VRX983042:VSB983042 WBT983042:WBX983042 WLP983042:WLT983042" xr:uid="{00000000-0002-0000-0500-000001000000}">
      <formula1>$A$4:$A$10</formula1>
    </dataValidation>
    <dataValidation type="list" allowBlank="1" showInputMessage="1" showErrorMessage="1" sqref="D2:H2" xr:uid="{00000000-0002-0000-0500-000002000000}">
      <formula1>$A$4:$A$14</formula1>
    </dataValidation>
  </dataValidations>
  <printOptions horizontalCentered="1"/>
  <pageMargins left="0.31496062992125984" right="0.23622047244094491" top="0.51181102362204722" bottom="0.55118110236220474" header="0.51181102362204722" footer="0.15748031496062992"/>
  <pageSetup paperSize="9" scale="80" firstPageNumber="0" fitToHeight="0" orientation="portrait" r:id="rId1"/>
  <headerFooter alignWithMargins="0">
    <oddFooter>Page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CFFFF"/>
  </sheetPr>
  <dimension ref="A1:O154"/>
  <sheetViews>
    <sheetView topLeftCell="A34" zoomScale="85" zoomScaleNormal="85" workbookViewId="0">
      <selection activeCell="F69" sqref="F69"/>
    </sheetView>
  </sheetViews>
  <sheetFormatPr defaultRowHeight="13.2"/>
  <cols>
    <col min="1" max="1" width="4.5546875" customWidth="1"/>
    <col min="3" max="3" width="43.44140625" customWidth="1"/>
    <col min="4" max="4" width="11.5546875" customWidth="1"/>
    <col min="5" max="5" width="13.33203125" customWidth="1"/>
    <col min="6" max="6" width="47.5546875" bestFit="1" customWidth="1"/>
    <col min="7" max="7" width="45.6640625" customWidth="1"/>
    <col min="8" max="8" width="13" customWidth="1"/>
    <col min="9" max="14" width="10.33203125" hidden="1" customWidth="1"/>
  </cols>
  <sheetData>
    <row r="1" spans="1:15" ht="31.2">
      <c r="A1" s="90"/>
      <c r="B1" s="350" t="s">
        <v>439</v>
      </c>
      <c r="C1" s="90"/>
      <c r="D1" s="90"/>
      <c r="E1" s="90"/>
      <c r="F1" s="90"/>
      <c r="G1" s="90"/>
      <c r="H1" s="90"/>
    </row>
    <row r="2" spans="1:15">
      <c r="A2" s="90"/>
      <c r="B2" s="90"/>
      <c r="C2" s="90"/>
      <c r="D2" s="90"/>
      <c r="E2" s="90"/>
      <c r="F2" s="90"/>
      <c r="G2" s="90"/>
      <c r="H2" s="90"/>
    </row>
    <row r="3" spans="1:15">
      <c r="A3" s="90"/>
      <c r="B3" s="90"/>
      <c r="C3" s="90"/>
      <c r="D3" s="90"/>
      <c r="E3" s="90"/>
      <c r="F3" s="90"/>
      <c r="G3" s="90"/>
      <c r="H3" s="90"/>
    </row>
    <row r="4" spans="1:15" ht="17.399999999999999">
      <c r="A4" s="90"/>
      <c r="B4" s="185" t="s">
        <v>435</v>
      </c>
      <c r="C4" s="90"/>
      <c r="D4" s="90"/>
      <c r="E4" s="90"/>
      <c r="F4" s="90"/>
      <c r="G4" s="90"/>
      <c r="H4" s="90"/>
    </row>
    <row r="5" spans="1:15" s="83" customFormat="1" ht="34.5" customHeight="1">
      <c r="A5" s="199"/>
      <c r="B5" s="199"/>
      <c r="C5" s="348" t="s">
        <v>244</v>
      </c>
      <c r="D5" s="348" t="s">
        <v>245</v>
      </c>
      <c r="E5" s="348" t="s">
        <v>49</v>
      </c>
      <c r="F5" s="349" t="s">
        <v>246</v>
      </c>
      <c r="G5" s="349" t="s">
        <v>247</v>
      </c>
      <c r="H5" s="90"/>
    </row>
    <row r="6" spans="1:15" ht="14.1" customHeight="1">
      <c r="A6" s="90"/>
      <c r="B6" s="90"/>
      <c r="C6" s="341"/>
      <c r="D6" s="341"/>
      <c r="E6" s="341"/>
      <c r="F6" s="341"/>
      <c r="G6" s="341"/>
      <c r="H6" s="90"/>
    </row>
    <row r="7" spans="1:15" s="84" customFormat="1" ht="13.8">
      <c r="A7" s="90"/>
      <c r="B7" s="90"/>
      <c r="C7" s="338" t="str">
        <f>'3_TIME SUM'!E24</f>
        <v>Well Control Operations / Situation (NPT)</v>
      </c>
      <c r="D7" s="338" t="str">
        <f>'3_TIME SUM'!F24</f>
        <v>2g</v>
      </c>
      <c r="E7" s="342">
        <f ca="1">SUMIF(INDIRECT(ADDRESS(9,COLUMN('2_DATA'!$M$7),,,"2_DATA")):INDIRECT(ADDRESS(1000,COLUMN('2_DATA'!$M$7),,,"2_DATA")),'6_LESSON LEARN'!D7,INDIRECT(ADDRESS(9,COLUMN('2_DATA'!$N$7),,,"2_DATA")):INDIRECT(ADDRESS(1000,COLUMN('2_DATA'!$N$7),,,"2_DATA")))</f>
        <v>0</v>
      </c>
      <c r="F7" s="339"/>
      <c r="G7" s="339"/>
      <c r="H7" s="90"/>
      <c r="I7" s="343" t="str">
        <f ca="1">IF(E7=0,"",E7)</f>
        <v/>
      </c>
      <c r="J7" s="344">
        <f ca="1">IFERROR(RANK(I7,$I$6:$I$65,1)+COUNTIF($I$6:I7,I7)-1,0)</f>
        <v>0</v>
      </c>
      <c r="K7" s="344" t="str">
        <f t="shared" ref="K7:K40" ca="1" si="0">IF(J7=0,"",MAX($J$7:$J$65)-J7+1)</f>
        <v/>
      </c>
      <c r="L7" s="343">
        <f>L6+1</f>
        <v>1</v>
      </c>
      <c r="M7" s="343" t="str">
        <f ca="1">IFERROR(INDEX($D$7:$K$65,MATCH(L7,$K$7:$K$65,0),1),"")</f>
        <v>8f</v>
      </c>
      <c r="N7"/>
      <c r="O7"/>
    </row>
    <row r="8" spans="1:15" s="84" customFormat="1" ht="13.8">
      <c r="A8" s="90"/>
      <c r="B8" s="90"/>
      <c r="C8" s="338" t="str">
        <f>'3_TIME SUM'!E25</f>
        <v>Lossing Circ / Pumping LCM / Monitor Unplanned (NPT)</v>
      </c>
      <c r="D8" s="338" t="str">
        <f>'3_TIME SUM'!F25</f>
        <v>2h</v>
      </c>
      <c r="E8" s="342">
        <f ca="1">SUMIF(INDIRECT(ADDRESS(9,COLUMN('2_DATA'!$M$7),,,"2_DATA")):INDIRECT(ADDRESS(1000,COLUMN('2_DATA'!$M$7),,,"2_DATA")),'6_LESSON LEARN'!D8,INDIRECT(ADDRESS(9,COLUMN('2_DATA'!$N$7),,,"2_DATA")):INDIRECT(ADDRESS(1000,COLUMN('2_DATA'!$N$7),,,"2_DATA")))</f>
        <v>0</v>
      </c>
      <c r="F8" s="339"/>
      <c r="G8" s="339"/>
      <c r="H8" s="90"/>
      <c r="I8" s="343" t="str">
        <f t="shared" ref="I8:I65" ca="1" si="1">IF(E8=0,"",E8)</f>
        <v/>
      </c>
      <c r="J8" s="344">
        <f ca="1">IFERROR(RANK(I8,$I$6:$I$65,1)+COUNTIF($I$6:I8,I8)-1,0)</f>
        <v>0</v>
      </c>
      <c r="K8" s="344" t="str">
        <f t="shared" ca="1" si="0"/>
        <v/>
      </c>
      <c r="L8" s="343">
        <f>L7+1</f>
        <v>2</v>
      </c>
      <c r="M8" s="343" t="str">
        <f t="shared" ref="M8:M65" ca="1" si="2">IFERROR(INDEX($D$7:$K$65,MATCH(L8,$K$7:$K$65,0),1),"")</f>
        <v>8d</v>
      </c>
      <c r="N8"/>
      <c r="O8"/>
    </row>
    <row r="9" spans="1:15" s="84" customFormat="1" ht="13.8">
      <c r="A9" s="90"/>
      <c r="B9" s="90"/>
      <c r="C9" s="338" t="str">
        <f>'3_TIME SUM'!E27</f>
        <v>Stuck Pipe Include Handling operations (NPT)</v>
      </c>
      <c r="D9" s="338" t="str">
        <f>'3_TIME SUM'!F27</f>
        <v>2j</v>
      </c>
      <c r="E9" s="342">
        <f ca="1">SUMIF(INDIRECT(ADDRESS(9,COLUMN('2_DATA'!$M$7),,,"2_DATA")):INDIRECT(ADDRESS(1000,COLUMN('2_DATA'!$M$7),,,"2_DATA")),'6_LESSON LEARN'!D9,INDIRECT(ADDRESS(9,COLUMN('2_DATA'!$N$7),,,"2_DATA")):INDIRECT(ADDRESS(1000,COLUMN('2_DATA'!$N$7),,,"2_DATA")))</f>
        <v>0</v>
      </c>
      <c r="F9" s="339"/>
      <c r="G9" s="339"/>
      <c r="H9" s="90"/>
      <c r="I9" s="343" t="str">
        <f t="shared" ca="1" si="1"/>
        <v/>
      </c>
      <c r="J9" s="344">
        <f ca="1">IFERROR(RANK(I9,$I$6:$I$65,1)+COUNTIF($I$6:I9,I9)-1,0)</f>
        <v>0</v>
      </c>
      <c r="K9" s="344" t="str">
        <f t="shared" ca="1" si="0"/>
        <v/>
      </c>
      <c r="L9" s="343">
        <f t="shared" ref="L9:L65" si="3">L8+1</f>
        <v>3</v>
      </c>
      <c r="M9" s="343" t="str">
        <f t="shared" ca="1" si="2"/>
        <v/>
      </c>
      <c r="N9"/>
      <c r="O9"/>
    </row>
    <row r="10" spans="1:15" s="84" customFormat="1" ht="13.8">
      <c r="A10" s="90"/>
      <c r="B10" s="90"/>
      <c r="C10" s="338" t="str">
        <f>'3_TIME SUM'!E29</f>
        <v>Wash / Reaming / Backreaming Unplanned (NPT)</v>
      </c>
      <c r="D10" s="338" t="str">
        <f>'3_TIME SUM'!F29</f>
        <v>3b</v>
      </c>
      <c r="E10" s="342">
        <f ca="1">SUMIF(INDIRECT(ADDRESS(9,COLUMN('2_DATA'!$M$7),,,"2_DATA")):INDIRECT(ADDRESS(1000,COLUMN('2_DATA'!$M$7),,,"2_DATA")),'6_LESSON LEARN'!D10,INDIRECT(ADDRESS(9,COLUMN('2_DATA'!$N$7),,,"2_DATA")):INDIRECT(ADDRESS(1000,COLUMN('2_DATA'!$N$7),,,"2_DATA")))</f>
        <v>0</v>
      </c>
      <c r="F10" s="339"/>
      <c r="G10" s="339"/>
      <c r="H10" s="90"/>
      <c r="I10" s="343" t="str">
        <f t="shared" ca="1" si="1"/>
        <v/>
      </c>
      <c r="J10" s="344">
        <f ca="1">IFERROR(RANK(I10,$I$6:$I$65,1)+COUNTIF($I$6:I10,I10)-1,0)</f>
        <v>0</v>
      </c>
      <c r="K10" s="344" t="str">
        <f t="shared" ca="1" si="0"/>
        <v/>
      </c>
      <c r="L10" s="343">
        <f t="shared" si="3"/>
        <v>4</v>
      </c>
      <c r="M10" s="343" t="str">
        <f t="shared" ca="1" si="2"/>
        <v/>
      </c>
      <c r="N10"/>
      <c r="O10"/>
    </row>
    <row r="11" spans="1:15" s="84" customFormat="1" ht="13.8">
      <c r="A11" s="90"/>
      <c r="B11" s="90"/>
      <c r="C11" s="338" t="str">
        <f>'3_TIME SUM'!E38</f>
        <v>Unplanned Circulate / Condition Mud</v>
      </c>
      <c r="D11" s="338" t="str">
        <f>'3_TIME SUM'!F38</f>
        <v>5c</v>
      </c>
      <c r="E11" s="342">
        <f ca="1">SUMIF(INDIRECT(ADDRESS(9,COLUMN('2_DATA'!$M$7),,,"2_DATA")):INDIRECT(ADDRESS(1000,COLUMN('2_DATA'!$M$7),,,"2_DATA")),'6_LESSON LEARN'!D11,INDIRECT(ADDRESS(9,COLUMN('2_DATA'!$N$7),,,"2_DATA")):INDIRECT(ADDRESS(1000,COLUMN('2_DATA'!$N$7),,,"2_DATA")))</f>
        <v>0</v>
      </c>
      <c r="F11" s="339"/>
      <c r="G11" s="339"/>
      <c r="H11" s="90"/>
      <c r="I11" s="343" t="str">
        <f t="shared" ca="1" si="1"/>
        <v/>
      </c>
      <c r="J11" s="344">
        <f ca="1">IFERROR(RANK(I11,$I$6:$I$65,1)+COUNTIF($I$6:I11,I11)-1,0)</f>
        <v>0</v>
      </c>
      <c r="K11" s="344" t="str">
        <f t="shared" ca="1" si="0"/>
        <v/>
      </c>
      <c r="L11" s="343">
        <f t="shared" si="3"/>
        <v>5</v>
      </c>
      <c r="M11" s="343" t="str">
        <f t="shared" ca="1" si="2"/>
        <v/>
      </c>
      <c r="N11"/>
      <c r="O11"/>
    </row>
    <row r="12" spans="1:15" s="84" customFormat="1" ht="13.8">
      <c r="A12" s="90"/>
      <c r="B12" s="90"/>
      <c r="C12" s="338" t="str">
        <f>'3_TIME SUM'!E49</f>
        <v>Repair Power System (NPT)</v>
      </c>
      <c r="D12" s="338" t="str">
        <f>'3_TIME SUM'!F49</f>
        <v>8a</v>
      </c>
      <c r="E12" s="342">
        <f ca="1">SUMIF(INDIRECT(ADDRESS(9,COLUMN('2_DATA'!$M$7),,,"2_DATA")):INDIRECT(ADDRESS(1000,COLUMN('2_DATA'!$M$7),,,"2_DATA")),'6_LESSON LEARN'!D12,INDIRECT(ADDRESS(9,COLUMN('2_DATA'!$N$7),,,"2_DATA")):INDIRECT(ADDRESS(1000,COLUMN('2_DATA'!$N$7),,,"2_DATA")))</f>
        <v>0</v>
      </c>
      <c r="F12" s="339"/>
      <c r="G12" s="339"/>
      <c r="H12" s="90"/>
      <c r="I12" s="343" t="str">
        <f t="shared" ca="1" si="1"/>
        <v/>
      </c>
      <c r="J12" s="344">
        <f ca="1">IFERROR(RANK(I12,$I$6:$I$65,1)+COUNTIF($I$6:I12,I12)-1,0)</f>
        <v>0</v>
      </c>
      <c r="K12" s="344" t="str">
        <f t="shared" ca="1" si="0"/>
        <v/>
      </c>
      <c r="L12" s="343">
        <f t="shared" si="3"/>
        <v>6</v>
      </c>
      <c r="M12" s="343" t="str">
        <f t="shared" ca="1" si="2"/>
        <v/>
      </c>
      <c r="N12"/>
      <c r="O12"/>
    </row>
    <row r="13" spans="1:15" s="84" customFormat="1" ht="13.8">
      <c r="A13" s="90"/>
      <c r="B13" s="90"/>
      <c r="C13" s="338" t="str">
        <f>'3_TIME SUM'!E50</f>
        <v>Repair Housting System (NPT)</v>
      </c>
      <c r="D13" s="338" t="str">
        <f>'3_TIME SUM'!F50</f>
        <v>8b</v>
      </c>
      <c r="E13" s="342">
        <f ca="1">SUMIF(INDIRECT(ADDRESS(9,COLUMN('2_DATA'!$M$7),,,"2_DATA")):INDIRECT(ADDRESS(1000,COLUMN('2_DATA'!$M$7),,,"2_DATA")),'6_LESSON LEARN'!D13,INDIRECT(ADDRESS(9,COLUMN('2_DATA'!$N$7),,,"2_DATA")):INDIRECT(ADDRESS(1000,COLUMN('2_DATA'!$N$7),,,"2_DATA")))</f>
        <v>0</v>
      </c>
      <c r="F13" s="339"/>
      <c r="G13" s="339"/>
      <c r="H13" s="90"/>
      <c r="I13" s="343" t="str">
        <f t="shared" ca="1" si="1"/>
        <v/>
      </c>
      <c r="J13" s="344">
        <f ca="1">IFERROR(RANK(I13,$I$6:$I$65,1)+COUNTIF($I$6:I13,I13)-1,0)</f>
        <v>0</v>
      </c>
      <c r="K13" s="344" t="str">
        <f t="shared" ca="1" si="0"/>
        <v/>
      </c>
      <c r="L13" s="343">
        <f t="shared" si="3"/>
        <v>7</v>
      </c>
      <c r="M13" s="343" t="str">
        <f t="shared" ca="1" si="2"/>
        <v/>
      </c>
      <c r="N13"/>
      <c r="O13"/>
    </row>
    <row r="14" spans="1:15" s="84" customFormat="1" ht="13.8">
      <c r="A14" s="90"/>
      <c r="B14" s="90"/>
      <c r="C14" s="338" t="str">
        <f>'3_TIME SUM'!E51</f>
        <v>Repair Cirulating System (NPT)</v>
      </c>
      <c r="D14" s="338" t="str">
        <f>'3_TIME SUM'!F51</f>
        <v>8c</v>
      </c>
      <c r="E14" s="342">
        <f ca="1">SUMIF(INDIRECT(ADDRESS(9,COLUMN('2_DATA'!$M$7),,,"2_DATA")):INDIRECT(ADDRESS(1000,COLUMN('2_DATA'!$M$7),,,"2_DATA")),'6_LESSON LEARN'!D14,INDIRECT(ADDRESS(9,COLUMN('2_DATA'!$N$7),,,"2_DATA")):INDIRECT(ADDRESS(1000,COLUMN('2_DATA'!$N$7),,,"2_DATA")))</f>
        <v>0</v>
      </c>
      <c r="F14" s="339"/>
      <c r="G14" s="339"/>
      <c r="H14" s="90"/>
      <c r="I14" s="343" t="str">
        <f t="shared" ca="1" si="1"/>
        <v/>
      </c>
      <c r="J14" s="344">
        <f ca="1">IFERROR(RANK(I14,$I$6:$I$65,1)+COUNTIF($I$6:I14,I14)-1,0)</f>
        <v>0</v>
      </c>
      <c r="K14" s="344" t="str">
        <f t="shared" ca="1" si="0"/>
        <v/>
      </c>
      <c r="L14" s="343">
        <f t="shared" si="3"/>
        <v>8</v>
      </c>
      <c r="M14" s="343" t="str">
        <f t="shared" ca="1" si="2"/>
        <v/>
      </c>
      <c r="N14"/>
      <c r="O14"/>
    </row>
    <row r="15" spans="1:15" s="84" customFormat="1" ht="13.8">
      <c r="A15" s="90"/>
      <c r="B15" s="90"/>
      <c r="C15" s="338" t="str">
        <f>'3_TIME SUM'!E52</f>
        <v>Repair Rotating System (NPT)</v>
      </c>
      <c r="D15" s="338" t="str">
        <f>'3_TIME SUM'!F52</f>
        <v>8d</v>
      </c>
      <c r="E15" s="342">
        <f ca="1">SUMIF(INDIRECT(ADDRESS(9,COLUMN('2_DATA'!$M$7),,,"2_DATA")):INDIRECT(ADDRESS(1000,COLUMN('2_DATA'!$M$7),,,"2_DATA")),'6_LESSON LEARN'!D15,INDIRECT(ADDRESS(9,COLUMN('2_DATA'!$N$7),,,"2_DATA")):INDIRECT(ADDRESS(1000,COLUMN('2_DATA'!$N$7),,,"2_DATA")))</f>
        <v>3.5</v>
      </c>
      <c r="F15" s="339"/>
      <c r="G15" s="339"/>
      <c r="H15" s="90"/>
      <c r="I15" s="343">
        <f t="shared" ca="1" si="1"/>
        <v>3.5</v>
      </c>
      <c r="J15" s="344">
        <f ca="1">IFERROR(RANK(I15,$I$6:$I$65,1)+COUNTIF($I$6:I15,I15)-1,0)</f>
        <v>1</v>
      </c>
      <c r="K15" s="344">
        <f t="shared" ca="1" si="0"/>
        <v>2</v>
      </c>
      <c r="L15" s="343">
        <f t="shared" si="3"/>
        <v>9</v>
      </c>
      <c r="M15" s="343" t="str">
        <f t="shared" ca="1" si="2"/>
        <v/>
      </c>
      <c r="N15"/>
      <c r="O15"/>
    </row>
    <row r="16" spans="1:15" s="84" customFormat="1" ht="13.8">
      <c r="A16" s="90"/>
      <c r="B16" s="90"/>
      <c r="C16" s="338" t="str">
        <f>'3_TIME SUM'!E53</f>
        <v>Repair Blow Out Preventer System (NPT)</v>
      </c>
      <c r="D16" s="338" t="str">
        <f>'3_TIME SUM'!F53</f>
        <v>8e</v>
      </c>
      <c r="E16" s="342">
        <f ca="1">SUMIF(INDIRECT(ADDRESS(9,COLUMN('2_DATA'!$M$7),,,"2_DATA")):INDIRECT(ADDRESS(1000,COLUMN('2_DATA'!$M$7),,,"2_DATA")),'6_LESSON LEARN'!D16,INDIRECT(ADDRESS(9,COLUMN('2_DATA'!$N$7),,,"2_DATA")):INDIRECT(ADDRESS(1000,COLUMN('2_DATA'!$N$7),,,"2_DATA")))</f>
        <v>0</v>
      </c>
      <c r="F16" s="339"/>
      <c r="G16" s="339"/>
      <c r="H16" s="90"/>
      <c r="I16" s="343" t="str">
        <f t="shared" ca="1" si="1"/>
        <v/>
      </c>
      <c r="J16" s="344">
        <f ca="1">IFERROR(RANK(I16,$I$6:$I$65,1)+COUNTIF($I$6:I16,I16)-1,0)</f>
        <v>0</v>
      </c>
      <c r="K16" s="344" t="str">
        <f t="shared" ca="1" si="0"/>
        <v/>
      </c>
      <c r="L16" s="343">
        <f t="shared" si="3"/>
        <v>10</v>
      </c>
      <c r="M16" s="343" t="str">
        <f t="shared" ca="1" si="2"/>
        <v/>
      </c>
      <c r="N16"/>
      <c r="O16"/>
    </row>
    <row r="17" spans="1:15" s="84" customFormat="1" ht="13.8">
      <c r="A17" s="90"/>
      <c r="B17" s="90"/>
      <c r="C17" s="338" t="str">
        <f>'3_TIME SUM'!E54</f>
        <v>Tubular Problem (NPT)</v>
      </c>
      <c r="D17" s="338" t="str">
        <f>'3_TIME SUM'!F54</f>
        <v>8f</v>
      </c>
      <c r="E17" s="342">
        <f ca="1">SUMIF(INDIRECT(ADDRESS(9,COLUMN('2_DATA'!$M$7),,,"2_DATA")):INDIRECT(ADDRESS(1000,COLUMN('2_DATA'!$M$7),,,"2_DATA")),'6_LESSON LEARN'!D17,INDIRECT(ADDRESS(9,COLUMN('2_DATA'!$N$7),,,"2_DATA")):INDIRECT(ADDRESS(1000,COLUMN('2_DATA'!$N$7),,,"2_DATA")))</f>
        <v>8</v>
      </c>
      <c r="F17" s="339"/>
      <c r="G17" s="339"/>
      <c r="H17" s="90"/>
      <c r="I17" s="343">
        <f t="shared" ca="1" si="1"/>
        <v>8</v>
      </c>
      <c r="J17" s="344">
        <f ca="1">IFERROR(RANK(I17,$I$6:$I$65,1)+COUNTIF($I$6:I17,I17)-1,0)</f>
        <v>2</v>
      </c>
      <c r="K17" s="344">
        <f t="shared" ca="1" si="0"/>
        <v>1</v>
      </c>
      <c r="L17" s="343">
        <f t="shared" si="3"/>
        <v>11</v>
      </c>
      <c r="M17" s="343" t="str">
        <f t="shared" ca="1" si="2"/>
        <v/>
      </c>
      <c r="N17"/>
      <c r="O17"/>
    </row>
    <row r="18" spans="1:15" s="84" customFormat="1" ht="13.8">
      <c r="A18" s="90"/>
      <c r="B18" s="90"/>
      <c r="C18" s="338" t="str">
        <f>'3_TIME SUM'!E55</f>
        <v>Personal Problem (NPT)</v>
      </c>
      <c r="D18" s="338" t="str">
        <f>'3_TIME SUM'!F55</f>
        <v>8g</v>
      </c>
      <c r="E18" s="342">
        <f ca="1">SUMIF(INDIRECT(ADDRESS(9,COLUMN('2_DATA'!$M$7),,,"2_DATA")):INDIRECT(ADDRESS(1000,COLUMN('2_DATA'!$M$7),,,"2_DATA")),'6_LESSON LEARN'!D18,INDIRECT(ADDRESS(9,COLUMN('2_DATA'!$N$7),,,"2_DATA")):INDIRECT(ADDRESS(1000,COLUMN('2_DATA'!$N$7),,,"2_DATA")))</f>
        <v>0</v>
      </c>
      <c r="F18" s="339"/>
      <c r="G18" s="339"/>
      <c r="H18" s="90"/>
      <c r="I18" s="343" t="str">
        <f t="shared" ca="1" si="1"/>
        <v/>
      </c>
      <c r="J18" s="344">
        <f ca="1">IFERROR(RANK(I18,$I$6:$I$65,1)+COUNTIF($I$6:I18,I18)-1,0)</f>
        <v>0</v>
      </c>
      <c r="K18" s="344" t="str">
        <f t="shared" ca="1" si="0"/>
        <v/>
      </c>
      <c r="L18" s="343">
        <f t="shared" si="3"/>
        <v>12</v>
      </c>
      <c r="M18" s="343" t="str">
        <f t="shared" ca="1" si="2"/>
        <v/>
      </c>
      <c r="N18"/>
      <c r="O18"/>
    </row>
    <row r="19" spans="1:15" s="84" customFormat="1" ht="13.8">
      <c r="A19" s="90"/>
      <c r="B19" s="90"/>
      <c r="C19" s="338" t="str">
        <f>'3_TIME SUM'!E61</f>
        <v>Wireline/Slick Line Job Unplanned (NPT)</v>
      </c>
      <c r="D19" s="338" t="str">
        <f>'3_TIME SUM'!F61</f>
        <v>11d</v>
      </c>
      <c r="E19" s="342">
        <f ca="1">SUMIF(INDIRECT(ADDRESS(9,COLUMN('2_DATA'!$M$7),,,"2_DATA")):INDIRECT(ADDRESS(1000,COLUMN('2_DATA'!$M$7),,,"2_DATA")),'6_LESSON LEARN'!D19,INDIRECT(ADDRESS(9,COLUMN('2_DATA'!$N$7),,,"2_DATA")):INDIRECT(ADDRESS(1000,COLUMN('2_DATA'!$N$7),,,"2_DATA")))</f>
        <v>0</v>
      </c>
      <c r="F19" s="339"/>
      <c r="G19" s="339"/>
      <c r="H19" s="90"/>
      <c r="I19" s="343" t="str">
        <f t="shared" ca="1" si="1"/>
        <v/>
      </c>
      <c r="J19" s="344">
        <f ca="1">IFERROR(RANK(I19,$I$6:$I$65,1)+COUNTIF($I$6:I19,I19)-1,0)</f>
        <v>0</v>
      </c>
      <c r="K19" s="344" t="str">
        <f t="shared" ca="1" si="0"/>
        <v/>
      </c>
      <c r="L19" s="343">
        <f t="shared" si="3"/>
        <v>13</v>
      </c>
      <c r="M19" s="343" t="str">
        <f t="shared" ca="1" si="2"/>
        <v/>
      </c>
      <c r="N19"/>
      <c r="O19"/>
    </row>
    <row r="20" spans="1:15" s="84" customFormat="1" ht="13.8">
      <c r="A20" s="90"/>
      <c r="B20" s="90"/>
      <c r="C20" s="338" t="str">
        <f>'3_TIME SUM'!E67</f>
        <v>Run Casing / Liner Problem (NPT)</v>
      </c>
      <c r="D20" s="338" t="str">
        <f>'3_TIME SUM'!F67</f>
        <v>12f</v>
      </c>
      <c r="E20" s="342">
        <f ca="1">SUMIF(INDIRECT(ADDRESS(9,COLUMN('2_DATA'!$M$7),,,"2_DATA")):INDIRECT(ADDRESS(1000,COLUMN('2_DATA'!$M$7),,,"2_DATA")),'6_LESSON LEARN'!D20,INDIRECT(ADDRESS(9,COLUMN('2_DATA'!$N$7),,,"2_DATA")):INDIRECT(ADDRESS(1000,COLUMN('2_DATA'!$N$7),,,"2_DATA")))</f>
        <v>0</v>
      </c>
      <c r="F20" s="339"/>
      <c r="G20" s="339"/>
      <c r="H20" s="90"/>
      <c r="I20" s="343" t="str">
        <f t="shared" ca="1" si="1"/>
        <v/>
      </c>
      <c r="J20" s="344">
        <f ca="1">IFERROR(RANK(I20,$I$6:$I$65,1)+COUNTIF($I$6:I20,I20)-1,0)</f>
        <v>0</v>
      </c>
      <c r="K20" s="344" t="str">
        <f t="shared" ca="1" si="0"/>
        <v/>
      </c>
      <c r="L20" s="343">
        <f t="shared" si="3"/>
        <v>14</v>
      </c>
      <c r="M20" s="343" t="str">
        <f t="shared" ca="1" si="2"/>
        <v/>
      </c>
      <c r="N20"/>
      <c r="O20"/>
    </row>
    <row r="21" spans="1:15" s="84" customFormat="1" ht="13.8">
      <c r="A21" s="90"/>
      <c r="B21" s="90"/>
      <c r="C21" s="338" t="str">
        <f>'3_TIME SUM'!E79</f>
        <v>Squeeze Unplanned (NPT)</v>
      </c>
      <c r="D21" s="338" t="str">
        <f>'3_TIME SUM'!F79</f>
        <v>18b</v>
      </c>
      <c r="E21" s="342">
        <f ca="1">SUMIF(INDIRECT(ADDRESS(9,COLUMN('2_DATA'!$M$7),,,"2_DATA")):INDIRECT(ADDRESS(1000,COLUMN('2_DATA'!$M$7),,,"2_DATA")),'6_LESSON LEARN'!D21,INDIRECT(ADDRESS(9,COLUMN('2_DATA'!$N$7),,,"2_DATA")):INDIRECT(ADDRESS(1000,COLUMN('2_DATA'!$N$7),,,"2_DATA")))</f>
        <v>0</v>
      </c>
      <c r="F21" s="339"/>
      <c r="G21" s="339"/>
      <c r="H21" s="90"/>
      <c r="I21" s="343" t="str">
        <f t="shared" ca="1" si="1"/>
        <v/>
      </c>
      <c r="J21" s="344">
        <f ca="1">IFERROR(RANK(I21,$I$6:$I$65,1)+COUNTIF($I$6:I21,I21)-1,0)</f>
        <v>0</v>
      </c>
      <c r="K21" s="344" t="str">
        <f t="shared" ca="1" si="0"/>
        <v/>
      </c>
      <c r="L21" s="343">
        <f t="shared" si="3"/>
        <v>15</v>
      </c>
      <c r="M21" s="343" t="str">
        <f t="shared" ca="1" si="2"/>
        <v/>
      </c>
      <c r="N21"/>
      <c r="O21"/>
    </row>
    <row r="22" spans="1:15" s="84" customFormat="1" ht="13.8">
      <c r="A22" s="90"/>
      <c r="B22" s="90"/>
      <c r="C22" s="338" t="str">
        <f>'3_TIME SUM'!E80</f>
        <v>Fishing Operations (NPT)</v>
      </c>
      <c r="D22" s="338" t="str">
        <f>'3_TIME SUM'!F80</f>
        <v>19a</v>
      </c>
      <c r="E22" s="342">
        <f ca="1">SUMIF(INDIRECT(ADDRESS(9,COLUMN('2_DATA'!$M$7),,,"2_DATA")):INDIRECT(ADDRESS(1000,COLUMN('2_DATA'!$M$7),,,"2_DATA")),'6_LESSON LEARN'!D22,INDIRECT(ADDRESS(9,COLUMN('2_DATA'!$N$7),,,"2_DATA")):INDIRECT(ADDRESS(1000,COLUMN('2_DATA'!$N$7),,,"2_DATA")))</f>
        <v>0</v>
      </c>
      <c r="F22" s="339"/>
      <c r="G22" s="339"/>
      <c r="H22" s="90"/>
      <c r="I22" s="343" t="str">
        <f t="shared" ca="1" si="1"/>
        <v/>
      </c>
      <c r="J22" s="344">
        <f ca="1">IFERROR(RANK(I22,$I$6:$I$65,1)+COUNTIF($I$6:I22,I22)-1,0)</f>
        <v>0</v>
      </c>
      <c r="K22" s="344" t="str">
        <f t="shared" ca="1" si="0"/>
        <v/>
      </c>
      <c r="L22" s="343">
        <f t="shared" si="3"/>
        <v>16</v>
      </c>
      <c r="M22" s="343" t="str">
        <f t="shared" ca="1" si="2"/>
        <v/>
      </c>
      <c r="N22"/>
      <c r="O22"/>
    </row>
    <row r="23" spans="1:15" s="84" customFormat="1" ht="13.8">
      <c r="A23" s="90"/>
      <c r="B23" s="90"/>
      <c r="C23" s="338" t="str">
        <f>'3_TIME SUM'!E84</f>
        <v xml:space="preserve">Directional Services </v>
      </c>
      <c r="D23" s="338" t="str">
        <f>'3_TIME SUM'!F84</f>
        <v>21a</v>
      </c>
      <c r="E23" s="342">
        <f ca="1">SUMIF(INDIRECT(ADDRESS(9,COLUMN('2_DATA'!$M$7),,,"2_DATA")):INDIRECT(ADDRESS(1000,COLUMN('2_DATA'!$M$7),,,"2_DATA")),'6_LESSON LEARN'!D23,INDIRECT(ADDRESS(9,COLUMN('2_DATA'!$N$7),,,"2_DATA")):INDIRECT(ADDRESS(1000,COLUMN('2_DATA'!$N$7),,,"2_DATA")))</f>
        <v>0</v>
      </c>
      <c r="F23" s="339"/>
      <c r="G23" s="339"/>
      <c r="H23" s="90"/>
      <c r="I23" s="343" t="str">
        <f t="shared" ca="1" si="1"/>
        <v/>
      </c>
      <c r="J23" s="344">
        <f ca="1">IFERROR(RANK(I23,$I$6:$I$65,1)+COUNTIF($I$6:I23,I23)-1,0)</f>
        <v>0</v>
      </c>
      <c r="K23" s="344" t="str">
        <f t="shared" ca="1" si="0"/>
        <v/>
      </c>
      <c r="L23" s="343">
        <f t="shared" si="3"/>
        <v>17</v>
      </c>
      <c r="M23" s="343" t="str">
        <f t="shared" ca="1" si="2"/>
        <v/>
      </c>
      <c r="N23"/>
      <c r="O23"/>
    </row>
    <row r="24" spans="1:15" s="84" customFormat="1" ht="13.8">
      <c r="A24" s="90"/>
      <c r="B24" s="90"/>
      <c r="C24" s="338" t="str">
        <f>'3_TIME SUM'!E85</f>
        <v>Mud Services</v>
      </c>
      <c r="D24" s="338" t="str">
        <f>'3_TIME SUM'!F85</f>
        <v>21b</v>
      </c>
      <c r="E24" s="342">
        <f ca="1">SUMIF(INDIRECT(ADDRESS(9,COLUMN('2_DATA'!$M$7),,,"2_DATA")):INDIRECT(ADDRESS(1000,COLUMN('2_DATA'!$M$7),,,"2_DATA")),'6_LESSON LEARN'!D24,INDIRECT(ADDRESS(9,COLUMN('2_DATA'!$N$7),,,"2_DATA")):INDIRECT(ADDRESS(1000,COLUMN('2_DATA'!$N$7),,,"2_DATA")))</f>
        <v>0</v>
      </c>
      <c r="F24" s="339"/>
      <c r="G24" s="339"/>
      <c r="H24" s="90"/>
      <c r="I24" s="343" t="str">
        <f t="shared" ca="1" si="1"/>
        <v/>
      </c>
      <c r="J24" s="344">
        <f ca="1">IFERROR(RANK(I24,$I$6:$I$65,1)+COUNTIF($I$6:I24,I24)-1,0)</f>
        <v>0</v>
      </c>
      <c r="K24" s="344" t="str">
        <f t="shared" ca="1" si="0"/>
        <v/>
      </c>
      <c r="L24" s="343">
        <f t="shared" si="3"/>
        <v>18</v>
      </c>
      <c r="M24" s="343" t="str">
        <f t="shared" ca="1" si="2"/>
        <v/>
      </c>
      <c r="N24"/>
      <c r="O24"/>
    </row>
    <row r="25" spans="1:15" s="84" customFormat="1" ht="13.8">
      <c r="A25" s="90"/>
      <c r="B25" s="90"/>
      <c r="C25" s="338" t="str">
        <f>'3_TIME SUM'!E86</f>
        <v>MLU Services</v>
      </c>
      <c r="D25" s="338" t="str">
        <f>'3_TIME SUM'!F86</f>
        <v>21c</v>
      </c>
      <c r="E25" s="342">
        <f ca="1">SUMIF(INDIRECT(ADDRESS(9,COLUMN('2_DATA'!$M$7),,,"2_DATA")):INDIRECT(ADDRESS(1000,COLUMN('2_DATA'!$M$7),,,"2_DATA")),'6_LESSON LEARN'!D25,INDIRECT(ADDRESS(9,COLUMN('2_DATA'!$N$7),,,"2_DATA")):INDIRECT(ADDRESS(1000,COLUMN('2_DATA'!$N$7),,,"2_DATA")))</f>
        <v>0</v>
      </c>
      <c r="F25" s="339"/>
      <c r="G25" s="339"/>
      <c r="H25" s="90"/>
      <c r="I25" s="343" t="str">
        <f t="shared" ca="1" si="1"/>
        <v/>
      </c>
      <c r="J25" s="344">
        <f ca="1">IFERROR(RANK(I25,$I$6:$I$65,1)+COUNTIF($I$6:I25,I25)-1,0)</f>
        <v>0</v>
      </c>
      <c r="K25" s="344" t="str">
        <f t="shared" ca="1" si="0"/>
        <v/>
      </c>
      <c r="L25" s="343">
        <f t="shared" si="3"/>
        <v>19</v>
      </c>
      <c r="M25" s="343" t="str">
        <f t="shared" ca="1" si="2"/>
        <v/>
      </c>
      <c r="N25"/>
      <c r="O25"/>
    </row>
    <row r="26" spans="1:15" s="84" customFormat="1" ht="13.8">
      <c r="A26" s="90"/>
      <c r="B26" s="90"/>
      <c r="C26" s="338" t="str">
        <f>'3_TIME SUM'!E87</f>
        <v>UBD, MPD, Aerated Services</v>
      </c>
      <c r="D26" s="338" t="str">
        <f>'3_TIME SUM'!F87</f>
        <v>21d</v>
      </c>
      <c r="E26" s="342">
        <f ca="1">SUMIF(INDIRECT(ADDRESS(9,COLUMN('2_DATA'!$M$7),,,"2_DATA")):INDIRECT(ADDRESS(1000,COLUMN('2_DATA'!$M$7),,,"2_DATA")),'6_LESSON LEARN'!D26,INDIRECT(ADDRESS(9,COLUMN('2_DATA'!$N$7),,,"2_DATA")):INDIRECT(ADDRESS(1000,COLUMN('2_DATA'!$N$7),,,"2_DATA")))</f>
        <v>0</v>
      </c>
      <c r="F26" s="339"/>
      <c r="G26" s="339"/>
      <c r="H26" s="90"/>
      <c r="I26" s="343" t="str">
        <f t="shared" ca="1" si="1"/>
        <v/>
      </c>
      <c r="J26" s="344">
        <f ca="1">IFERROR(RANK(I26,$I$6:$I$65,1)+COUNTIF($I$6:I26,I26)-1,0)</f>
        <v>0</v>
      </c>
      <c r="K26" s="344" t="str">
        <f t="shared" ca="1" si="0"/>
        <v/>
      </c>
      <c r="L26" s="343">
        <f t="shared" si="3"/>
        <v>20</v>
      </c>
      <c r="M26" s="343" t="str">
        <f t="shared" ca="1" si="2"/>
        <v/>
      </c>
      <c r="N26"/>
      <c r="O26"/>
    </row>
    <row r="27" spans="1:15" s="84" customFormat="1" ht="13.8">
      <c r="A27" s="90"/>
      <c r="B27" s="90"/>
      <c r="C27" s="338" t="str">
        <f>'3_TIME SUM'!E88</f>
        <v>Casing Drilling Services</v>
      </c>
      <c r="D27" s="338" t="str">
        <f>'3_TIME SUM'!F88</f>
        <v>21e</v>
      </c>
      <c r="E27" s="342">
        <f ca="1">SUMIF(INDIRECT(ADDRESS(9,COLUMN('2_DATA'!$M$7),,,"2_DATA")):INDIRECT(ADDRESS(1000,COLUMN('2_DATA'!$M$7),,,"2_DATA")),'6_LESSON LEARN'!D27,INDIRECT(ADDRESS(9,COLUMN('2_DATA'!$N$7),,,"2_DATA")):INDIRECT(ADDRESS(1000,COLUMN('2_DATA'!$N$7),,,"2_DATA")))</f>
        <v>0</v>
      </c>
      <c r="F27" s="339"/>
      <c r="G27" s="339"/>
      <c r="H27" s="90"/>
      <c r="I27" s="343" t="str">
        <f t="shared" ca="1" si="1"/>
        <v/>
      </c>
      <c r="J27" s="344">
        <f ca="1">IFERROR(RANK(I27,$I$6:$I$65,1)+COUNTIF($I$6:I27,I27)-1,0)</f>
        <v>0</v>
      </c>
      <c r="K27" s="344" t="str">
        <f t="shared" ca="1" si="0"/>
        <v/>
      </c>
      <c r="L27" s="343">
        <f t="shared" si="3"/>
        <v>21</v>
      </c>
      <c r="M27" s="343" t="str">
        <f t="shared" ca="1" si="2"/>
        <v/>
      </c>
      <c r="N27"/>
      <c r="O27"/>
    </row>
    <row r="28" spans="1:15" s="84" customFormat="1" ht="13.8">
      <c r="A28" s="90"/>
      <c r="B28" s="90"/>
      <c r="C28" s="338" t="str">
        <f>'3_TIME SUM'!E89</f>
        <v>Cementing Services</v>
      </c>
      <c r="D28" s="338" t="str">
        <f>'3_TIME SUM'!F89</f>
        <v>21f</v>
      </c>
      <c r="E28" s="342">
        <f ca="1">SUMIF(INDIRECT(ADDRESS(9,COLUMN('2_DATA'!$M$7),,,"2_DATA")):INDIRECT(ADDRESS(1000,COLUMN('2_DATA'!$M$7),,,"2_DATA")),'6_LESSON LEARN'!D28,INDIRECT(ADDRESS(9,COLUMN('2_DATA'!$N$7),,,"2_DATA")):INDIRECT(ADDRESS(1000,COLUMN('2_DATA'!$N$7),,,"2_DATA")))</f>
        <v>0</v>
      </c>
      <c r="F28" s="339"/>
      <c r="G28" s="339"/>
      <c r="H28" s="90"/>
      <c r="I28" s="343" t="str">
        <f t="shared" ca="1" si="1"/>
        <v/>
      </c>
      <c r="J28" s="344">
        <f ca="1">IFERROR(RANK(I28,$I$6:$I$65,1)+COUNTIF($I$6:I28,I28)-1,0)</f>
        <v>0</v>
      </c>
      <c r="K28" s="344" t="str">
        <f t="shared" ca="1" si="0"/>
        <v/>
      </c>
      <c r="L28" s="343">
        <f t="shared" si="3"/>
        <v>22</v>
      </c>
      <c r="M28" s="343" t="str">
        <f t="shared" ca="1" si="2"/>
        <v/>
      </c>
      <c r="N28"/>
      <c r="O28"/>
    </row>
    <row r="29" spans="1:15" s="84" customFormat="1" ht="13.8">
      <c r="A29" s="90"/>
      <c r="B29" s="90"/>
      <c r="C29" s="338" t="str">
        <f>'3_TIME SUM'!E90</f>
        <v xml:space="preserve">Down Hole  &amp; Surface Services </v>
      </c>
      <c r="D29" s="338" t="str">
        <f>'3_TIME SUM'!F90</f>
        <v>21g</v>
      </c>
      <c r="E29" s="342">
        <f ca="1">SUMIF(INDIRECT(ADDRESS(9,COLUMN('2_DATA'!$M$7),,,"2_DATA")):INDIRECT(ADDRESS(1000,COLUMN('2_DATA'!$M$7),,,"2_DATA")),'6_LESSON LEARN'!D29,INDIRECT(ADDRESS(9,COLUMN('2_DATA'!$N$7),,,"2_DATA")):INDIRECT(ADDRESS(1000,COLUMN('2_DATA'!$N$7),,,"2_DATA")))</f>
        <v>0</v>
      </c>
      <c r="F29" s="339"/>
      <c r="G29" s="339"/>
      <c r="H29" s="90"/>
      <c r="I29" s="343" t="str">
        <f t="shared" ca="1" si="1"/>
        <v/>
      </c>
      <c r="J29" s="344">
        <f ca="1">IFERROR(RANK(I29,$I$6:$I$65,1)+COUNTIF($I$6:I29,I29)-1,0)</f>
        <v>0</v>
      </c>
      <c r="K29" s="344" t="str">
        <f t="shared" ca="1" si="0"/>
        <v/>
      </c>
      <c r="L29" s="343">
        <f t="shared" si="3"/>
        <v>23</v>
      </c>
      <c r="M29" s="343" t="str">
        <f t="shared" ca="1" si="2"/>
        <v/>
      </c>
      <c r="N29"/>
      <c r="O29"/>
    </row>
    <row r="30" spans="1:15" s="84" customFormat="1" ht="13.8">
      <c r="A30" s="90"/>
      <c r="B30" s="90"/>
      <c r="C30" s="338" t="str">
        <f>'3_TIME SUM'!E91</f>
        <v xml:space="preserve">Coiled Tubing Services </v>
      </c>
      <c r="D30" s="338" t="str">
        <f>'3_TIME SUM'!F91</f>
        <v>21h</v>
      </c>
      <c r="E30" s="342">
        <f ca="1">SUMIF(INDIRECT(ADDRESS(9,COLUMN('2_DATA'!$M$7),,,"2_DATA")):INDIRECT(ADDRESS(1000,COLUMN('2_DATA'!$M$7),,,"2_DATA")),'6_LESSON LEARN'!D30,INDIRECT(ADDRESS(9,COLUMN('2_DATA'!$N$7),,,"2_DATA")):INDIRECT(ADDRESS(1000,COLUMN('2_DATA'!$N$7),,,"2_DATA")))</f>
        <v>0</v>
      </c>
      <c r="F30" s="339"/>
      <c r="G30" s="339"/>
      <c r="H30" s="90"/>
      <c r="I30" s="343" t="str">
        <f t="shared" ca="1" si="1"/>
        <v/>
      </c>
      <c r="J30" s="344">
        <f ca="1">IFERROR(RANK(I30,$I$6:$I$65,1)+COUNTIF($I$6:I30,I30)-1,0)</f>
        <v>0</v>
      </c>
      <c r="K30" s="344" t="str">
        <f t="shared" ca="1" si="0"/>
        <v/>
      </c>
      <c r="L30" s="343">
        <f t="shared" si="3"/>
        <v>24</v>
      </c>
      <c r="M30" s="343" t="str">
        <f t="shared" ca="1" si="2"/>
        <v/>
      </c>
      <c r="N30"/>
      <c r="O30"/>
    </row>
    <row r="31" spans="1:15" s="84" customFormat="1" ht="13.8">
      <c r="A31" s="90"/>
      <c r="B31" s="90"/>
      <c r="C31" s="338" t="str">
        <f>'3_TIME SUM'!E92</f>
        <v xml:space="preserve">Wireline Services </v>
      </c>
      <c r="D31" s="338" t="str">
        <f>'3_TIME SUM'!F92</f>
        <v>21i</v>
      </c>
      <c r="E31" s="342">
        <f ca="1">SUMIF(INDIRECT(ADDRESS(9,COLUMN('2_DATA'!$M$7),,,"2_DATA")):INDIRECT(ADDRESS(1000,COLUMN('2_DATA'!$M$7),,,"2_DATA")),'6_LESSON LEARN'!D31,INDIRECT(ADDRESS(9,COLUMN('2_DATA'!$N$7),,,"2_DATA")):INDIRECT(ADDRESS(1000,COLUMN('2_DATA'!$N$7),,,"2_DATA")))</f>
        <v>0</v>
      </c>
      <c r="F31" s="339"/>
      <c r="G31" s="339"/>
      <c r="H31" s="90"/>
      <c r="I31" s="343" t="str">
        <f t="shared" ca="1" si="1"/>
        <v/>
      </c>
      <c r="J31" s="344">
        <f ca="1">IFERROR(RANK(I31,$I$6:$I$65,1)+COUNTIF($I$6:I31,I31)-1,0)</f>
        <v>0</v>
      </c>
      <c r="K31" s="344" t="str">
        <f t="shared" ca="1" si="0"/>
        <v/>
      </c>
      <c r="L31" s="343">
        <f t="shared" si="3"/>
        <v>25</v>
      </c>
      <c r="M31" s="343" t="str">
        <f t="shared" ca="1" si="2"/>
        <v/>
      </c>
      <c r="N31"/>
      <c r="O31"/>
    </row>
    <row r="32" spans="1:15" s="84" customFormat="1" ht="13.8">
      <c r="A32" s="90"/>
      <c r="B32" s="90"/>
      <c r="C32" s="338" t="str">
        <f>'3_TIME SUM'!E93</f>
        <v>Slick Line Services</v>
      </c>
      <c r="D32" s="338" t="str">
        <f>'3_TIME SUM'!F93</f>
        <v>21j</v>
      </c>
      <c r="E32" s="342">
        <f ca="1">SUMIF(INDIRECT(ADDRESS(9,COLUMN('2_DATA'!$M$7),,,"2_DATA")):INDIRECT(ADDRESS(1000,COLUMN('2_DATA'!$M$7),,,"2_DATA")),'6_LESSON LEARN'!D32,INDIRECT(ADDRESS(9,COLUMN('2_DATA'!$N$7),,,"2_DATA")):INDIRECT(ADDRESS(1000,COLUMN('2_DATA'!$N$7),,,"2_DATA")))</f>
        <v>0</v>
      </c>
      <c r="F32" s="339"/>
      <c r="G32" s="339"/>
      <c r="H32" s="90"/>
      <c r="I32" s="343" t="str">
        <f t="shared" ca="1" si="1"/>
        <v/>
      </c>
      <c r="J32" s="344">
        <f ca="1">IFERROR(RANK(I32,$I$6:$I$65,1)+COUNTIF($I$6:I32,I32)-1,0)</f>
        <v>0</v>
      </c>
      <c r="K32" s="344" t="str">
        <f t="shared" ca="1" si="0"/>
        <v/>
      </c>
      <c r="L32" s="343">
        <f t="shared" si="3"/>
        <v>26</v>
      </c>
      <c r="M32" s="343" t="str">
        <f t="shared" ca="1" si="2"/>
        <v/>
      </c>
      <c r="N32"/>
      <c r="O32"/>
    </row>
    <row r="33" spans="1:15" s="84" customFormat="1" ht="13.8">
      <c r="A33" s="90"/>
      <c r="B33" s="90"/>
      <c r="C33" s="338" t="str">
        <f>'3_TIME SUM'!E94</f>
        <v>RTO Services</v>
      </c>
      <c r="D33" s="338" t="str">
        <f>'3_TIME SUM'!F94</f>
        <v>21k</v>
      </c>
      <c r="E33" s="342">
        <f ca="1">SUMIF(INDIRECT(ADDRESS(9,COLUMN('2_DATA'!$M$7),,,"2_DATA")):INDIRECT(ADDRESS(1000,COLUMN('2_DATA'!$M$7),,,"2_DATA")),'6_LESSON LEARN'!D33,INDIRECT(ADDRESS(9,COLUMN('2_DATA'!$N$7),,,"2_DATA")):INDIRECT(ADDRESS(1000,COLUMN('2_DATA'!$N$7),,,"2_DATA")))</f>
        <v>0</v>
      </c>
      <c r="F33" s="339"/>
      <c r="G33" s="339"/>
      <c r="H33" s="90"/>
      <c r="I33" s="343" t="str">
        <f t="shared" ca="1" si="1"/>
        <v/>
      </c>
      <c r="J33" s="344">
        <f ca="1">IFERROR(RANK(I33,$I$6:$I$65,1)+COUNTIF($I$6:I33,I33)-1,0)</f>
        <v>0</v>
      </c>
      <c r="K33" s="344" t="str">
        <f t="shared" ca="1" si="0"/>
        <v/>
      </c>
      <c r="L33" s="343">
        <f t="shared" si="3"/>
        <v>27</v>
      </c>
      <c r="M33" s="343" t="str">
        <f t="shared" ca="1" si="2"/>
        <v/>
      </c>
      <c r="N33"/>
      <c r="O33"/>
    </row>
    <row r="34" spans="1:15" s="84" customFormat="1" ht="13.8">
      <c r="A34" s="90"/>
      <c r="B34" s="90"/>
      <c r="C34" s="338" t="str">
        <f>'3_TIME SUM'!E95</f>
        <v>Tubular Services</v>
      </c>
      <c r="D34" s="338" t="str">
        <f>'3_TIME SUM'!F95</f>
        <v>21l</v>
      </c>
      <c r="E34" s="342">
        <f ca="1">SUMIF(INDIRECT(ADDRESS(9,COLUMN('2_DATA'!$M$7),,,"2_DATA")):INDIRECT(ADDRESS(1000,COLUMN('2_DATA'!$M$7),,,"2_DATA")),'6_LESSON LEARN'!D34,INDIRECT(ADDRESS(9,COLUMN('2_DATA'!$N$7),,,"2_DATA")):INDIRECT(ADDRESS(1000,COLUMN('2_DATA'!$N$7),,,"2_DATA")))</f>
        <v>0</v>
      </c>
      <c r="F34" s="339"/>
      <c r="G34" s="339"/>
      <c r="H34" s="90"/>
      <c r="I34" s="343" t="str">
        <f t="shared" ca="1" si="1"/>
        <v/>
      </c>
      <c r="J34" s="344">
        <f ca="1">IFERROR(RANK(I34,$I$6:$I$65,1)+COUNTIF($I$6:I34,I34)-1,0)</f>
        <v>0</v>
      </c>
      <c r="K34" s="344" t="str">
        <f t="shared" ca="1" si="0"/>
        <v/>
      </c>
      <c r="L34" s="343">
        <f t="shared" si="3"/>
        <v>28</v>
      </c>
      <c r="M34" s="343" t="str">
        <f t="shared" ca="1" si="2"/>
        <v/>
      </c>
      <c r="N34"/>
      <c r="O34"/>
    </row>
    <row r="35" spans="1:15" s="84" customFormat="1" ht="13.8">
      <c r="A35" s="90"/>
      <c r="B35" s="90"/>
      <c r="C35" s="338" t="str">
        <f>'3_TIME SUM'!E96</f>
        <v>Well Head &amp; X-Mastree Services</v>
      </c>
      <c r="D35" s="338" t="str">
        <f>'3_TIME SUM'!F96</f>
        <v>21m</v>
      </c>
      <c r="E35" s="342">
        <f ca="1">SUMIF(INDIRECT(ADDRESS(9,COLUMN('2_DATA'!$M$7),,,"2_DATA")):INDIRECT(ADDRESS(1000,COLUMN('2_DATA'!$M$7),,,"2_DATA")),'6_LESSON LEARN'!D35,INDIRECT(ADDRESS(9,COLUMN('2_DATA'!$N$7),,,"2_DATA")):INDIRECT(ADDRESS(1000,COLUMN('2_DATA'!$N$7),,,"2_DATA")))</f>
        <v>0</v>
      </c>
      <c r="F35" s="339"/>
      <c r="G35" s="339"/>
      <c r="H35" s="90"/>
      <c r="I35" s="343" t="str">
        <f t="shared" ca="1" si="1"/>
        <v/>
      </c>
      <c r="J35" s="344">
        <f ca="1">IFERROR(RANK(I35,$I$6:$I$65,1)+COUNTIF($I$6:I35,I35)-1,0)</f>
        <v>0</v>
      </c>
      <c r="K35" s="344" t="str">
        <f t="shared" ca="1" si="0"/>
        <v/>
      </c>
      <c r="L35" s="343">
        <f t="shared" si="3"/>
        <v>29</v>
      </c>
      <c r="M35" s="343" t="str">
        <f t="shared" ca="1" si="2"/>
        <v/>
      </c>
      <c r="N35"/>
      <c r="O35"/>
    </row>
    <row r="36" spans="1:15" ht="13.8">
      <c r="A36" s="90"/>
      <c r="B36" s="90"/>
      <c r="C36" s="338" t="str">
        <f>'3_TIME SUM'!E97</f>
        <v>Solid Control Services (Pihak Ketiga)</v>
      </c>
      <c r="D36" s="338" t="str">
        <f>'3_TIME SUM'!F97</f>
        <v>21n</v>
      </c>
      <c r="E36" s="342">
        <f ca="1">SUMIF(INDIRECT(ADDRESS(9,COLUMN('2_DATA'!$M$7),,,"2_DATA")):INDIRECT(ADDRESS(1000,COLUMN('2_DATA'!$M$7),,,"2_DATA")),'6_LESSON LEARN'!D36,INDIRECT(ADDRESS(9,COLUMN('2_DATA'!$N$7),,,"2_DATA")):INDIRECT(ADDRESS(1000,COLUMN('2_DATA'!$N$7),,,"2_DATA")))</f>
        <v>0</v>
      </c>
      <c r="F36" s="339"/>
      <c r="G36" s="339"/>
      <c r="H36" s="90"/>
      <c r="I36" s="343" t="str">
        <f t="shared" ca="1" si="1"/>
        <v/>
      </c>
      <c r="J36" s="344">
        <f ca="1">IFERROR(RANK(I36,$I$6:$I$65,1)+COUNTIF($I$6:I36,I36)-1,0)</f>
        <v>0</v>
      </c>
      <c r="K36" s="344" t="str">
        <f t="shared" ca="1" si="0"/>
        <v/>
      </c>
      <c r="L36" s="343">
        <f t="shared" si="3"/>
        <v>30</v>
      </c>
      <c r="M36" s="343" t="str">
        <f t="shared" ca="1" si="2"/>
        <v/>
      </c>
    </row>
    <row r="37" spans="1:15" s="84" customFormat="1" ht="13.8">
      <c r="A37" s="90"/>
      <c r="B37" s="90"/>
      <c r="C37" s="338" t="str">
        <f>'3_TIME SUM'!E98</f>
        <v>Waste Management Services</v>
      </c>
      <c r="D37" s="338" t="str">
        <f>'3_TIME SUM'!F98</f>
        <v>21o</v>
      </c>
      <c r="E37" s="342">
        <f ca="1">SUMIF(INDIRECT(ADDRESS(9,COLUMN('2_DATA'!$M$7),,,"2_DATA")):INDIRECT(ADDRESS(1000,COLUMN('2_DATA'!$M$7),,,"2_DATA")),'6_LESSON LEARN'!D37,INDIRECT(ADDRESS(9,COLUMN('2_DATA'!$N$7),,,"2_DATA")):INDIRECT(ADDRESS(1000,COLUMN('2_DATA'!$N$7),,,"2_DATA")))</f>
        <v>0</v>
      </c>
      <c r="F37" s="339"/>
      <c r="G37" s="339"/>
      <c r="H37" s="90"/>
      <c r="I37" s="343" t="str">
        <f t="shared" ca="1" si="1"/>
        <v/>
      </c>
      <c r="J37" s="344">
        <f ca="1">IFERROR(RANK(I37,$I$6:$I$65,1)+COUNTIF($I$6:I37,I37)-1,0)</f>
        <v>0</v>
      </c>
      <c r="K37" s="344" t="str">
        <f t="shared" ca="1" si="0"/>
        <v/>
      </c>
      <c r="L37" s="343">
        <f t="shared" si="3"/>
        <v>31</v>
      </c>
      <c r="M37" s="343" t="str">
        <f t="shared" ca="1" si="2"/>
        <v/>
      </c>
      <c r="N37"/>
      <c r="O37"/>
    </row>
    <row r="38" spans="1:15" ht="13.8">
      <c r="A38" s="90"/>
      <c r="B38" s="90"/>
      <c r="C38" s="338" t="str">
        <f>'3_TIME SUM'!E99</f>
        <v>H2S Services</v>
      </c>
      <c r="D38" s="338" t="str">
        <f>'3_TIME SUM'!F99</f>
        <v>21p</v>
      </c>
      <c r="E38" s="342">
        <f ca="1">SUMIF(INDIRECT(ADDRESS(9,COLUMN('2_DATA'!$M$7),,,"2_DATA")):INDIRECT(ADDRESS(1000,COLUMN('2_DATA'!$M$7),,,"2_DATA")),'6_LESSON LEARN'!D38,INDIRECT(ADDRESS(9,COLUMN('2_DATA'!$N$7),,,"2_DATA")):INDIRECT(ADDRESS(1000,COLUMN('2_DATA'!$N$7),,,"2_DATA")))</f>
        <v>0</v>
      </c>
      <c r="F38" s="339"/>
      <c r="G38" s="339"/>
      <c r="H38" s="90"/>
      <c r="I38" s="343" t="str">
        <f t="shared" ca="1" si="1"/>
        <v/>
      </c>
      <c r="J38" s="344">
        <f ca="1">IFERROR(RANK(I38,$I$6:$I$65,1)+COUNTIF($I$6:I38,I38)-1,0)</f>
        <v>0</v>
      </c>
      <c r="K38" s="344" t="str">
        <f t="shared" ca="1" si="0"/>
        <v/>
      </c>
      <c r="L38" s="343">
        <f t="shared" si="3"/>
        <v>32</v>
      </c>
      <c r="M38" s="343" t="str">
        <f t="shared" ca="1" si="2"/>
        <v/>
      </c>
    </row>
    <row r="39" spans="1:15" s="84" customFormat="1" ht="13.8">
      <c r="A39" s="90"/>
      <c r="B39" s="90"/>
      <c r="C39" s="338" t="str">
        <f>'3_TIME SUM'!E100</f>
        <v>Stimulation Services</v>
      </c>
      <c r="D39" s="338" t="str">
        <f>'3_TIME SUM'!F100</f>
        <v>21q</v>
      </c>
      <c r="E39" s="342">
        <f ca="1">SUMIF(INDIRECT(ADDRESS(9,COLUMN('2_DATA'!$M$7),,,"2_DATA")):INDIRECT(ADDRESS(1000,COLUMN('2_DATA'!$M$7),,,"2_DATA")),'6_LESSON LEARN'!D39,INDIRECT(ADDRESS(9,COLUMN('2_DATA'!$N$7),,,"2_DATA")):INDIRECT(ADDRESS(1000,COLUMN('2_DATA'!$N$7),,,"2_DATA")))</f>
        <v>0</v>
      </c>
      <c r="F39" s="339"/>
      <c r="G39" s="339"/>
      <c r="H39" s="90"/>
      <c r="I39" s="343" t="str">
        <f t="shared" ca="1" si="1"/>
        <v/>
      </c>
      <c r="J39" s="344">
        <f ca="1">IFERROR(RANK(I39,$I$6:$I$65,1)+COUNTIF($I$6:I39,I39)-1,0)</f>
        <v>0</v>
      </c>
      <c r="K39" s="344" t="str">
        <f t="shared" ca="1" si="0"/>
        <v/>
      </c>
      <c r="L39" s="343">
        <f t="shared" si="3"/>
        <v>33</v>
      </c>
      <c r="M39" s="343" t="str">
        <f t="shared" ca="1" si="2"/>
        <v/>
      </c>
      <c r="N39"/>
    </row>
    <row r="40" spans="1:15" ht="13.8">
      <c r="A40" s="90"/>
      <c r="B40" s="90"/>
      <c r="C40" s="338" t="str">
        <f>'3_TIME SUM'!E101</f>
        <v>Marine Support Services</v>
      </c>
      <c r="D40" s="338" t="str">
        <f>'3_TIME SUM'!F101</f>
        <v>21r</v>
      </c>
      <c r="E40" s="342">
        <f ca="1">SUMIF(INDIRECT(ADDRESS(9,COLUMN('2_DATA'!$M$7),,,"2_DATA")):INDIRECT(ADDRESS(1000,COLUMN('2_DATA'!$M$7),,,"2_DATA")),'6_LESSON LEARN'!D40,INDIRECT(ADDRESS(9,COLUMN('2_DATA'!$N$7),,,"2_DATA")):INDIRECT(ADDRESS(1000,COLUMN('2_DATA'!$N$7),,,"2_DATA")))</f>
        <v>0</v>
      </c>
      <c r="F40" s="339"/>
      <c r="G40" s="339"/>
      <c r="H40" s="90"/>
      <c r="I40" s="343" t="str">
        <f t="shared" ca="1" si="1"/>
        <v/>
      </c>
      <c r="J40" s="344">
        <f ca="1">IFERROR(RANK(I40,$I$6:$I$65,1)+COUNTIF($I$6:I40,I40)-1,0)</f>
        <v>0</v>
      </c>
      <c r="K40" s="344" t="str">
        <f t="shared" ca="1" si="0"/>
        <v/>
      </c>
      <c r="L40" s="343">
        <f t="shared" si="3"/>
        <v>34</v>
      </c>
      <c r="M40" s="343" t="str">
        <f t="shared" ca="1" si="2"/>
        <v/>
      </c>
    </row>
    <row r="41" spans="1:15" s="84" customFormat="1" ht="13.8">
      <c r="A41" s="90"/>
      <c r="B41" s="90"/>
      <c r="C41" s="338" t="str">
        <f>'3_TIME SUM'!E102</f>
        <v>Transportation Services</v>
      </c>
      <c r="D41" s="338" t="str">
        <f>'3_TIME SUM'!F102</f>
        <v>21s</v>
      </c>
      <c r="E41" s="342">
        <f ca="1">SUMIF(INDIRECT(ADDRESS(9,COLUMN('2_DATA'!$M$7),,,"2_DATA")):INDIRECT(ADDRESS(1000,COLUMN('2_DATA'!$M$7),,,"2_DATA")),'6_LESSON LEARN'!D41,INDIRECT(ADDRESS(9,COLUMN('2_DATA'!$N$7),,,"2_DATA")):INDIRECT(ADDRESS(1000,COLUMN('2_DATA'!$N$7),,,"2_DATA")))</f>
        <v>0</v>
      </c>
      <c r="F41" s="339"/>
      <c r="G41" s="339"/>
      <c r="H41" s="90"/>
      <c r="I41" s="343" t="str">
        <f t="shared" ca="1" si="1"/>
        <v/>
      </c>
      <c r="J41" s="344">
        <f ca="1">IFERROR(RANK(I41,$I$6:$I$65,1)+COUNTIF($I$6:I41,I41)-1,0)</f>
        <v>0</v>
      </c>
      <c r="K41" s="344" t="str">
        <f t="shared" ref="K41:K65" ca="1" si="4">IF(J41=0,"",MAX($J$7:$J$65)-J41+1)</f>
        <v/>
      </c>
      <c r="L41" s="343">
        <f t="shared" si="3"/>
        <v>35</v>
      </c>
      <c r="M41" s="343" t="str">
        <f t="shared" ca="1" si="2"/>
        <v/>
      </c>
      <c r="N41"/>
    </row>
    <row r="42" spans="1:15" ht="13.8">
      <c r="A42" s="90"/>
      <c r="B42" s="90"/>
      <c r="C42" s="338" t="str">
        <f>'3_TIME SUM'!E103</f>
        <v>Others Services</v>
      </c>
      <c r="D42" s="338" t="str">
        <f>'3_TIME SUM'!F103</f>
        <v>21t</v>
      </c>
      <c r="E42" s="342">
        <f ca="1">SUMIF(INDIRECT(ADDRESS(9,COLUMN('2_DATA'!$M$7),,,"2_DATA")):INDIRECT(ADDRESS(1000,COLUMN('2_DATA'!$M$7),,,"2_DATA")),'6_LESSON LEARN'!D42,INDIRECT(ADDRESS(9,COLUMN('2_DATA'!$N$7),,,"2_DATA")):INDIRECT(ADDRESS(1000,COLUMN('2_DATA'!$N$7),,,"2_DATA")))</f>
        <v>0</v>
      </c>
      <c r="F42" s="339"/>
      <c r="G42" s="339"/>
      <c r="H42" s="90"/>
      <c r="I42" s="343" t="str">
        <f t="shared" ca="1" si="1"/>
        <v/>
      </c>
      <c r="J42" s="344">
        <f ca="1">IFERROR(RANK(I42,$I$6:$I$65,1)+COUNTIF($I$6:I42,I42)-1,0)</f>
        <v>0</v>
      </c>
      <c r="K42" s="344" t="str">
        <f t="shared" ca="1" si="4"/>
        <v/>
      </c>
      <c r="L42" s="343">
        <f t="shared" si="3"/>
        <v>36</v>
      </c>
      <c r="M42" s="343" t="str">
        <f t="shared" ca="1" si="2"/>
        <v/>
      </c>
    </row>
    <row r="43" spans="1:15" s="84" customFormat="1" ht="13.8">
      <c r="A43" s="90"/>
      <c r="B43" s="90"/>
      <c r="C43" s="338" t="str">
        <f>'3_TIME SUM'!E104</f>
        <v>Material Problems</v>
      </c>
      <c r="D43" s="338" t="str">
        <f>'3_TIME SUM'!F104</f>
        <v>22a</v>
      </c>
      <c r="E43" s="342">
        <f ca="1">SUMIF(INDIRECT(ADDRESS(9,COLUMN('2_DATA'!$M$7),,,"2_DATA")):INDIRECT(ADDRESS(1000,COLUMN('2_DATA'!$M$7),,,"2_DATA")),'6_LESSON LEARN'!D43,INDIRECT(ADDRESS(9,COLUMN('2_DATA'!$N$7),,,"2_DATA")):INDIRECT(ADDRESS(1000,COLUMN('2_DATA'!$N$7),,,"2_DATA")))</f>
        <v>0</v>
      </c>
      <c r="F43" s="339"/>
      <c r="G43" s="339"/>
      <c r="H43" s="90"/>
      <c r="I43" s="343" t="str">
        <f t="shared" ca="1" si="1"/>
        <v/>
      </c>
      <c r="J43" s="344">
        <f ca="1">IFERROR(RANK(I43,$I$6:$I$65,1)+COUNTIF($I$6:I43,I43)-1,0)</f>
        <v>0</v>
      </c>
      <c r="K43" s="344" t="str">
        <f t="shared" ca="1" si="4"/>
        <v/>
      </c>
      <c r="L43" s="343">
        <f t="shared" si="3"/>
        <v>37</v>
      </c>
      <c r="M43" s="343" t="str">
        <f t="shared" ca="1" si="2"/>
        <v/>
      </c>
      <c r="N43"/>
    </row>
    <row r="44" spans="1:15" ht="13.8">
      <c r="A44" s="90"/>
      <c r="B44" s="90"/>
      <c r="C44" s="338" t="str">
        <f>'3_TIME SUM'!E105</f>
        <v>Sosial Issue</v>
      </c>
      <c r="D44" s="338" t="str">
        <f>'3_TIME SUM'!F105</f>
        <v>22b</v>
      </c>
      <c r="E44" s="342">
        <f ca="1">SUMIF(INDIRECT(ADDRESS(9,COLUMN('2_DATA'!$M$7),,,"2_DATA")):INDIRECT(ADDRESS(1000,COLUMN('2_DATA'!$M$7),,,"2_DATA")),'6_LESSON LEARN'!D44,INDIRECT(ADDRESS(9,COLUMN('2_DATA'!$N$7),,,"2_DATA")):INDIRECT(ADDRESS(1000,COLUMN('2_DATA'!$N$7),,,"2_DATA")))</f>
        <v>0</v>
      </c>
      <c r="F44" s="339"/>
      <c r="G44" s="339"/>
      <c r="H44" s="90"/>
      <c r="I44" s="343" t="str">
        <f t="shared" ca="1" si="1"/>
        <v/>
      </c>
      <c r="J44" s="344">
        <f ca="1">IFERROR(RANK(I44,$I$6:$I$65,1)+COUNTIF($I$6:I44,I44)-1,0)</f>
        <v>0</v>
      </c>
      <c r="K44" s="344" t="str">
        <f t="shared" ca="1" si="4"/>
        <v/>
      </c>
      <c r="L44" s="343">
        <f t="shared" si="3"/>
        <v>38</v>
      </c>
      <c r="M44" s="343" t="str">
        <f t="shared" ca="1" si="2"/>
        <v/>
      </c>
    </row>
    <row r="45" spans="1:15" s="84" customFormat="1" ht="13.8">
      <c r="A45" s="90"/>
      <c r="B45" s="90"/>
      <c r="C45" s="338" t="str">
        <f>'3_TIME SUM'!E106</f>
        <v>Evironment Issue</v>
      </c>
      <c r="D45" s="338" t="str">
        <f>'3_TIME SUM'!F106</f>
        <v>22c</v>
      </c>
      <c r="E45" s="342">
        <f ca="1">SUMIF(INDIRECT(ADDRESS(9,COLUMN('2_DATA'!$M$7),,,"2_DATA")):INDIRECT(ADDRESS(1000,COLUMN('2_DATA'!$M$7),,,"2_DATA")),'6_LESSON LEARN'!D45,INDIRECT(ADDRESS(9,COLUMN('2_DATA'!$N$7),,,"2_DATA")):INDIRECT(ADDRESS(1000,COLUMN('2_DATA'!$N$7),,,"2_DATA")))</f>
        <v>0</v>
      </c>
      <c r="F45" s="339"/>
      <c r="G45" s="339"/>
      <c r="H45" s="90"/>
      <c r="I45" s="343" t="str">
        <f t="shared" ca="1" si="1"/>
        <v/>
      </c>
      <c r="J45" s="344">
        <f ca="1">IFERROR(RANK(I45,$I$6:$I$65,1)+COUNTIF($I$6:I45,I45)-1,0)</f>
        <v>0</v>
      </c>
      <c r="K45" s="344" t="str">
        <f t="shared" ca="1" si="4"/>
        <v/>
      </c>
      <c r="L45" s="343">
        <f t="shared" si="3"/>
        <v>39</v>
      </c>
      <c r="M45" s="343" t="str">
        <f t="shared" ca="1" si="2"/>
        <v/>
      </c>
      <c r="N45"/>
    </row>
    <row r="46" spans="1:15" ht="13.8">
      <c r="A46" s="90"/>
      <c r="B46" s="90"/>
      <c r="C46" s="338" t="str">
        <f>'3_TIME SUM'!E107</f>
        <v>Location Problem</v>
      </c>
      <c r="D46" s="338" t="str">
        <f>'3_TIME SUM'!F107</f>
        <v>22d</v>
      </c>
      <c r="E46" s="342">
        <f ca="1">SUMIF(INDIRECT(ADDRESS(9,COLUMN('2_DATA'!$M$7),,,"2_DATA")):INDIRECT(ADDRESS(1000,COLUMN('2_DATA'!$M$7),,,"2_DATA")),'6_LESSON LEARN'!D46,INDIRECT(ADDRESS(9,COLUMN('2_DATA'!$N$7),,,"2_DATA")):INDIRECT(ADDRESS(1000,COLUMN('2_DATA'!$N$7),,,"2_DATA")))</f>
        <v>0</v>
      </c>
      <c r="F46" s="339"/>
      <c r="G46" s="339"/>
      <c r="H46" s="90"/>
      <c r="I46" s="343" t="str">
        <f t="shared" ca="1" si="1"/>
        <v/>
      </c>
      <c r="J46" s="344">
        <f ca="1">IFERROR(RANK(I46,$I$6:$I$65,1)+COUNTIF($I$6:I46,I46)-1,0)</f>
        <v>0</v>
      </c>
      <c r="K46" s="344" t="str">
        <f t="shared" ca="1" si="4"/>
        <v/>
      </c>
      <c r="L46" s="343">
        <f t="shared" si="3"/>
        <v>40</v>
      </c>
      <c r="M46" s="343" t="str">
        <f t="shared" ca="1" si="2"/>
        <v/>
      </c>
    </row>
    <row r="47" spans="1:15" s="84" customFormat="1" ht="13.8">
      <c r="A47" s="90"/>
      <c r="B47" s="90"/>
      <c r="C47" s="338" t="str">
        <f>'3_TIME SUM'!E108</f>
        <v xml:space="preserve">Logistics Problem  </v>
      </c>
      <c r="D47" s="338" t="str">
        <f>'3_TIME SUM'!F108</f>
        <v>22e</v>
      </c>
      <c r="E47" s="342">
        <f ca="1">SUMIF(INDIRECT(ADDRESS(9,COLUMN('2_DATA'!$M$7),,,"2_DATA")):INDIRECT(ADDRESS(1000,COLUMN('2_DATA'!$M$7),,,"2_DATA")),'6_LESSON LEARN'!D47,INDIRECT(ADDRESS(9,COLUMN('2_DATA'!$N$7),,,"2_DATA")):INDIRECT(ADDRESS(1000,COLUMN('2_DATA'!$N$7),,,"2_DATA")))</f>
        <v>0</v>
      </c>
      <c r="F47" s="339"/>
      <c r="G47" s="339"/>
      <c r="H47" s="90"/>
      <c r="I47" s="343" t="str">
        <f t="shared" ca="1" si="1"/>
        <v/>
      </c>
      <c r="J47" s="344">
        <f ca="1">IFERROR(RANK(I47,$I$6:$I$65,1)+COUNTIF($I$6:I47,I47)-1,0)</f>
        <v>0</v>
      </c>
      <c r="K47" s="344" t="str">
        <f t="shared" ca="1" si="4"/>
        <v/>
      </c>
      <c r="L47" s="343">
        <f t="shared" si="3"/>
        <v>41</v>
      </c>
      <c r="M47" s="343" t="str">
        <f t="shared" ca="1" si="2"/>
        <v/>
      </c>
      <c r="N47"/>
    </row>
    <row r="48" spans="1:15" ht="13.8">
      <c r="A48" s="90"/>
      <c r="B48" s="90"/>
      <c r="C48" s="338" t="str">
        <f>'3_TIME SUM'!E109</f>
        <v>Regulatory problems</v>
      </c>
      <c r="D48" s="338" t="str">
        <f>'3_TIME SUM'!F109</f>
        <v>22f</v>
      </c>
      <c r="E48" s="342">
        <f ca="1">SUMIF(INDIRECT(ADDRESS(9,COLUMN('2_DATA'!$M$7),,,"2_DATA")):INDIRECT(ADDRESS(1000,COLUMN('2_DATA'!$M$7),,,"2_DATA")),'6_LESSON LEARN'!D48,INDIRECT(ADDRESS(9,COLUMN('2_DATA'!$N$7),,,"2_DATA")):INDIRECT(ADDRESS(1000,COLUMN('2_DATA'!$N$7),,,"2_DATA")))</f>
        <v>0</v>
      </c>
      <c r="F48" s="339"/>
      <c r="G48" s="339"/>
      <c r="H48" s="90"/>
      <c r="I48" s="343" t="str">
        <f t="shared" ca="1" si="1"/>
        <v/>
      </c>
      <c r="J48" s="344">
        <f ca="1">IFERROR(RANK(I48,$I$6:$I$65,1)+COUNTIF($I$6:I48,I48)-1,0)</f>
        <v>0</v>
      </c>
      <c r="K48" s="344" t="str">
        <f t="shared" ca="1" si="4"/>
        <v/>
      </c>
      <c r="L48" s="343">
        <f t="shared" si="3"/>
        <v>42</v>
      </c>
      <c r="M48" s="343" t="str">
        <f t="shared" ca="1" si="2"/>
        <v/>
      </c>
    </row>
    <row r="49" spans="1:14" s="84" customFormat="1" ht="13.8">
      <c r="A49" s="90"/>
      <c r="B49" s="90"/>
      <c r="C49" s="338" t="str">
        <f>'3_TIME SUM'!E110</f>
        <v>Other Problem Time</v>
      </c>
      <c r="D49" s="338" t="str">
        <f>'3_TIME SUM'!F110</f>
        <v>22g</v>
      </c>
      <c r="E49" s="342">
        <f ca="1">SUMIF(INDIRECT(ADDRESS(9,COLUMN('2_DATA'!$M$7),,,"2_DATA")):INDIRECT(ADDRESS(1000,COLUMN('2_DATA'!$M$7),,,"2_DATA")),'6_LESSON LEARN'!D49,INDIRECT(ADDRESS(9,COLUMN('2_DATA'!$N$7),,,"2_DATA")):INDIRECT(ADDRESS(1000,COLUMN('2_DATA'!$N$7),,,"2_DATA")))</f>
        <v>0</v>
      </c>
      <c r="F49" s="339"/>
      <c r="G49" s="339"/>
      <c r="H49" s="90"/>
      <c r="I49" s="343" t="str">
        <f t="shared" ca="1" si="1"/>
        <v/>
      </c>
      <c r="J49" s="344">
        <f ca="1">IFERROR(RANK(I49,$I$6:$I$65,1)+COUNTIF($I$6:I49,I49)-1,0)</f>
        <v>0</v>
      </c>
      <c r="K49" s="344" t="str">
        <f t="shared" ca="1" si="4"/>
        <v/>
      </c>
      <c r="L49" s="343">
        <f t="shared" si="3"/>
        <v>43</v>
      </c>
      <c r="M49" s="343" t="str">
        <f t="shared" ca="1" si="2"/>
        <v/>
      </c>
      <c r="N49"/>
    </row>
    <row r="50" spans="1:14" ht="13.8">
      <c r="A50" s="90"/>
      <c r="B50" s="90"/>
      <c r="C50" s="338"/>
      <c r="D50" s="337"/>
      <c r="E50" s="342"/>
      <c r="F50" s="339"/>
      <c r="G50" s="339"/>
      <c r="H50" s="90"/>
      <c r="I50" s="343" t="str">
        <f t="shared" si="1"/>
        <v/>
      </c>
      <c r="J50" s="344">
        <f ca="1">IFERROR(RANK(I50,$I$6:$I$65,1)+COUNTIF($I$6:I50,I50)-1,0)</f>
        <v>0</v>
      </c>
      <c r="K50" s="344" t="str">
        <f t="shared" ca="1" si="4"/>
        <v/>
      </c>
      <c r="L50" s="343">
        <f t="shared" si="3"/>
        <v>44</v>
      </c>
      <c r="M50" s="343" t="str">
        <f t="shared" ca="1" si="2"/>
        <v/>
      </c>
    </row>
    <row r="51" spans="1:14" s="84" customFormat="1" ht="13.8">
      <c r="A51" s="90"/>
      <c r="B51" s="90"/>
      <c r="C51" s="338"/>
      <c r="D51" s="337"/>
      <c r="E51" s="342"/>
      <c r="F51" s="339"/>
      <c r="G51" s="339"/>
      <c r="H51" s="90"/>
      <c r="I51" s="343" t="str">
        <f t="shared" si="1"/>
        <v/>
      </c>
      <c r="J51" s="344">
        <f ca="1">IFERROR(RANK(I51,$I$6:$I$65,1)+COUNTIF($I$6:I51,I51)-1,0)</f>
        <v>0</v>
      </c>
      <c r="K51" s="344" t="str">
        <f t="shared" ca="1" si="4"/>
        <v/>
      </c>
      <c r="L51" s="343">
        <f t="shared" si="3"/>
        <v>45</v>
      </c>
      <c r="M51" s="343" t="str">
        <f t="shared" ca="1" si="2"/>
        <v/>
      </c>
      <c r="N51"/>
    </row>
    <row r="52" spans="1:14" ht="13.8">
      <c r="A52" s="90"/>
      <c r="B52" s="90"/>
      <c r="C52" s="338"/>
      <c r="D52" s="337"/>
      <c r="E52" s="342"/>
      <c r="F52" s="339"/>
      <c r="G52" s="339"/>
      <c r="H52" s="90"/>
      <c r="I52" s="343" t="str">
        <f t="shared" si="1"/>
        <v/>
      </c>
      <c r="J52" s="344">
        <f ca="1">IFERROR(RANK(I52,$I$6:$I$65,1)+COUNTIF($I$6:I52,I52)-1,0)</f>
        <v>0</v>
      </c>
      <c r="K52" s="344" t="str">
        <f t="shared" ca="1" si="4"/>
        <v/>
      </c>
      <c r="L52" s="343">
        <f t="shared" si="3"/>
        <v>46</v>
      </c>
      <c r="M52" s="343" t="str">
        <f t="shared" ca="1" si="2"/>
        <v/>
      </c>
    </row>
    <row r="53" spans="1:14" s="84" customFormat="1" ht="13.8">
      <c r="A53" s="90"/>
      <c r="B53" s="90"/>
      <c r="C53" s="338"/>
      <c r="D53" s="337"/>
      <c r="E53" s="342"/>
      <c r="F53" s="339"/>
      <c r="G53" s="339"/>
      <c r="H53" s="90"/>
      <c r="I53" s="343" t="str">
        <f t="shared" si="1"/>
        <v/>
      </c>
      <c r="J53" s="344">
        <f ca="1">IFERROR(RANK(I53,$I$6:$I$65,1)+COUNTIF($I$6:I53,I53)-1,0)</f>
        <v>0</v>
      </c>
      <c r="K53" s="344" t="str">
        <f t="shared" ca="1" si="4"/>
        <v/>
      </c>
      <c r="L53" s="343">
        <f t="shared" si="3"/>
        <v>47</v>
      </c>
      <c r="M53" s="343" t="str">
        <f t="shared" ca="1" si="2"/>
        <v/>
      </c>
      <c r="N53"/>
    </row>
    <row r="54" spans="1:14" ht="13.8">
      <c r="A54" s="90"/>
      <c r="B54" s="90"/>
      <c r="C54" s="338"/>
      <c r="D54" s="337"/>
      <c r="E54" s="342"/>
      <c r="F54" s="339"/>
      <c r="G54" s="339"/>
      <c r="H54" s="90"/>
      <c r="I54" s="343" t="str">
        <f t="shared" si="1"/>
        <v/>
      </c>
      <c r="J54" s="344">
        <f ca="1">IFERROR(RANK(I54,$I$6:$I$65,1)+COUNTIF($I$6:I54,I54)-1,0)</f>
        <v>0</v>
      </c>
      <c r="K54" s="344" t="str">
        <f t="shared" ca="1" si="4"/>
        <v/>
      </c>
      <c r="L54" s="343">
        <f t="shared" si="3"/>
        <v>48</v>
      </c>
      <c r="M54" s="343" t="str">
        <f t="shared" ca="1" si="2"/>
        <v/>
      </c>
    </row>
    <row r="55" spans="1:14" s="84" customFormat="1" ht="13.8">
      <c r="A55" s="90"/>
      <c r="B55" s="90"/>
      <c r="C55" s="338"/>
      <c r="D55" s="337"/>
      <c r="E55" s="342"/>
      <c r="F55" s="339"/>
      <c r="G55" s="339"/>
      <c r="H55" s="90"/>
      <c r="I55" s="343" t="str">
        <f t="shared" si="1"/>
        <v/>
      </c>
      <c r="J55" s="344">
        <f ca="1">IFERROR(RANK(I55,$I$6:$I$65,1)+COUNTIF($I$6:I55,I55)-1,0)</f>
        <v>0</v>
      </c>
      <c r="K55" s="344" t="str">
        <f t="shared" ca="1" si="4"/>
        <v/>
      </c>
      <c r="L55" s="343">
        <f t="shared" si="3"/>
        <v>49</v>
      </c>
      <c r="M55" s="343" t="str">
        <f t="shared" ca="1" si="2"/>
        <v/>
      </c>
      <c r="N55"/>
    </row>
    <row r="56" spans="1:14" ht="13.8">
      <c r="A56" s="90"/>
      <c r="B56" s="90"/>
      <c r="C56" s="338"/>
      <c r="D56" s="337"/>
      <c r="E56" s="342"/>
      <c r="F56" s="339"/>
      <c r="G56" s="339"/>
      <c r="H56" s="90"/>
      <c r="I56" s="343" t="str">
        <f t="shared" si="1"/>
        <v/>
      </c>
      <c r="J56" s="344">
        <f ca="1">IFERROR(RANK(I56,$I$6:$I$65,1)+COUNTIF($I$6:I56,I56)-1,0)</f>
        <v>0</v>
      </c>
      <c r="K56" s="344" t="str">
        <f t="shared" ca="1" si="4"/>
        <v/>
      </c>
      <c r="L56" s="343">
        <f t="shared" si="3"/>
        <v>50</v>
      </c>
      <c r="M56" s="343" t="str">
        <f t="shared" ca="1" si="2"/>
        <v/>
      </c>
    </row>
    <row r="57" spans="1:14" s="84" customFormat="1" ht="13.8">
      <c r="A57" s="90"/>
      <c r="B57" s="90"/>
      <c r="C57" s="338"/>
      <c r="D57" s="337"/>
      <c r="E57" s="342"/>
      <c r="F57" s="339"/>
      <c r="G57" s="339"/>
      <c r="H57" s="90"/>
      <c r="I57" s="343" t="str">
        <f t="shared" si="1"/>
        <v/>
      </c>
      <c r="J57" s="344">
        <f ca="1">IFERROR(RANK(I57,$I$6:$I$65,1)+COUNTIF($I$6:I57,I57)-1,0)</f>
        <v>0</v>
      </c>
      <c r="K57" s="344" t="str">
        <f t="shared" ca="1" si="4"/>
        <v/>
      </c>
      <c r="L57" s="343">
        <f t="shared" si="3"/>
        <v>51</v>
      </c>
      <c r="M57" s="343" t="str">
        <f t="shared" ca="1" si="2"/>
        <v/>
      </c>
      <c r="N57"/>
    </row>
    <row r="58" spans="1:14" ht="13.8">
      <c r="A58" s="90"/>
      <c r="B58" s="90"/>
      <c r="C58" s="338"/>
      <c r="D58" s="337"/>
      <c r="E58" s="342"/>
      <c r="F58" s="339"/>
      <c r="G58" s="339"/>
      <c r="H58" s="90"/>
      <c r="I58" s="343" t="str">
        <f t="shared" si="1"/>
        <v/>
      </c>
      <c r="J58" s="344">
        <f ca="1">IFERROR(RANK(I58,$I$6:$I$65,1)+COUNTIF($I$6:I58,I58)-1,0)</f>
        <v>0</v>
      </c>
      <c r="K58" s="344" t="str">
        <f t="shared" ca="1" si="4"/>
        <v/>
      </c>
      <c r="L58" s="343">
        <f t="shared" si="3"/>
        <v>52</v>
      </c>
      <c r="M58" s="343" t="str">
        <f t="shared" ca="1" si="2"/>
        <v/>
      </c>
    </row>
    <row r="59" spans="1:14" s="84" customFormat="1" ht="13.8">
      <c r="A59" s="90"/>
      <c r="B59" s="90"/>
      <c r="C59" s="338"/>
      <c r="D59" s="337"/>
      <c r="E59" s="342"/>
      <c r="F59" s="339"/>
      <c r="G59" s="339"/>
      <c r="H59" s="90"/>
      <c r="I59" s="343" t="str">
        <f t="shared" si="1"/>
        <v/>
      </c>
      <c r="J59" s="344">
        <f ca="1">IFERROR(RANK(I59,$I$6:$I$65,1)+COUNTIF($I$6:I59,I59)-1,0)</f>
        <v>0</v>
      </c>
      <c r="K59" s="344" t="str">
        <f t="shared" ca="1" si="4"/>
        <v/>
      </c>
      <c r="L59" s="343">
        <f t="shared" si="3"/>
        <v>53</v>
      </c>
      <c r="M59" s="343" t="str">
        <f t="shared" ca="1" si="2"/>
        <v/>
      </c>
      <c r="N59"/>
    </row>
    <row r="60" spans="1:14" ht="13.8">
      <c r="A60" s="90"/>
      <c r="B60" s="90"/>
      <c r="C60" s="338"/>
      <c r="D60" s="337"/>
      <c r="E60" s="342"/>
      <c r="F60" s="339"/>
      <c r="G60" s="339"/>
      <c r="H60" s="90"/>
      <c r="I60" s="343" t="str">
        <f t="shared" si="1"/>
        <v/>
      </c>
      <c r="J60" s="344">
        <f ca="1">IFERROR(RANK(I60,$I$6:$I$65,1)+COUNTIF($I$6:I60,I60)-1,0)</f>
        <v>0</v>
      </c>
      <c r="K60" s="344" t="str">
        <f t="shared" ca="1" si="4"/>
        <v/>
      </c>
      <c r="L60" s="343">
        <f t="shared" si="3"/>
        <v>54</v>
      </c>
      <c r="M60" s="343" t="str">
        <f t="shared" ca="1" si="2"/>
        <v/>
      </c>
    </row>
    <row r="61" spans="1:14" s="84" customFormat="1" ht="13.8">
      <c r="A61" s="90"/>
      <c r="B61" s="90"/>
      <c r="C61" s="338"/>
      <c r="D61" s="337"/>
      <c r="E61" s="342"/>
      <c r="F61" s="339"/>
      <c r="G61" s="339"/>
      <c r="H61" s="90"/>
      <c r="I61" s="343" t="str">
        <f t="shared" si="1"/>
        <v/>
      </c>
      <c r="J61" s="344">
        <f ca="1">IFERROR(RANK(I61,$I$6:$I$65,1)+COUNTIF($I$6:I61,I61)-1,0)</f>
        <v>0</v>
      </c>
      <c r="K61" s="344" t="str">
        <f t="shared" ca="1" si="4"/>
        <v/>
      </c>
      <c r="L61" s="343">
        <f t="shared" si="3"/>
        <v>55</v>
      </c>
      <c r="M61" s="343" t="str">
        <f t="shared" ca="1" si="2"/>
        <v/>
      </c>
      <c r="N61"/>
    </row>
    <row r="62" spans="1:14" ht="13.8">
      <c r="A62" s="90"/>
      <c r="B62" s="90"/>
      <c r="C62" s="338"/>
      <c r="D62" s="337"/>
      <c r="E62" s="342"/>
      <c r="F62" s="339"/>
      <c r="G62" s="339"/>
      <c r="H62" s="90"/>
      <c r="I62" s="343" t="str">
        <f t="shared" si="1"/>
        <v/>
      </c>
      <c r="J62" s="344">
        <f ca="1">IFERROR(RANK(I62,$I$6:$I$65,1)+COUNTIF($I$6:I62,I62)-1,0)</f>
        <v>0</v>
      </c>
      <c r="K62" s="344" t="str">
        <f t="shared" ca="1" si="4"/>
        <v/>
      </c>
      <c r="L62" s="343">
        <f t="shared" si="3"/>
        <v>56</v>
      </c>
      <c r="M62" s="343" t="str">
        <f t="shared" ca="1" si="2"/>
        <v/>
      </c>
    </row>
    <row r="63" spans="1:14" s="84" customFormat="1" ht="13.8">
      <c r="A63" s="90"/>
      <c r="B63" s="90"/>
      <c r="C63" s="338"/>
      <c r="D63" s="337"/>
      <c r="E63" s="342"/>
      <c r="F63" s="339"/>
      <c r="G63" s="339"/>
      <c r="H63" s="90"/>
      <c r="I63" s="343" t="str">
        <f t="shared" si="1"/>
        <v/>
      </c>
      <c r="J63" s="344">
        <f ca="1">IFERROR(RANK(I63,$I$6:$I$65,1)+COUNTIF($I$6:I63,I63)-1,0)</f>
        <v>0</v>
      </c>
      <c r="K63" s="344" t="str">
        <f t="shared" ca="1" si="4"/>
        <v/>
      </c>
      <c r="L63" s="343">
        <f t="shared" si="3"/>
        <v>57</v>
      </c>
      <c r="M63" s="343" t="str">
        <f t="shared" ca="1" si="2"/>
        <v/>
      </c>
      <c r="N63"/>
    </row>
    <row r="64" spans="1:14" ht="13.8">
      <c r="A64" s="90"/>
      <c r="B64" s="90"/>
      <c r="C64" s="338"/>
      <c r="D64" s="337"/>
      <c r="E64" s="342"/>
      <c r="F64" s="339"/>
      <c r="G64" s="339"/>
      <c r="H64" s="90"/>
      <c r="I64" s="343" t="str">
        <f t="shared" si="1"/>
        <v/>
      </c>
      <c r="J64" s="344">
        <f ca="1">IFERROR(RANK(I64,$I$6:$I$65,1)+COUNTIF($I$6:I64,I64)-1,0)</f>
        <v>0</v>
      </c>
      <c r="K64" s="344" t="str">
        <f t="shared" ca="1" si="4"/>
        <v/>
      </c>
      <c r="L64" s="343">
        <f t="shared" si="3"/>
        <v>58</v>
      </c>
      <c r="M64" s="343" t="str">
        <f t="shared" ca="1" si="2"/>
        <v/>
      </c>
    </row>
    <row r="65" spans="1:14" s="84" customFormat="1" ht="13.8">
      <c r="A65" s="90"/>
      <c r="B65" s="90"/>
      <c r="C65" s="338"/>
      <c r="D65" s="337"/>
      <c r="E65" s="342"/>
      <c r="F65" s="347"/>
      <c r="G65" s="347"/>
      <c r="H65" s="90"/>
      <c r="I65" s="343" t="str">
        <f t="shared" si="1"/>
        <v/>
      </c>
      <c r="J65" s="344">
        <f ca="1">IFERROR(RANK(I65,$I$6:$I$65,1)+COUNTIF($I$6:I65,I65)-1,0)</f>
        <v>0</v>
      </c>
      <c r="K65" s="344" t="str">
        <f t="shared" ca="1" si="4"/>
        <v/>
      </c>
      <c r="L65" s="343">
        <f t="shared" si="3"/>
        <v>59</v>
      </c>
      <c r="M65" s="343" t="str">
        <f t="shared" ca="1" si="2"/>
        <v/>
      </c>
      <c r="N65"/>
    </row>
    <row r="66" spans="1:14" ht="24.9" customHeight="1">
      <c r="A66" s="90"/>
      <c r="B66" s="90"/>
      <c r="C66" s="875" t="s">
        <v>248</v>
      </c>
      <c r="D66" s="876"/>
      <c r="E66" s="346">
        <f ca="1">SUM(E6:E65)</f>
        <v>11.5</v>
      </c>
      <c r="F66" s="90"/>
      <c r="G66" s="90"/>
      <c r="H66" s="90"/>
    </row>
    <row r="67" spans="1:14" ht="24.9" customHeight="1">
      <c r="A67" s="90"/>
      <c r="B67" s="90"/>
      <c r="C67" s="875" t="s">
        <v>440</v>
      </c>
      <c r="D67" s="876"/>
      <c r="E67" s="394">
        <f ca="1">$E$66/MAX('2_DATA'!$T$9:$T$919)/24</f>
        <v>2.0871143375680575E-2</v>
      </c>
      <c r="F67" s="90"/>
      <c r="G67" s="90"/>
      <c r="H67" s="90"/>
    </row>
    <row r="68" spans="1:14">
      <c r="A68" s="90"/>
      <c r="B68" s="90"/>
      <c r="C68" s="130"/>
      <c r="D68" s="90"/>
      <c r="E68" s="90"/>
      <c r="F68" s="90"/>
      <c r="G68" s="90"/>
      <c r="H68" s="90"/>
    </row>
    <row r="69" spans="1:14">
      <c r="A69" s="90"/>
      <c r="B69" s="90"/>
      <c r="C69" s="130"/>
      <c r="D69" s="90"/>
      <c r="E69" s="90"/>
      <c r="F69" s="90"/>
      <c r="G69" s="90"/>
      <c r="H69" s="90"/>
    </row>
    <row r="70" spans="1:14" ht="17.399999999999999">
      <c r="A70" s="90"/>
      <c r="B70" s="185" t="s">
        <v>437</v>
      </c>
      <c r="C70" s="130"/>
      <c r="D70" s="90"/>
      <c r="E70" s="90"/>
      <c r="F70" s="90"/>
      <c r="G70" s="90"/>
      <c r="H70" s="90"/>
    </row>
    <row r="71" spans="1:14" ht="17.399999999999999">
      <c r="A71" s="90"/>
      <c r="B71" s="185"/>
      <c r="C71" s="396" t="s">
        <v>441</v>
      </c>
      <c r="D71" s="90"/>
      <c r="E71" s="90"/>
      <c r="F71" s="90"/>
      <c r="G71" s="90"/>
      <c r="H71" s="90"/>
    </row>
    <row r="72" spans="1:14" ht="17.399999999999999">
      <c r="A72" s="90"/>
      <c r="B72" s="185"/>
      <c r="C72" s="395" t="s">
        <v>442</v>
      </c>
      <c r="D72" s="90"/>
      <c r="E72" s="90"/>
      <c r="F72" s="873" t="str">
        <f ca="1">HYPERLINK(""&amp;$G$74&amp;""&amp;ADDRESS(ROW($A$77),COLUMN($A$77),,,)&amp;":"&amp;ADDRESS(ROW($XFD$135),COLUMN($XFD$135),,,)&amp;"","BLOCK TABLE BELOW")</f>
        <v>BLOCK TABLE BELOW</v>
      </c>
      <c r="G72" s="397" t="str">
        <f ca="1">CELL("filename",$A$1)</f>
        <v>D:\PPP\PPP 2023\SPA-034\SPA-034 FINAL SHOW\[23. (EP1012-Form-DSpv-05) Workover Time_24_SPA-034_09-02-2023.xlsx]6_LESSON LEARN</v>
      </c>
      <c r="H72" s="126"/>
    </row>
    <row r="73" spans="1:14" ht="17.399999999999999">
      <c r="A73" s="90"/>
      <c r="B73" s="185"/>
      <c r="C73" s="395" t="s">
        <v>444</v>
      </c>
      <c r="D73" s="90"/>
      <c r="E73" s="90"/>
      <c r="F73" s="874"/>
      <c r="G73" s="397" t="str">
        <f ca="1">RIGHT(G72,LEN(G72)-FIND("[",G72)+1)</f>
        <v>[23. (EP1012-Form-DSpv-05) Workover Time_24_SPA-034_09-02-2023.xlsx]6_LESSON LEARN</v>
      </c>
      <c r="H73" s="126"/>
    </row>
    <row r="74" spans="1:14" ht="17.399999999999999">
      <c r="A74" s="90"/>
      <c r="B74" s="185"/>
      <c r="C74" s="395" t="s">
        <v>443</v>
      </c>
      <c r="D74" s="90"/>
      <c r="E74" s="90"/>
      <c r="F74" s="90"/>
      <c r="G74" s="397" t="str">
        <f ca="1">LEFT(G73,FIND("]",G73))</f>
        <v>[23. (EP1012-Form-DSpv-05) Workover Time_24_SPA-034_09-02-2023.xlsx]</v>
      </c>
      <c r="H74" s="126"/>
    </row>
    <row r="75" spans="1:14" ht="17.399999999999999">
      <c r="A75" s="90"/>
      <c r="B75" s="185"/>
      <c r="C75" s="129"/>
      <c r="D75" s="129"/>
      <c r="E75" s="129"/>
      <c r="F75" s="129"/>
      <c r="G75" s="129"/>
      <c r="H75" s="90"/>
    </row>
    <row r="76" spans="1:14" ht="35.1" customHeight="1">
      <c r="A76" s="90"/>
      <c r="B76" s="90"/>
      <c r="C76" s="351" t="s">
        <v>244</v>
      </c>
      <c r="D76" s="336" t="s">
        <v>245</v>
      </c>
      <c r="E76" s="336" t="s">
        <v>49</v>
      </c>
      <c r="F76" s="335" t="s">
        <v>246</v>
      </c>
      <c r="G76" s="335" t="s">
        <v>247</v>
      </c>
      <c r="H76" s="90"/>
    </row>
    <row r="77" spans="1:14" ht="13.8">
      <c r="A77" s="90"/>
      <c r="B77" s="90"/>
      <c r="C77" s="388" t="str">
        <f t="shared" ref="C77:C108" ca="1" si="5">IFERROR(INDEX($C$6:$D$67,MATCH($D77,$D$6:$D$67,0),1),"")</f>
        <v>Tubular Problem (NPT)</v>
      </c>
      <c r="D77" s="389" t="str">
        <f t="shared" ref="D77:D108" ca="1" si="6">$M7</f>
        <v>8f</v>
      </c>
      <c r="E77" s="390">
        <f t="shared" ref="E77:E108" ca="1" si="7">IFERROR(VLOOKUP($D77,$D$6:$G$65,2,FALSE),"")</f>
        <v>8</v>
      </c>
      <c r="F77" s="345" t="str">
        <f t="shared" ref="F77:F108" ca="1" si="8">IFERROR(IF(VLOOKUP($D77,$D$6:$G$65,3,FALSE)=0,"",VLOOKUP($D77,$D$6:$G$65,3,FALSE)),"")</f>
        <v/>
      </c>
      <c r="G77" s="345" t="str">
        <f t="shared" ref="G77:G108" ca="1" si="9">IFERROR(IF(VLOOKUP($D77,$D$6:$G$65,4,FALSE)=0,"",VLOOKUP($D77,$D$6:$G$65,4,FALSE)),"")</f>
        <v/>
      </c>
      <c r="H77" s="90"/>
    </row>
    <row r="78" spans="1:14" ht="13.8">
      <c r="A78" s="90"/>
      <c r="B78" s="90"/>
      <c r="C78" s="388" t="str">
        <f t="shared" ca="1" si="5"/>
        <v>Repair Rotating System (NPT)</v>
      </c>
      <c r="D78" s="389" t="str">
        <f t="shared" ca="1" si="6"/>
        <v>8d</v>
      </c>
      <c r="E78" s="390">
        <f t="shared" ca="1" si="7"/>
        <v>3.5</v>
      </c>
      <c r="F78" s="345" t="str">
        <f t="shared" ca="1" si="8"/>
        <v/>
      </c>
      <c r="G78" s="345" t="str">
        <f t="shared" ca="1" si="9"/>
        <v/>
      </c>
      <c r="H78" s="90"/>
    </row>
    <row r="79" spans="1:14" ht="13.8">
      <c r="A79" s="90"/>
      <c r="B79" s="90"/>
      <c r="C79" s="388" t="str">
        <f t="shared" ca="1" si="5"/>
        <v/>
      </c>
      <c r="D79" s="389" t="str">
        <f t="shared" ca="1" si="6"/>
        <v/>
      </c>
      <c r="E79" s="390" t="str">
        <f t="shared" ca="1" si="7"/>
        <v/>
      </c>
      <c r="F79" s="345" t="str">
        <f t="shared" ca="1" si="8"/>
        <v/>
      </c>
      <c r="G79" s="345" t="str">
        <f t="shared" ca="1" si="9"/>
        <v/>
      </c>
      <c r="H79" s="90"/>
    </row>
    <row r="80" spans="1:14" ht="13.8">
      <c r="A80" s="90"/>
      <c r="B80" s="90"/>
      <c r="C80" s="388" t="str">
        <f t="shared" ca="1" si="5"/>
        <v/>
      </c>
      <c r="D80" s="389" t="str">
        <f t="shared" ca="1" si="6"/>
        <v/>
      </c>
      <c r="E80" s="390" t="str">
        <f t="shared" ca="1" si="7"/>
        <v/>
      </c>
      <c r="F80" s="345" t="str">
        <f t="shared" ca="1" si="8"/>
        <v/>
      </c>
      <c r="G80" s="345" t="str">
        <f t="shared" ca="1" si="9"/>
        <v/>
      </c>
      <c r="H80" s="90"/>
    </row>
    <row r="81" spans="1:8" ht="13.8">
      <c r="A81" s="90"/>
      <c r="B81" s="90"/>
      <c r="C81" s="388" t="str">
        <f t="shared" ca="1" si="5"/>
        <v/>
      </c>
      <c r="D81" s="389" t="str">
        <f t="shared" ca="1" si="6"/>
        <v/>
      </c>
      <c r="E81" s="390" t="str">
        <f t="shared" ca="1" si="7"/>
        <v/>
      </c>
      <c r="F81" s="345" t="str">
        <f t="shared" ca="1" si="8"/>
        <v/>
      </c>
      <c r="G81" s="345" t="str">
        <f t="shared" ca="1" si="9"/>
        <v/>
      </c>
      <c r="H81" s="90"/>
    </row>
    <row r="82" spans="1:8" ht="13.8">
      <c r="A82" s="90"/>
      <c r="B82" s="90"/>
      <c r="C82" s="388" t="str">
        <f t="shared" ca="1" si="5"/>
        <v/>
      </c>
      <c r="D82" s="389" t="str">
        <f t="shared" ca="1" si="6"/>
        <v/>
      </c>
      <c r="E82" s="390" t="str">
        <f t="shared" ca="1" si="7"/>
        <v/>
      </c>
      <c r="F82" s="345" t="str">
        <f t="shared" ca="1" si="8"/>
        <v/>
      </c>
      <c r="G82" s="345" t="str">
        <f t="shared" ca="1" si="9"/>
        <v/>
      </c>
      <c r="H82" s="90"/>
    </row>
    <row r="83" spans="1:8" ht="13.8">
      <c r="A83" s="90"/>
      <c r="B83" s="90"/>
      <c r="C83" s="388" t="str">
        <f t="shared" ca="1" si="5"/>
        <v/>
      </c>
      <c r="D83" s="389" t="str">
        <f t="shared" ca="1" si="6"/>
        <v/>
      </c>
      <c r="E83" s="390" t="str">
        <f t="shared" ca="1" si="7"/>
        <v/>
      </c>
      <c r="F83" s="345" t="str">
        <f t="shared" ca="1" si="8"/>
        <v/>
      </c>
      <c r="G83" s="345" t="str">
        <f t="shared" ca="1" si="9"/>
        <v/>
      </c>
      <c r="H83" s="90"/>
    </row>
    <row r="84" spans="1:8" ht="13.8">
      <c r="A84" s="90"/>
      <c r="B84" s="90"/>
      <c r="C84" s="388" t="str">
        <f t="shared" ca="1" si="5"/>
        <v/>
      </c>
      <c r="D84" s="389" t="str">
        <f t="shared" ca="1" si="6"/>
        <v/>
      </c>
      <c r="E84" s="390" t="str">
        <f t="shared" ca="1" si="7"/>
        <v/>
      </c>
      <c r="F84" s="345" t="str">
        <f t="shared" ca="1" si="8"/>
        <v/>
      </c>
      <c r="G84" s="345" t="str">
        <f t="shared" ca="1" si="9"/>
        <v/>
      </c>
      <c r="H84" s="90"/>
    </row>
    <row r="85" spans="1:8" ht="13.8">
      <c r="A85" s="90"/>
      <c r="B85" s="90"/>
      <c r="C85" s="388" t="str">
        <f t="shared" ca="1" si="5"/>
        <v/>
      </c>
      <c r="D85" s="389" t="str">
        <f t="shared" ca="1" si="6"/>
        <v/>
      </c>
      <c r="E85" s="390" t="str">
        <f t="shared" ca="1" si="7"/>
        <v/>
      </c>
      <c r="F85" s="345" t="str">
        <f t="shared" ca="1" si="8"/>
        <v/>
      </c>
      <c r="G85" s="345" t="str">
        <f t="shared" ca="1" si="9"/>
        <v/>
      </c>
      <c r="H85" s="90"/>
    </row>
    <row r="86" spans="1:8" ht="13.8">
      <c r="A86" s="90"/>
      <c r="B86" s="90"/>
      <c r="C86" s="388" t="str">
        <f t="shared" ca="1" si="5"/>
        <v/>
      </c>
      <c r="D86" s="389" t="str">
        <f t="shared" ca="1" si="6"/>
        <v/>
      </c>
      <c r="E86" s="390" t="str">
        <f t="shared" ca="1" si="7"/>
        <v/>
      </c>
      <c r="F86" s="345" t="str">
        <f t="shared" ca="1" si="8"/>
        <v/>
      </c>
      <c r="G86" s="345" t="str">
        <f t="shared" ca="1" si="9"/>
        <v/>
      </c>
      <c r="H86" s="90"/>
    </row>
    <row r="87" spans="1:8" ht="13.8">
      <c r="A87" s="90"/>
      <c r="B87" s="90"/>
      <c r="C87" s="388" t="str">
        <f t="shared" ca="1" si="5"/>
        <v/>
      </c>
      <c r="D87" s="389" t="str">
        <f t="shared" ca="1" si="6"/>
        <v/>
      </c>
      <c r="E87" s="390" t="str">
        <f t="shared" ca="1" si="7"/>
        <v/>
      </c>
      <c r="F87" s="345" t="str">
        <f t="shared" ca="1" si="8"/>
        <v/>
      </c>
      <c r="G87" s="345" t="str">
        <f t="shared" ca="1" si="9"/>
        <v/>
      </c>
      <c r="H87" s="90"/>
    </row>
    <row r="88" spans="1:8" ht="13.8">
      <c r="A88" s="90"/>
      <c r="B88" s="90"/>
      <c r="C88" s="388" t="str">
        <f t="shared" ca="1" si="5"/>
        <v/>
      </c>
      <c r="D88" s="389" t="str">
        <f t="shared" ca="1" si="6"/>
        <v/>
      </c>
      <c r="E88" s="390" t="str">
        <f t="shared" ca="1" si="7"/>
        <v/>
      </c>
      <c r="F88" s="345" t="str">
        <f t="shared" ca="1" si="8"/>
        <v/>
      </c>
      <c r="G88" s="345" t="str">
        <f t="shared" ca="1" si="9"/>
        <v/>
      </c>
      <c r="H88" s="90"/>
    </row>
    <row r="89" spans="1:8" ht="13.8">
      <c r="A89" s="90"/>
      <c r="B89" s="90"/>
      <c r="C89" s="388" t="str">
        <f t="shared" ca="1" si="5"/>
        <v/>
      </c>
      <c r="D89" s="389" t="str">
        <f t="shared" ca="1" si="6"/>
        <v/>
      </c>
      <c r="E89" s="390" t="str">
        <f t="shared" ca="1" si="7"/>
        <v/>
      </c>
      <c r="F89" s="345" t="str">
        <f t="shared" ca="1" si="8"/>
        <v/>
      </c>
      <c r="G89" s="345" t="str">
        <f t="shared" ca="1" si="9"/>
        <v/>
      </c>
      <c r="H89" s="90"/>
    </row>
    <row r="90" spans="1:8" ht="13.8">
      <c r="A90" s="90"/>
      <c r="B90" s="90"/>
      <c r="C90" s="388" t="str">
        <f t="shared" ca="1" si="5"/>
        <v/>
      </c>
      <c r="D90" s="389" t="str">
        <f t="shared" ca="1" si="6"/>
        <v/>
      </c>
      <c r="E90" s="390" t="str">
        <f t="shared" ca="1" si="7"/>
        <v/>
      </c>
      <c r="F90" s="345" t="str">
        <f t="shared" ca="1" si="8"/>
        <v/>
      </c>
      <c r="G90" s="345" t="str">
        <f t="shared" ca="1" si="9"/>
        <v/>
      </c>
      <c r="H90" s="90"/>
    </row>
    <row r="91" spans="1:8" ht="13.8">
      <c r="A91" s="90"/>
      <c r="B91" s="90"/>
      <c r="C91" s="388" t="str">
        <f t="shared" ca="1" si="5"/>
        <v/>
      </c>
      <c r="D91" s="389" t="str">
        <f t="shared" ca="1" si="6"/>
        <v/>
      </c>
      <c r="E91" s="390" t="str">
        <f t="shared" ca="1" si="7"/>
        <v/>
      </c>
      <c r="F91" s="345" t="str">
        <f t="shared" ca="1" si="8"/>
        <v/>
      </c>
      <c r="G91" s="345" t="str">
        <f t="shared" ca="1" si="9"/>
        <v/>
      </c>
      <c r="H91" s="90"/>
    </row>
    <row r="92" spans="1:8" ht="13.8">
      <c r="A92" s="90"/>
      <c r="B92" s="90"/>
      <c r="C92" s="388" t="str">
        <f t="shared" ca="1" si="5"/>
        <v/>
      </c>
      <c r="D92" s="389" t="str">
        <f t="shared" ca="1" si="6"/>
        <v/>
      </c>
      <c r="E92" s="390" t="str">
        <f t="shared" ca="1" si="7"/>
        <v/>
      </c>
      <c r="F92" s="345" t="str">
        <f t="shared" ca="1" si="8"/>
        <v/>
      </c>
      <c r="G92" s="345" t="str">
        <f t="shared" ca="1" si="9"/>
        <v/>
      </c>
      <c r="H92" s="90"/>
    </row>
    <row r="93" spans="1:8" ht="13.8">
      <c r="A93" s="90"/>
      <c r="B93" s="90"/>
      <c r="C93" s="388" t="str">
        <f t="shared" ca="1" si="5"/>
        <v/>
      </c>
      <c r="D93" s="389" t="str">
        <f t="shared" ca="1" si="6"/>
        <v/>
      </c>
      <c r="E93" s="390" t="str">
        <f t="shared" ca="1" si="7"/>
        <v/>
      </c>
      <c r="F93" s="345" t="str">
        <f t="shared" ca="1" si="8"/>
        <v/>
      </c>
      <c r="G93" s="345" t="str">
        <f t="shared" ca="1" si="9"/>
        <v/>
      </c>
      <c r="H93" s="90"/>
    </row>
    <row r="94" spans="1:8" ht="13.8">
      <c r="A94" s="90"/>
      <c r="B94" s="90"/>
      <c r="C94" s="388" t="str">
        <f t="shared" ca="1" si="5"/>
        <v/>
      </c>
      <c r="D94" s="389" t="str">
        <f t="shared" ca="1" si="6"/>
        <v/>
      </c>
      <c r="E94" s="390" t="str">
        <f t="shared" ca="1" si="7"/>
        <v/>
      </c>
      <c r="F94" s="345" t="str">
        <f t="shared" ca="1" si="8"/>
        <v/>
      </c>
      <c r="G94" s="345" t="str">
        <f t="shared" ca="1" si="9"/>
        <v/>
      </c>
      <c r="H94" s="90"/>
    </row>
    <row r="95" spans="1:8" ht="13.8">
      <c r="A95" s="90"/>
      <c r="B95" s="90"/>
      <c r="C95" s="388" t="str">
        <f t="shared" ca="1" si="5"/>
        <v/>
      </c>
      <c r="D95" s="389" t="str">
        <f t="shared" ca="1" si="6"/>
        <v/>
      </c>
      <c r="E95" s="390" t="str">
        <f t="shared" ca="1" si="7"/>
        <v/>
      </c>
      <c r="F95" s="345" t="str">
        <f t="shared" ca="1" si="8"/>
        <v/>
      </c>
      <c r="G95" s="345" t="str">
        <f t="shared" ca="1" si="9"/>
        <v/>
      </c>
      <c r="H95" s="90"/>
    </row>
    <row r="96" spans="1:8" ht="13.8">
      <c r="A96" s="90"/>
      <c r="B96" s="90"/>
      <c r="C96" s="388" t="str">
        <f t="shared" ca="1" si="5"/>
        <v/>
      </c>
      <c r="D96" s="389" t="str">
        <f t="shared" ca="1" si="6"/>
        <v/>
      </c>
      <c r="E96" s="390" t="str">
        <f t="shared" ca="1" si="7"/>
        <v/>
      </c>
      <c r="F96" s="345" t="str">
        <f t="shared" ca="1" si="8"/>
        <v/>
      </c>
      <c r="G96" s="345" t="str">
        <f t="shared" ca="1" si="9"/>
        <v/>
      </c>
      <c r="H96" s="90"/>
    </row>
    <row r="97" spans="1:8" ht="13.8">
      <c r="A97" s="90"/>
      <c r="B97" s="90"/>
      <c r="C97" s="388" t="str">
        <f t="shared" ca="1" si="5"/>
        <v/>
      </c>
      <c r="D97" s="389" t="str">
        <f t="shared" ca="1" si="6"/>
        <v/>
      </c>
      <c r="E97" s="390" t="str">
        <f t="shared" ca="1" si="7"/>
        <v/>
      </c>
      <c r="F97" s="345" t="str">
        <f t="shared" ca="1" si="8"/>
        <v/>
      </c>
      <c r="G97" s="345" t="str">
        <f t="shared" ca="1" si="9"/>
        <v/>
      </c>
      <c r="H97" s="90"/>
    </row>
    <row r="98" spans="1:8" ht="13.8">
      <c r="A98" s="90"/>
      <c r="B98" s="90"/>
      <c r="C98" s="388" t="str">
        <f t="shared" ca="1" si="5"/>
        <v/>
      </c>
      <c r="D98" s="389" t="str">
        <f t="shared" ca="1" si="6"/>
        <v/>
      </c>
      <c r="E98" s="390" t="str">
        <f t="shared" ca="1" si="7"/>
        <v/>
      </c>
      <c r="F98" s="345" t="str">
        <f t="shared" ca="1" si="8"/>
        <v/>
      </c>
      <c r="G98" s="345" t="str">
        <f t="shared" ca="1" si="9"/>
        <v/>
      </c>
      <c r="H98" s="90"/>
    </row>
    <row r="99" spans="1:8" ht="13.8">
      <c r="A99" s="90"/>
      <c r="B99" s="90"/>
      <c r="C99" s="388" t="str">
        <f t="shared" ca="1" si="5"/>
        <v/>
      </c>
      <c r="D99" s="389" t="str">
        <f t="shared" ca="1" si="6"/>
        <v/>
      </c>
      <c r="E99" s="390" t="str">
        <f t="shared" ca="1" si="7"/>
        <v/>
      </c>
      <c r="F99" s="345" t="str">
        <f t="shared" ca="1" si="8"/>
        <v/>
      </c>
      <c r="G99" s="345" t="str">
        <f t="shared" ca="1" si="9"/>
        <v/>
      </c>
      <c r="H99" s="90"/>
    </row>
    <row r="100" spans="1:8" ht="13.8">
      <c r="A100" s="90"/>
      <c r="B100" s="90"/>
      <c r="C100" s="388" t="str">
        <f t="shared" ca="1" si="5"/>
        <v/>
      </c>
      <c r="D100" s="389" t="str">
        <f t="shared" ca="1" si="6"/>
        <v/>
      </c>
      <c r="E100" s="390" t="str">
        <f t="shared" ca="1" si="7"/>
        <v/>
      </c>
      <c r="F100" s="345" t="str">
        <f t="shared" ca="1" si="8"/>
        <v/>
      </c>
      <c r="G100" s="345" t="str">
        <f t="shared" ca="1" si="9"/>
        <v/>
      </c>
      <c r="H100" s="90"/>
    </row>
    <row r="101" spans="1:8" ht="13.8">
      <c r="A101" s="90"/>
      <c r="B101" s="90"/>
      <c r="C101" s="388" t="str">
        <f t="shared" ca="1" si="5"/>
        <v/>
      </c>
      <c r="D101" s="389" t="str">
        <f t="shared" ca="1" si="6"/>
        <v/>
      </c>
      <c r="E101" s="390" t="str">
        <f t="shared" ca="1" si="7"/>
        <v/>
      </c>
      <c r="F101" s="345" t="str">
        <f t="shared" ca="1" si="8"/>
        <v/>
      </c>
      <c r="G101" s="345" t="str">
        <f t="shared" ca="1" si="9"/>
        <v/>
      </c>
      <c r="H101" s="90"/>
    </row>
    <row r="102" spans="1:8" ht="13.8">
      <c r="A102" s="90"/>
      <c r="B102" s="90"/>
      <c r="C102" s="388" t="str">
        <f t="shared" ca="1" si="5"/>
        <v/>
      </c>
      <c r="D102" s="389" t="str">
        <f t="shared" ca="1" si="6"/>
        <v/>
      </c>
      <c r="E102" s="390" t="str">
        <f t="shared" ca="1" si="7"/>
        <v/>
      </c>
      <c r="F102" s="345" t="str">
        <f t="shared" ca="1" si="8"/>
        <v/>
      </c>
      <c r="G102" s="345" t="str">
        <f t="shared" ca="1" si="9"/>
        <v/>
      </c>
      <c r="H102" s="90"/>
    </row>
    <row r="103" spans="1:8" ht="13.8">
      <c r="A103" s="90"/>
      <c r="B103" s="90"/>
      <c r="C103" s="388" t="str">
        <f t="shared" ca="1" si="5"/>
        <v/>
      </c>
      <c r="D103" s="389" t="str">
        <f t="shared" ca="1" si="6"/>
        <v/>
      </c>
      <c r="E103" s="390" t="str">
        <f t="shared" ca="1" si="7"/>
        <v/>
      </c>
      <c r="F103" s="345" t="str">
        <f t="shared" ca="1" si="8"/>
        <v/>
      </c>
      <c r="G103" s="345" t="str">
        <f t="shared" ca="1" si="9"/>
        <v/>
      </c>
      <c r="H103" s="90"/>
    </row>
    <row r="104" spans="1:8" ht="13.8">
      <c r="A104" s="90"/>
      <c r="B104" s="90"/>
      <c r="C104" s="388" t="str">
        <f t="shared" ca="1" si="5"/>
        <v/>
      </c>
      <c r="D104" s="389" t="str">
        <f t="shared" ca="1" si="6"/>
        <v/>
      </c>
      <c r="E104" s="390" t="str">
        <f t="shared" ca="1" si="7"/>
        <v/>
      </c>
      <c r="F104" s="345" t="str">
        <f t="shared" ca="1" si="8"/>
        <v/>
      </c>
      <c r="G104" s="345" t="str">
        <f t="shared" ca="1" si="9"/>
        <v/>
      </c>
      <c r="H104" s="90"/>
    </row>
    <row r="105" spans="1:8" ht="13.8">
      <c r="A105" s="90"/>
      <c r="B105" s="90"/>
      <c r="C105" s="388" t="str">
        <f t="shared" ca="1" si="5"/>
        <v/>
      </c>
      <c r="D105" s="389" t="str">
        <f t="shared" ca="1" si="6"/>
        <v/>
      </c>
      <c r="E105" s="390" t="str">
        <f t="shared" ca="1" si="7"/>
        <v/>
      </c>
      <c r="F105" s="345" t="str">
        <f t="shared" ca="1" si="8"/>
        <v/>
      </c>
      <c r="G105" s="345" t="str">
        <f t="shared" ca="1" si="9"/>
        <v/>
      </c>
      <c r="H105" s="90"/>
    </row>
    <row r="106" spans="1:8" ht="13.8">
      <c r="A106" s="90"/>
      <c r="B106" s="90"/>
      <c r="C106" s="388" t="str">
        <f t="shared" ca="1" si="5"/>
        <v/>
      </c>
      <c r="D106" s="389" t="str">
        <f t="shared" ca="1" si="6"/>
        <v/>
      </c>
      <c r="E106" s="390" t="str">
        <f t="shared" ca="1" si="7"/>
        <v/>
      </c>
      <c r="F106" s="345" t="str">
        <f t="shared" ca="1" si="8"/>
        <v/>
      </c>
      <c r="G106" s="345" t="str">
        <f t="shared" ca="1" si="9"/>
        <v/>
      </c>
      <c r="H106" s="90"/>
    </row>
    <row r="107" spans="1:8" ht="13.8">
      <c r="A107" s="90"/>
      <c r="B107" s="90"/>
      <c r="C107" s="388" t="str">
        <f t="shared" ca="1" si="5"/>
        <v/>
      </c>
      <c r="D107" s="389" t="str">
        <f t="shared" ca="1" si="6"/>
        <v/>
      </c>
      <c r="E107" s="390" t="str">
        <f t="shared" ca="1" si="7"/>
        <v/>
      </c>
      <c r="F107" s="345" t="str">
        <f t="shared" ca="1" si="8"/>
        <v/>
      </c>
      <c r="G107" s="345" t="str">
        <f t="shared" ca="1" si="9"/>
        <v/>
      </c>
      <c r="H107" s="90"/>
    </row>
    <row r="108" spans="1:8" ht="13.8">
      <c r="A108" s="90"/>
      <c r="B108" s="90"/>
      <c r="C108" s="388" t="str">
        <f t="shared" ca="1" si="5"/>
        <v/>
      </c>
      <c r="D108" s="389" t="str">
        <f t="shared" ca="1" si="6"/>
        <v/>
      </c>
      <c r="E108" s="390" t="str">
        <f t="shared" ca="1" si="7"/>
        <v/>
      </c>
      <c r="F108" s="345" t="str">
        <f t="shared" ca="1" si="8"/>
        <v/>
      </c>
      <c r="G108" s="345" t="str">
        <f t="shared" ca="1" si="9"/>
        <v/>
      </c>
      <c r="H108" s="90"/>
    </row>
    <row r="109" spans="1:8" ht="13.8">
      <c r="A109" s="90"/>
      <c r="B109" s="90"/>
      <c r="C109" s="388" t="str">
        <f t="shared" ref="C109:C135" ca="1" si="10">IFERROR(INDEX($C$6:$D$67,MATCH($D109,$D$6:$D$67,0),1),"")</f>
        <v/>
      </c>
      <c r="D109" s="389" t="str">
        <f t="shared" ref="D109:D135" ca="1" si="11">$M39</f>
        <v/>
      </c>
      <c r="E109" s="390" t="str">
        <f t="shared" ref="E109:E135" ca="1" si="12">IFERROR(VLOOKUP($D109,$D$6:$G$65,2,FALSE),"")</f>
        <v/>
      </c>
      <c r="F109" s="345" t="str">
        <f t="shared" ref="F109:F135" ca="1" si="13">IFERROR(IF(VLOOKUP($D109,$D$6:$G$65,3,FALSE)=0,"",VLOOKUP($D109,$D$6:$G$65,3,FALSE)),"")</f>
        <v/>
      </c>
      <c r="G109" s="345" t="str">
        <f t="shared" ref="G109:G135" ca="1" si="14">IFERROR(IF(VLOOKUP($D109,$D$6:$G$65,4,FALSE)=0,"",VLOOKUP($D109,$D$6:$G$65,4,FALSE)),"")</f>
        <v/>
      </c>
      <c r="H109" s="90"/>
    </row>
    <row r="110" spans="1:8" ht="13.8">
      <c r="A110" s="90"/>
      <c r="B110" s="90"/>
      <c r="C110" s="388" t="str">
        <f t="shared" ca="1" si="10"/>
        <v/>
      </c>
      <c r="D110" s="389" t="str">
        <f t="shared" ca="1" si="11"/>
        <v/>
      </c>
      <c r="E110" s="390" t="str">
        <f t="shared" ca="1" si="12"/>
        <v/>
      </c>
      <c r="F110" s="345" t="str">
        <f t="shared" ca="1" si="13"/>
        <v/>
      </c>
      <c r="G110" s="345" t="str">
        <f t="shared" ca="1" si="14"/>
        <v/>
      </c>
      <c r="H110" s="90"/>
    </row>
    <row r="111" spans="1:8" ht="13.8">
      <c r="A111" s="90"/>
      <c r="B111" s="90"/>
      <c r="C111" s="388" t="str">
        <f t="shared" ca="1" si="10"/>
        <v/>
      </c>
      <c r="D111" s="389" t="str">
        <f t="shared" ca="1" si="11"/>
        <v/>
      </c>
      <c r="E111" s="390" t="str">
        <f t="shared" ca="1" si="12"/>
        <v/>
      </c>
      <c r="F111" s="345" t="str">
        <f t="shared" ca="1" si="13"/>
        <v/>
      </c>
      <c r="G111" s="345" t="str">
        <f t="shared" ca="1" si="14"/>
        <v/>
      </c>
      <c r="H111" s="90"/>
    </row>
    <row r="112" spans="1:8" ht="13.8">
      <c r="A112" s="90"/>
      <c r="B112" s="90"/>
      <c r="C112" s="388" t="str">
        <f t="shared" ca="1" si="10"/>
        <v/>
      </c>
      <c r="D112" s="389" t="str">
        <f t="shared" ca="1" si="11"/>
        <v/>
      </c>
      <c r="E112" s="390" t="str">
        <f t="shared" ca="1" si="12"/>
        <v/>
      </c>
      <c r="F112" s="345" t="str">
        <f t="shared" ca="1" si="13"/>
        <v/>
      </c>
      <c r="G112" s="345" t="str">
        <f t="shared" ca="1" si="14"/>
        <v/>
      </c>
      <c r="H112" s="90"/>
    </row>
    <row r="113" spans="1:8" ht="13.8">
      <c r="A113" s="90"/>
      <c r="B113" s="90"/>
      <c r="C113" s="388" t="str">
        <f t="shared" ca="1" si="10"/>
        <v/>
      </c>
      <c r="D113" s="389" t="str">
        <f t="shared" ca="1" si="11"/>
        <v/>
      </c>
      <c r="E113" s="390" t="str">
        <f t="shared" ca="1" si="12"/>
        <v/>
      </c>
      <c r="F113" s="345" t="str">
        <f t="shared" ca="1" si="13"/>
        <v/>
      </c>
      <c r="G113" s="345" t="str">
        <f t="shared" ca="1" si="14"/>
        <v/>
      </c>
      <c r="H113" s="90"/>
    </row>
    <row r="114" spans="1:8" ht="13.8">
      <c r="A114" s="90"/>
      <c r="B114" s="90"/>
      <c r="C114" s="388" t="str">
        <f t="shared" ca="1" si="10"/>
        <v/>
      </c>
      <c r="D114" s="389" t="str">
        <f t="shared" ca="1" si="11"/>
        <v/>
      </c>
      <c r="E114" s="390" t="str">
        <f t="shared" ca="1" si="12"/>
        <v/>
      </c>
      <c r="F114" s="345" t="str">
        <f t="shared" ca="1" si="13"/>
        <v/>
      </c>
      <c r="G114" s="345" t="str">
        <f t="shared" ca="1" si="14"/>
        <v/>
      </c>
      <c r="H114" s="90"/>
    </row>
    <row r="115" spans="1:8" ht="13.8">
      <c r="A115" s="90"/>
      <c r="B115" s="90"/>
      <c r="C115" s="388" t="str">
        <f t="shared" ca="1" si="10"/>
        <v/>
      </c>
      <c r="D115" s="389" t="str">
        <f t="shared" ca="1" si="11"/>
        <v/>
      </c>
      <c r="E115" s="390" t="str">
        <f t="shared" ca="1" si="12"/>
        <v/>
      </c>
      <c r="F115" s="345" t="str">
        <f t="shared" ca="1" si="13"/>
        <v/>
      </c>
      <c r="G115" s="345" t="str">
        <f t="shared" ca="1" si="14"/>
        <v/>
      </c>
      <c r="H115" s="90"/>
    </row>
    <row r="116" spans="1:8" ht="13.8">
      <c r="A116" s="90"/>
      <c r="B116" s="90"/>
      <c r="C116" s="388" t="str">
        <f t="shared" ca="1" si="10"/>
        <v/>
      </c>
      <c r="D116" s="389" t="str">
        <f t="shared" ca="1" si="11"/>
        <v/>
      </c>
      <c r="E116" s="390" t="str">
        <f t="shared" ca="1" si="12"/>
        <v/>
      </c>
      <c r="F116" s="345" t="str">
        <f t="shared" ca="1" si="13"/>
        <v/>
      </c>
      <c r="G116" s="345" t="str">
        <f t="shared" ca="1" si="14"/>
        <v/>
      </c>
      <c r="H116" s="90"/>
    </row>
    <row r="117" spans="1:8" ht="13.8">
      <c r="A117" s="90"/>
      <c r="B117" s="90"/>
      <c r="C117" s="388" t="str">
        <f t="shared" ca="1" si="10"/>
        <v/>
      </c>
      <c r="D117" s="389" t="str">
        <f t="shared" ca="1" si="11"/>
        <v/>
      </c>
      <c r="E117" s="390" t="str">
        <f t="shared" ca="1" si="12"/>
        <v/>
      </c>
      <c r="F117" s="345" t="str">
        <f t="shared" ca="1" si="13"/>
        <v/>
      </c>
      <c r="G117" s="345" t="str">
        <f t="shared" ca="1" si="14"/>
        <v/>
      </c>
      <c r="H117" s="90"/>
    </row>
    <row r="118" spans="1:8" ht="13.8">
      <c r="A118" s="90"/>
      <c r="B118" s="90"/>
      <c r="C118" s="388" t="str">
        <f t="shared" ca="1" si="10"/>
        <v/>
      </c>
      <c r="D118" s="389" t="str">
        <f t="shared" ca="1" si="11"/>
        <v/>
      </c>
      <c r="E118" s="390" t="str">
        <f t="shared" ca="1" si="12"/>
        <v/>
      </c>
      <c r="F118" s="345" t="str">
        <f t="shared" ca="1" si="13"/>
        <v/>
      </c>
      <c r="G118" s="345" t="str">
        <f t="shared" ca="1" si="14"/>
        <v/>
      </c>
      <c r="H118" s="90"/>
    </row>
    <row r="119" spans="1:8" ht="13.8">
      <c r="A119" s="90"/>
      <c r="B119" s="90"/>
      <c r="C119" s="388" t="str">
        <f t="shared" ca="1" si="10"/>
        <v/>
      </c>
      <c r="D119" s="389" t="str">
        <f t="shared" ca="1" si="11"/>
        <v/>
      </c>
      <c r="E119" s="390" t="str">
        <f t="shared" ca="1" si="12"/>
        <v/>
      </c>
      <c r="F119" s="345" t="str">
        <f t="shared" ca="1" si="13"/>
        <v/>
      </c>
      <c r="G119" s="345" t="str">
        <f t="shared" ca="1" si="14"/>
        <v/>
      </c>
      <c r="H119" s="90"/>
    </row>
    <row r="120" spans="1:8" ht="13.8">
      <c r="A120" s="90"/>
      <c r="B120" s="90"/>
      <c r="C120" s="388" t="str">
        <f t="shared" ca="1" si="10"/>
        <v/>
      </c>
      <c r="D120" s="389" t="str">
        <f t="shared" ca="1" si="11"/>
        <v/>
      </c>
      <c r="E120" s="390" t="str">
        <f t="shared" ca="1" si="12"/>
        <v/>
      </c>
      <c r="F120" s="345" t="str">
        <f t="shared" ca="1" si="13"/>
        <v/>
      </c>
      <c r="G120" s="345" t="str">
        <f t="shared" ca="1" si="14"/>
        <v/>
      </c>
      <c r="H120" s="90"/>
    </row>
    <row r="121" spans="1:8" ht="13.8">
      <c r="A121" s="90"/>
      <c r="B121" s="90"/>
      <c r="C121" s="388" t="str">
        <f t="shared" ca="1" si="10"/>
        <v/>
      </c>
      <c r="D121" s="389" t="str">
        <f t="shared" ca="1" si="11"/>
        <v/>
      </c>
      <c r="E121" s="390" t="str">
        <f t="shared" ca="1" si="12"/>
        <v/>
      </c>
      <c r="F121" s="345" t="str">
        <f t="shared" ca="1" si="13"/>
        <v/>
      </c>
      <c r="G121" s="345" t="str">
        <f t="shared" ca="1" si="14"/>
        <v/>
      </c>
      <c r="H121" s="90"/>
    </row>
    <row r="122" spans="1:8" ht="13.8">
      <c r="A122" s="90"/>
      <c r="B122" s="90"/>
      <c r="C122" s="388" t="str">
        <f t="shared" ca="1" si="10"/>
        <v/>
      </c>
      <c r="D122" s="389" t="str">
        <f t="shared" ca="1" si="11"/>
        <v/>
      </c>
      <c r="E122" s="390" t="str">
        <f t="shared" ca="1" si="12"/>
        <v/>
      </c>
      <c r="F122" s="345" t="str">
        <f t="shared" ca="1" si="13"/>
        <v/>
      </c>
      <c r="G122" s="345" t="str">
        <f t="shared" ca="1" si="14"/>
        <v/>
      </c>
      <c r="H122" s="90"/>
    </row>
    <row r="123" spans="1:8" ht="13.8">
      <c r="A123" s="90"/>
      <c r="B123" s="90"/>
      <c r="C123" s="388" t="str">
        <f t="shared" ca="1" si="10"/>
        <v/>
      </c>
      <c r="D123" s="389" t="str">
        <f t="shared" ca="1" si="11"/>
        <v/>
      </c>
      <c r="E123" s="390" t="str">
        <f t="shared" ca="1" si="12"/>
        <v/>
      </c>
      <c r="F123" s="345" t="str">
        <f t="shared" ca="1" si="13"/>
        <v/>
      </c>
      <c r="G123" s="345" t="str">
        <f t="shared" ca="1" si="14"/>
        <v/>
      </c>
      <c r="H123" s="90"/>
    </row>
    <row r="124" spans="1:8" ht="13.8">
      <c r="A124" s="90"/>
      <c r="B124" s="90"/>
      <c r="C124" s="388" t="str">
        <f t="shared" ca="1" si="10"/>
        <v/>
      </c>
      <c r="D124" s="389" t="str">
        <f t="shared" ca="1" si="11"/>
        <v/>
      </c>
      <c r="E124" s="390" t="str">
        <f t="shared" ca="1" si="12"/>
        <v/>
      </c>
      <c r="F124" s="345" t="str">
        <f t="shared" ca="1" si="13"/>
        <v/>
      </c>
      <c r="G124" s="345" t="str">
        <f t="shared" ca="1" si="14"/>
        <v/>
      </c>
      <c r="H124" s="90"/>
    </row>
    <row r="125" spans="1:8" ht="13.8">
      <c r="A125" s="90"/>
      <c r="B125" s="90"/>
      <c r="C125" s="388" t="str">
        <f t="shared" ca="1" si="10"/>
        <v/>
      </c>
      <c r="D125" s="389" t="str">
        <f t="shared" ca="1" si="11"/>
        <v/>
      </c>
      <c r="E125" s="390" t="str">
        <f t="shared" ca="1" si="12"/>
        <v/>
      </c>
      <c r="F125" s="345" t="str">
        <f t="shared" ca="1" si="13"/>
        <v/>
      </c>
      <c r="G125" s="345" t="str">
        <f t="shared" ca="1" si="14"/>
        <v/>
      </c>
      <c r="H125" s="90"/>
    </row>
    <row r="126" spans="1:8" ht="13.8">
      <c r="A126" s="90"/>
      <c r="B126" s="90"/>
      <c r="C126" s="388" t="str">
        <f t="shared" ca="1" si="10"/>
        <v/>
      </c>
      <c r="D126" s="389" t="str">
        <f t="shared" ca="1" si="11"/>
        <v/>
      </c>
      <c r="E126" s="390" t="str">
        <f t="shared" ca="1" si="12"/>
        <v/>
      </c>
      <c r="F126" s="345" t="str">
        <f t="shared" ca="1" si="13"/>
        <v/>
      </c>
      <c r="G126" s="345" t="str">
        <f t="shared" ca="1" si="14"/>
        <v/>
      </c>
      <c r="H126" s="90"/>
    </row>
    <row r="127" spans="1:8" ht="13.8">
      <c r="A127" s="90"/>
      <c r="B127" s="90"/>
      <c r="C127" s="388" t="str">
        <f t="shared" ca="1" si="10"/>
        <v/>
      </c>
      <c r="D127" s="389" t="str">
        <f t="shared" ca="1" si="11"/>
        <v/>
      </c>
      <c r="E127" s="390" t="str">
        <f t="shared" ca="1" si="12"/>
        <v/>
      </c>
      <c r="F127" s="345" t="str">
        <f t="shared" ca="1" si="13"/>
        <v/>
      </c>
      <c r="G127" s="345" t="str">
        <f t="shared" ca="1" si="14"/>
        <v/>
      </c>
      <c r="H127" s="90"/>
    </row>
    <row r="128" spans="1:8" ht="13.8">
      <c r="A128" s="90"/>
      <c r="B128" s="90"/>
      <c r="C128" s="388" t="str">
        <f t="shared" ca="1" si="10"/>
        <v/>
      </c>
      <c r="D128" s="389" t="str">
        <f t="shared" ca="1" si="11"/>
        <v/>
      </c>
      <c r="E128" s="390" t="str">
        <f t="shared" ca="1" si="12"/>
        <v/>
      </c>
      <c r="F128" s="345" t="str">
        <f t="shared" ca="1" si="13"/>
        <v/>
      </c>
      <c r="G128" s="345" t="str">
        <f t="shared" ca="1" si="14"/>
        <v/>
      </c>
      <c r="H128" s="90"/>
    </row>
    <row r="129" spans="1:8" ht="13.8">
      <c r="A129" s="90"/>
      <c r="B129" s="90"/>
      <c r="C129" s="388" t="str">
        <f t="shared" ca="1" si="10"/>
        <v/>
      </c>
      <c r="D129" s="389" t="str">
        <f t="shared" ca="1" si="11"/>
        <v/>
      </c>
      <c r="E129" s="390" t="str">
        <f t="shared" ca="1" si="12"/>
        <v/>
      </c>
      <c r="F129" s="345" t="str">
        <f t="shared" ca="1" si="13"/>
        <v/>
      </c>
      <c r="G129" s="345" t="str">
        <f t="shared" ca="1" si="14"/>
        <v/>
      </c>
      <c r="H129" s="90"/>
    </row>
    <row r="130" spans="1:8" ht="13.8">
      <c r="A130" s="90"/>
      <c r="B130" s="90"/>
      <c r="C130" s="388" t="str">
        <f t="shared" ca="1" si="10"/>
        <v/>
      </c>
      <c r="D130" s="389" t="str">
        <f t="shared" ca="1" si="11"/>
        <v/>
      </c>
      <c r="E130" s="390" t="str">
        <f t="shared" ca="1" si="12"/>
        <v/>
      </c>
      <c r="F130" s="345" t="str">
        <f t="shared" ca="1" si="13"/>
        <v/>
      </c>
      <c r="G130" s="345" t="str">
        <f t="shared" ca="1" si="14"/>
        <v/>
      </c>
      <c r="H130" s="90"/>
    </row>
    <row r="131" spans="1:8" ht="13.8">
      <c r="A131" s="90"/>
      <c r="B131" s="90"/>
      <c r="C131" s="388" t="str">
        <f t="shared" ca="1" si="10"/>
        <v/>
      </c>
      <c r="D131" s="389" t="str">
        <f t="shared" ca="1" si="11"/>
        <v/>
      </c>
      <c r="E131" s="390" t="str">
        <f t="shared" ca="1" si="12"/>
        <v/>
      </c>
      <c r="F131" s="345" t="str">
        <f t="shared" ca="1" si="13"/>
        <v/>
      </c>
      <c r="G131" s="345" t="str">
        <f t="shared" ca="1" si="14"/>
        <v/>
      </c>
      <c r="H131" s="90"/>
    </row>
    <row r="132" spans="1:8" ht="13.8">
      <c r="A132" s="90"/>
      <c r="B132" s="90"/>
      <c r="C132" s="388" t="str">
        <f t="shared" ca="1" si="10"/>
        <v/>
      </c>
      <c r="D132" s="389" t="str">
        <f t="shared" ca="1" si="11"/>
        <v/>
      </c>
      <c r="E132" s="390" t="str">
        <f t="shared" ca="1" si="12"/>
        <v/>
      </c>
      <c r="F132" s="345" t="str">
        <f t="shared" ca="1" si="13"/>
        <v/>
      </c>
      <c r="G132" s="345" t="str">
        <f t="shared" ca="1" si="14"/>
        <v/>
      </c>
      <c r="H132" s="90"/>
    </row>
    <row r="133" spans="1:8" ht="13.8">
      <c r="A133" s="90"/>
      <c r="B133" s="90"/>
      <c r="C133" s="388" t="str">
        <f t="shared" ca="1" si="10"/>
        <v/>
      </c>
      <c r="D133" s="389" t="str">
        <f t="shared" ca="1" si="11"/>
        <v/>
      </c>
      <c r="E133" s="390" t="str">
        <f t="shared" ca="1" si="12"/>
        <v/>
      </c>
      <c r="F133" s="345" t="str">
        <f t="shared" ca="1" si="13"/>
        <v/>
      </c>
      <c r="G133" s="345" t="str">
        <f t="shared" ca="1" si="14"/>
        <v/>
      </c>
      <c r="H133" s="90"/>
    </row>
    <row r="134" spans="1:8" ht="13.8">
      <c r="A134" s="90"/>
      <c r="B134" s="90"/>
      <c r="C134" s="388" t="str">
        <f t="shared" ca="1" si="10"/>
        <v/>
      </c>
      <c r="D134" s="389" t="str">
        <f t="shared" ca="1" si="11"/>
        <v/>
      </c>
      <c r="E134" s="390" t="str">
        <f t="shared" ca="1" si="12"/>
        <v/>
      </c>
      <c r="F134" s="345" t="str">
        <f t="shared" ca="1" si="13"/>
        <v/>
      </c>
      <c r="G134" s="345" t="str">
        <f t="shared" ca="1" si="14"/>
        <v/>
      </c>
      <c r="H134" s="90"/>
    </row>
    <row r="135" spans="1:8" ht="13.8">
      <c r="A135" s="90"/>
      <c r="B135" s="90"/>
      <c r="C135" s="391" t="str">
        <f t="shared" ca="1" si="10"/>
        <v/>
      </c>
      <c r="D135" s="392" t="str">
        <f t="shared" ca="1" si="11"/>
        <v/>
      </c>
      <c r="E135" s="393" t="str">
        <f t="shared" ca="1" si="12"/>
        <v/>
      </c>
      <c r="F135" s="352" t="str">
        <f t="shared" ca="1" si="13"/>
        <v/>
      </c>
      <c r="G135" s="352" t="str">
        <f t="shared" ca="1" si="14"/>
        <v/>
      </c>
      <c r="H135" s="90"/>
    </row>
    <row r="136" spans="1:8">
      <c r="A136" s="90"/>
      <c r="B136" s="90"/>
      <c r="C136" s="90"/>
      <c r="D136" s="90"/>
      <c r="E136" s="90"/>
      <c r="F136" s="90"/>
      <c r="G136" s="90"/>
      <c r="H136" s="130"/>
    </row>
    <row r="137" spans="1:8">
      <c r="A137" s="90"/>
      <c r="B137" s="90"/>
      <c r="C137" s="90"/>
      <c r="D137" s="90"/>
      <c r="E137" s="90"/>
      <c r="F137" s="90"/>
      <c r="G137" s="90"/>
      <c r="H137" s="130"/>
    </row>
    <row r="138" spans="1:8" ht="17.399999999999999">
      <c r="A138" s="90"/>
      <c r="B138" s="185" t="s">
        <v>436</v>
      </c>
      <c r="C138" s="90"/>
      <c r="D138" s="90"/>
      <c r="E138" s="90"/>
      <c r="F138" s="90"/>
      <c r="G138" s="90"/>
      <c r="H138" s="130"/>
    </row>
    <row r="139" spans="1:8">
      <c r="A139" s="90"/>
      <c r="B139" s="90"/>
      <c r="C139" s="236" t="s">
        <v>438</v>
      </c>
      <c r="D139" s="90"/>
      <c r="E139" s="90"/>
      <c r="F139" s="90"/>
      <c r="G139" s="90"/>
      <c r="H139" s="130"/>
    </row>
    <row r="140" spans="1:8">
      <c r="A140" s="90"/>
      <c r="B140" s="90"/>
      <c r="C140" s="236" t="s">
        <v>438</v>
      </c>
      <c r="D140" s="90"/>
      <c r="E140" s="90"/>
      <c r="F140" s="90"/>
      <c r="G140" s="90"/>
      <c r="H140" s="130"/>
    </row>
    <row r="141" spans="1:8">
      <c r="A141" s="90"/>
      <c r="B141" s="90"/>
      <c r="C141" s="236" t="s">
        <v>438</v>
      </c>
      <c r="D141" s="90"/>
      <c r="E141" s="90"/>
      <c r="F141" s="90"/>
      <c r="G141" s="90"/>
      <c r="H141" s="130"/>
    </row>
    <row r="142" spans="1:8">
      <c r="A142" s="90"/>
      <c r="B142" s="90"/>
      <c r="C142" s="236" t="s">
        <v>438</v>
      </c>
      <c r="D142" s="90"/>
      <c r="E142" s="90"/>
      <c r="F142" s="90"/>
      <c r="G142" s="90"/>
      <c r="H142" s="130"/>
    </row>
    <row r="143" spans="1:8">
      <c r="A143" s="90"/>
      <c r="B143" s="90"/>
      <c r="C143" s="236" t="s">
        <v>438</v>
      </c>
      <c r="D143" s="90"/>
      <c r="E143" s="90"/>
      <c r="F143" s="90"/>
      <c r="G143" s="90"/>
      <c r="H143" s="130"/>
    </row>
    <row r="144" spans="1:8">
      <c r="A144" s="90"/>
      <c r="B144" s="90"/>
      <c r="C144" s="236" t="s">
        <v>438</v>
      </c>
      <c r="D144" s="90"/>
      <c r="E144" s="90"/>
      <c r="F144" s="90"/>
      <c r="G144" s="90"/>
      <c r="H144" s="130"/>
    </row>
    <row r="145" spans="1:8">
      <c r="A145" s="90"/>
      <c r="B145" s="90"/>
      <c r="C145" s="236" t="s">
        <v>438</v>
      </c>
      <c r="D145" s="90"/>
      <c r="E145" s="90"/>
      <c r="F145" s="90"/>
      <c r="G145" s="90"/>
      <c r="H145" s="130"/>
    </row>
    <row r="146" spans="1:8">
      <c r="A146" s="90"/>
      <c r="B146" s="90"/>
      <c r="C146" s="236" t="s">
        <v>438</v>
      </c>
      <c r="D146" s="90"/>
      <c r="E146" s="90"/>
      <c r="F146" s="90"/>
      <c r="G146" s="90"/>
      <c r="H146" s="130"/>
    </row>
    <row r="147" spans="1:8">
      <c r="A147" s="90"/>
      <c r="B147" s="90"/>
      <c r="C147" s="236" t="s">
        <v>438</v>
      </c>
      <c r="D147" s="90"/>
      <c r="E147" s="90"/>
      <c r="F147" s="90"/>
      <c r="G147" s="90"/>
      <c r="H147" s="130"/>
    </row>
    <row r="148" spans="1:8">
      <c r="A148" s="90"/>
      <c r="B148" s="90"/>
      <c r="C148" s="90"/>
      <c r="D148" s="90"/>
      <c r="E148" s="90"/>
      <c r="F148" s="90"/>
      <c r="G148" s="90"/>
      <c r="H148" s="130"/>
    </row>
    <row r="149" spans="1:8">
      <c r="A149" s="90"/>
      <c r="B149" s="90"/>
      <c r="C149" s="90"/>
      <c r="D149" s="90"/>
      <c r="E149" s="90"/>
      <c r="F149" s="90"/>
      <c r="G149" s="90"/>
      <c r="H149" s="130"/>
    </row>
    <row r="150" spans="1:8">
      <c r="A150" s="90"/>
      <c r="B150" s="90"/>
      <c r="C150" s="90"/>
      <c r="D150" s="90"/>
      <c r="E150" s="90"/>
      <c r="F150" s="90"/>
      <c r="G150" s="90"/>
      <c r="H150" s="130"/>
    </row>
    <row r="151" spans="1:8">
      <c r="A151" s="90"/>
      <c r="B151" s="90"/>
      <c r="C151" s="90"/>
      <c r="D151" s="90"/>
      <c r="E151" s="90"/>
      <c r="F151" s="90"/>
      <c r="G151" s="90"/>
      <c r="H151" s="130"/>
    </row>
    <row r="152" spans="1:8">
      <c r="A152" s="90"/>
      <c r="B152" s="90"/>
      <c r="C152" s="90"/>
      <c r="D152" s="90"/>
      <c r="E152" s="90"/>
      <c r="F152" s="90"/>
      <c r="G152" s="90"/>
      <c r="H152" s="130"/>
    </row>
    <row r="153" spans="1:8">
      <c r="A153" s="90"/>
      <c r="B153" s="90"/>
      <c r="C153" s="90"/>
      <c r="D153" s="90"/>
      <c r="E153" s="90"/>
      <c r="F153" s="90"/>
      <c r="G153" s="90"/>
    </row>
    <row r="154" spans="1:8">
      <c r="A154" s="90"/>
      <c r="B154" s="90"/>
    </row>
  </sheetData>
  <autoFilter ref="C6:G67" xr:uid="{00000000-0009-0000-0000-000007000000}"/>
  <mergeCells count="3">
    <mergeCell ref="F72:F73"/>
    <mergeCell ref="C66:D66"/>
    <mergeCell ref="C67:D67"/>
  </mergeCells>
  <conditionalFormatting sqref="C7:E65">
    <cfRule type="expression" dxfId="4" priority="19">
      <formula>ISEVEN(ROW($C7))</formula>
    </cfRule>
  </conditionalFormatting>
  <conditionalFormatting sqref="C77:E135">
    <cfRule type="expression" dxfId="3" priority="11">
      <formula>ISEVEN(ROW($C77))</formula>
    </cfRule>
  </conditionalFormatting>
  <conditionalFormatting sqref="C77:G135">
    <cfRule type="expression" dxfId="2" priority="1">
      <formula>$C77=""</formula>
    </cfRule>
  </conditionalFormatting>
  <conditionalFormatting sqref="E7:E65">
    <cfRule type="dataBar" priority="8">
      <dataBar>
        <cfvo type="min"/>
        <cfvo type="max"/>
        <color rgb="FFFFB628"/>
      </dataBar>
    </cfRule>
  </conditionalFormatting>
  <conditionalFormatting sqref="E77:E82">
    <cfRule type="dataBar" priority="9">
      <dataBar>
        <cfvo type="min"/>
        <cfvo type="max"/>
        <color rgb="FFFFB628"/>
      </dataBar>
    </cfRule>
  </conditionalFormatting>
  <conditionalFormatting sqref="E83:E135">
    <cfRule type="dataBar" priority="4201">
      <dataBar>
        <cfvo type="min"/>
        <cfvo type="max"/>
        <color rgb="FFFFB628"/>
      </dataBar>
    </cfRule>
  </conditionalFormatting>
  <conditionalFormatting sqref="F7:G65">
    <cfRule type="expression" dxfId="1" priority="20">
      <formula>ISEVEN(ROW($F7))</formula>
    </cfRule>
  </conditionalFormatting>
  <conditionalFormatting sqref="F77:G135">
    <cfRule type="expression" dxfId="0" priority="12">
      <formula>ISEVEN(ROW($F77))</formula>
    </cfRule>
  </conditionalFormatting>
  <pageMargins left="0.7" right="0.7" top="0.75" bottom="0.75" header="0.3" footer="0.3"/>
  <pageSetup paperSize="9" scale="7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0BFCF-1E82-4A7A-994C-86DDFF610CB8}">
  <sheetPr>
    <tabColor rgb="FFFFFF00"/>
  </sheetPr>
  <dimension ref="A1:AV80"/>
  <sheetViews>
    <sheetView tabSelected="1" view="pageBreakPreview" topLeftCell="D1" zoomScale="55" zoomScaleSheetLayoutView="55" workbookViewId="0">
      <selection activeCell="H11" sqref="H11:H32"/>
    </sheetView>
  </sheetViews>
  <sheetFormatPr defaultRowHeight="13.2"/>
  <cols>
    <col min="1" max="1" width="1.44140625" customWidth="1"/>
    <col min="2" max="2" width="9" customWidth="1"/>
    <col min="3" max="3" width="6.109375" customWidth="1"/>
    <col min="4" max="4" width="22.109375" customWidth="1"/>
    <col min="5" max="5" width="25.109375" customWidth="1"/>
    <col min="6" max="6" width="24.33203125" customWidth="1"/>
    <col min="7" max="7" width="23.44140625" style="6" customWidth="1"/>
    <col min="8" max="8" width="25.109375" customWidth="1"/>
    <col min="9" max="9" width="24.33203125" customWidth="1"/>
    <col min="10" max="10" width="23.44140625" style="6" customWidth="1"/>
    <col min="11" max="11" width="1.44140625" customWidth="1"/>
    <col min="12" max="12" width="10.6640625" customWidth="1"/>
    <col min="14" max="15" width="10.33203125" bestFit="1" customWidth="1"/>
    <col min="16" max="16" width="9.33203125" bestFit="1" customWidth="1"/>
    <col min="17" max="17" width="10.33203125" bestFit="1" customWidth="1"/>
    <col min="18" max="29" width="9.33203125" bestFit="1" customWidth="1"/>
    <col min="30" max="30" width="11.33203125" bestFit="1" customWidth="1"/>
  </cols>
  <sheetData>
    <row r="1" spans="1:30" s="7" customFormat="1" ht="30" customHeight="1">
      <c r="A1" s="359"/>
      <c r="B1" s="350" t="str">
        <f>"MONITORING BUDGET PEMBORAN SUMUR "&amp;'1_INPUT'!E14&amp;""</f>
        <v>MONITORING BUDGET PEMBORAN SUMUR SPA-034</v>
      </c>
      <c r="C1" s="90"/>
      <c r="D1" s="350"/>
      <c r="E1" s="90"/>
      <c r="F1" s="350"/>
      <c r="G1" s="90"/>
      <c r="H1" s="350"/>
      <c r="I1" s="90"/>
      <c r="J1" s="350"/>
      <c r="K1" s="360"/>
    </row>
    <row r="2" spans="1:30" ht="3.9" customHeight="1">
      <c r="A2" s="90"/>
      <c r="B2" s="90"/>
      <c r="C2" s="90"/>
      <c r="D2" s="90"/>
      <c r="E2" s="90"/>
      <c r="F2" s="90"/>
      <c r="G2" s="361"/>
      <c r="H2" s="90"/>
      <c r="I2" s="90"/>
      <c r="J2" s="361"/>
      <c r="K2" s="90"/>
    </row>
    <row r="3" spans="1:30" ht="15" customHeight="1">
      <c r="A3" s="362"/>
      <c r="B3" s="676" t="s">
        <v>80</v>
      </c>
      <c r="C3" s="676"/>
      <c r="D3" s="366" t="str">
        <f>": "&amp;'1_INPUT'!$E$13&amp;""</f>
        <v>: 23-190-221-OO</v>
      </c>
      <c r="E3" s="90"/>
      <c r="F3" s="361"/>
      <c r="G3" s="362"/>
      <c r="H3" s="90"/>
      <c r="I3" s="361"/>
      <c r="J3" s="362"/>
      <c r="K3" s="90"/>
      <c r="N3">
        <v>6812.1951219512193</v>
      </c>
    </row>
    <row r="4" spans="1:30" ht="15" customHeight="1">
      <c r="A4" s="362"/>
      <c r="B4" s="676" t="s">
        <v>81</v>
      </c>
      <c r="C4" s="676"/>
      <c r="D4" s="482">
        <f>'1_INPUT'!$E$27</f>
        <v>470258.49276678503</v>
      </c>
      <c r="E4" s="362"/>
      <c r="F4" s="90"/>
      <c r="G4" s="362"/>
      <c r="H4" s="362"/>
      <c r="I4" s="90"/>
      <c r="J4" s="362"/>
      <c r="K4" s="90"/>
    </row>
    <row r="5" spans="1:30" ht="15" customHeight="1">
      <c r="A5" s="362"/>
      <c r="B5" s="676" t="s">
        <v>82</v>
      </c>
      <c r="C5" s="676"/>
      <c r="D5" s="367">
        <f>'1_INPUT'!$E$18</f>
        <v>44943.791666666664</v>
      </c>
      <c r="E5" s="90"/>
      <c r="F5" s="90"/>
      <c r="G5" s="90"/>
      <c r="H5" s="90"/>
      <c r="I5" s="90"/>
      <c r="J5" s="90"/>
      <c r="K5" s="90"/>
      <c r="M5">
        <f>10776.6891891892*3/4+2*(558)</f>
        <v>9198.5168918918989</v>
      </c>
    </row>
    <row r="6" spans="1:30" ht="20.100000000000001" customHeight="1">
      <c r="A6" s="363"/>
      <c r="B6" s="677" t="s">
        <v>83</v>
      </c>
      <c r="C6" s="677"/>
      <c r="D6" s="677" t="s">
        <v>41</v>
      </c>
      <c r="E6" s="677" t="s">
        <v>47</v>
      </c>
      <c r="F6" s="677"/>
      <c r="G6" s="677"/>
      <c r="H6" s="677" t="s">
        <v>48</v>
      </c>
      <c r="I6" s="677"/>
      <c r="J6" s="677"/>
      <c r="K6" s="130"/>
    </row>
    <row r="7" spans="1:30" s="4" customFormat="1" ht="20.100000000000001" customHeight="1">
      <c r="A7" s="364"/>
      <c r="B7" s="678"/>
      <c r="C7" s="678"/>
      <c r="D7" s="678"/>
      <c r="E7" s="357" t="s">
        <v>42</v>
      </c>
      <c r="F7" s="357" t="s">
        <v>43</v>
      </c>
      <c r="G7" s="358" t="s">
        <v>44</v>
      </c>
      <c r="H7" s="357" t="s">
        <v>42</v>
      </c>
      <c r="I7" s="357" t="s">
        <v>43</v>
      </c>
      <c r="J7" s="358" t="s">
        <v>44</v>
      </c>
      <c r="K7" s="365"/>
    </row>
    <row r="8" spans="1:30" s="4" customFormat="1" ht="15" customHeight="1">
      <c r="A8" s="364"/>
      <c r="B8" s="567">
        <v>0</v>
      </c>
      <c r="C8" s="545">
        <v>0</v>
      </c>
      <c r="D8" s="546">
        <f>D5-1</f>
        <v>44942.791666666664</v>
      </c>
      <c r="E8" s="547">
        <v>0</v>
      </c>
      <c r="F8" s="548">
        <f>SUM($E$8:E8)</f>
        <v>0</v>
      </c>
      <c r="G8" s="549">
        <f>F8/$D$4</f>
        <v>0</v>
      </c>
      <c r="H8" s="550"/>
      <c r="I8" s="551">
        <f>H8</f>
        <v>0</v>
      </c>
      <c r="J8" s="549">
        <f t="shared" ref="J8:J32" si="0">I8/$D$4</f>
        <v>0</v>
      </c>
      <c r="K8" s="365"/>
      <c r="M8" s="4">
        <v>1</v>
      </c>
      <c r="N8" s="558">
        <v>4007.5601374570447</v>
      </c>
      <c r="O8" s="558"/>
      <c r="P8" s="558"/>
      <c r="Q8" s="558"/>
      <c r="R8" s="559">
        <v>281.3897017747563</v>
      </c>
      <c r="S8" s="559">
        <v>281.3897017747563</v>
      </c>
      <c r="T8" s="559">
        <v>36.293086564825686</v>
      </c>
      <c r="U8" s="558"/>
      <c r="V8" s="558"/>
      <c r="W8" s="558"/>
      <c r="X8" s="558"/>
      <c r="Y8" s="558"/>
      <c r="Z8" s="558"/>
      <c r="AA8" s="558"/>
      <c r="AB8" s="558"/>
      <c r="AC8" s="558"/>
      <c r="AD8" s="558">
        <f>SUM(N8:AC8)</f>
        <v>4606.6326275713827</v>
      </c>
    </row>
    <row r="9" spans="1:30" s="4" customFormat="1" ht="15" customHeight="1">
      <c r="A9" s="364"/>
      <c r="B9" s="568">
        <v>1</v>
      </c>
      <c r="C9" s="552">
        <v>4.4999999999999982</v>
      </c>
      <c r="D9" s="546">
        <f>D8+1</f>
        <v>44943.791666666664</v>
      </c>
      <c r="E9" s="570">
        <v>5272.33</v>
      </c>
      <c r="F9" s="571">
        <f>E9</f>
        <v>5272.33</v>
      </c>
      <c r="G9" s="549">
        <f>F9/$D$4</f>
        <v>1.1211557220327975E-2</v>
      </c>
      <c r="H9" s="553">
        <f>M5</f>
        <v>9198.5168918918989</v>
      </c>
      <c r="I9" s="551">
        <f>H9</f>
        <v>9198.5168918918989</v>
      </c>
      <c r="J9" s="549">
        <f t="shared" si="0"/>
        <v>1.9560554531981016E-2</v>
      </c>
      <c r="K9" s="365"/>
      <c r="L9" s="4">
        <v>77734.929645344702</v>
      </c>
      <c r="M9" s="4">
        <v>2</v>
      </c>
      <c r="N9" s="558">
        <v>4007.5601374570447</v>
      </c>
      <c r="O9" s="558"/>
      <c r="P9" s="558"/>
      <c r="Q9" s="558"/>
      <c r="R9" s="559">
        <v>281.3897017747563</v>
      </c>
      <c r="S9" s="559">
        <v>281.3897017747563</v>
      </c>
      <c r="T9" s="559">
        <v>36.293086564825686</v>
      </c>
      <c r="U9" s="558"/>
      <c r="V9" s="558"/>
      <c r="W9" s="558"/>
      <c r="X9" s="558"/>
      <c r="Y9" s="558"/>
      <c r="Z9" s="558"/>
      <c r="AA9" s="558"/>
      <c r="AB9" s="558"/>
      <c r="AC9" s="558"/>
      <c r="AD9" s="558">
        <f t="shared" ref="AD9:AD30" si="1">SUM(N9:AC9)</f>
        <v>4606.6326275713827</v>
      </c>
    </row>
    <row r="10" spans="1:30" s="4" customFormat="1" ht="15" customHeight="1">
      <c r="A10" s="364"/>
      <c r="B10" s="568">
        <f>B9+1</f>
        <v>2</v>
      </c>
      <c r="C10" s="552">
        <v>5.4982638888888866</v>
      </c>
      <c r="D10" s="546">
        <f>D9+1</f>
        <v>44944.791666666664</v>
      </c>
      <c r="E10" s="570">
        <v>5272.33</v>
      </c>
      <c r="F10" s="571">
        <f>E10+F9</f>
        <v>10544.66</v>
      </c>
      <c r="G10" s="549">
        <f t="shared" ref="G10:G31" si="2">F10/$D$4</f>
        <v>2.242311444065595E-2</v>
      </c>
      <c r="H10" s="553">
        <f>77734.9296453447-H9+6467.60083655084</f>
        <v>75004.013590003655</v>
      </c>
      <c r="I10" s="551">
        <f>H10+I9</f>
        <v>84202.530481895548</v>
      </c>
      <c r="J10" s="549">
        <f t="shared" si="0"/>
        <v>0.17905584221666371</v>
      </c>
      <c r="K10" s="365"/>
      <c r="L10" s="4">
        <v>6467.600836550836</v>
      </c>
      <c r="M10" s="4">
        <v>3</v>
      </c>
      <c r="N10" s="558">
        <v>4007.5601374570447</v>
      </c>
      <c r="O10" s="558"/>
      <c r="P10" s="558"/>
      <c r="Q10" s="558"/>
      <c r="R10" s="559">
        <v>281.3897017747563</v>
      </c>
      <c r="S10" s="559">
        <v>281.3897017747563</v>
      </c>
      <c r="T10" s="559">
        <v>36.293086564825686</v>
      </c>
      <c r="U10" s="558"/>
      <c r="V10" s="558"/>
      <c r="W10" s="558"/>
      <c r="X10" s="558"/>
      <c r="Y10" s="558"/>
      <c r="Z10" s="558"/>
      <c r="AA10" s="558"/>
      <c r="AB10" s="558"/>
      <c r="AC10" s="558"/>
      <c r="AD10" s="558">
        <f t="shared" si="1"/>
        <v>4606.6326275713827</v>
      </c>
    </row>
    <row r="11" spans="1:30" s="4" customFormat="1" ht="15" customHeight="1">
      <c r="A11" s="364"/>
      <c r="B11" s="568">
        <f t="shared" ref="B11:B29" si="3">B10+1</f>
        <v>3</v>
      </c>
      <c r="C11" s="552">
        <v>6.496527777777775</v>
      </c>
      <c r="D11" s="546">
        <f t="shared" ref="D11:D26" si="4">D10+1</f>
        <v>44945.791666666664</v>
      </c>
      <c r="E11" s="570">
        <v>5272.33</v>
      </c>
      <c r="F11" s="571">
        <f t="shared" ref="F11:F31" si="5">E11+F10</f>
        <v>15816.99</v>
      </c>
      <c r="G11" s="549">
        <f t="shared" si="2"/>
        <v>3.3634671660983925E-2</v>
      </c>
      <c r="H11" s="554">
        <v>6467.600836550836</v>
      </c>
      <c r="I11" s="551">
        <f t="shared" ref="I11:I32" si="6">H11+I10</f>
        <v>90670.13131844638</v>
      </c>
      <c r="J11" s="549">
        <f t="shared" si="0"/>
        <v>0.19280913096323887</v>
      </c>
      <c r="K11" s="365"/>
      <c r="L11" s="4">
        <v>6467.600836550836</v>
      </c>
      <c r="M11" s="4">
        <v>1</v>
      </c>
      <c r="N11" s="559">
        <v>39324.324324324327</v>
      </c>
      <c r="O11" s="559">
        <v>2967.9997184684676</v>
      </c>
      <c r="P11" s="558">
        <v>5138.6929523120507</v>
      </c>
      <c r="Q11" s="558">
        <v>6335.1627784500924</v>
      </c>
      <c r="R11" s="559">
        <v>281.3897017747563</v>
      </c>
      <c r="S11" s="559">
        <v>281.3897017747563</v>
      </c>
      <c r="T11" s="559">
        <v>36.293086564825686</v>
      </c>
      <c r="U11" s="559">
        <v>62.596313418681824</v>
      </c>
      <c r="V11" s="559">
        <v>119.37884957325753</v>
      </c>
      <c r="W11" s="559">
        <v>112.14376778093856</v>
      </c>
      <c r="X11" s="559">
        <v>4000.529196932433</v>
      </c>
      <c r="Y11" s="559">
        <v>4915.5405405405409</v>
      </c>
      <c r="Z11" s="559">
        <v>266.80389842789293</v>
      </c>
      <c r="AA11" s="559">
        <v>1137.8070175438595</v>
      </c>
      <c r="AB11" s="559">
        <v>289.30543207681353</v>
      </c>
      <c r="AC11" s="558">
        <v>1894.156682324747</v>
      </c>
      <c r="AD11" s="558">
        <f t="shared" si="1"/>
        <v>67163.513962288431</v>
      </c>
    </row>
    <row r="12" spans="1:30" s="4" customFormat="1" ht="15" customHeight="1">
      <c r="A12" s="364"/>
      <c r="B12" s="568">
        <f t="shared" si="3"/>
        <v>4</v>
      </c>
      <c r="C12" s="552">
        <v>7.4947916666666643</v>
      </c>
      <c r="D12" s="546">
        <f t="shared" si="4"/>
        <v>44946.791666666664</v>
      </c>
      <c r="E12" s="570">
        <v>70589.09</v>
      </c>
      <c r="F12" s="571">
        <f t="shared" si="5"/>
        <v>86406.080000000002</v>
      </c>
      <c r="G12" s="549">
        <f t="shared" si="2"/>
        <v>0.18374166831443342</v>
      </c>
      <c r="H12" s="554">
        <v>6467.600836550836</v>
      </c>
      <c r="I12" s="551">
        <f t="shared" si="6"/>
        <v>97137.732154997211</v>
      </c>
      <c r="J12" s="549">
        <f t="shared" si="0"/>
        <v>0.20656241970981407</v>
      </c>
      <c r="K12" s="365"/>
      <c r="L12" s="4">
        <v>6467.600836550836</v>
      </c>
      <c r="M12" s="4">
        <v>2</v>
      </c>
      <c r="N12" s="559">
        <v>4350.0874489123307</v>
      </c>
      <c r="O12" s="558"/>
      <c r="P12" s="558">
        <v>5138.6929523120507</v>
      </c>
      <c r="Q12" s="558"/>
      <c r="R12" s="559">
        <v>281.3897017747563</v>
      </c>
      <c r="S12" s="559">
        <v>281.3897017747563</v>
      </c>
      <c r="T12" s="559">
        <v>36.293086564825686</v>
      </c>
      <c r="U12" s="559">
        <v>62.596313418681824</v>
      </c>
      <c r="V12" s="559">
        <v>119.37884957325753</v>
      </c>
      <c r="W12" s="559">
        <v>112.14376778093856</v>
      </c>
      <c r="X12" s="558"/>
      <c r="Y12" s="558"/>
      <c r="Z12" s="559">
        <v>266.80389842789293</v>
      </c>
      <c r="AA12" s="559">
        <v>1137.8070175438595</v>
      </c>
      <c r="AB12" s="559">
        <v>289.30543207681353</v>
      </c>
      <c r="AC12" s="558"/>
      <c r="AD12" s="558">
        <f t="shared" si="1"/>
        <v>12075.888170160164</v>
      </c>
    </row>
    <row r="13" spans="1:30" s="4" customFormat="1" ht="15" customHeight="1">
      <c r="A13" s="364"/>
      <c r="B13" s="568">
        <f t="shared" si="3"/>
        <v>5</v>
      </c>
      <c r="C13" s="552">
        <v>8.4930555555555536</v>
      </c>
      <c r="D13" s="546">
        <f t="shared" si="4"/>
        <v>44947.791666666664</v>
      </c>
      <c r="E13" s="570">
        <v>11540.41</v>
      </c>
      <c r="F13" s="571">
        <f t="shared" si="5"/>
        <v>97946.49</v>
      </c>
      <c r="G13" s="549">
        <f t="shared" si="2"/>
        <v>0.20828223521010292</v>
      </c>
      <c r="H13" s="554">
        <v>6467.600836550836</v>
      </c>
      <c r="I13" s="551">
        <f t="shared" si="6"/>
        <v>103605.33299154804</v>
      </c>
      <c r="J13" s="549">
        <f t="shared" si="0"/>
        <v>0.22031570845638926</v>
      </c>
      <c r="K13" s="365"/>
      <c r="L13" s="4">
        <v>6467.600836550836</v>
      </c>
      <c r="M13" s="4">
        <v>3</v>
      </c>
      <c r="N13" s="558">
        <v>10000</v>
      </c>
      <c r="O13" s="558"/>
      <c r="P13" s="558">
        <v>5138.6929523120507</v>
      </c>
      <c r="Q13" s="558"/>
      <c r="R13" s="559">
        <v>281.3897017747563</v>
      </c>
      <c r="S13" s="559">
        <v>281.3897017747563</v>
      </c>
      <c r="T13" s="559">
        <v>36.293086564825686</v>
      </c>
      <c r="U13" s="559">
        <v>62.596313418681824</v>
      </c>
      <c r="V13" s="559">
        <v>119.37884957325753</v>
      </c>
      <c r="W13" s="559">
        <v>112.14376778093856</v>
      </c>
      <c r="X13" s="558"/>
      <c r="Y13" s="558"/>
      <c r="Z13" s="559">
        <v>266.80389842789293</v>
      </c>
      <c r="AA13" s="559">
        <v>1137.8070175438595</v>
      </c>
      <c r="AB13" s="559">
        <v>289.30543207681353</v>
      </c>
      <c r="AC13" s="558"/>
      <c r="AD13" s="558">
        <f t="shared" si="1"/>
        <v>17725.800721247833</v>
      </c>
    </row>
    <row r="14" spans="1:30" s="4" customFormat="1" ht="15" customHeight="1">
      <c r="A14" s="364"/>
      <c r="B14" s="568">
        <f t="shared" si="3"/>
        <v>6</v>
      </c>
      <c r="C14" s="552">
        <v>9.4913194444444429</v>
      </c>
      <c r="D14" s="546">
        <f t="shared" si="4"/>
        <v>44948.791666666664</v>
      </c>
      <c r="E14" s="570">
        <v>19190.32</v>
      </c>
      <c r="F14" s="571">
        <f t="shared" si="5"/>
        <v>117136.81</v>
      </c>
      <c r="G14" s="549">
        <f t="shared" si="2"/>
        <v>0.24909025950987254</v>
      </c>
      <c r="H14" s="554">
        <v>6467.600836550836</v>
      </c>
      <c r="I14" s="551">
        <f t="shared" si="6"/>
        <v>110072.93382809887</v>
      </c>
      <c r="J14" s="549">
        <f t="shared" si="0"/>
        <v>0.23406899720296442</v>
      </c>
      <c r="K14" s="365"/>
      <c r="L14" s="4">
        <v>6467.600836550836</v>
      </c>
      <c r="M14" s="4">
        <v>4</v>
      </c>
      <c r="N14" s="558"/>
      <c r="O14" s="558"/>
      <c r="P14" s="558">
        <v>5138.6929523120507</v>
      </c>
      <c r="Q14" s="558"/>
      <c r="R14" s="559">
        <v>281.3897017747563</v>
      </c>
      <c r="S14" s="559">
        <v>281.3897017747563</v>
      </c>
      <c r="T14" s="559">
        <v>36.293086564825686</v>
      </c>
      <c r="U14" s="559">
        <v>62.596313418681824</v>
      </c>
      <c r="V14" s="559">
        <v>119.37884957325753</v>
      </c>
      <c r="W14" s="559">
        <v>112.14376778093856</v>
      </c>
      <c r="X14" s="558"/>
      <c r="Y14" s="558"/>
      <c r="Z14" s="559">
        <v>266.80389842789293</v>
      </c>
      <c r="AA14" s="559">
        <v>1137.8070175438595</v>
      </c>
      <c r="AB14" s="559">
        <v>289.30543207681353</v>
      </c>
      <c r="AC14" s="558"/>
      <c r="AD14" s="558">
        <f t="shared" si="1"/>
        <v>7725.8007212478351</v>
      </c>
    </row>
    <row r="15" spans="1:30" s="4" customFormat="1" ht="15" customHeight="1">
      <c r="A15" s="364"/>
      <c r="B15" s="568">
        <f t="shared" si="3"/>
        <v>7</v>
      </c>
      <c r="C15" s="552">
        <v>10.48958333333333</v>
      </c>
      <c r="D15" s="546">
        <f t="shared" si="4"/>
        <v>44949.791666666664</v>
      </c>
      <c r="E15" s="570">
        <v>7190.32</v>
      </c>
      <c r="F15" s="571">
        <f t="shared" si="5"/>
        <v>124327.13</v>
      </c>
      <c r="G15" s="549">
        <f t="shared" si="2"/>
        <v>0.26438040335755825</v>
      </c>
      <c r="H15" s="554">
        <v>25020.040836550837</v>
      </c>
      <c r="I15" s="551">
        <f t="shared" si="6"/>
        <v>135092.97466464972</v>
      </c>
      <c r="J15" s="549">
        <f t="shared" si="0"/>
        <v>0.28727386478407801</v>
      </c>
      <c r="K15" s="365"/>
      <c r="L15" s="4">
        <v>25020.040836550837</v>
      </c>
      <c r="M15" s="4">
        <v>5</v>
      </c>
      <c r="N15" s="559">
        <v>21235.135135135137</v>
      </c>
      <c r="O15" s="558"/>
      <c r="P15" s="558">
        <v>5138.6929523120507</v>
      </c>
      <c r="Q15" s="558"/>
      <c r="R15" s="559">
        <v>281.3897017747563</v>
      </c>
      <c r="S15" s="559">
        <v>281.3897017747563</v>
      </c>
      <c r="T15" s="559">
        <v>36.293086564825686</v>
      </c>
      <c r="U15" s="559">
        <v>62.596313418681824</v>
      </c>
      <c r="V15" s="559">
        <v>119.37884957325753</v>
      </c>
      <c r="W15" s="559">
        <v>112.14376778093856</v>
      </c>
      <c r="X15" s="558"/>
      <c r="Y15" s="558"/>
      <c r="Z15" s="559">
        <v>266.80389842789293</v>
      </c>
      <c r="AA15" s="559">
        <v>1137.8070175438595</v>
      </c>
      <c r="AB15" s="559">
        <v>289.30543207681353</v>
      </c>
      <c r="AC15" s="558"/>
      <c r="AD15" s="558">
        <f t="shared" si="1"/>
        <v>28960.93585638297</v>
      </c>
    </row>
    <row r="16" spans="1:30" s="4" customFormat="1" ht="15" customHeight="1">
      <c r="A16" s="364"/>
      <c r="B16" s="568">
        <f t="shared" si="3"/>
        <v>8</v>
      </c>
      <c r="C16" s="552">
        <v>11.48784722222222</v>
      </c>
      <c r="D16" s="546">
        <f t="shared" si="4"/>
        <v>44950.791666666664</v>
      </c>
      <c r="E16" s="570">
        <v>17807.89</v>
      </c>
      <c r="F16" s="571">
        <f t="shared" si="5"/>
        <v>142135.02000000002</v>
      </c>
      <c r="G16" s="549">
        <f t="shared" si="2"/>
        <v>0.30224870403454668</v>
      </c>
      <c r="H16" s="554">
        <v>4853.580566280566</v>
      </c>
      <c r="I16" s="551">
        <f t="shared" si="6"/>
        <v>139946.5552309303</v>
      </c>
      <c r="J16" s="549">
        <f t="shared" si="0"/>
        <v>0.29759495550532011</v>
      </c>
      <c r="K16" s="365"/>
      <c r="L16" s="4">
        <v>4853.580566280566</v>
      </c>
      <c r="M16" s="4">
        <v>6</v>
      </c>
      <c r="N16" s="558"/>
      <c r="O16" s="558"/>
      <c r="P16" s="558">
        <v>5138.6929523120507</v>
      </c>
      <c r="Q16" s="558"/>
      <c r="R16" s="559">
        <v>281.3897017747563</v>
      </c>
      <c r="S16" s="559">
        <v>281.3897017747563</v>
      </c>
      <c r="T16" s="559">
        <v>36.293086564825686</v>
      </c>
      <c r="U16" s="559">
        <v>62.596313418681824</v>
      </c>
      <c r="V16" s="559">
        <v>119.37884957325753</v>
      </c>
      <c r="W16" s="559">
        <v>112.14376778093856</v>
      </c>
      <c r="X16" s="558"/>
      <c r="Y16" s="558"/>
      <c r="Z16" s="559">
        <v>266.80389842789293</v>
      </c>
      <c r="AA16" s="559">
        <v>1137.8070175438595</v>
      </c>
      <c r="AB16" s="559">
        <v>289.30543207681353</v>
      </c>
      <c r="AC16" s="558"/>
      <c r="AD16" s="558">
        <f t="shared" si="1"/>
        <v>7725.8007212478351</v>
      </c>
    </row>
    <row r="17" spans="1:48" s="4" customFormat="1" ht="15" customHeight="1">
      <c r="A17" s="364"/>
      <c r="B17" s="568">
        <f t="shared" si="3"/>
        <v>9</v>
      </c>
      <c r="C17" s="552">
        <v>12.486111111111109</v>
      </c>
      <c r="D17" s="546">
        <f t="shared" si="4"/>
        <v>44951.791666666664</v>
      </c>
      <c r="E17" s="570">
        <v>38158.230000000003</v>
      </c>
      <c r="F17" s="571">
        <f t="shared" si="5"/>
        <v>180293.25000000003</v>
      </c>
      <c r="G17" s="549">
        <f t="shared" si="2"/>
        <v>0.38339179998480694</v>
      </c>
      <c r="H17" s="554">
        <v>13267.600836550837</v>
      </c>
      <c r="I17" s="551">
        <f t="shared" si="6"/>
        <v>153214.15606748115</v>
      </c>
      <c r="J17" s="549">
        <f t="shared" si="0"/>
        <v>0.32580837650807626</v>
      </c>
      <c r="K17" s="365"/>
      <c r="L17" s="4">
        <v>13267.600836550837</v>
      </c>
      <c r="M17" s="4">
        <v>7</v>
      </c>
      <c r="N17" s="559">
        <v>30967.905405405407</v>
      </c>
      <c r="O17" s="558"/>
      <c r="P17" s="558">
        <v>5138.6929523120507</v>
      </c>
      <c r="Q17" s="558"/>
      <c r="R17" s="559">
        <v>281.3897017747563</v>
      </c>
      <c r="S17" s="559">
        <v>281.3897017747563</v>
      </c>
      <c r="T17" s="559">
        <v>36.293086564825686</v>
      </c>
      <c r="U17" s="559">
        <v>62.596313418681824</v>
      </c>
      <c r="V17" s="559">
        <v>119.37884957325753</v>
      </c>
      <c r="W17" s="559">
        <v>112.14376778093856</v>
      </c>
      <c r="X17" s="558"/>
      <c r="Y17" s="558"/>
      <c r="Z17" s="559">
        <v>266.80389842789293</v>
      </c>
      <c r="AA17" s="559">
        <v>1137.8070175438595</v>
      </c>
      <c r="AB17" s="559">
        <v>289.30543207681353</v>
      </c>
      <c r="AC17" s="558"/>
      <c r="AD17" s="558">
        <f t="shared" si="1"/>
        <v>38693.70612665324</v>
      </c>
    </row>
    <row r="18" spans="1:48" s="4" customFormat="1" ht="15" customHeight="1">
      <c r="A18" s="555"/>
      <c r="B18" s="568">
        <f t="shared" si="3"/>
        <v>10</v>
      </c>
      <c r="C18" s="552">
        <v>13.484374999999998</v>
      </c>
      <c r="D18" s="546">
        <f t="shared" si="4"/>
        <v>44952.791666666664</v>
      </c>
      <c r="E18" s="570">
        <v>7190.32</v>
      </c>
      <c r="F18" s="571">
        <f t="shared" si="5"/>
        <v>187483.57000000004</v>
      </c>
      <c r="G18" s="549">
        <f t="shared" si="2"/>
        <v>0.39868194383249267</v>
      </c>
      <c r="H18" s="547">
        <v>9473.8751608751609</v>
      </c>
      <c r="I18" s="551">
        <f t="shared" si="6"/>
        <v>162688.0312283563</v>
      </c>
      <c r="J18" s="549">
        <f t="shared" si="0"/>
        <v>0.3459544776558412</v>
      </c>
      <c r="K18" s="365"/>
      <c r="L18" s="4">
        <v>9473.8751608751609</v>
      </c>
      <c r="M18" s="4">
        <v>8</v>
      </c>
      <c r="N18" s="558">
        <v>12000</v>
      </c>
      <c r="O18" s="559">
        <v>10814.18918918919</v>
      </c>
      <c r="P18" s="558">
        <v>5138.6929523120507</v>
      </c>
      <c r="Q18" s="558"/>
      <c r="R18" s="559">
        <v>281.3897017747563</v>
      </c>
      <c r="S18" s="559">
        <v>281.3897017747563</v>
      </c>
      <c r="T18" s="559">
        <v>36.293086564825686</v>
      </c>
      <c r="U18" s="559">
        <v>62.596313418681824</v>
      </c>
      <c r="V18" s="559">
        <v>119.37884957325753</v>
      </c>
      <c r="W18" s="559">
        <v>112.14376778093856</v>
      </c>
      <c r="X18" s="558"/>
      <c r="Y18" s="558"/>
      <c r="Z18" s="559">
        <v>266.80389842789293</v>
      </c>
      <c r="AA18" s="559">
        <v>1137.8070175438595</v>
      </c>
      <c r="AB18" s="559">
        <v>289.30543207681353</v>
      </c>
      <c r="AC18" s="558"/>
      <c r="AD18" s="558">
        <f t="shared" si="1"/>
        <v>30539.989910437023</v>
      </c>
    </row>
    <row r="19" spans="1:48" s="9" customFormat="1" ht="15" customHeight="1">
      <c r="A19" s="555"/>
      <c r="B19" s="568">
        <f t="shared" si="3"/>
        <v>11</v>
      </c>
      <c r="C19" s="552">
        <v>14.482638888888886</v>
      </c>
      <c r="D19" s="546">
        <f t="shared" si="4"/>
        <v>44953.791666666664</v>
      </c>
      <c r="E19" s="570">
        <v>17190.32</v>
      </c>
      <c r="F19" s="571">
        <f t="shared" si="5"/>
        <v>204673.89000000004</v>
      </c>
      <c r="G19" s="549">
        <f t="shared" si="2"/>
        <v>0.43523698805691496</v>
      </c>
      <c r="H19" s="547">
        <v>6733.0400257400252</v>
      </c>
      <c r="I19" s="551">
        <f t="shared" si="6"/>
        <v>169421.07125409631</v>
      </c>
      <c r="J19" s="549">
        <f t="shared" si="0"/>
        <v>0.36027222019383537</v>
      </c>
      <c r="K19" s="556"/>
      <c r="L19" s="9">
        <v>6733.0400257400252</v>
      </c>
      <c r="M19" s="4">
        <v>9</v>
      </c>
      <c r="N19" s="558"/>
      <c r="O19" s="558"/>
      <c r="P19" s="558">
        <v>5138.6929523120507</v>
      </c>
      <c r="Q19" s="558"/>
      <c r="R19" s="559">
        <v>281.3897017747563</v>
      </c>
      <c r="S19" s="559">
        <v>281.3897017747563</v>
      </c>
      <c r="T19" s="559">
        <v>36.293086564825686</v>
      </c>
      <c r="U19" s="559">
        <v>62.596313418681824</v>
      </c>
      <c r="V19" s="559">
        <v>119.37884957325753</v>
      </c>
      <c r="W19" s="559">
        <v>112.14376778093856</v>
      </c>
      <c r="X19" s="558"/>
      <c r="Y19" s="558"/>
      <c r="Z19" s="559">
        <v>266.80389842789293</v>
      </c>
      <c r="AA19" s="559">
        <v>1137.8070175438595</v>
      </c>
      <c r="AB19" s="559">
        <v>289.30543207681353</v>
      </c>
      <c r="AC19" s="558"/>
      <c r="AD19" s="558">
        <f t="shared" si="1"/>
        <v>7725.8007212478351</v>
      </c>
      <c r="AE19" s="4"/>
      <c r="AF19" s="4"/>
      <c r="AG19" s="4"/>
      <c r="AH19" s="4"/>
      <c r="AI19" s="4"/>
      <c r="AJ19" s="4"/>
      <c r="AK19" s="4"/>
      <c r="AL19" s="4"/>
      <c r="AM19" s="4"/>
      <c r="AN19" s="4"/>
      <c r="AO19" s="4"/>
      <c r="AP19" s="4"/>
      <c r="AQ19" s="4"/>
      <c r="AR19" s="4"/>
      <c r="AS19" s="4"/>
      <c r="AT19" s="4"/>
      <c r="AU19" s="4"/>
      <c r="AV19" s="4"/>
    </row>
    <row r="20" spans="1:48" s="9" customFormat="1" ht="15" customHeight="1">
      <c r="A20" s="555"/>
      <c r="B20" s="568">
        <f t="shared" si="3"/>
        <v>12</v>
      </c>
      <c r="C20" s="552">
        <v>15.480902777777775</v>
      </c>
      <c r="D20" s="546">
        <f t="shared" si="4"/>
        <v>44954.791666666664</v>
      </c>
      <c r="E20" s="570">
        <v>7190.32</v>
      </c>
      <c r="F20" s="571">
        <f t="shared" si="5"/>
        <v>211864.21000000005</v>
      </c>
      <c r="G20" s="549">
        <f t="shared" si="2"/>
        <v>0.45052713190460064</v>
      </c>
      <c r="H20" s="547">
        <v>6733.0400257400252</v>
      </c>
      <c r="I20" s="551">
        <f t="shared" si="6"/>
        <v>176154.11127983633</v>
      </c>
      <c r="J20" s="549">
        <f t="shared" si="0"/>
        <v>0.37458996273182954</v>
      </c>
      <c r="K20" s="556"/>
      <c r="L20" s="9">
        <v>6733.0400257400252</v>
      </c>
      <c r="M20" s="4">
        <v>10</v>
      </c>
      <c r="N20" s="558"/>
      <c r="O20" s="558"/>
      <c r="P20" s="558">
        <v>5138.6929523120507</v>
      </c>
      <c r="Q20" s="558"/>
      <c r="R20" s="559">
        <v>281.3897017747563</v>
      </c>
      <c r="S20" s="559">
        <v>281.3897017747563</v>
      </c>
      <c r="T20" s="559">
        <v>36.293086564825686</v>
      </c>
      <c r="U20" s="559">
        <v>62.596313418681824</v>
      </c>
      <c r="V20" s="559">
        <v>119.37884957325753</v>
      </c>
      <c r="W20" s="559">
        <v>112.14376778093856</v>
      </c>
      <c r="X20" s="558"/>
      <c r="Y20" s="558"/>
      <c r="Z20" s="559">
        <v>266.80389842789293</v>
      </c>
      <c r="AA20" s="559">
        <v>1137.8070175438595</v>
      </c>
      <c r="AB20" s="559">
        <v>289.30543207681353</v>
      </c>
      <c r="AC20" s="558"/>
      <c r="AD20" s="558">
        <f t="shared" si="1"/>
        <v>7725.8007212478351</v>
      </c>
      <c r="AE20" s="4"/>
      <c r="AF20" s="4"/>
      <c r="AG20" s="4"/>
      <c r="AH20" s="4"/>
      <c r="AI20" s="4"/>
      <c r="AJ20" s="4"/>
      <c r="AK20" s="4"/>
      <c r="AL20" s="4"/>
      <c r="AM20" s="4"/>
      <c r="AN20" s="4"/>
      <c r="AO20" s="4"/>
      <c r="AP20" s="4"/>
      <c r="AQ20" s="4"/>
      <c r="AR20" s="4"/>
      <c r="AS20" s="4"/>
      <c r="AT20" s="4"/>
      <c r="AU20" s="4"/>
      <c r="AV20" s="4"/>
    </row>
    <row r="21" spans="1:48" s="9" customFormat="1" ht="15" customHeight="1">
      <c r="A21" s="555"/>
      <c r="B21" s="568">
        <f t="shared" si="3"/>
        <v>13</v>
      </c>
      <c r="C21" s="552">
        <v>16.479166666666664</v>
      </c>
      <c r="D21" s="546">
        <f t="shared" si="4"/>
        <v>44955.791666666664</v>
      </c>
      <c r="E21" s="570">
        <v>7190.32</v>
      </c>
      <c r="F21" s="571">
        <f t="shared" si="5"/>
        <v>219054.53000000006</v>
      </c>
      <c r="G21" s="549">
        <f t="shared" si="2"/>
        <v>0.46581727575228637</v>
      </c>
      <c r="H21" s="547">
        <v>6733.0400257400252</v>
      </c>
      <c r="I21" s="551">
        <f t="shared" si="6"/>
        <v>182887.15130557635</v>
      </c>
      <c r="J21" s="549">
        <f t="shared" si="0"/>
        <v>0.38890770526982371</v>
      </c>
      <c r="K21" s="556"/>
      <c r="L21" s="9">
        <v>6733.0400257400252</v>
      </c>
      <c r="M21" s="4">
        <v>11</v>
      </c>
      <c r="N21" s="559">
        <v>20421.452432432437</v>
      </c>
      <c r="O21" s="559">
        <v>8188.7428131179922</v>
      </c>
      <c r="P21" s="558">
        <v>5138.6929523120507</v>
      </c>
      <c r="Q21" s="559">
        <v>15729.72972972973</v>
      </c>
      <c r="R21" s="559">
        <v>281.3897017747563</v>
      </c>
      <c r="S21" s="559">
        <v>281.3897017747563</v>
      </c>
      <c r="T21" s="559">
        <v>36.293086564825686</v>
      </c>
      <c r="U21" s="559">
        <v>62.596313418681824</v>
      </c>
      <c r="V21" s="559">
        <v>119.37884957325753</v>
      </c>
      <c r="W21" s="559">
        <v>112.14376778093856</v>
      </c>
      <c r="X21" s="558"/>
      <c r="Y21" s="558"/>
      <c r="Z21" s="559">
        <v>266.80389842789293</v>
      </c>
      <c r="AA21" s="559">
        <v>1137.8070175438595</v>
      </c>
      <c r="AB21" s="559">
        <v>289.30543207681353</v>
      </c>
      <c r="AC21" s="558"/>
      <c r="AD21" s="558">
        <f t="shared" si="1"/>
        <v>52065.725696527988</v>
      </c>
      <c r="AE21" s="4"/>
      <c r="AF21" s="4"/>
      <c r="AG21" s="4"/>
      <c r="AH21" s="4"/>
      <c r="AI21" s="4"/>
      <c r="AJ21" s="4"/>
      <c r="AK21" s="4"/>
      <c r="AL21" s="4"/>
      <c r="AM21" s="4"/>
      <c r="AN21" s="4"/>
      <c r="AO21" s="4"/>
      <c r="AP21" s="4"/>
      <c r="AQ21" s="4"/>
      <c r="AR21" s="4"/>
      <c r="AS21" s="4"/>
      <c r="AT21" s="4"/>
      <c r="AU21" s="4"/>
      <c r="AV21" s="4"/>
    </row>
    <row r="22" spans="1:48" s="9" customFormat="1" ht="15" customHeight="1">
      <c r="A22" s="555"/>
      <c r="B22" s="568">
        <f t="shared" si="3"/>
        <v>14</v>
      </c>
      <c r="C22" s="552">
        <v>17.47743055555555</v>
      </c>
      <c r="D22" s="546">
        <f t="shared" si="4"/>
        <v>44956.791666666664</v>
      </c>
      <c r="E22" s="570">
        <v>69871.42</v>
      </c>
      <c r="F22" s="571">
        <f t="shared" si="5"/>
        <v>288925.95000000007</v>
      </c>
      <c r="G22" s="549">
        <f t="shared" si="2"/>
        <v>0.61439815430039857</v>
      </c>
      <c r="H22" s="547">
        <v>6733.0400257400252</v>
      </c>
      <c r="I22" s="551">
        <f t="shared" si="6"/>
        <v>189620.19133131637</v>
      </c>
      <c r="J22" s="549">
        <f t="shared" si="0"/>
        <v>0.40322544780781788</v>
      </c>
      <c r="K22" s="556"/>
      <c r="L22" s="9">
        <v>6733.0400257400252</v>
      </c>
      <c r="M22" s="4">
        <v>12</v>
      </c>
      <c r="N22" s="558"/>
      <c r="O22" s="558"/>
      <c r="P22" s="558">
        <v>5138.6929523120507</v>
      </c>
      <c r="Q22" s="558"/>
      <c r="R22" s="559">
        <v>281.3897017747563</v>
      </c>
      <c r="S22" s="559">
        <v>281.3897017747563</v>
      </c>
      <c r="T22" s="559">
        <v>36.293086564825686</v>
      </c>
      <c r="U22" s="559">
        <v>62.596313418681824</v>
      </c>
      <c r="V22" s="559">
        <v>119.37884957325753</v>
      </c>
      <c r="W22" s="559">
        <v>112.14376778093856</v>
      </c>
      <c r="X22" s="558"/>
      <c r="Y22" s="558"/>
      <c r="Z22" s="559">
        <v>266.80389842789293</v>
      </c>
      <c r="AA22" s="559">
        <v>1137.8070175438595</v>
      </c>
      <c r="AB22" s="559">
        <v>289.30543207681353</v>
      </c>
      <c r="AC22" s="558"/>
      <c r="AD22" s="558">
        <f t="shared" si="1"/>
        <v>7725.8007212478351</v>
      </c>
      <c r="AE22" s="4"/>
      <c r="AF22" s="4"/>
      <c r="AG22" s="4"/>
      <c r="AH22" s="4"/>
      <c r="AI22" s="4"/>
      <c r="AJ22" s="4"/>
      <c r="AK22" s="4"/>
      <c r="AL22" s="4"/>
      <c r="AM22" s="4"/>
      <c r="AN22" s="4"/>
      <c r="AO22" s="4"/>
      <c r="AP22" s="4"/>
      <c r="AQ22" s="4"/>
      <c r="AR22" s="4"/>
      <c r="AS22" s="4"/>
      <c r="AT22" s="4"/>
      <c r="AU22" s="4"/>
      <c r="AV22" s="4"/>
    </row>
    <row r="23" spans="1:48" s="9" customFormat="1" ht="15" customHeight="1">
      <c r="A23" s="555"/>
      <c r="B23" s="568">
        <f t="shared" si="3"/>
        <v>15</v>
      </c>
      <c r="C23" s="552">
        <v>18.475694444444443</v>
      </c>
      <c r="D23" s="546">
        <f t="shared" si="4"/>
        <v>44957.791666666664</v>
      </c>
      <c r="E23" s="570">
        <v>7190.32</v>
      </c>
      <c r="F23" s="571">
        <f t="shared" si="5"/>
        <v>296116.27000000008</v>
      </c>
      <c r="G23" s="549">
        <f t="shared" si="2"/>
        <v>0.62968829814808436</v>
      </c>
      <c r="H23" s="547">
        <v>7723.5200257400256</v>
      </c>
      <c r="I23" s="551">
        <f t="shared" si="6"/>
        <v>197343.7113570564</v>
      </c>
      <c r="J23" s="549">
        <f t="shared" si="0"/>
        <v>0.41964943619832706</v>
      </c>
      <c r="K23" s="556"/>
      <c r="L23" s="9">
        <v>7723.5200257400256</v>
      </c>
      <c r="M23" s="4">
        <v>13</v>
      </c>
      <c r="N23" s="558"/>
      <c r="O23" s="558"/>
      <c r="P23" s="558">
        <v>5138.6929523120507</v>
      </c>
      <c r="Q23" s="558"/>
      <c r="R23" s="559">
        <v>281.3897017747563</v>
      </c>
      <c r="S23" s="559">
        <v>281.3897017747563</v>
      </c>
      <c r="T23" s="559">
        <v>36.293086564825686</v>
      </c>
      <c r="U23" s="559">
        <v>62.596313418681824</v>
      </c>
      <c r="V23" s="559">
        <v>119.37884957325753</v>
      </c>
      <c r="W23" s="559">
        <v>112.14376778093856</v>
      </c>
      <c r="X23" s="558"/>
      <c r="Y23" s="558"/>
      <c r="Z23" s="559">
        <v>266.80389842789293</v>
      </c>
      <c r="AA23" s="559">
        <v>1137.8070175438595</v>
      </c>
      <c r="AB23" s="559">
        <v>289.30543207681353</v>
      </c>
      <c r="AC23" s="558"/>
      <c r="AD23" s="558">
        <f t="shared" si="1"/>
        <v>7725.8007212478351</v>
      </c>
      <c r="AE23" s="4"/>
      <c r="AF23" s="4"/>
      <c r="AG23" s="4"/>
      <c r="AH23" s="4"/>
      <c r="AI23" s="4"/>
      <c r="AJ23" s="4"/>
      <c r="AK23" s="4"/>
      <c r="AL23" s="4"/>
      <c r="AM23" s="4"/>
      <c r="AN23" s="4"/>
      <c r="AO23" s="4"/>
      <c r="AP23" s="4"/>
      <c r="AQ23" s="4"/>
      <c r="AR23" s="4"/>
      <c r="AS23" s="4"/>
      <c r="AT23" s="4"/>
      <c r="AU23" s="4"/>
      <c r="AV23" s="4"/>
    </row>
    <row r="24" spans="1:48" s="9" customFormat="1" ht="15" customHeight="1">
      <c r="A24" s="555"/>
      <c r="B24" s="568">
        <f t="shared" si="3"/>
        <v>16</v>
      </c>
      <c r="C24" s="552">
        <v>19.473958333333329</v>
      </c>
      <c r="D24" s="546">
        <f t="shared" si="4"/>
        <v>44958.791666666664</v>
      </c>
      <c r="E24" s="570">
        <v>7593.03</v>
      </c>
      <c r="F24" s="571">
        <f t="shared" si="5"/>
        <v>303709.3000000001</v>
      </c>
      <c r="G24" s="549">
        <f t="shared" si="2"/>
        <v>0.64583480079884159</v>
      </c>
      <c r="H24" s="547">
        <v>14893.040025740029</v>
      </c>
      <c r="I24" s="551">
        <f t="shared" si="6"/>
        <v>212236.75138279641</v>
      </c>
      <c r="J24" s="549">
        <f t="shared" si="0"/>
        <v>0.45131933744373831</v>
      </c>
      <c r="K24" s="556"/>
      <c r="L24" s="9">
        <v>14893.040025740029</v>
      </c>
      <c r="M24" s="4">
        <v>14</v>
      </c>
      <c r="N24" s="559">
        <v>18858.107968638345</v>
      </c>
      <c r="O24" s="558"/>
      <c r="P24" s="558">
        <v>5138.6929523120507</v>
      </c>
      <c r="Q24" s="558"/>
      <c r="R24" s="559">
        <v>281.3897017747563</v>
      </c>
      <c r="S24" s="559">
        <v>281.3897017747563</v>
      </c>
      <c r="T24" s="559">
        <v>36.293086564825686</v>
      </c>
      <c r="U24" s="559">
        <v>62.596313418681824</v>
      </c>
      <c r="V24" s="559">
        <v>119.37884957325753</v>
      </c>
      <c r="W24" s="559">
        <v>112.14376778093856</v>
      </c>
      <c r="X24" s="558"/>
      <c r="Y24" s="558"/>
      <c r="Z24" s="559">
        <v>266.80389842789293</v>
      </c>
      <c r="AA24" s="559">
        <v>1137.8070175438595</v>
      </c>
      <c r="AB24" s="559">
        <v>289.30543207681353</v>
      </c>
      <c r="AC24" s="558"/>
      <c r="AD24" s="558">
        <f t="shared" si="1"/>
        <v>26583.908689886175</v>
      </c>
      <c r="AE24" s="4"/>
      <c r="AF24" s="4"/>
      <c r="AG24" s="4"/>
      <c r="AH24" s="4"/>
      <c r="AI24" s="4"/>
      <c r="AJ24" s="4"/>
      <c r="AK24" s="4"/>
      <c r="AL24" s="4"/>
      <c r="AM24" s="4"/>
      <c r="AN24" s="4"/>
      <c r="AO24" s="4"/>
      <c r="AP24" s="4"/>
      <c r="AQ24" s="4"/>
      <c r="AR24" s="4"/>
      <c r="AS24" s="4"/>
      <c r="AT24" s="4"/>
      <c r="AU24" s="4"/>
      <c r="AV24" s="4"/>
    </row>
    <row r="25" spans="1:48" s="9" customFormat="1" ht="15" customHeight="1">
      <c r="A25" s="555"/>
      <c r="B25" s="568">
        <f t="shared" si="3"/>
        <v>17</v>
      </c>
      <c r="C25" s="552">
        <v>20.472222222222221</v>
      </c>
      <c r="D25" s="546">
        <f t="shared" si="4"/>
        <v>44959.791666666664</v>
      </c>
      <c r="E25" s="570">
        <v>7190.32</v>
      </c>
      <c r="F25" s="571">
        <f t="shared" si="5"/>
        <v>310899.62000000011</v>
      </c>
      <c r="G25" s="549">
        <f t="shared" si="2"/>
        <v>0.66112494464652727</v>
      </c>
      <c r="H25" s="547">
        <v>6733.0400257400252</v>
      </c>
      <c r="I25" s="551">
        <f t="shared" si="6"/>
        <v>218969.79140853643</v>
      </c>
      <c r="J25" s="549">
        <f t="shared" si="0"/>
        <v>0.46563707998173243</v>
      </c>
      <c r="K25" s="556"/>
      <c r="L25" s="9">
        <v>6733.0400257400252</v>
      </c>
      <c r="M25" s="4">
        <v>15</v>
      </c>
      <c r="N25" s="558"/>
      <c r="O25" s="558"/>
      <c r="P25" s="558">
        <v>5138.6929523120507</v>
      </c>
      <c r="Q25" s="558"/>
      <c r="R25" s="559">
        <v>281.3897017747563</v>
      </c>
      <c r="S25" s="559">
        <v>281.3897017747563</v>
      </c>
      <c r="T25" s="559">
        <v>36.293086564825686</v>
      </c>
      <c r="U25" s="559">
        <v>62.596313418681824</v>
      </c>
      <c r="V25" s="559">
        <v>119.37884957325753</v>
      </c>
      <c r="W25" s="559">
        <v>112.14376778093856</v>
      </c>
      <c r="X25" s="558"/>
      <c r="Y25" s="558"/>
      <c r="Z25" s="559">
        <v>266.80389842789293</v>
      </c>
      <c r="AA25" s="559">
        <v>1137.8070175438595</v>
      </c>
      <c r="AB25" s="559">
        <v>289.30543207681353</v>
      </c>
      <c r="AC25" s="558"/>
      <c r="AD25" s="558">
        <f t="shared" si="1"/>
        <v>7725.8007212478351</v>
      </c>
      <c r="AE25" s="4"/>
      <c r="AF25" s="4"/>
      <c r="AG25" s="4"/>
      <c r="AH25" s="4"/>
      <c r="AI25" s="4"/>
      <c r="AJ25" s="4"/>
      <c r="AK25" s="4"/>
      <c r="AL25" s="4"/>
      <c r="AM25" s="4"/>
      <c r="AN25" s="4"/>
      <c r="AO25" s="4"/>
      <c r="AP25" s="4"/>
      <c r="AQ25" s="4"/>
      <c r="AR25" s="4"/>
      <c r="AS25" s="4"/>
      <c r="AT25" s="4"/>
      <c r="AU25" s="4"/>
      <c r="AV25" s="4"/>
    </row>
    <row r="26" spans="1:48" s="9" customFormat="1" ht="15" customHeight="1">
      <c r="A26" s="555"/>
      <c r="B26" s="568">
        <f t="shared" si="3"/>
        <v>18</v>
      </c>
      <c r="C26" s="552">
        <v>21.470486111111107</v>
      </c>
      <c r="D26" s="546">
        <f t="shared" si="4"/>
        <v>44960.791666666664</v>
      </c>
      <c r="E26" s="570">
        <v>7190.32</v>
      </c>
      <c r="F26" s="571">
        <f t="shared" si="5"/>
        <v>318089.94000000012</v>
      </c>
      <c r="G26" s="549">
        <f t="shared" si="2"/>
        <v>0.67641508849421295</v>
      </c>
      <c r="H26" s="547">
        <v>6842.5707207207206</v>
      </c>
      <c r="I26" s="551">
        <f t="shared" si="6"/>
        <v>225812.36212925715</v>
      </c>
      <c r="J26" s="549">
        <f t="shared" si="0"/>
        <v>0.48018773845142254</v>
      </c>
      <c r="K26" s="556"/>
      <c r="L26" s="9">
        <v>6842.5707207207206</v>
      </c>
      <c r="M26" s="4">
        <v>16</v>
      </c>
      <c r="N26" s="559">
        <v>54000</v>
      </c>
      <c r="O26" s="558"/>
      <c r="P26" s="558">
        <v>5138.6929523120507</v>
      </c>
      <c r="Q26" s="558"/>
      <c r="R26" s="559">
        <v>281.3897017747563</v>
      </c>
      <c r="S26" s="559">
        <v>281.3897017747563</v>
      </c>
      <c r="T26" s="559">
        <v>36.293086564825686</v>
      </c>
      <c r="U26" s="559">
        <v>62.596313418681824</v>
      </c>
      <c r="V26" s="559">
        <v>119.37884957325753</v>
      </c>
      <c r="W26" s="559">
        <v>112.14376778093856</v>
      </c>
      <c r="X26" s="558"/>
      <c r="Y26" s="558"/>
      <c r="Z26" s="559">
        <v>266.80389842789293</v>
      </c>
      <c r="AA26" s="559">
        <v>1137.8070175438595</v>
      </c>
      <c r="AB26" s="559">
        <v>289.30543207681353</v>
      </c>
      <c r="AC26" s="558"/>
      <c r="AD26" s="558">
        <f t="shared" si="1"/>
        <v>61725.800721247833</v>
      </c>
      <c r="AE26" s="4"/>
      <c r="AF26" s="4"/>
      <c r="AG26" s="4"/>
      <c r="AH26" s="4"/>
      <c r="AI26" s="4"/>
      <c r="AJ26" s="4"/>
      <c r="AK26" s="4"/>
      <c r="AL26" s="4"/>
      <c r="AM26" s="4"/>
      <c r="AN26" s="4"/>
      <c r="AO26" s="4"/>
      <c r="AP26" s="4"/>
      <c r="AQ26" s="4"/>
      <c r="AR26" s="4"/>
      <c r="AS26" s="4"/>
      <c r="AT26" s="4"/>
      <c r="AU26" s="4"/>
      <c r="AV26" s="4"/>
    </row>
    <row r="27" spans="1:48" s="9" customFormat="1" ht="15" customHeight="1">
      <c r="A27" s="555"/>
      <c r="B27" s="568">
        <f t="shared" si="3"/>
        <v>19</v>
      </c>
      <c r="C27" s="552">
        <v>22.46875</v>
      </c>
      <c r="D27" s="546">
        <f t="shared" ref="D27:D32" si="7">D26+1</f>
        <v>44961.791666666664</v>
      </c>
      <c r="E27" s="570">
        <v>61190.32</v>
      </c>
      <c r="F27" s="571">
        <f t="shared" si="5"/>
        <v>379280.26000000013</v>
      </c>
      <c r="G27" s="549">
        <f t="shared" si="2"/>
        <v>0.80653569437627637</v>
      </c>
      <c r="H27" s="547">
        <v>6733.0400257400252</v>
      </c>
      <c r="I27" s="551">
        <f t="shared" si="6"/>
        <v>232545.40215499717</v>
      </c>
      <c r="J27" s="549">
        <f t="shared" si="0"/>
        <v>0.49450548098941671</v>
      </c>
      <c r="K27" s="556"/>
      <c r="L27" s="9">
        <v>6733.0400257400252</v>
      </c>
      <c r="M27" s="4">
        <v>17</v>
      </c>
      <c r="N27" s="558"/>
      <c r="O27" s="558"/>
      <c r="P27" s="558">
        <v>5138.6929523120507</v>
      </c>
      <c r="Q27" s="558"/>
      <c r="R27" s="559">
        <v>281.3897017747563</v>
      </c>
      <c r="S27" s="559">
        <v>281.3897017747563</v>
      </c>
      <c r="T27" s="559">
        <v>36.293086564825686</v>
      </c>
      <c r="U27" s="559">
        <v>62.596313418681824</v>
      </c>
      <c r="V27" s="559">
        <v>119.37884957325753</v>
      </c>
      <c r="W27" s="559">
        <v>112.14376778093856</v>
      </c>
      <c r="X27" s="558"/>
      <c r="Y27" s="558"/>
      <c r="Z27" s="559">
        <v>266.80389842789293</v>
      </c>
      <c r="AA27" s="559">
        <v>1137.8070175438595</v>
      </c>
      <c r="AB27" s="559">
        <v>289.30543207681353</v>
      </c>
      <c r="AC27" s="558"/>
      <c r="AD27" s="558">
        <f t="shared" si="1"/>
        <v>7725.8007212478351</v>
      </c>
      <c r="AE27" s="4"/>
      <c r="AF27" s="4"/>
      <c r="AG27" s="4"/>
      <c r="AH27" s="4"/>
      <c r="AI27" s="4"/>
      <c r="AJ27" s="4"/>
      <c r="AK27" s="4"/>
      <c r="AL27" s="4"/>
      <c r="AM27" s="4"/>
      <c r="AN27" s="4"/>
      <c r="AO27" s="4"/>
      <c r="AP27" s="4"/>
      <c r="AQ27" s="4"/>
      <c r="AR27" s="4"/>
      <c r="AS27" s="4"/>
      <c r="AT27" s="4"/>
      <c r="AU27" s="4"/>
      <c r="AV27" s="4"/>
    </row>
    <row r="28" spans="1:48" s="9" customFormat="1" ht="15" customHeight="1">
      <c r="B28" s="568">
        <f t="shared" si="3"/>
        <v>20</v>
      </c>
      <c r="C28" s="552">
        <v>23.467013888888886</v>
      </c>
      <c r="D28" s="546">
        <f t="shared" si="7"/>
        <v>44962.791666666664</v>
      </c>
      <c r="E28" s="570">
        <v>7190.32</v>
      </c>
      <c r="F28" s="571">
        <f t="shared" si="5"/>
        <v>386470.58000000013</v>
      </c>
      <c r="G28" s="549">
        <f t="shared" si="2"/>
        <v>0.82182583822396216</v>
      </c>
      <c r="H28" s="547">
        <v>6835.9324967824959</v>
      </c>
      <c r="I28" s="551">
        <f t="shared" si="6"/>
        <v>239381.33465177967</v>
      </c>
      <c r="J28" s="549">
        <f t="shared" si="0"/>
        <v>0.5090420233420343</v>
      </c>
      <c r="L28" s="9">
        <v>6835.9324967824959</v>
      </c>
      <c r="M28" s="4">
        <v>18</v>
      </c>
      <c r="N28" s="559">
        <v>5941.9351351351352</v>
      </c>
      <c r="O28" s="559">
        <v>33096.75005405405</v>
      </c>
      <c r="P28" s="558">
        <v>5138.6929523120507</v>
      </c>
      <c r="Q28" s="558"/>
      <c r="R28" s="559">
        <v>281.3897017747563</v>
      </c>
      <c r="S28" s="559">
        <v>281.3897017747563</v>
      </c>
      <c r="T28" s="559">
        <v>36.293086564825686</v>
      </c>
      <c r="U28" s="559">
        <v>62.596313418681824</v>
      </c>
      <c r="V28" s="559">
        <v>119.37884957325753</v>
      </c>
      <c r="W28" s="559">
        <v>112.14376778093856</v>
      </c>
      <c r="X28" s="558"/>
      <c r="Y28" s="558"/>
      <c r="Z28" s="559">
        <v>266.80389842789293</v>
      </c>
      <c r="AA28" s="559">
        <v>1137.8070175438595</v>
      </c>
      <c r="AB28" s="559">
        <v>289.30543207681353</v>
      </c>
      <c r="AC28" s="558"/>
      <c r="AD28" s="558">
        <f t="shared" si="1"/>
        <v>46764.485910437019</v>
      </c>
      <c r="AE28" s="4"/>
      <c r="AF28" s="4"/>
      <c r="AG28" s="4"/>
      <c r="AH28" s="4"/>
      <c r="AI28" s="4"/>
      <c r="AJ28" s="4"/>
      <c r="AK28" s="4"/>
      <c r="AL28" s="4"/>
      <c r="AM28" s="4"/>
      <c r="AN28" s="4"/>
      <c r="AO28" s="4"/>
      <c r="AP28" s="4"/>
      <c r="AQ28" s="4"/>
      <c r="AR28" s="4"/>
      <c r="AS28" s="4"/>
      <c r="AT28" s="4"/>
      <c r="AU28" s="4"/>
      <c r="AV28" s="4"/>
    </row>
    <row r="29" spans="1:48" s="9" customFormat="1" ht="15" customHeight="1">
      <c r="B29" s="568">
        <f t="shared" si="3"/>
        <v>21</v>
      </c>
      <c r="C29" s="552">
        <v>24.465277777777771</v>
      </c>
      <c r="D29" s="546">
        <f t="shared" si="7"/>
        <v>44963.791666666664</v>
      </c>
      <c r="E29" s="570">
        <v>7190.32</v>
      </c>
      <c r="F29" s="571">
        <f t="shared" si="5"/>
        <v>393660.90000000014</v>
      </c>
      <c r="G29" s="549">
        <f t="shared" si="2"/>
        <v>0.83711598207164784</v>
      </c>
      <c r="H29" s="547">
        <v>7097.8669240669242</v>
      </c>
      <c r="I29" s="551">
        <f t="shared" si="6"/>
        <v>246479.20157584659</v>
      </c>
      <c r="J29" s="549">
        <f t="shared" si="0"/>
        <v>0.52413556664479599</v>
      </c>
      <c r="L29" s="9">
        <v>7097.8669240669242</v>
      </c>
      <c r="M29" s="4">
        <v>18.899999999999999</v>
      </c>
      <c r="N29" s="558"/>
      <c r="O29" s="558"/>
      <c r="P29" s="558">
        <v>5138.6929523120507</v>
      </c>
      <c r="Q29" s="558"/>
      <c r="R29" s="559">
        <v>281.3897017747563</v>
      </c>
      <c r="S29" s="559">
        <v>281.3897017747563</v>
      </c>
      <c r="T29" s="559">
        <v>36.293086564825686</v>
      </c>
      <c r="U29" s="559">
        <v>62.596313418681824</v>
      </c>
      <c r="V29" s="559">
        <v>119.37884957325753</v>
      </c>
      <c r="W29" s="559">
        <v>112.14376778093856</v>
      </c>
      <c r="X29" s="558"/>
      <c r="Y29" s="558"/>
      <c r="Z29" s="559">
        <v>266.80389842789293</v>
      </c>
      <c r="AA29" s="559">
        <v>1137.8070175438595</v>
      </c>
      <c r="AB29" s="559">
        <v>289.30543207681353</v>
      </c>
      <c r="AC29" s="558"/>
      <c r="AD29" s="558">
        <f t="shared" si="1"/>
        <v>7725.8007212478351</v>
      </c>
      <c r="AE29" s="4"/>
      <c r="AF29" s="4"/>
      <c r="AG29" s="4"/>
      <c r="AH29" s="4"/>
      <c r="AI29" s="4"/>
      <c r="AJ29" s="4"/>
      <c r="AK29" s="4"/>
      <c r="AL29" s="4"/>
      <c r="AM29" s="4"/>
      <c r="AN29" s="4"/>
      <c r="AO29" s="4"/>
      <c r="AP29" s="4"/>
      <c r="AQ29" s="4"/>
      <c r="AR29" s="4"/>
      <c r="AS29" s="4"/>
      <c r="AT29" s="4"/>
      <c r="AU29" s="4"/>
      <c r="AV29" s="4"/>
    </row>
    <row r="30" spans="1:48" s="9" customFormat="1" ht="15" customHeight="1">
      <c r="B30" s="569">
        <v>21.7</v>
      </c>
      <c r="C30" s="552">
        <v>25.463541666666664</v>
      </c>
      <c r="D30" s="546">
        <f t="shared" si="7"/>
        <v>44964.791666666664</v>
      </c>
      <c r="E30" s="570">
        <v>72589.98</v>
      </c>
      <c r="F30" s="571">
        <f t="shared" si="5"/>
        <v>466250.88000000012</v>
      </c>
      <c r="G30" s="549">
        <f t="shared" si="2"/>
        <v>0.99147785137657807</v>
      </c>
      <c r="H30" s="547">
        <v>32049.661647361645</v>
      </c>
      <c r="I30" s="551">
        <f t="shared" si="6"/>
        <v>278528.86322320823</v>
      </c>
      <c r="J30" s="549">
        <f t="shared" si="0"/>
        <v>0.59228885284872224</v>
      </c>
      <c r="L30" s="9">
        <v>32049.661647361645</v>
      </c>
      <c r="M30" s="4">
        <v>1</v>
      </c>
      <c r="N30" s="558">
        <v>4007.5601374570447</v>
      </c>
      <c r="O30" s="558"/>
      <c r="P30" s="558"/>
      <c r="Q30" s="558"/>
      <c r="R30" s="559">
        <v>281.3897017747563</v>
      </c>
      <c r="S30" s="559">
        <v>281.3897017747563</v>
      </c>
      <c r="T30" s="559">
        <v>36.293086564825686</v>
      </c>
      <c r="U30" s="558"/>
      <c r="V30" s="558"/>
      <c r="W30" s="558"/>
      <c r="X30" s="558"/>
      <c r="Y30" s="558"/>
      <c r="Z30" s="558"/>
      <c r="AA30" s="558"/>
      <c r="AB30" s="558"/>
      <c r="AC30" s="558"/>
      <c r="AD30" s="558">
        <f t="shared" si="1"/>
        <v>4606.6326275713827</v>
      </c>
      <c r="AE30" s="4"/>
      <c r="AF30" s="4"/>
      <c r="AG30" s="4"/>
      <c r="AH30" s="4"/>
      <c r="AI30" s="4"/>
      <c r="AJ30" s="4"/>
      <c r="AK30" s="4"/>
      <c r="AL30" s="4"/>
      <c r="AM30" s="4"/>
      <c r="AN30" s="4"/>
      <c r="AO30" s="4"/>
      <c r="AP30" s="4"/>
      <c r="AQ30" s="4"/>
      <c r="AR30" s="4"/>
      <c r="AS30" s="4"/>
      <c r="AT30" s="4"/>
      <c r="AU30" s="4"/>
      <c r="AV30" s="4"/>
    </row>
    <row r="31" spans="1:48" s="9" customFormat="1" ht="15" customHeight="1">
      <c r="B31" s="569">
        <v>22.7</v>
      </c>
      <c r="C31" s="552">
        <v>26.46180555555555</v>
      </c>
      <c r="D31" s="546">
        <f t="shared" si="7"/>
        <v>44965.791666666664</v>
      </c>
      <c r="E31" s="570">
        <v>4007.56</v>
      </c>
      <c r="F31" s="571">
        <f t="shared" si="5"/>
        <v>470258.44000000012</v>
      </c>
      <c r="G31" s="549">
        <f t="shared" si="2"/>
        <v>0.99999988779195759</v>
      </c>
      <c r="H31" s="547">
        <v>32968.090025740028</v>
      </c>
      <c r="I31" s="551">
        <f t="shared" si="6"/>
        <v>311496.95324894827</v>
      </c>
      <c r="J31" s="549">
        <f t="shared" si="0"/>
        <v>0.66239516784958674</v>
      </c>
      <c r="L31" s="9">
        <v>32968.090025740028</v>
      </c>
      <c r="M31" s="16"/>
      <c r="N31" s="560"/>
      <c r="O31" s="560"/>
      <c r="P31" s="560"/>
      <c r="Q31" s="560"/>
      <c r="R31" s="560"/>
      <c r="S31" s="560"/>
      <c r="T31" s="560"/>
      <c r="U31" s="560"/>
      <c r="V31" s="560"/>
      <c r="W31" s="560"/>
      <c r="X31" s="560"/>
      <c r="Y31" s="560"/>
      <c r="Z31" s="560"/>
      <c r="AA31" s="560"/>
      <c r="AB31" s="560"/>
      <c r="AC31" s="560"/>
      <c r="AD31" s="559">
        <f>SUM(AD8:AD30)</f>
        <v>470258.49276678485</v>
      </c>
    </row>
    <row r="32" spans="1:48" s="9" customFormat="1" ht="15" customHeight="1">
      <c r="B32" s="561"/>
      <c r="C32" s="552">
        <v>27.460069444444443</v>
      </c>
      <c r="D32" s="546">
        <f t="shared" si="7"/>
        <v>44966.791666666664</v>
      </c>
      <c r="E32" s="547"/>
      <c r="F32" s="548"/>
      <c r="G32" s="549"/>
      <c r="H32" s="547">
        <v>5243.1751608751611</v>
      </c>
      <c r="I32" s="551">
        <f t="shared" si="6"/>
        <v>316740.1284098234</v>
      </c>
      <c r="J32" s="549">
        <f t="shared" si="0"/>
        <v>0.67354472759496575</v>
      </c>
      <c r="L32" s="9">
        <v>5243.1751608751611</v>
      </c>
    </row>
    <row r="33" spans="2:16" s="9" customFormat="1" ht="15" customHeight="1">
      <c r="B33" s="561"/>
      <c r="C33" s="552"/>
      <c r="D33" s="546"/>
      <c r="E33" s="547"/>
      <c r="F33" s="548"/>
      <c r="G33" s="549"/>
      <c r="H33" s="547"/>
      <c r="I33" s="551"/>
      <c r="J33" s="549"/>
      <c r="O33" s="9">
        <v>5496.8032094594573</v>
      </c>
      <c r="P33" s="9">
        <v>19</v>
      </c>
    </row>
    <row r="34" spans="2:16" s="9" customFormat="1" ht="15" customHeight="1">
      <c r="B34" s="561"/>
      <c r="C34" s="545"/>
      <c r="D34" s="546"/>
      <c r="E34" s="547"/>
      <c r="F34" s="548"/>
      <c r="G34" s="549"/>
      <c r="H34" s="547"/>
      <c r="I34" s="551"/>
      <c r="J34" s="549"/>
      <c r="P34" s="9">
        <f>O33/P33</f>
        <v>289.30543207681353</v>
      </c>
    </row>
    <row r="35" spans="2:16" s="9" customFormat="1" ht="15" customHeight="1">
      <c r="B35" s="561"/>
      <c r="C35" s="545"/>
      <c r="D35" s="546"/>
      <c r="E35" s="547"/>
      <c r="F35" s="548"/>
      <c r="G35" s="549"/>
      <c r="H35" s="547"/>
      <c r="I35" s="551"/>
      <c r="J35" s="549"/>
    </row>
    <row r="36" spans="2:16" s="9" customFormat="1" ht="15" customHeight="1">
      <c r="B36" s="561"/>
      <c r="C36" s="545"/>
      <c r="D36" s="546"/>
      <c r="E36" s="547"/>
      <c r="F36" s="548"/>
      <c r="G36" s="549"/>
      <c r="H36" s="547"/>
      <c r="I36" s="551"/>
      <c r="J36" s="549"/>
    </row>
    <row r="37" spans="2:16" s="9" customFormat="1" ht="15" customHeight="1">
      <c r="B37" s="561"/>
      <c r="C37" s="545"/>
      <c r="D37" s="546"/>
      <c r="E37" s="547"/>
      <c r="F37" s="548"/>
      <c r="G37" s="549"/>
      <c r="H37" s="547"/>
      <c r="I37" s="551"/>
      <c r="J37" s="549"/>
    </row>
    <row r="38" spans="2:16" s="9" customFormat="1" ht="15" customHeight="1">
      <c r="B38" s="561"/>
      <c r="C38" s="545"/>
      <c r="D38" s="546"/>
      <c r="E38" s="547"/>
      <c r="F38" s="548"/>
      <c r="G38" s="549"/>
      <c r="H38" s="547"/>
      <c r="I38" s="551"/>
      <c r="J38" s="549"/>
    </row>
    <row r="39" spans="2:16" ht="15" customHeight="1">
      <c r="B39" s="561"/>
      <c r="C39" s="545"/>
      <c r="D39" s="546"/>
      <c r="E39" s="547"/>
      <c r="F39" s="548"/>
      <c r="G39" s="549"/>
      <c r="H39" s="547"/>
      <c r="I39" s="551"/>
      <c r="J39" s="549"/>
    </row>
    <row r="40" spans="2:16" ht="15" customHeight="1">
      <c r="B40" s="561"/>
      <c r="C40" s="545"/>
      <c r="D40" s="546"/>
      <c r="E40" s="547"/>
      <c r="F40" s="548"/>
      <c r="G40" s="549"/>
      <c r="H40" s="547"/>
      <c r="I40" s="551"/>
      <c r="J40" s="549"/>
    </row>
    <row r="41" spans="2:16" ht="15" customHeight="1">
      <c r="B41" s="561"/>
      <c r="C41" s="545"/>
      <c r="D41" s="546"/>
      <c r="E41" s="547"/>
      <c r="F41" s="548"/>
      <c r="G41" s="549"/>
      <c r="H41" s="547"/>
      <c r="I41" s="551"/>
      <c r="J41" s="549"/>
    </row>
    <row r="42" spans="2:16" ht="15" customHeight="1">
      <c r="B42" s="561"/>
      <c r="C42" s="545"/>
      <c r="D42" s="546"/>
      <c r="E42" s="547"/>
      <c r="F42" s="548"/>
      <c r="G42" s="549"/>
      <c r="H42" s="547"/>
      <c r="I42" s="551"/>
      <c r="J42" s="549"/>
    </row>
    <row r="43" spans="2:16" ht="15" customHeight="1">
      <c r="B43" s="561"/>
      <c r="C43" s="545"/>
      <c r="D43" s="546"/>
      <c r="E43" s="547"/>
      <c r="F43" s="548"/>
      <c r="G43" s="549"/>
      <c r="H43" s="547"/>
      <c r="I43" s="551"/>
      <c r="J43" s="549"/>
    </row>
    <row r="44" spans="2:16" ht="15" customHeight="1">
      <c r="B44" s="561"/>
      <c r="C44" s="545"/>
      <c r="D44" s="546"/>
      <c r="E44" s="547"/>
      <c r="F44" s="548"/>
      <c r="G44" s="549"/>
      <c r="H44" s="547"/>
      <c r="I44" s="551"/>
      <c r="J44" s="549"/>
    </row>
    <row r="45" spans="2:16" ht="15" customHeight="1">
      <c r="B45" s="561"/>
      <c r="C45" s="545"/>
      <c r="D45" s="546"/>
      <c r="E45" s="547"/>
      <c r="F45" s="548"/>
      <c r="G45" s="549"/>
      <c r="H45" s="547"/>
      <c r="I45" s="551"/>
      <c r="J45" s="549"/>
    </row>
    <row r="46" spans="2:16" ht="15" customHeight="1">
      <c r="B46" s="561"/>
      <c r="C46" s="545"/>
      <c r="D46" s="546"/>
      <c r="E46" s="547"/>
      <c r="F46" s="548"/>
      <c r="G46" s="549"/>
      <c r="H46" s="547"/>
      <c r="I46" s="551"/>
      <c r="J46" s="549"/>
    </row>
    <row r="47" spans="2:16" ht="15" customHeight="1">
      <c r="B47" s="561"/>
      <c r="C47" s="545"/>
      <c r="D47" s="546"/>
      <c r="E47" s="547"/>
      <c r="F47" s="548"/>
      <c r="G47" s="549"/>
      <c r="H47" s="547"/>
      <c r="I47" s="551"/>
      <c r="J47" s="549"/>
    </row>
    <row r="48" spans="2:16" ht="15" customHeight="1">
      <c r="B48" s="561"/>
      <c r="C48" s="545"/>
      <c r="D48" s="546"/>
      <c r="E48" s="547"/>
      <c r="F48" s="548"/>
      <c r="G48" s="549"/>
      <c r="H48" s="547"/>
      <c r="I48" s="551"/>
      <c r="J48" s="549"/>
    </row>
    <row r="49" spans="2:10" ht="15" customHeight="1">
      <c r="B49" s="561"/>
      <c r="C49" s="545"/>
      <c r="D49" s="546"/>
      <c r="E49" s="547"/>
      <c r="F49" s="548"/>
      <c r="G49" s="549"/>
      <c r="H49" s="547"/>
      <c r="I49" s="551"/>
      <c r="J49" s="549"/>
    </row>
    <row r="50" spans="2:10" ht="15" customHeight="1">
      <c r="B50" s="561"/>
      <c r="C50" s="545"/>
      <c r="D50" s="546"/>
      <c r="E50" s="547"/>
      <c r="F50" s="548"/>
      <c r="G50" s="549"/>
      <c r="H50" s="547"/>
      <c r="I50" s="551"/>
      <c r="J50" s="549"/>
    </row>
    <row r="51" spans="2:10" ht="15" customHeight="1">
      <c r="B51" s="561"/>
      <c r="C51" s="545"/>
      <c r="D51" s="546"/>
      <c r="E51" s="547"/>
      <c r="F51" s="548"/>
      <c r="G51" s="549"/>
      <c r="H51" s="547"/>
      <c r="I51" s="551"/>
      <c r="J51" s="549"/>
    </row>
    <row r="52" spans="2:10" ht="15" customHeight="1">
      <c r="B52" s="561"/>
      <c r="C52" s="545"/>
      <c r="D52" s="546"/>
      <c r="E52" s="547"/>
      <c r="F52" s="548"/>
      <c r="G52" s="549"/>
      <c r="H52" s="547"/>
      <c r="I52" s="551"/>
      <c r="J52" s="549"/>
    </row>
    <row r="53" spans="2:10" ht="15" customHeight="1">
      <c r="B53" s="561"/>
      <c r="C53" s="545"/>
      <c r="D53" s="546"/>
      <c r="E53" s="547"/>
      <c r="F53" s="548"/>
      <c r="G53" s="549"/>
      <c r="H53" s="547"/>
      <c r="I53" s="551"/>
      <c r="J53" s="549"/>
    </row>
    <row r="54" spans="2:10" ht="15" customHeight="1">
      <c r="B54" s="561"/>
      <c r="C54" s="545"/>
      <c r="D54" s="546"/>
      <c r="E54" s="547"/>
      <c r="F54" s="548"/>
      <c r="G54" s="549"/>
      <c r="H54" s="547"/>
      <c r="I54" s="551"/>
      <c r="J54" s="549"/>
    </row>
    <row r="55" spans="2:10" ht="15" customHeight="1">
      <c r="B55" s="561"/>
      <c r="C55" s="545"/>
      <c r="D55" s="546"/>
      <c r="E55" s="547"/>
      <c r="F55" s="548"/>
      <c r="G55" s="549"/>
      <c r="H55" s="547"/>
      <c r="I55" s="551"/>
      <c r="J55" s="549"/>
    </row>
    <row r="56" spans="2:10" ht="15" customHeight="1">
      <c r="B56" s="561"/>
      <c r="C56" s="545"/>
      <c r="D56" s="546"/>
      <c r="E56" s="547"/>
      <c r="F56" s="548"/>
      <c r="G56" s="549"/>
      <c r="H56" s="547"/>
      <c r="I56" s="551"/>
      <c r="J56" s="549"/>
    </row>
    <row r="57" spans="2:10" ht="15" customHeight="1">
      <c r="B57" s="561"/>
      <c r="C57" s="545"/>
      <c r="D57" s="546"/>
      <c r="E57" s="547"/>
      <c r="F57" s="548"/>
      <c r="G57" s="549"/>
      <c r="H57" s="547"/>
      <c r="I57" s="551"/>
      <c r="J57" s="549"/>
    </row>
    <row r="58" spans="2:10" ht="15" customHeight="1">
      <c r="B58" s="561"/>
      <c r="C58" s="545"/>
      <c r="D58" s="546"/>
      <c r="E58" s="547"/>
      <c r="F58" s="548"/>
      <c r="G58" s="549"/>
      <c r="H58" s="547"/>
      <c r="I58" s="551"/>
      <c r="J58" s="549"/>
    </row>
    <row r="59" spans="2:10" ht="15" customHeight="1">
      <c r="B59" s="561"/>
      <c r="C59" s="545"/>
      <c r="D59" s="546"/>
      <c r="E59" s="547"/>
      <c r="F59" s="548"/>
      <c r="G59" s="549"/>
      <c r="H59" s="547"/>
      <c r="I59" s="551"/>
      <c r="J59" s="549"/>
    </row>
    <row r="60" spans="2:10" ht="15" customHeight="1">
      <c r="B60" s="561"/>
      <c r="C60" s="545"/>
      <c r="D60" s="546"/>
      <c r="E60" s="547"/>
      <c r="F60" s="548"/>
      <c r="G60" s="549"/>
      <c r="H60" s="547"/>
      <c r="I60" s="551"/>
      <c r="J60" s="549"/>
    </row>
    <row r="61" spans="2:10" ht="15" customHeight="1">
      <c r="B61" s="561"/>
      <c r="C61" s="545"/>
      <c r="D61" s="546"/>
      <c r="E61" s="547"/>
      <c r="F61" s="548"/>
      <c r="G61" s="549"/>
      <c r="H61" s="547"/>
      <c r="I61" s="551"/>
      <c r="J61" s="549"/>
    </row>
    <row r="62" spans="2:10" ht="15" customHeight="1">
      <c r="B62" s="561"/>
      <c r="C62" s="545"/>
      <c r="D62" s="546"/>
      <c r="E62" s="547"/>
      <c r="F62" s="548"/>
      <c r="G62" s="549"/>
      <c r="H62" s="547"/>
      <c r="I62" s="551"/>
      <c r="J62" s="549"/>
    </row>
    <row r="63" spans="2:10" ht="15" customHeight="1">
      <c r="B63" s="561"/>
      <c r="C63" s="545"/>
      <c r="D63" s="546"/>
      <c r="E63" s="547"/>
      <c r="F63" s="548"/>
      <c r="G63" s="549"/>
      <c r="H63" s="547"/>
      <c r="I63" s="551"/>
      <c r="J63" s="549"/>
    </row>
    <row r="64" spans="2:10" ht="15" customHeight="1">
      <c r="B64" s="561"/>
      <c r="C64" s="545"/>
      <c r="D64" s="546"/>
      <c r="E64" s="547"/>
      <c r="F64" s="548"/>
      <c r="G64" s="549"/>
      <c r="H64" s="547"/>
      <c r="I64" s="551"/>
      <c r="J64" s="549"/>
    </row>
    <row r="65" spans="2:10" ht="15" customHeight="1">
      <c r="B65" s="561"/>
      <c r="C65" s="545"/>
      <c r="D65" s="546"/>
      <c r="E65" s="547"/>
      <c r="F65" s="548"/>
      <c r="G65" s="549"/>
      <c r="H65" s="547"/>
      <c r="I65" s="551"/>
      <c r="J65" s="549"/>
    </row>
    <row r="66" spans="2:10" ht="15" customHeight="1">
      <c r="B66" s="561"/>
      <c r="C66" s="545"/>
      <c r="D66" s="546"/>
      <c r="E66" s="547"/>
      <c r="F66" s="548"/>
      <c r="G66" s="549"/>
      <c r="H66" s="547"/>
      <c r="I66" s="551"/>
      <c r="J66" s="549"/>
    </row>
    <row r="67" spans="2:10" ht="15" customHeight="1">
      <c r="B67" s="561"/>
      <c r="C67" s="545"/>
      <c r="D67" s="546"/>
      <c r="E67" s="547"/>
      <c r="F67" s="548"/>
      <c r="G67" s="549"/>
      <c r="H67" s="547"/>
      <c r="I67" s="551"/>
      <c r="J67" s="549"/>
    </row>
    <row r="68" spans="2:10" ht="15" customHeight="1">
      <c r="B68" s="561"/>
      <c r="C68" s="545"/>
      <c r="D68" s="546"/>
      <c r="E68" s="547"/>
      <c r="F68" s="548"/>
      <c r="G68" s="549"/>
      <c r="H68" s="547"/>
      <c r="I68" s="551"/>
      <c r="J68" s="549"/>
    </row>
    <row r="69" spans="2:10" ht="15" customHeight="1">
      <c r="B69" s="561"/>
      <c r="C69" s="545"/>
      <c r="D69" s="546"/>
      <c r="E69" s="547"/>
      <c r="F69" s="548"/>
      <c r="G69" s="549"/>
      <c r="H69" s="547"/>
      <c r="I69" s="551"/>
      <c r="J69" s="549"/>
    </row>
    <row r="70" spans="2:10">
      <c r="B70" s="545"/>
      <c r="C70" s="545"/>
      <c r="D70" s="546"/>
      <c r="E70" s="547"/>
      <c r="F70" s="548"/>
      <c r="G70" s="549"/>
      <c r="H70" s="547"/>
      <c r="I70" s="551"/>
      <c r="J70" s="549"/>
    </row>
    <row r="71" spans="2:10">
      <c r="B71" s="9"/>
      <c r="C71" s="9"/>
      <c r="D71" s="9"/>
      <c r="E71" s="9"/>
      <c r="F71" s="9"/>
      <c r="G71" s="557"/>
      <c r="H71" s="9"/>
      <c r="I71" s="9"/>
      <c r="J71" s="557"/>
    </row>
    <row r="72" spans="2:10">
      <c r="B72" s="9"/>
      <c r="C72" s="9"/>
      <c r="D72" s="9"/>
      <c r="E72" s="9"/>
      <c r="F72" s="9"/>
      <c r="G72" s="557"/>
      <c r="H72" s="9"/>
      <c r="I72" s="9"/>
      <c r="J72" s="557"/>
    </row>
    <row r="73" spans="2:10">
      <c r="B73" s="9"/>
      <c r="C73" s="9"/>
      <c r="D73" s="9"/>
      <c r="E73" s="9"/>
      <c r="F73" s="9"/>
      <c r="G73" s="557"/>
      <c r="H73" s="9"/>
      <c r="I73" s="9"/>
      <c r="J73" s="557"/>
    </row>
    <row r="74" spans="2:10">
      <c r="B74" s="9"/>
      <c r="C74" s="9"/>
      <c r="D74" s="9"/>
      <c r="E74" s="9"/>
      <c r="F74" s="9"/>
      <c r="G74" s="557"/>
      <c r="H74" s="9"/>
      <c r="I74" s="9"/>
      <c r="J74" s="557"/>
    </row>
    <row r="75" spans="2:10">
      <c r="B75" s="9"/>
      <c r="C75" s="9"/>
      <c r="D75" s="9"/>
      <c r="E75" s="9"/>
      <c r="F75" s="9"/>
      <c r="G75" s="557"/>
      <c r="H75" s="9"/>
      <c r="I75" s="9"/>
      <c r="J75" s="557"/>
    </row>
    <row r="76" spans="2:10">
      <c r="B76" s="9"/>
      <c r="C76" s="9"/>
      <c r="D76" s="9"/>
      <c r="E76" s="9"/>
      <c r="F76" s="9"/>
      <c r="G76" s="557"/>
      <c r="H76" s="9"/>
      <c r="I76" s="9"/>
      <c r="J76" s="557"/>
    </row>
    <row r="77" spans="2:10">
      <c r="B77" s="9"/>
      <c r="C77" s="9"/>
      <c r="D77" s="9"/>
      <c r="E77" s="9"/>
      <c r="F77" s="9"/>
      <c r="G77" s="557"/>
      <c r="H77" s="9"/>
      <c r="I77" s="9"/>
      <c r="J77" s="557"/>
    </row>
    <row r="78" spans="2:10">
      <c r="B78" s="9"/>
      <c r="C78" s="9"/>
      <c r="D78" s="9"/>
      <c r="E78" s="9"/>
      <c r="F78" s="9"/>
      <c r="G78" s="557"/>
      <c r="H78" s="9"/>
      <c r="I78" s="9"/>
      <c r="J78" s="557"/>
    </row>
    <row r="79" spans="2:10">
      <c r="B79" s="9"/>
      <c r="C79" s="9"/>
      <c r="D79" s="9"/>
      <c r="E79" s="9"/>
      <c r="F79" s="9"/>
      <c r="G79" s="557"/>
      <c r="H79" s="9"/>
      <c r="I79" s="9"/>
      <c r="J79" s="557"/>
    </row>
    <row r="80" spans="2:10">
      <c r="B80" s="9"/>
      <c r="C80" s="9"/>
      <c r="D80" s="9"/>
      <c r="E80" s="9"/>
      <c r="F80" s="9"/>
      <c r="G80" s="557"/>
      <c r="H80" s="9"/>
      <c r="I80" s="9"/>
      <c r="J80" s="557"/>
    </row>
  </sheetData>
  <mergeCells count="7">
    <mergeCell ref="H6:J6"/>
    <mergeCell ref="B3:C3"/>
    <mergeCell ref="B4:C4"/>
    <mergeCell ref="B5:C5"/>
    <mergeCell ref="B6:C7"/>
    <mergeCell ref="D6:D7"/>
    <mergeCell ref="E6:G6"/>
  </mergeCells>
  <pageMargins left="0.74791666666666701" right="0.74791666666666701" top="0.59027777777777801" bottom="0.59027777777777801" header="0.51180555555555596" footer="0.51180555555555596"/>
  <pageSetup scale="65" firstPageNumber="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8</vt:i4>
      </vt:variant>
      <vt:variant>
        <vt:lpstr>Charts</vt:lpstr>
      </vt:variant>
      <vt:variant>
        <vt:i4>1</vt:i4>
      </vt:variant>
      <vt:variant>
        <vt:lpstr>Named Ranges</vt:lpstr>
      </vt:variant>
      <vt:variant>
        <vt:i4>8</vt:i4>
      </vt:variant>
    </vt:vector>
  </HeadingPairs>
  <TitlesOfParts>
    <vt:vector size="17" baseType="lpstr">
      <vt:lpstr>1_INPUT</vt:lpstr>
      <vt:lpstr>BUDGET</vt:lpstr>
      <vt:lpstr>2_DATA</vt:lpstr>
      <vt:lpstr>4_CHART</vt:lpstr>
      <vt:lpstr>3_TIME SUM</vt:lpstr>
      <vt:lpstr>5_PERFORM (1)_Table</vt:lpstr>
      <vt:lpstr>6_LESSON LEARN</vt:lpstr>
      <vt:lpstr>BUDGET PPP)</vt:lpstr>
      <vt:lpstr>5_PERFORM (2)_Graph</vt:lpstr>
      <vt:lpstr>'1_INPUT'!Print_Area</vt:lpstr>
      <vt:lpstr>'3_TIME SUM'!Print_Area</vt:lpstr>
      <vt:lpstr>'4_CHART'!Print_Area</vt:lpstr>
      <vt:lpstr>'5_PERFORM (1)_Table'!Print_Area</vt:lpstr>
      <vt:lpstr>'6_LESSON LEARN'!Print_Area</vt:lpstr>
      <vt:lpstr>BUDGET!Print_Area</vt:lpstr>
      <vt:lpstr>'BUDGET PPP)'!Print_Area</vt:lpstr>
      <vt:lpstr>'2_DATA'!Print_Titles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Fajar Kurniawan</dc:creator>
  <cp:lastModifiedBy>maulana yusuf hanafi</cp:lastModifiedBy>
  <cp:lastPrinted>2023-02-09T23:00:02Z</cp:lastPrinted>
  <dcterms:created xsi:type="dcterms:W3CDTF">2010-09-24T11:10:49Z</dcterms:created>
  <dcterms:modified xsi:type="dcterms:W3CDTF">2024-06-03T02:01:50Z</dcterms:modified>
</cp:coreProperties>
</file>